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ING VASQUEZ\PLANILLAS\No 4 (dic-20 a feb-21)\1.- Certificado de Pago Nº4\"/>
    </mc:Choice>
  </mc:AlternateContent>
  <bookViews>
    <workbookView xWindow="-120" yWindow="-120" windowWidth="29040" windowHeight="15840" tabRatio="843" firstSheet="2" activeTab="12"/>
  </bookViews>
  <sheets>
    <sheet name="." sheetId="388" state="hidden" r:id="rId1"/>
    <sheet name="Datos" sheetId="429" state="hidden" r:id="rId2"/>
    <sheet name="I" sheetId="439" r:id="rId3"/>
    <sheet name="C" sheetId="437" r:id="rId4"/>
    <sheet name="S" sheetId="440" r:id="rId5"/>
    <sheet name="H.Crtl" sheetId="438" r:id="rId6"/>
    <sheet name="Certificado" sheetId="26" r:id="rId7"/>
    <sheet name="Cant. Ejec," sheetId="454" state="hidden" r:id="rId8"/>
    <sheet name="Avance Financiero" sheetId="36" r:id="rId9"/>
    <sheet name="Anticipo" sheetId="37" r:id="rId10"/>
    <sheet name="Retencion" sheetId="430" r:id="rId11"/>
    <sheet name="Multas" sheetId="38" r:id="rId12"/>
    <sheet name="Planilla de Avance" sheetId="25" r:id="rId13"/>
    <sheet name="Personal" sheetId="418" r:id="rId14"/>
    <sheet name="CRON.DESEMBOLSOS" sheetId="421" r:id="rId15"/>
    <sheet name="POLIZAS" sheetId="206" r:id="rId16"/>
    <sheet name="ww" sheetId="203" state="hidden" r:id="rId17"/>
    <sheet name="1" sheetId="33" r:id="rId18"/>
    <sheet name="5" sheetId="446" state="hidden" r:id="rId19"/>
    <sheet name="74" sheetId="453" state="hidden" r:id="rId20"/>
    <sheet name="79" sheetId="450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A">#N/A</definedName>
    <definedName name="_" localSheetId="19" hidden="1">#REF!</definedName>
    <definedName name="_" localSheetId="7" hidden="1">#REF!</definedName>
    <definedName name="_" localSheetId="5" hidden="1">#REF!</definedName>
    <definedName name="_" localSheetId="2" hidden="1">#REF!</definedName>
    <definedName name="_" localSheetId="4" hidden="1">#REF!</definedName>
    <definedName name="_" hidden="1">#REF!</definedName>
    <definedName name="_1" localSheetId="19" hidden="1">'[1]Flujo de Caja Consorcio'!#REF!</definedName>
    <definedName name="_1" localSheetId="7" hidden="1">'[1]Flujo de Caja Consorcio'!#REF!</definedName>
    <definedName name="_1" localSheetId="5" hidden="1">'[1]Flujo de Caja Consorcio'!#REF!</definedName>
    <definedName name="_1" localSheetId="2" hidden="1">'[1]Flujo de Caja Consorcio'!#REF!</definedName>
    <definedName name="_1" localSheetId="4" hidden="1">'[1]Flujo de Caja Consorcio'!#REF!</definedName>
    <definedName name="_1" hidden="1">'[1]Flujo de Caja Consorcio'!#REF!</definedName>
    <definedName name="_2" localSheetId="19" hidden="1">'[1]Flujo de Caja Consorcio'!#REF!</definedName>
    <definedName name="_2" localSheetId="7" hidden="1">'[1]Flujo de Caja Consorcio'!#REF!</definedName>
    <definedName name="_2" localSheetId="5" hidden="1">'[1]Flujo de Caja Consorcio'!#REF!</definedName>
    <definedName name="_2" localSheetId="2" hidden="1">'[1]Flujo de Caja Consorcio'!#REF!</definedName>
    <definedName name="_2" localSheetId="4" hidden="1">'[1]Flujo de Caja Consorcio'!#REF!</definedName>
    <definedName name="_2" hidden="1">'[1]Flujo de Caja Consorcio'!#REF!</definedName>
    <definedName name="_2Excel_BuiltIn_Print_Area_7_1" localSheetId="19">[2]SUBBASE!#REF!</definedName>
    <definedName name="_2Excel_BuiltIn_Print_Area_7_1" localSheetId="7">[2]SUBBASE!#REF!</definedName>
    <definedName name="_2Excel_BuiltIn_Print_Area_7_1" localSheetId="5">[2]SUBBASE!#REF!</definedName>
    <definedName name="_2Excel_BuiltIn_Print_Area_7_1" localSheetId="2">[2]SUBBASE!#REF!</definedName>
    <definedName name="_2Excel_BuiltIn_Print_Area_7_1" localSheetId="4">[2]SUBBASE!#REF!</definedName>
    <definedName name="_2Excel_BuiltIn_Print_Area_7_1">[2]SUBBASE!#REF!</definedName>
    <definedName name="_Fill" localSheetId="19" hidden="1">#REF!</definedName>
    <definedName name="_Fill" localSheetId="3" hidden="1">#REF!</definedName>
    <definedName name="_Fill" localSheetId="7" hidden="1">#REF!</definedName>
    <definedName name="_Fill" localSheetId="5" hidden="1">#REF!</definedName>
    <definedName name="_Fill" localSheetId="2" hidden="1">#REF!</definedName>
    <definedName name="_Fill" localSheetId="11" hidden="1">#REF!</definedName>
    <definedName name="_Fill" localSheetId="4" hidden="1">#REF!</definedName>
    <definedName name="_Fill" hidden="1">#REF!</definedName>
    <definedName name="_xlnm._FilterDatabase" localSheetId="6" hidden="1">Certificado!$A$15:$K$60</definedName>
    <definedName name="_HMA1" localSheetId="19" hidden="1">'[1]Flujo de Caja Consorcio'!#REF!</definedName>
    <definedName name="_HMA1" localSheetId="7" hidden="1">'[1]Flujo de Caja Consorcio'!#REF!</definedName>
    <definedName name="_HMA1" localSheetId="5" hidden="1">'[1]Flujo de Caja Consorcio'!#REF!</definedName>
    <definedName name="_HMA1" localSheetId="2" hidden="1">'[1]Flujo de Caja Consorcio'!#REF!</definedName>
    <definedName name="_HMA1" localSheetId="4" hidden="1">'[1]Flujo de Caja Consorcio'!#REF!</definedName>
    <definedName name="_HMA1" hidden="1">'[1]Flujo de Caja Consorcio'!#REF!</definedName>
    <definedName name="_i" localSheetId="19" hidden="1">'[1]Flujo de Caja Consorcio'!#REF!</definedName>
    <definedName name="_i" localSheetId="7" hidden="1">'[1]Flujo de Caja Consorcio'!#REF!</definedName>
    <definedName name="_i" localSheetId="5" hidden="1">'[1]Flujo de Caja Consorcio'!#REF!</definedName>
    <definedName name="_i" localSheetId="2" hidden="1">'[1]Flujo de Caja Consorcio'!#REF!</definedName>
    <definedName name="_i" localSheetId="4" hidden="1">'[1]Flujo de Caja Consorcio'!#REF!</definedName>
    <definedName name="_i" hidden="1">'[1]Flujo de Caja Consorcio'!#REF!</definedName>
    <definedName name="_Key1" localSheetId="19" hidden="1">'[3]Flujo de Caja Consorcio'!#REF!</definedName>
    <definedName name="_Key1" localSheetId="3" hidden="1">'[1]Flujo de Caja Consorcio'!#REF!</definedName>
    <definedName name="_Key1" localSheetId="7" hidden="1">'[3]Flujo de Caja Consorcio'!#REF!</definedName>
    <definedName name="_Key1" localSheetId="5" hidden="1">'[1]Flujo de Caja Consorcio'!#REF!</definedName>
    <definedName name="_Key1" localSheetId="2" hidden="1">'[3]Flujo de Caja Consorcio'!#REF!</definedName>
    <definedName name="_Key1" localSheetId="4" hidden="1">'[1]Flujo de Caja Consorcio'!#REF!</definedName>
    <definedName name="_Key1" hidden="1">'[3]Flujo de Caja Consorcio'!#REF!</definedName>
    <definedName name="_key2" localSheetId="19" hidden="1">'[1]Flujo de Caja Consorcio'!#REF!</definedName>
    <definedName name="_key2" localSheetId="7" hidden="1">'[1]Flujo de Caja Consorcio'!#REF!</definedName>
    <definedName name="_key2" localSheetId="5" hidden="1">'[1]Flujo de Caja Consorcio'!#REF!</definedName>
    <definedName name="_key2" localSheetId="2" hidden="1">'[1]Flujo de Caja Consorcio'!#REF!</definedName>
    <definedName name="_key2" localSheetId="4" hidden="1">'[1]Flujo de Caja Consorcio'!#REF!</definedName>
    <definedName name="_key2" hidden="1">'[1]Flujo de Caja Consorcio'!#REF!</definedName>
    <definedName name="_m" localSheetId="19" hidden="1">'[1]Flujo de Caja Consorcio'!#REF!</definedName>
    <definedName name="_m" localSheetId="7" hidden="1">'[1]Flujo de Caja Consorcio'!#REF!</definedName>
    <definedName name="_m" localSheetId="5" hidden="1">'[1]Flujo de Caja Consorcio'!#REF!</definedName>
    <definedName name="_m" localSheetId="2" hidden="1">'[1]Flujo de Caja Consorcio'!#REF!</definedName>
    <definedName name="_m" localSheetId="4" hidden="1">'[1]Flujo de Caja Consorcio'!#REF!</definedName>
    <definedName name="_m" hidden="1">'[1]Flujo de Caja Consorcio'!#REF!</definedName>
    <definedName name="_o" localSheetId="19" hidden="1">'[1]Flujo de Caja Consorcio'!#REF!</definedName>
    <definedName name="_o" localSheetId="7" hidden="1">'[1]Flujo de Caja Consorcio'!#REF!</definedName>
    <definedName name="_o" localSheetId="5" hidden="1">'[1]Flujo de Caja Consorcio'!#REF!</definedName>
    <definedName name="_o" localSheetId="2" hidden="1">'[1]Flujo de Caja Consorcio'!#REF!</definedName>
    <definedName name="_o" localSheetId="4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9" hidden="1">'[1]Flujo de Caja Consorcio'!#REF!</definedName>
    <definedName name="_p" localSheetId="7" hidden="1">'[1]Flujo de Caja Consorcio'!#REF!</definedName>
    <definedName name="_p" localSheetId="5" hidden="1">'[1]Flujo de Caja Consorcio'!#REF!</definedName>
    <definedName name="_p" localSheetId="2" hidden="1">'[1]Flujo de Caja Consorcio'!#REF!</definedName>
    <definedName name="_p" localSheetId="4" hidden="1">'[1]Flujo de Caja Consorcio'!#REF!</definedName>
    <definedName name="_p" hidden="1">'[1]Flujo de Caja Consorcio'!#REF!</definedName>
    <definedName name="_po" localSheetId="19" hidden="1">'[1]Flujo de Caja Consorcio'!#REF!</definedName>
    <definedName name="_po" localSheetId="7" hidden="1">'[1]Flujo de Caja Consorcio'!#REF!</definedName>
    <definedName name="_po" localSheetId="5" hidden="1">'[1]Flujo de Caja Consorcio'!#REF!</definedName>
    <definedName name="_po" localSheetId="2" hidden="1">'[1]Flujo de Caja Consorcio'!#REF!</definedName>
    <definedName name="_po" localSheetId="4" hidden="1">'[1]Flujo de Caja Consorcio'!#REF!</definedName>
    <definedName name="_po" hidden="1">'[1]Flujo de Caja Consorcio'!#REF!</definedName>
    <definedName name="_sh1" localSheetId="19">#REF!</definedName>
    <definedName name="_sh1" localSheetId="3">#REF!</definedName>
    <definedName name="_sh1" localSheetId="7">#REF!</definedName>
    <definedName name="_sh1" localSheetId="5">#REF!</definedName>
    <definedName name="_sh1" localSheetId="2">#REF!</definedName>
    <definedName name="_sh1" localSheetId="4">#REF!</definedName>
    <definedName name="_sh1">#REF!</definedName>
    <definedName name="_sh2" localSheetId="19">#REF!</definedName>
    <definedName name="_sh2" localSheetId="3">#REF!</definedName>
    <definedName name="_sh2" localSheetId="7">#REF!</definedName>
    <definedName name="_sh2" localSheetId="5">#REF!</definedName>
    <definedName name="_sh2" localSheetId="2">#REF!</definedName>
    <definedName name="_sh2" localSheetId="4">#REF!</definedName>
    <definedName name="_sh2">#REF!</definedName>
    <definedName name="_Sort" localSheetId="19" hidden="1">'[3]Flujo de Caja Consorcio'!#REF!</definedName>
    <definedName name="_Sort" localSheetId="3" hidden="1">'[1]Flujo de Caja Consorcio'!#REF!</definedName>
    <definedName name="_Sort" localSheetId="7" hidden="1">'[3]Flujo de Caja Consorcio'!#REF!</definedName>
    <definedName name="_Sort" localSheetId="5" hidden="1">'[1]Flujo de Caja Consorcio'!#REF!</definedName>
    <definedName name="_Sort" localSheetId="2" hidden="1">'[3]Flujo de Caja Consorcio'!#REF!</definedName>
    <definedName name="_Sort" localSheetId="4" hidden="1">'[1]Flujo de Caja Consorcio'!#REF!</definedName>
    <definedName name="_Sort" hidden="1">'[3]Flujo de Caja Consorcio'!#REF!</definedName>
    <definedName name="_ss1" localSheetId="19">#REF!</definedName>
    <definedName name="_ss1" localSheetId="3">#REF!</definedName>
    <definedName name="_ss1" localSheetId="7">#REF!</definedName>
    <definedName name="_ss1" localSheetId="5">#REF!</definedName>
    <definedName name="_ss1" localSheetId="2">#REF!</definedName>
    <definedName name="_ss1" localSheetId="4">#REF!</definedName>
    <definedName name="_ss1">#REF!</definedName>
    <definedName name="_ss2" localSheetId="19">#REF!</definedName>
    <definedName name="_ss2" localSheetId="3">#REF!</definedName>
    <definedName name="_ss2" localSheetId="7">#REF!</definedName>
    <definedName name="_ss2" localSheetId="5">#REF!</definedName>
    <definedName name="_ss2" localSheetId="2">#REF!</definedName>
    <definedName name="_ss2" localSheetId="4">#REF!</definedName>
    <definedName name="_ss2">#REF!</definedName>
    <definedName name="_SSS" localSheetId="19">#REF!</definedName>
    <definedName name="_SSS" localSheetId="3">#REF!</definedName>
    <definedName name="_SSS" localSheetId="7">#REF!</definedName>
    <definedName name="_SSS" localSheetId="5">#REF!</definedName>
    <definedName name="_SSS" localSheetId="2">#REF!</definedName>
    <definedName name="_SSS" localSheetId="4">#REF!</definedName>
    <definedName name="_SSS">#REF!</definedName>
    <definedName name="_TIT1">[4]DEFINICION!$B$12</definedName>
    <definedName name="_TIT2">[4]DEFINICION!$B$13</definedName>
    <definedName name="A" localSheetId="3">'[1]BASES DE DATOS'!$A$8:$E$215</definedName>
    <definedName name="A" localSheetId="5">'[1]BASES DE DATOS'!$A$8:$E$215</definedName>
    <definedName name="A" localSheetId="4">'[1]BASES DE DATOS'!$A$8:$E$215</definedName>
    <definedName name="A">'[3]BASES DE DATOS'!$A$8:$E$215</definedName>
    <definedName name="A_2" localSheetId="19">'[3]BASES DE DATOS'!#REF!</definedName>
    <definedName name="A_2" localSheetId="3">'[1]BASES DE DATOS'!#REF!</definedName>
    <definedName name="A_2" localSheetId="7">'[3]BASES DE DATOS'!#REF!</definedName>
    <definedName name="A_2" localSheetId="5">'[1]BASES DE DATOS'!#REF!</definedName>
    <definedName name="A_2" localSheetId="2">'[3]BASES DE DATOS'!#REF!</definedName>
    <definedName name="A_2" localSheetId="4">'[1]BASES DE DATOS'!#REF!</definedName>
    <definedName name="A_2">'[3]BASES DE DATOS'!#REF!</definedName>
    <definedName name="A_3" localSheetId="19">'[1]BASES DE DATOS'!#REF!</definedName>
    <definedName name="A_3" localSheetId="7">'[1]BASES DE DATOS'!#REF!</definedName>
    <definedName name="A_3" localSheetId="2">'[1]BASES DE DATOS'!#REF!</definedName>
    <definedName name="A_3" localSheetId="4">'[1]BASES DE DATOS'!#REF!</definedName>
    <definedName name="A_3">'[1]BASES DE DATOS'!#REF!</definedName>
    <definedName name="aa" localSheetId="19">#REF!</definedName>
    <definedName name="aa" localSheetId="7" hidden="1">{"'Hoja1 (13)'!$A$6:$F$53"}</definedName>
    <definedName name="aa" localSheetId="6" hidden="1">{"'Hoja1 (13)'!$A$6:$F$53"}</definedName>
    <definedName name="aa" localSheetId="5">#REF!</definedName>
    <definedName name="aa" localSheetId="2">#REF!</definedName>
    <definedName name="aa" localSheetId="12" hidden="1">{"'Hoja1 (13)'!$A$6:$F$53"}</definedName>
    <definedName name="aa" localSheetId="4">#REF!</definedName>
    <definedName name="aa">#REF!</definedName>
    <definedName name="aaa" localSheetId="19">#REF!</definedName>
    <definedName name="aaa" localSheetId="3">#REF!</definedName>
    <definedName name="aaa" localSheetId="7">#REF!</definedName>
    <definedName name="aaa" localSheetId="5" hidden="1">#REF!</definedName>
    <definedName name="aaa" localSheetId="2">#REF!</definedName>
    <definedName name="aaa" localSheetId="4">#REF!</definedName>
    <definedName name="aaa">#REF!</definedName>
    <definedName name="AAAA" localSheetId="19">'[5]ESTACADO DEL EJE'!#REF!</definedName>
    <definedName name="AAAA" localSheetId="7">'[5]ESTACADO DEL EJE'!#REF!</definedName>
    <definedName name="AAAA" localSheetId="5">'[5]ESTACADO DEL EJE'!#REF!</definedName>
    <definedName name="AAAA" localSheetId="2">'[5]ESTACADO DEL EJE'!#REF!</definedName>
    <definedName name="AAAA" localSheetId="4">'[5]ESTACADO DEL EJE'!#REF!</definedName>
    <definedName name="AAAA">'[5]ESTACADO DEL EJE'!#REF!</definedName>
    <definedName name="aaaaaaaaa" localSheetId="19">'[3]Flujo de Caja Consorcio'!#REF!</definedName>
    <definedName name="aaaaaaaaa" localSheetId="3">'[3]Flujo de Caja Consorcio'!#REF!</definedName>
    <definedName name="aaaaaaaaa" localSheetId="7">'[3]Flujo de Caja Consorcio'!#REF!</definedName>
    <definedName name="aaaaaaaaa" localSheetId="2">'[3]Flujo de Caja Consorcio'!#REF!</definedName>
    <definedName name="aaaaaaaaa" localSheetId="4">'[3]Flujo de Caja Consorcio'!#REF!</definedName>
    <definedName name="aaaaaaaaa">'[3]Flujo de Caja Consorcio'!#REF!</definedName>
    <definedName name="aaaaaaaaaaaaaawq" localSheetId="19">#REF!</definedName>
    <definedName name="aaaaaaaaaaaaaawq" localSheetId="3">#REF!</definedName>
    <definedName name="aaaaaaaaaaaaaawq" localSheetId="7">#REF!</definedName>
    <definedName name="aaaaaaaaaaaaaawq" localSheetId="2">#REF!</definedName>
    <definedName name="aaaaaaaaaaaaaawq" localSheetId="4">#REF!</definedName>
    <definedName name="aaaaaaaaaaaaaawq">#REF!</definedName>
    <definedName name="ABCD" localSheetId="19">#REF!</definedName>
    <definedName name="ABCD" localSheetId="7">#REF!</definedName>
    <definedName name="ABCD" localSheetId="5">#REF!</definedName>
    <definedName name="ABCD" localSheetId="2">#REF!</definedName>
    <definedName name="ABCD" localSheetId="4">#REF!</definedName>
    <definedName name="ABCD">#REF!</definedName>
    <definedName name="ac" localSheetId="19">#REF!</definedName>
    <definedName name="ac" localSheetId="3">#REF!</definedName>
    <definedName name="ac" localSheetId="7">#REF!</definedName>
    <definedName name="ac" localSheetId="5">#REF!</definedName>
    <definedName name="ac" localSheetId="2">#REF!</definedName>
    <definedName name="ac" localSheetId="4">#REF!</definedName>
    <definedName name="ac">#REF!</definedName>
    <definedName name="agbinderp" localSheetId="5">[6]analisis!$M$12</definedName>
    <definedName name="agbinderp">[7]analisis!$M$12</definedName>
    <definedName name="agp" localSheetId="5">[6]analisis!$I$12</definedName>
    <definedName name="agp">[7]analisis!$I$12</definedName>
    <definedName name="ah" localSheetId="19">#REF!</definedName>
    <definedName name="ah" localSheetId="3">#REF!</definedName>
    <definedName name="ah" localSheetId="7">#REF!</definedName>
    <definedName name="ah" localSheetId="5">#REF!</definedName>
    <definedName name="ah" localSheetId="2">#REF!</definedName>
    <definedName name="ah" localSheetId="4">#REF!</definedName>
    <definedName name="ah">#REF!</definedName>
    <definedName name="alambrep" localSheetId="5">[6]analisis!$M$16</definedName>
    <definedName name="alambrep">[7]analisis!$M$16</definedName>
    <definedName name="albp" localSheetId="5">[6]analisis!$P$5</definedName>
    <definedName name="albp">[7]analisis!$P$5</definedName>
    <definedName name="alcan48" localSheetId="5">[6]analisis!$K$19</definedName>
    <definedName name="alcan48">[7]analisis!$K$19</definedName>
    <definedName name="alcan48p" localSheetId="5">[6]analisis!$M$19</definedName>
    <definedName name="alcan48p">[7]analisis!$M$19</definedName>
    <definedName name="alcan60" localSheetId="5">[6]analisis!$K$20</definedName>
    <definedName name="alcan60">[7]analisis!$K$20</definedName>
    <definedName name="alcan60p" localSheetId="5">[6]analisis!$M$20</definedName>
    <definedName name="alcan60p">[7]analisis!$M$20</definedName>
    <definedName name="ALIM" localSheetId="19" hidden="1">'[3]Flujo de Caja Consorcio'!#REF!</definedName>
    <definedName name="ALIM" localSheetId="3" hidden="1">'[1]Flujo de Caja Consorcio'!#REF!</definedName>
    <definedName name="ALIM" localSheetId="7" hidden="1">'[3]Flujo de Caja Consorcio'!#REF!</definedName>
    <definedName name="ALIM" localSheetId="5" hidden="1">'[1]Flujo de Caja Consorcio'!#REF!</definedName>
    <definedName name="ALIM" localSheetId="2" hidden="1">'[3]Flujo de Caja Consorcio'!#REF!</definedName>
    <definedName name="ALIM" localSheetId="4" hidden="1">'[1]Flujo de Caja Consorcio'!#REF!</definedName>
    <definedName name="ALIM" hidden="1">'[3]Flujo de Caja Consorcio'!#REF!</definedName>
    <definedName name="Alq">#N/A</definedName>
    <definedName name="Alqui" localSheetId="19">#REF!</definedName>
    <definedName name="Alqui" localSheetId="7">#REF!</definedName>
    <definedName name="Alqui" localSheetId="5">#REF!</definedName>
    <definedName name="Alqui" localSheetId="2">#REF!</definedName>
    <definedName name="Alqui" localSheetId="11">#REF!</definedName>
    <definedName name="Alqui" localSheetId="4">#REF!</definedName>
    <definedName name="Alqui">#REF!</definedName>
    <definedName name="ANTI" localSheetId="19">'[3]C.D. INSUMOS'!#REF!</definedName>
    <definedName name="ANTI" localSheetId="3">'[1]C.D. INSUMOS'!#REF!</definedName>
    <definedName name="ANTI" localSheetId="7">'[3]C.D. INSUMOS'!#REF!</definedName>
    <definedName name="ANTI" localSheetId="5">'[1]C.D. INSUMOS'!#REF!</definedName>
    <definedName name="ANTI" localSheetId="2">'[3]C.D. INSUMOS'!#REF!</definedName>
    <definedName name="ANTI" localSheetId="4">'[1]C.D. INSUMOS'!#REF!</definedName>
    <definedName name="ANTI">'[3]C.D. INSUMOS'!#REF!</definedName>
    <definedName name="ANTICIPO" localSheetId="19">'[3]C.D. INSUMOS'!#REF!</definedName>
    <definedName name="ANTICIPO" localSheetId="3">'[1]C.D. INSUMOS'!#REF!</definedName>
    <definedName name="ANTICIPO" localSheetId="7">'[3]C.D. INSUMOS'!#REF!</definedName>
    <definedName name="ANTICIPO" localSheetId="5">'[1]C.D. INSUMOS'!#REF!</definedName>
    <definedName name="ANTICIPO" localSheetId="2">'[3]C.D. INSUMOS'!#REF!</definedName>
    <definedName name="ANTICIPO" localSheetId="4">'[1]C.D. INSUMOS'!#REF!</definedName>
    <definedName name="ANTICIPO">'[3]C.D. INSUMOS'!#REF!</definedName>
    <definedName name="_xlnm.Extract" localSheetId="19">#REF!</definedName>
    <definedName name="_xlnm.Extract" localSheetId="7">#REF!</definedName>
    <definedName name="_xlnm.Extract" localSheetId="14">#REF!</definedName>
    <definedName name="_xlnm.Extract" localSheetId="2">#REF!</definedName>
    <definedName name="_xlnm.Extract" localSheetId="11">#REF!</definedName>
    <definedName name="_xlnm.Extract" localSheetId="15">#REF!</definedName>
    <definedName name="_xlnm.Extract" localSheetId="10">#REF!</definedName>
    <definedName name="_xlnm.Extract" localSheetId="4">#REF!</definedName>
    <definedName name="_xlnm.Extract">#REF!</definedName>
    <definedName name="_xlnm.Print_Area" localSheetId="17">'1'!$B$1:$H$57</definedName>
    <definedName name="_xlnm.Print_Area" localSheetId="18">'5'!$B$1:$H$60</definedName>
    <definedName name="_xlnm.Print_Area" localSheetId="19">'74'!$B$1:$H$60</definedName>
    <definedName name="_xlnm.Print_Area" localSheetId="20">'79'!$B$1:$H$60</definedName>
    <definedName name="_xlnm.Print_Area" localSheetId="9">Anticipo!$B$2:$J$54</definedName>
    <definedName name="_xlnm.Print_Area" localSheetId="8">'Avance Financiero'!$A$1:$R$43</definedName>
    <definedName name="_xlnm.Print_Area" localSheetId="3">'C'!$A$1:$N$45</definedName>
    <definedName name="_xlnm.Print_Area" localSheetId="7">'Cant. Ejec,'!$E$2:$U$102</definedName>
    <definedName name="_xlnm.Print_Area" localSheetId="6">Certificado!$A$1:$K$61</definedName>
    <definedName name="_xlnm.Print_Area" localSheetId="14">CRON.DESEMBOLSOS!$C$1:$O$123</definedName>
    <definedName name="_xlnm.Print_Area" localSheetId="5">H.Crtl!$A$1:$G$47</definedName>
    <definedName name="_xlnm.Print_Area" localSheetId="2">I!$A$2:$J$34</definedName>
    <definedName name="_xlnm.Print_Area" localSheetId="11">Multas!$B$2:$H$40</definedName>
    <definedName name="_xlnm.Print_Area" localSheetId="13">Personal!$A$1:$G$27</definedName>
    <definedName name="_xlnm.Print_Area" localSheetId="12">'Planilla de Avance'!$E$2:$U$114</definedName>
    <definedName name="_xlnm.Print_Area" localSheetId="15">POLIZAS!$B$2:$K$32</definedName>
    <definedName name="_xlnm.Print_Area" localSheetId="10">Retencion!$B$2:$J$50</definedName>
    <definedName name="_xlnm.Print_Area" localSheetId="4">S!$A$1:$N$901</definedName>
    <definedName name="_xlnm.Print_Area" localSheetId="16">ww!$A$1:$P$267</definedName>
    <definedName name="arep" localSheetId="5">[6]analisis!$M$7</definedName>
    <definedName name="arep">[7]analisis!$M$7</definedName>
    <definedName name="as" localSheetId="19" hidden="1">'[3]Flujo de Caja Consorcio'!#REF!</definedName>
    <definedName name="as" localSheetId="3" hidden="1">'[3]Flujo de Caja Consorcio'!#REF!</definedName>
    <definedName name="as" localSheetId="7" hidden="1">'[3]Flujo de Caja Consorcio'!#REF!</definedName>
    <definedName name="as" localSheetId="2" hidden="1">'[3]Flujo de Caja Consorcio'!#REF!</definedName>
    <definedName name="as" localSheetId="4" hidden="1">'[3]Flujo de Caja Consorcio'!#REF!</definedName>
    <definedName name="as" hidden="1">'[3]Flujo de Caja Consorcio'!#REF!</definedName>
    <definedName name="asfaljuntasp" localSheetId="5">[6]analisis!$M$17</definedName>
    <definedName name="asfaljuntasp">[7]analisis!$M$17</definedName>
    <definedName name="asfaltop" localSheetId="5">[6]analisis!$M$2</definedName>
    <definedName name="asfaltop">[7]analisis!$M$2</definedName>
    <definedName name="Ass" localSheetId="19">'[1]BASES DE DATOS'!#REF!</definedName>
    <definedName name="Ass" localSheetId="7">'[1]BASES DE DATOS'!#REF!</definedName>
    <definedName name="Ass" localSheetId="2">'[1]BASES DE DATOS'!#REF!</definedName>
    <definedName name="Ass" localSheetId="4">'[1]BASES DE DATOS'!#REF!</definedName>
    <definedName name="Ass">'[1]BASES DE DATOS'!#REF!</definedName>
    <definedName name="ayucop" localSheetId="5">[6]analisis!$P$4</definedName>
    <definedName name="ayucop">[7]analisis!$P$4</definedName>
    <definedName name="AYUDANTE">'[1]BASES DE DATOS'!$B$9:$B$198</definedName>
    <definedName name="B" localSheetId="19" hidden="1">#REF!</definedName>
    <definedName name="B" localSheetId="7" hidden="1">#REF!</definedName>
    <definedName name="B" localSheetId="5" hidden="1">#REF!</definedName>
    <definedName name="B" localSheetId="2" hidden="1">#REF!</definedName>
    <definedName name="B" localSheetId="4" hidden="1">#REF!</definedName>
    <definedName name="B" hidden="1">#REF!</definedName>
    <definedName name="_xlnm.Database" localSheetId="19">#REF!</definedName>
    <definedName name="_xlnm.Database" localSheetId="3">#REF!</definedName>
    <definedName name="_xlnm.Database" localSheetId="7">#REF!</definedName>
    <definedName name="_xlnm.Database" localSheetId="5">#REF!</definedName>
    <definedName name="_xlnm.Database" localSheetId="2">#REF!</definedName>
    <definedName name="_xlnm.Database" localSheetId="4">#REF!</definedName>
    <definedName name="_xlnm.Database">#REF!</definedName>
    <definedName name="BBB" localSheetId="19">'[8]ESTACADO DEL EJE'!#REF!</definedName>
    <definedName name="BBB" localSheetId="7">'[8]ESTACADO DEL EJE'!#REF!</definedName>
    <definedName name="BBB" localSheetId="5">'[8]ESTACADO DEL EJE'!#REF!</definedName>
    <definedName name="BBB" localSheetId="2">'[8]ESTACADO DEL EJE'!#REF!</definedName>
    <definedName name="BBB" localSheetId="4">'[8]ESTACADO DEL EJE'!#REF!</definedName>
    <definedName name="BBB">'[8]ESTACADO DEL EJE'!#REF!</definedName>
    <definedName name="bbbbbbbbbbbbbb" localSheetId="19">#REF!</definedName>
    <definedName name="bbbbbbbbbbbbbb" localSheetId="7">#REF!</definedName>
    <definedName name="bbbbbbbbbbbbbb" localSheetId="5">#REF!</definedName>
    <definedName name="bbbbbbbbbbbbbb" localSheetId="2">#REF!</definedName>
    <definedName name="bbbbbbbbbbbbbb" localSheetId="4">#REF!</definedName>
    <definedName name="bbbbbbbbbbbbbb">#REF!</definedName>
    <definedName name="BJK" localSheetId="19" hidden="1">'[1]Flujo de Caja Consorcio'!#REF!</definedName>
    <definedName name="BJK" localSheetId="7" hidden="1">'[1]Flujo de Caja Consorcio'!#REF!</definedName>
    <definedName name="BJK" localSheetId="5" hidden="1">'[1]Flujo de Caja Consorcio'!#REF!</definedName>
    <definedName name="BJK" localSheetId="2" hidden="1">'[1]Flujo de Caja Consorcio'!#REF!</definedName>
    <definedName name="BJK" localSheetId="4" hidden="1">'[1]Flujo de Caja Consorcio'!#REF!</definedName>
    <definedName name="BJK" hidden="1">'[1]Flujo de Caja Consorcio'!#REF!</definedName>
    <definedName name="ca" localSheetId="19" hidden="1">'[1]Flujo de Caja Consorcio'!#REF!</definedName>
    <definedName name="ca" localSheetId="7" hidden="1">'[1]Flujo de Caja Consorcio'!#REF!</definedName>
    <definedName name="ca" localSheetId="2" hidden="1">'[1]Flujo de Caja Consorcio'!#REF!</definedName>
    <definedName name="ca" localSheetId="4" hidden="1">'[1]Flujo de Caja Consorcio'!#REF!</definedName>
    <definedName name="ca" hidden="1">'[1]Flujo de Caja Consorcio'!#REF!</definedName>
    <definedName name="capap" localSheetId="5">[6]analisis!$P$2</definedName>
    <definedName name="capap">[7]analisis!$P$2</definedName>
    <definedName name="cbasep" localSheetId="5">[6]analisis!$M$5</definedName>
    <definedName name="cbasep">[7]analisis!$M$5</definedName>
    <definedName name="cemp" localSheetId="5">[6]analisis!$M$4</definedName>
    <definedName name="cemp">[7]analisis!$M$4</definedName>
    <definedName name="Certificado4" localSheetId="2" hidden="1">{"'Hoja1 (13)'!$A$6:$F$53"}</definedName>
    <definedName name="Certificado4" localSheetId="15" hidden="1">{"'Hoja1 (13)'!$A$6:$F$53"}</definedName>
    <definedName name="Certificado4" hidden="1">{"'Hoja1 (13)'!$A$6:$F$53"}</definedName>
    <definedName name="CHAPEAU" localSheetId="19">'[1]Flujo de Caja Consorcio'!#REF!</definedName>
    <definedName name="CHAPEAU" localSheetId="3">'[1]Flujo de Caja Consorcio'!#REF!</definedName>
    <definedName name="CHAPEAU" localSheetId="7">'[1]Flujo de Caja Consorcio'!#REF!</definedName>
    <definedName name="CHAPEAU" localSheetId="2">'[1]Flujo de Caja Consorcio'!#REF!</definedName>
    <definedName name="CHAPEAU" localSheetId="4">'[1]Flujo de Caja Consorcio'!#REF!</definedName>
    <definedName name="CHAPEAU">'[1]Flujo de Caja Consorcio'!#REF!</definedName>
    <definedName name="choferp" localSheetId="5">[6]analisis!$P$6</definedName>
    <definedName name="choferp">[7]analisis!$P$6</definedName>
    <definedName name="cip" localSheetId="5">[6]analisis!$I$8</definedName>
    <definedName name="cip">[7]analisis!$I$8</definedName>
    <definedName name="clavosp" localSheetId="5">[6]analisis!$M$14</definedName>
    <definedName name="clavosp">[7]analisis!$M$14</definedName>
    <definedName name="Cll_4N__15_AE_40_San_Eduardo_II_Etapa._Tel_750372._Cúcuta_Colombia." localSheetId="19">#REF!</definedName>
    <definedName name="Cll_4N__15_AE_40_San_Eduardo_II_Etapa._Tel_750372._Cúcuta_Colombia." localSheetId="3">#REF!</definedName>
    <definedName name="Cll_4N__15_AE_40_San_Eduardo_II_Etapa._Tel_750372._Cúcuta_Colombia." localSheetId="7">#REF!</definedName>
    <definedName name="Cll_4N__15_AE_40_San_Eduardo_II_Etapa._Tel_750372._Cúcuta_Colombia." localSheetId="5">#REF!</definedName>
    <definedName name="Cll_4N__15_AE_40_San_Eduardo_II_Etapa._Tel_750372._Cúcuta_Colombia." localSheetId="2">#REF!</definedName>
    <definedName name="Cll_4N__15_AE_40_San_Eduardo_II_Etapa._Tel_750372._Cúcuta_Colombia." localSheetId="11">#REF!</definedName>
    <definedName name="Cll_4N__15_AE_40_San_Eduardo_II_Etapa._Tel_750372._Cúcuta_Colombia." localSheetId="4">#REF!</definedName>
    <definedName name="Cll_4N__15_AE_40_San_Eduardo_II_Etapa._Tel_750372._Cúcuta_Colombia.">#REF!</definedName>
    <definedName name="cnep" localSheetId="5">[6]analisis!$I$7</definedName>
    <definedName name="cnep">[7]analisis!$I$7</definedName>
    <definedName name="ColProg" localSheetId="11">#REF!</definedName>
    <definedName name="columna" localSheetId="19">'[1]Flujo de Caja Consorcio'!#REF!</definedName>
    <definedName name="columna" localSheetId="3">'[1]Flujo de Caja Consorcio'!#REF!</definedName>
    <definedName name="columna" localSheetId="7">'[1]Flujo de Caja Consorcio'!#REF!</definedName>
    <definedName name="columna" localSheetId="2">'[1]Flujo de Caja Consorcio'!#REF!</definedName>
    <definedName name="columna" localSheetId="4">'[1]Flujo de Caja Consorcio'!#REF!</definedName>
    <definedName name="columna">'[1]Flujo de Caja Consorcio'!#REF!</definedName>
    <definedName name="COMIENZO" localSheetId="19">'[8]ESTACADO DEL EJE'!#REF!</definedName>
    <definedName name="COMIENZO" localSheetId="7">'[8]ESTACADO DEL EJE'!#REF!</definedName>
    <definedName name="COMIENZO" localSheetId="2">'[8]ESTACADO DEL EJE'!#REF!</definedName>
    <definedName name="COMIENZO" localSheetId="4">'[8]ESTACADO DEL EJE'!#REF!</definedName>
    <definedName name="COMIENZO">'[8]ESTACADO DEL EJE'!#REF!</definedName>
    <definedName name="compresorap" localSheetId="5">[6]analisis!$I$4</definedName>
    <definedName name="compresorap">[7]analisis!$I$4</definedName>
    <definedName name="COSTO_DIRECTO" localSheetId="19">'[1]Flujo de Caja Consorcio'!#REF!</definedName>
    <definedName name="COSTO_DIRECTO" localSheetId="3">'[1]Flujo de Caja Consorcio'!#REF!</definedName>
    <definedName name="COSTO_DIRECTO" localSheetId="7">'[1]Flujo de Caja Consorcio'!#REF!</definedName>
    <definedName name="COSTO_DIRECTO" localSheetId="2">'[1]Flujo de Caja Consorcio'!#REF!</definedName>
    <definedName name="COSTO_DIRECTO" localSheetId="4">'[1]Flujo de Caja Consorcio'!#REF!</definedName>
    <definedName name="COSTO_DIRECTO">'[1]Flujo de Caja Consorcio'!#REF!</definedName>
    <definedName name="COSTO_INDIRECTO" localSheetId="19">'[1]Flujo de Caja Consorcio'!#REF!</definedName>
    <definedName name="COSTO_INDIRECTO" localSheetId="3">'[1]Flujo de Caja Consorcio'!#REF!</definedName>
    <definedName name="COSTO_INDIRECTO" localSheetId="7">'[1]Flujo de Caja Consorcio'!#REF!</definedName>
    <definedName name="COSTO_INDIRECTO" localSheetId="2">'[1]Flujo de Caja Consorcio'!#REF!</definedName>
    <definedName name="COSTO_INDIRECTO" localSheetId="4">'[1]Flujo de Caja Consorcio'!#REF!</definedName>
    <definedName name="COSTO_INDIRECTO">'[1]Flujo de Caja Consorcio'!#REF!</definedName>
    <definedName name="cplacap" localSheetId="5">[6]analisis!$I$14</definedName>
    <definedName name="cplacap">[7]analisis!$I$14</definedName>
    <definedName name="CrDesOC7" localSheetId="5" hidden="1">{"'Hoja1 (13)'!$A$6:$F$53"}</definedName>
    <definedName name="CrDesOC7" localSheetId="2" hidden="1">{"'Hoja1 (13)'!$A$6:$F$53"}</definedName>
    <definedName name="CrDesOC7" hidden="1">{"'Hoja1 (13)'!$A$6:$F$53"}</definedName>
    <definedName name="cvp" localSheetId="5">[6]analisis!$I$13</definedName>
    <definedName name="cvp">[7]analisis!$I$13</definedName>
    <definedName name="d" localSheetId="19" hidden="1">'[9]Flujo de Caja Consorcio'!#REF!</definedName>
    <definedName name="d" localSheetId="3" hidden="1">'[10]Flujo de Caja Consorcio'!#REF!</definedName>
    <definedName name="d" localSheetId="7" hidden="1">'[9]Flujo de Caja Consorcio'!#REF!</definedName>
    <definedName name="d" localSheetId="2" hidden="1">'[9]Flujo de Caja Consorcio'!#REF!</definedName>
    <definedName name="d" localSheetId="11" hidden="1">'[11]Flujo de Caja Consorcio'!#REF!</definedName>
    <definedName name="d" localSheetId="4" hidden="1">'[10]Flujo de Caja Consorcio'!#REF!</definedName>
    <definedName name="d" hidden="1">'[9]Flujo de Caja Consorcio'!#REF!</definedName>
    <definedName name="D_APU">[12]DEFINICIONES!$B$16</definedName>
    <definedName name="DARIPAVA_SOFTWARE_INC" localSheetId="19">#REF!</definedName>
    <definedName name="DARIPAVA_SOFTWARE_INC" localSheetId="3">#REF!</definedName>
    <definedName name="DARIPAVA_SOFTWARE_INC" localSheetId="7">#REF!</definedName>
    <definedName name="DARIPAVA_SOFTWARE_INC" localSheetId="5">#REF!</definedName>
    <definedName name="DARIPAVA_SOFTWARE_INC" localSheetId="2">#REF!</definedName>
    <definedName name="DARIPAVA_SOFTWARE_INC" localSheetId="11">#REF!</definedName>
    <definedName name="DARIPAVA_SOFTWARE_INC" localSheetId="4">#REF!</definedName>
    <definedName name="DARIPAVA_SOFTWARE_INC">#REF!</definedName>
    <definedName name="dd" localSheetId="2" hidden="1">{"'Hoja1 (13)'!$A$6:$F$53"}</definedName>
    <definedName name="dd" localSheetId="15" hidden="1">{"'Hoja1 (13)'!$A$6:$F$53"}</definedName>
    <definedName name="dd" hidden="1">{"'Hoja1 (13)'!$A$6:$F$53"}</definedName>
    <definedName name="DDD" localSheetId="19" hidden="1">#REF!</definedName>
    <definedName name="DDD" localSheetId="7" hidden="1">#REF!</definedName>
    <definedName name="DDD" localSheetId="5" hidden="1">#REF!</definedName>
    <definedName name="DDD" localSheetId="2" hidden="1">#REF!</definedName>
    <definedName name="DDD" localSheetId="4" hidden="1">#REF!</definedName>
    <definedName name="DDD" hidden="1">#REF!</definedName>
    <definedName name="ddddd" localSheetId="19">'[8]ESTACADO DEL EJE'!#REF!</definedName>
    <definedName name="ddddd" localSheetId="7">'[8]ESTACADO DEL EJE'!#REF!</definedName>
    <definedName name="ddddd" localSheetId="5">'[8]ESTACADO DEL EJE'!#REF!</definedName>
    <definedName name="ddddd" localSheetId="2">'[8]ESTACADO DEL EJE'!#REF!</definedName>
    <definedName name="ddddd" localSheetId="4">'[8]ESTACADO DEL EJE'!#REF!</definedName>
    <definedName name="ddddd">'[8]ESTACADO DEL EJE'!#REF!</definedName>
    <definedName name="ddsa" localSheetId="11" hidden="1">#REF!</definedName>
    <definedName name="derretidorp" localSheetId="5">[6]analisis!$I$15</definedName>
    <definedName name="derretidorp">[7]analisis!$I$15</definedName>
    <definedName name="DEWDWD" localSheetId="19">'[1]Flujo de Caja Consorcio'!#REF!</definedName>
    <definedName name="DEWDWD" localSheetId="7">'[1]Flujo de Caja Consorcio'!#REF!</definedName>
    <definedName name="DEWDWD" localSheetId="2">'[1]Flujo de Caja Consorcio'!#REF!</definedName>
    <definedName name="DEWDWD" localSheetId="4">'[1]Flujo de Caja Consorcio'!#REF!</definedName>
    <definedName name="DEWDWD">'[1]Flujo de Caja Consorcio'!#REF!</definedName>
    <definedName name="DILMAR" localSheetId="19">#REF!</definedName>
    <definedName name="DILMAR" localSheetId="7">#REF!</definedName>
    <definedName name="DILMAR" localSheetId="5">#REF!</definedName>
    <definedName name="DILMAR" localSheetId="2">#REF!</definedName>
    <definedName name="DILMAR" localSheetId="4">#REF!</definedName>
    <definedName name="DILMAR">#REF!</definedName>
    <definedName name="DOLAR" localSheetId="19">'[3]Flujo de Caja Consorcio'!#REF!</definedName>
    <definedName name="DOLAR" localSheetId="3">'[1]Flujo de Caja Consorcio'!#REF!</definedName>
    <definedName name="DOLAR" localSheetId="7">'[3]Flujo de Caja Consorcio'!#REF!</definedName>
    <definedName name="DOLAR" localSheetId="5">'[1]Flujo de Caja Consorcio'!#REF!</definedName>
    <definedName name="DOLAR" localSheetId="2">'[3]Flujo de Caja Consorcio'!#REF!</definedName>
    <definedName name="DOLAR" localSheetId="4">'[1]Flujo de Caja Consorcio'!#REF!</definedName>
    <definedName name="DOLAR">'[3]Flujo de Caja Consorcio'!#REF!</definedName>
    <definedName name="dscd" localSheetId="19">'[1]Flujo de Caja Consorcio'!#REF!</definedName>
    <definedName name="dscd" localSheetId="7">'[1]Flujo de Caja Consorcio'!#REF!</definedName>
    <definedName name="dscd" localSheetId="2">'[1]Flujo de Caja Consorcio'!#REF!</definedName>
    <definedName name="dscd" localSheetId="4">'[1]Flujo de Caja Consorcio'!#REF!</definedName>
    <definedName name="dscd">'[1]Flujo de Caja Consorcio'!#REF!</definedName>
    <definedName name="dsdf" localSheetId="19" hidden="1">'[3]Flujo de Caja Consorcio'!#REF!</definedName>
    <definedName name="dsdf" localSheetId="3" hidden="1">'[1]Flujo de Caja Consorcio'!#REF!</definedName>
    <definedName name="dsdf" localSheetId="7" hidden="1">'[3]Flujo de Caja Consorcio'!#REF!</definedName>
    <definedName name="dsdf" localSheetId="5" hidden="1">'[1]Flujo de Caja Consorcio'!#REF!</definedName>
    <definedName name="dsdf" localSheetId="2" hidden="1">'[3]Flujo de Caja Consorcio'!#REF!</definedName>
    <definedName name="dsdf" localSheetId="4" hidden="1">'[1]Flujo de Caja Consorcio'!#REF!</definedName>
    <definedName name="dsdf" hidden="1">'[3]Flujo de Caja Consorcio'!#REF!</definedName>
    <definedName name="ERT" localSheetId="19">'[3]Flujo de Caja Consorcio'!#REF!</definedName>
    <definedName name="ERT" localSheetId="3">'[1]Flujo de Caja Consorcio'!#REF!</definedName>
    <definedName name="ERT" localSheetId="7">'[3]Flujo de Caja Consorcio'!#REF!</definedName>
    <definedName name="ERT" localSheetId="5">'[1]Flujo de Caja Consorcio'!#REF!</definedName>
    <definedName name="ERT" localSheetId="2">'[3]Flujo de Caja Consorcio'!#REF!</definedName>
    <definedName name="ERT" localSheetId="4">'[1]Flujo de Caja Consorcio'!#REF!</definedName>
    <definedName name="ERT">'[3]Flujo de Caja Consorcio'!#REF!</definedName>
    <definedName name="exc" localSheetId="5">[6]analisis!$H$19</definedName>
    <definedName name="exc">[7]analisis!$H$19</definedName>
    <definedName name="excavacion" localSheetId="19" hidden="1">'[1]Flujo de Caja Consorcio'!#REF!</definedName>
    <definedName name="excavacion" localSheetId="7" hidden="1">'[1]Flujo de Caja Consorcio'!#REF!</definedName>
    <definedName name="excavacion" localSheetId="2" hidden="1">'[1]Flujo de Caja Consorcio'!#REF!</definedName>
    <definedName name="excavacion" localSheetId="4" hidden="1">'[1]Flujo de Caja Consorcio'!#REF!</definedName>
    <definedName name="excavacion" hidden="1">'[1]Flujo de Caja Consorcio'!#REF!</definedName>
    <definedName name="Excel_BuiltIn_Print_Area_1" localSheetId="19">#REF!</definedName>
    <definedName name="Excel_BuiltIn_Print_Area_1" localSheetId="7">#REF!</definedName>
    <definedName name="Excel_BuiltIn_Print_Area_1" localSheetId="5">#REF!</definedName>
    <definedName name="Excel_BuiltIn_Print_Area_1" localSheetId="2">#REF!</definedName>
    <definedName name="Excel_BuiltIn_Print_Area_1" localSheetId="4">#REF!</definedName>
    <definedName name="Excel_BuiltIn_Print_Area_1">#REF!</definedName>
    <definedName name="Excel_BuiltIn_Print_Titles_1" localSheetId="19">#REF!</definedName>
    <definedName name="Excel_BuiltIn_Print_Titles_1" localSheetId="7">#REF!</definedName>
    <definedName name="Excel_BuiltIn_Print_Titles_1" localSheetId="5">#REF!</definedName>
    <definedName name="Excel_BuiltIn_Print_Titles_1" localSheetId="2">#REF!</definedName>
    <definedName name="Excel_BuiltIn_Print_Titles_1" localSheetId="4">#REF!</definedName>
    <definedName name="Excel_BuiltIn_Print_Titles_1">#REF!</definedName>
    <definedName name="Excel_BuiltIn_Print_Titles_7" localSheetId="19">[2]SUBBASE!#REF!</definedName>
    <definedName name="Excel_BuiltIn_Print_Titles_7" localSheetId="7">[2]SUBBASE!#REF!</definedName>
    <definedName name="Excel_BuiltIn_Print_Titles_7" localSheetId="5">[2]SUBBASE!#REF!</definedName>
    <definedName name="Excel_BuiltIn_Print_Titles_7" localSheetId="2">[2]SUBBASE!#REF!</definedName>
    <definedName name="Excel_BuiltIn_Print_Titles_7" localSheetId="4">[2]SUBBASE!#REF!</definedName>
    <definedName name="Excel_BuiltIn_Print_Titles_7">[2]SUBBASE!#REF!</definedName>
    <definedName name="excp" localSheetId="5">[6]analisis!$I$19</definedName>
    <definedName name="excp">[7]analisis!$I$19</definedName>
    <definedName name="EXPOSICION" localSheetId="19">'[3]C.D. INSUMOS'!#REF!</definedName>
    <definedName name="EXPOSICION" localSheetId="3">'[1]C.D. INSUMOS'!#REF!</definedName>
    <definedName name="EXPOSICION" localSheetId="7">'[3]C.D. INSUMOS'!#REF!</definedName>
    <definedName name="EXPOSICION" localSheetId="5">'[1]C.D. INSUMOS'!#REF!</definedName>
    <definedName name="EXPOSICION" localSheetId="2">'[3]C.D. INSUMOS'!#REF!</definedName>
    <definedName name="EXPOSICION" localSheetId="4">'[1]C.D. INSUMOS'!#REF!</definedName>
    <definedName name="EXPOSICION">'[3]C.D. INSUMOS'!#REF!</definedName>
    <definedName name="fce" localSheetId="19">#REF!</definedName>
    <definedName name="fce" localSheetId="3">#REF!</definedName>
    <definedName name="fce" localSheetId="7">#REF!</definedName>
    <definedName name="fce" localSheetId="5">#REF!</definedName>
    <definedName name="fce" localSheetId="2">#REF!</definedName>
    <definedName name="fce" localSheetId="4">#REF!</definedName>
    <definedName name="fce">#REF!</definedName>
    <definedName name="Fecha" localSheetId="11">#REF!</definedName>
    <definedName name="ferna" localSheetId="19">'[8]ESTACADO DEL EJE'!#REF!</definedName>
    <definedName name="ferna" localSheetId="7">'[8]ESTACADO DEL EJE'!#REF!</definedName>
    <definedName name="ferna" localSheetId="5">'[8]ESTACADO DEL EJE'!#REF!</definedName>
    <definedName name="ferna" localSheetId="2">'[8]ESTACADO DEL EJE'!#REF!</definedName>
    <definedName name="ferna" localSheetId="4">'[8]ESTACADO DEL EJE'!#REF!</definedName>
    <definedName name="ferna">'[8]ESTACADO DEL EJE'!#REF!</definedName>
    <definedName name="FF" localSheetId="3">'[1]C.D. INSUMOS'!$H$2</definedName>
    <definedName name="FF" localSheetId="5">'[1]C.D. INSUMOS'!$H$2</definedName>
    <definedName name="FF" localSheetId="4">'[1]C.D. INSUMOS'!$H$2</definedName>
    <definedName name="FF">'[3]C.D. INSUMOS'!$H$2</definedName>
    <definedName name="FG" localSheetId="19">#REF!</definedName>
    <definedName name="FG" localSheetId="7">#REF!</definedName>
    <definedName name="FG" localSheetId="5">#REF!</definedName>
    <definedName name="FG" localSheetId="2">#REF!</definedName>
    <definedName name="FG" localSheetId="4">#REF!</definedName>
    <definedName name="FG">#REF!</definedName>
    <definedName name="FGE" localSheetId="19" hidden="1">'[1]Flujo de Caja Consorcio'!#REF!</definedName>
    <definedName name="FGE" localSheetId="7" hidden="1">'[1]Flujo de Caja Consorcio'!#REF!</definedName>
    <definedName name="FGE" localSheetId="5" hidden="1">'[1]Flujo de Caja Consorcio'!#REF!</definedName>
    <definedName name="FGE" localSheetId="2" hidden="1">'[1]Flujo de Caja Consorcio'!#REF!</definedName>
    <definedName name="FGE" localSheetId="4" hidden="1">'[1]Flujo de Caja Consorcio'!#REF!</definedName>
    <definedName name="FGE" hidden="1">'[1]Flujo de Caja Consorcio'!#REF!</definedName>
    <definedName name="fierrop" localSheetId="5">[6]analisis!$M$15</definedName>
    <definedName name="fierrop">[7]analisis!$M$15</definedName>
    <definedName name="FINAL" localSheetId="19">'[8]ESTACADO DEL EJE'!#REF!</definedName>
    <definedName name="FINAL" localSheetId="7">'[8]ESTACADO DEL EJE'!#REF!</definedName>
    <definedName name="FINAL" localSheetId="2">'[8]ESTACADO DEL EJE'!#REF!</definedName>
    <definedName name="FINAL" localSheetId="4">'[8]ESTACADO DEL EJE'!#REF!</definedName>
    <definedName name="FINAL">'[8]ESTACADO DEL EJE'!#REF!</definedName>
    <definedName name="finop" localSheetId="5">[6]analisis!$M$9</definedName>
    <definedName name="finop">[7]analisis!$M$9</definedName>
    <definedName name="FREDDDY" localSheetId="19">'[1]Flujo de Caja Consorcio'!#REF!</definedName>
    <definedName name="FREDDDY" localSheetId="7">'[1]Flujo de Caja Consorcio'!#REF!</definedName>
    <definedName name="FREDDDY" localSheetId="2">'[1]Flujo de Caja Consorcio'!#REF!</definedName>
    <definedName name="FREDDDY" localSheetId="4">'[1]Flujo de Caja Consorcio'!#REF!</definedName>
    <definedName name="FREDDDY">'[1]Flujo de Caja Consorcio'!#REF!</definedName>
    <definedName name="FREDDY" localSheetId="19">'[1]C.D. INSUMOS'!#REF!</definedName>
    <definedName name="FREDDY" localSheetId="7">'[1]C.D. INSUMOS'!#REF!</definedName>
    <definedName name="FREDDY" localSheetId="2">'[1]C.D. INSUMOS'!#REF!</definedName>
    <definedName name="FREDDY" localSheetId="4">'[1]C.D. INSUMOS'!#REF!</definedName>
    <definedName name="FREDDY">'[1]C.D. INSUMOS'!#REF!</definedName>
    <definedName name="G_G">[13]DEFINICIONES!$B$3</definedName>
    <definedName name="ga" localSheetId="5">[14]OT!$D$108</definedName>
    <definedName name="ga">[15]OT!$D$108</definedName>
    <definedName name="Gar">#N/A</definedName>
    <definedName name="Garantia" localSheetId="19">#REF!</definedName>
    <definedName name="Garantia" localSheetId="7">#REF!</definedName>
    <definedName name="Garantia" localSheetId="5">#REF!</definedName>
    <definedName name="Garantia" localSheetId="2">#REF!</definedName>
    <definedName name="Garantia" localSheetId="11">#REF!</definedName>
    <definedName name="Garantia" localSheetId="4">#REF!</definedName>
    <definedName name="Garantia">#REF!</definedName>
    <definedName name="gavionp" localSheetId="5">[6]analisis!$M$18</definedName>
    <definedName name="gavionp">[7]analisis!$M$18</definedName>
    <definedName name="Generación_de_análisis_de_precios_Unitarios." localSheetId="19">#REF!</definedName>
    <definedName name="Generación_de_análisis_de_precios_Unitarios." localSheetId="3">#REF!</definedName>
    <definedName name="Generación_de_análisis_de_precios_Unitarios." localSheetId="7">#REF!</definedName>
    <definedName name="Generación_de_análisis_de_precios_Unitarios." localSheetId="5">#REF!</definedName>
    <definedName name="Generación_de_análisis_de_precios_Unitarios." localSheetId="2">#REF!</definedName>
    <definedName name="Generación_de_análisis_de_precios_Unitarios." localSheetId="11">#REF!</definedName>
    <definedName name="Generación_de_análisis_de_precios_Unitarios." localSheetId="4">#REF!</definedName>
    <definedName name="Generación_de_análisis_de_precios_Unitarios.">#REF!</definedName>
    <definedName name="GFG" localSheetId="19">'[3]C.D. INSUMOS'!#REF!</definedName>
    <definedName name="GFG" localSheetId="3">'[1]C.D. INSUMOS'!#REF!</definedName>
    <definedName name="GFG" localSheetId="7">'[3]C.D. INSUMOS'!#REF!</definedName>
    <definedName name="GFG" localSheetId="5">'[1]C.D. INSUMOS'!#REF!</definedName>
    <definedName name="GFG" localSheetId="2">'[3]C.D. INSUMOS'!#REF!</definedName>
    <definedName name="GFG" localSheetId="4">'[1]C.D. INSUMOS'!#REF!</definedName>
    <definedName name="GFG">'[3]C.D. INSUMOS'!#REF!</definedName>
    <definedName name="GG" localSheetId="19">'[3]Flujo de Caja Consorcio'!#REF!</definedName>
    <definedName name="GG" localSheetId="3">'[1]Flujo de Caja Consorcio'!#REF!</definedName>
    <definedName name="GG" localSheetId="7">'[3]Flujo de Caja Consorcio'!#REF!</definedName>
    <definedName name="GG" localSheetId="5">'[1]Flujo de Caja Consorcio'!#REF!</definedName>
    <definedName name="GG" localSheetId="2">'[3]Flujo de Caja Consorcio'!#REF!</definedName>
    <definedName name="GG" localSheetId="4">'[1]Flujo de Caja Consorcio'!#REF!</definedName>
    <definedName name="GG">'[3]Flujo de Caja Consorcio'!#REF!</definedName>
    <definedName name="gggereteey" localSheetId="19">#REF!</definedName>
    <definedName name="gggereteey" localSheetId="7">#REF!</definedName>
    <definedName name="gggereteey" localSheetId="5">#REF!</definedName>
    <definedName name="gggereteey" localSheetId="2">#REF!</definedName>
    <definedName name="gggereteey" localSheetId="4">#REF!</definedName>
    <definedName name="gggereteey">#REF!</definedName>
    <definedName name="_xlnm.Recorder" localSheetId="19">#REF!</definedName>
    <definedName name="_xlnm.Recorder" localSheetId="3">#REF!</definedName>
    <definedName name="_xlnm.Recorder" localSheetId="7">#REF!</definedName>
    <definedName name="_xlnm.Recorder" localSheetId="14">#REF!</definedName>
    <definedName name="_xlnm.Recorder" localSheetId="2">#REF!</definedName>
    <definedName name="_xlnm.Recorder" localSheetId="11">#REF!</definedName>
    <definedName name="_xlnm.Recorder" localSheetId="15">#REF!</definedName>
    <definedName name="_xlnm.Recorder" localSheetId="10">#REF!</definedName>
    <definedName name="_xlnm.Recorder" localSheetId="4">#REF!</definedName>
    <definedName name="_xlnm.Recorder">#REF!</definedName>
    <definedName name="Gral">#N/A</definedName>
    <definedName name="gruesop" localSheetId="5">[6]analisis!$M$8</definedName>
    <definedName name="gruesop">[7]analisis!$M$8</definedName>
    <definedName name="gshgdhgsgdu" localSheetId="19">#REF!</definedName>
    <definedName name="gshgdhgsgdu" localSheetId="7">#REF!</definedName>
    <definedName name="gshgdhgsgdu" localSheetId="5">#REF!</definedName>
    <definedName name="gshgdhgsgdu" localSheetId="2">#REF!</definedName>
    <definedName name="gshgdhgsgdu" localSheetId="4">#REF!</definedName>
    <definedName name="gshgdhgsgdu">#REF!</definedName>
    <definedName name="GVarios" localSheetId="19">#REF!</definedName>
    <definedName name="GVarios" localSheetId="7">#REF!</definedName>
    <definedName name="GVarios" localSheetId="5">#REF!</definedName>
    <definedName name="GVarios" localSheetId="2">#REF!</definedName>
    <definedName name="GVarios" localSheetId="11">#REF!</definedName>
    <definedName name="GVarios" localSheetId="4">#REF!</definedName>
    <definedName name="GVarios">#REF!</definedName>
    <definedName name="H1_APU">[13]DEFINICIONES!$B$14</definedName>
    <definedName name="HOJA5000" localSheetId="19">#REF!</definedName>
    <definedName name="HOJA5000" localSheetId="7">#REF!</definedName>
    <definedName name="HOJA5000" localSheetId="5">#REF!</definedName>
    <definedName name="HOJA5000" localSheetId="2">#REF!</definedName>
    <definedName name="HOJA5000" localSheetId="4">#REF!</definedName>
    <definedName name="HOJA5000">#REF!</definedName>
    <definedName name="HR" localSheetId="3">'[1]BASES DE DATOS'!$C$9:$C$198</definedName>
    <definedName name="HR" localSheetId="5">'[1]BASES DE DATOS'!$C$9:$C$198</definedName>
    <definedName name="HR" localSheetId="4">'[1]BASES DE DATOS'!$C$9:$C$198</definedName>
    <definedName name="HR">'[3]BASES DE DATOS'!$C$9:$C$198</definedName>
    <definedName name="HTML_CodePage" hidden="1">1252</definedName>
    <definedName name="HTML_Control" localSheetId="7" hidden="1">{"'Hoja1 (13)'!$A$6:$F$53"}</definedName>
    <definedName name="HTML_Control" localSheetId="6" hidden="1">{"'Hoja1 (13)'!$A$6:$F$53"}</definedName>
    <definedName name="HTML_Control" localSheetId="5" hidden="1">{"'Hoja1 (13)'!$A$6:$F$53"}</definedName>
    <definedName name="HTML_Control" localSheetId="2" hidden="1">{"'Hoja1 (13)'!$A$6:$F$53"}</definedName>
    <definedName name="HTML_Control" localSheetId="12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9">'[1]C.D. INSUMOS'!#REF!</definedName>
    <definedName name="IJ" localSheetId="3">'[1]C.D. INSUMOS'!#REF!</definedName>
    <definedName name="IJ" localSheetId="7">'[1]C.D. INSUMOS'!#REF!</definedName>
    <definedName name="IJ" localSheetId="2">'[1]C.D. INSUMOS'!#REF!</definedName>
    <definedName name="IJ" localSheetId="4">'[1]C.D. INSUMOS'!#REF!</definedName>
    <definedName name="IJ">'[1]C.D. INSUMOS'!#REF!</definedName>
    <definedName name="Imp" localSheetId="11">#REF!</definedName>
    <definedName name="IMP">[13]DEFINICIONES!$B$5</definedName>
    <definedName name="impacto" localSheetId="19">#REF!</definedName>
    <definedName name="impacto" localSheetId="3">'[1]Flujo de Caja Consorcio'!#REF!</definedName>
    <definedName name="impacto" localSheetId="7">#REF!</definedName>
    <definedName name="impacto" localSheetId="5">#REF!</definedName>
    <definedName name="impacto" localSheetId="2">#REF!</definedName>
    <definedName name="impacto" localSheetId="4">'[1]Flujo de Caja Consorcio'!#REF!</definedName>
    <definedName name="impacto">#REF!</definedName>
    <definedName name="Impuesto" localSheetId="19">#REF!</definedName>
    <definedName name="Impuesto" localSheetId="7">#REF!</definedName>
    <definedName name="Impuesto" localSheetId="5">#REF!</definedName>
    <definedName name="Impuesto" localSheetId="2">#REF!</definedName>
    <definedName name="Impuesto" localSheetId="11">#REF!</definedName>
    <definedName name="Impuesto" localSheetId="4">#REF!</definedName>
    <definedName name="Impuesto">#REF!</definedName>
    <definedName name="INICIO" localSheetId="19">'[8]ESTACADO DEL EJE'!#REF!</definedName>
    <definedName name="INICIO" localSheetId="7">'[8]ESTACADO DEL EJE'!#REF!</definedName>
    <definedName name="INICIO" localSheetId="5">'[8]ESTACADO DEL EJE'!#REF!</definedName>
    <definedName name="INICIO" localSheetId="2">'[8]ESTACADO DEL EJE'!#REF!</definedName>
    <definedName name="INICIO" localSheetId="4">'[8]ESTACADO DEL EJE'!#REF!</definedName>
    <definedName name="INICIO">'[8]ESTACADO DEL EJE'!#REF!</definedName>
    <definedName name="INTERESES" localSheetId="19">'[3]C.D. INSUMOS'!#REF!</definedName>
    <definedName name="INTERESES" localSheetId="3">'[1]C.D. INSUMOS'!#REF!</definedName>
    <definedName name="INTERESES" localSheetId="7">'[3]C.D. INSUMOS'!#REF!</definedName>
    <definedName name="INTERESES" localSheetId="5">'[1]C.D. INSUMOS'!#REF!</definedName>
    <definedName name="INTERESES" localSheetId="2">'[3]C.D. INSUMOS'!#REF!</definedName>
    <definedName name="INTERESES" localSheetId="4">'[1]C.D. INSUMOS'!#REF!</definedName>
    <definedName name="INTERESES">'[3]C.D. INSUMOS'!#REF!</definedName>
    <definedName name="IVA" localSheetId="19">'[3]Flujo de Caja Consorcio'!#REF!</definedName>
    <definedName name="IVA" localSheetId="3">'[1]Flujo de Caja Consorcio'!#REF!</definedName>
    <definedName name="IVA" localSheetId="7">'[3]Flujo de Caja Consorcio'!#REF!</definedName>
    <definedName name="IVA" localSheetId="5">'[1]Flujo de Caja Consorcio'!#REF!</definedName>
    <definedName name="IVA" localSheetId="2">'[3]Flujo de Caja Consorcio'!#REF!</definedName>
    <definedName name="IVA" localSheetId="4">'[1]Flujo de Caja Consorcio'!#REF!</definedName>
    <definedName name="IVA">'[3]Flujo de Caja Consorcio'!#REF!</definedName>
    <definedName name="J" localSheetId="19">#REF!</definedName>
    <definedName name="J" localSheetId="7">#REF!</definedName>
    <definedName name="J" localSheetId="5">#REF!</definedName>
    <definedName name="J" localSheetId="2">#REF!</definedName>
    <definedName name="J" localSheetId="4">#REF!</definedName>
    <definedName name="J">#REF!</definedName>
    <definedName name="JKHGKJG" localSheetId="19">#REF!</definedName>
    <definedName name="JKHGKJG" localSheetId="7">#REF!</definedName>
    <definedName name="JKHGKJG" localSheetId="5">#REF!</definedName>
    <definedName name="JKHGKJG" localSheetId="2">#REF!</definedName>
    <definedName name="JKHGKJG" localSheetId="11">#REF!</definedName>
    <definedName name="JKHGKJG" localSheetId="4">#REF!</definedName>
    <definedName name="JKHGKJG">#REF!</definedName>
    <definedName name="JUAN" localSheetId="19">'[1]C.D. INSUMOS'!#REF!</definedName>
    <definedName name="JUAN" localSheetId="7">'[1]C.D. INSUMOS'!#REF!</definedName>
    <definedName name="JUAN" localSheetId="5">'[1]C.D. INSUMOS'!#REF!</definedName>
    <definedName name="JUAN" localSheetId="2">'[1]C.D. INSUMOS'!#REF!</definedName>
    <definedName name="JUAN" localSheetId="4">'[1]C.D. INSUMOS'!#REF!</definedName>
    <definedName name="JUAN">'[1]C.D. INSUMOS'!#REF!</definedName>
    <definedName name="kerp" localSheetId="5">[6]analisis!$M$3</definedName>
    <definedName name="kerp">[7]analisis!$M$3</definedName>
    <definedName name="L" localSheetId="19" hidden="1">'[3]Flujo de Caja Consorcio'!#REF!</definedName>
    <definedName name="L" localSheetId="3" hidden="1">'[1]Flujo de Caja Consorcio'!#REF!</definedName>
    <definedName name="L" localSheetId="7" hidden="1">'[3]Flujo de Caja Consorcio'!#REF!</definedName>
    <definedName name="L" localSheetId="5" hidden="1">'[1]Flujo de Caja Consorcio'!#REF!</definedName>
    <definedName name="L" localSheetId="2" hidden="1">'[3]Flujo de Caja Consorcio'!#REF!</definedName>
    <definedName name="L" localSheetId="4" hidden="1">'[1]Flujo de Caja Consorcio'!#REF!</definedName>
    <definedName name="L" hidden="1">'[3]Flujo de Caja Consorcio'!#REF!</definedName>
    <definedName name="Lg">"Grupo 141"</definedName>
    <definedName name="LL" localSheetId="19">'[3]C.D. INSUMOS'!#REF!</definedName>
    <definedName name="LL" localSheetId="3">'[1]C.D. INSUMOS'!#REF!</definedName>
    <definedName name="LL" localSheetId="7">'[3]C.D. INSUMOS'!#REF!</definedName>
    <definedName name="LL" localSheetId="5">'[1]C.D. INSUMOS'!#REF!</definedName>
    <definedName name="LL" localSheetId="2">'[3]C.D. INSUMOS'!#REF!</definedName>
    <definedName name="LL" localSheetId="4">'[1]C.D. INSUMOS'!#REF!</definedName>
    <definedName name="LL">'[3]C.D. INSUMOS'!#REF!</definedName>
    <definedName name="Lv" localSheetId="19">#REF!</definedName>
    <definedName name="Lv" localSheetId="3">#REF!</definedName>
    <definedName name="Lv" localSheetId="7">#REF!</definedName>
    <definedName name="Lv" localSheetId="5">#REF!</definedName>
    <definedName name="Lv" localSheetId="2">#REF!</definedName>
    <definedName name="Lv" localSheetId="4">#REF!</definedName>
    <definedName name="Lv">#REF!</definedName>
    <definedName name="M" localSheetId="19">#REF!</definedName>
    <definedName name="M" localSheetId="7">#REF!</definedName>
    <definedName name="M" localSheetId="5">#REF!</definedName>
    <definedName name="M" localSheetId="2">#REF!</definedName>
    <definedName name="M" localSheetId="4">#REF!</definedName>
    <definedName name="M">#REF!</definedName>
    <definedName name="madp" localSheetId="5">[6]analisis!$M$10</definedName>
    <definedName name="madp">[7]analisis!$M$10</definedName>
    <definedName name="material" localSheetId="19" hidden="1">'[1]Flujo de Caja Consorcio'!#REF!</definedName>
    <definedName name="material" localSheetId="7" hidden="1">'[1]Flujo de Caja Consorcio'!#REF!</definedName>
    <definedName name="material" localSheetId="2" hidden="1">'[1]Flujo de Caja Consorcio'!#REF!</definedName>
    <definedName name="material" localSheetId="4" hidden="1">'[1]Flujo de Caja Consorcio'!#REF!</definedName>
    <definedName name="material" hidden="1">'[1]Flujo de Caja Consorcio'!#REF!</definedName>
    <definedName name="mbvcgj" localSheetId="19" hidden="1">'[1]Flujo de Caja Consorcio'!#REF!</definedName>
    <definedName name="mbvcgj" localSheetId="7" hidden="1">'[1]Flujo de Caja Consorcio'!#REF!</definedName>
    <definedName name="mbvcgj" localSheetId="2" hidden="1">'[1]Flujo de Caja Consorcio'!#REF!</definedName>
    <definedName name="mbvcgj" localSheetId="4" hidden="1">'[1]Flujo de Caja Consorcio'!#REF!</definedName>
    <definedName name="mbvcgj" hidden="1">'[1]Flujo de Caja Consorcio'!#REF!</definedName>
    <definedName name="MES" localSheetId="19">#REF!</definedName>
    <definedName name="MES" localSheetId="7">#REF!</definedName>
    <definedName name="MES" localSheetId="5">#REF!</definedName>
    <definedName name="MES" localSheetId="2">#REF!</definedName>
    <definedName name="MES" localSheetId="4">#REF!</definedName>
    <definedName name="MES">#REF!</definedName>
    <definedName name="mezclap" localSheetId="5">[6]analisis!$I$16</definedName>
    <definedName name="mezclap">[7]analisis!$I$16</definedName>
    <definedName name="Misc">#N/A</definedName>
    <definedName name="Miscel" localSheetId="19">#REF!</definedName>
    <definedName name="Miscel" localSheetId="7">#REF!</definedName>
    <definedName name="Miscel" localSheetId="5">#REF!</definedName>
    <definedName name="Miscel" localSheetId="2">#REF!</definedName>
    <definedName name="Miscel" localSheetId="11">#REF!</definedName>
    <definedName name="Miscel" localSheetId="4">#REF!</definedName>
    <definedName name="Miscel">#REF!</definedName>
    <definedName name="MONEDA" localSheetId="3">[4]DEFINICION!$B$15</definedName>
    <definedName name="MONEDA" localSheetId="5">[4]DEFINICION!$B$15</definedName>
    <definedName name="MONEDA" localSheetId="2">[4]DEFINICION!$B$15</definedName>
    <definedName name="MONEDA" localSheetId="4">[4]DEFINICION!$B$15</definedName>
    <definedName name="MONEDA">'[16]PARAMETROS GENERALES'!$C$1</definedName>
    <definedName name="moneda1">[4]DEFINICION!$C$15</definedName>
    <definedName name="mtp" localSheetId="5">[6]analisis!$I$2</definedName>
    <definedName name="mtp">[7]analisis!$I$2</definedName>
    <definedName name="N0" localSheetId="19">'[1]C.D. INSUMOS'!#REF!</definedName>
    <definedName name="N0" localSheetId="7">'[1]C.D. INSUMOS'!#REF!</definedName>
    <definedName name="N0" localSheetId="2">'[1]C.D. INSUMOS'!#REF!</definedName>
    <definedName name="N0" localSheetId="4">'[1]C.D. INSUMOS'!#REF!</definedName>
    <definedName name="N0">'[1]C.D. INSUMOS'!#REF!</definedName>
    <definedName name="NN" localSheetId="19" hidden="1">'[1]Flujo de Caja Consorcio'!#REF!</definedName>
    <definedName name="NN" localSheetId="7" hidden="1">'[1]Flujo de Caja Consorcio'!#REF!</definedName>
    <definedName name="NN" localSheetId="2" hidden="1">'[1]Flujo de Caja Consorcio'!#REF!</definedName>
    <definedName name="NN" localSheetId="4" hidden="1">'[1]Flujo de Caja Consorcio'!#REF!</definedName>
    <definedName name="NN" hidden="1">'[1]Flujo de Caja Consorcio'!#REF!</definedName>
    <definedName name="NOMBRE" localSheetId="19">#REF!</definedName>
    <definedName name="NOMBRE" localSheetId="7">#REF!</definedName>
    <definedName name="NOMBRE" localSheetId="5">#REF!</definedName>
    <definedName name="NOMBRE" localSheetId="2">#REF!</definedName>
    <definedName name="NOMBRE" localSheetId="11">#REF!</definedName>
    <definedName name="NOMBRE" localSheetId="4">#REF!</definedName>
    <definedName name="NOMBRE">#REF!</definedName>
    <definedName name="NUMERO" localSheetId="19">#REF!</definedName>
    <definedName name="NUMERO" localSheetId="7">#REF!</definedName>
    <definedName name="NUMERO" localSheetId="5">#REF!</definedName>
    <definedName name="NUMERO" localSheetId="2">#REF!</definedName>
    <definedName name="NUMERO" localSheetId="4">#REF!</definedName>
    <definedName name="NUMERO">#REF!</definedName>
    <definedName name="O" localSheetId="19" hidden="1">'[9]Flujo de Caja Consorcio'!#REF!</definedName>
    <definedName name="O" localSheetId="3" hidden="1">'[10]Flujo de Caja Consorcio'!#REF!</definedName>
    <definedName name="O" localSheetId="7" hidden="1">'[9]Flujo de Caja Consorcio'!#REF!</definedName>
    <definedName name="O" localSheetId="5" hidden="1">'[10]Flujo de Caja Consorcio'!#REF!</definedName>
    <definedName name="O" localSheetId="2" hidden="1">'[9]Flujo de Caja Consorcio'!#REF!</definedName>
    <definedName name="O" localSheetId="11" hidden="1">'[17]Flujo de Caja Consorcio'!#REF!</definedName>
    <definedName name="O" localSheetId="4" hidden="1">'[10]Flujo de Caja Consorcio'!#REF!</definedName>
    <definedName name="O" hidden="1">'[9]Flujo de Caja Consorcio'!#REF!</definedName>
    <definedName name="opap" localSheetId="5">[6]analisis!$P$3</definedName>
    <definedName name="opap">[7]analisis!$P$3</definedName>
    <definedName name="ORDEN" localSheetId="19">#REF!</definedName>
    <definedName name="ORDEN" localSheetId="3">#REF!</definedName>
    <definedName name="ORDEN" localSheetId="7">#REF!</definedName>
    <definedName name="ORDEN" localSheetId="5">#REF!</definedName>
    <definedName name="ORDEN" localSheetId="2">#REF!</definedName>
    <definedName name="ORDEN" localSheetId="4">#REF!</definedName>
    <definedName name="ORDEN">#REF!</definedName>
    <definedName name="p" localSheetId="19" hidden="1">'[1]Flujo de Caja Consorcio'!#REF!</definedName>
    <definedName name="p" localSheetId="7" hidden="1">'[1]Flujo de Caja Consorcio'!#REF!</definedName>
    <definedName name="p" localSheetId="5" hidden="1">'[1]Flujo de Caja Consorcio'!#REF!</definedName>
    <definedName name="p" localSheetId="2" hidden="1">'[1]Flujo de Caja Consorcio'!#REF!</definedName>
    <definedName name="p" localSheetId="4" hidden="1">'[1]Flujo de Caja Consorcio'!#REF!</definedName>
    <definedName name="p" hidden="1">'[1]Flujo de Caja Consorcio'!#REF!</definedName>
    <definedName name="Pas">#N/A</definedName>
    <definedName name="Pasaje" localSheetId="19">#REF!</definedName>
    <definedName name="Pasaje" localSheetId="7">#REF!</definedName>
    <definedName name="Pasaje" localSheetId="5">#REF!</definedName>
    <definedName name="Pasaje" localSheetId="2">#REF!</definedName>
    <definedName name="Pasaje" localSheetId="11">#REF!</definedName>
    <definedName name="Pasaje" localSheetId="4">#REF!</definedName>
    <definedName name="Pasaje">#REF!</definedName>
    <definedName name="pf" localSheetId="19">'[3]C.D. INSUMOS'!#REF!</definedName>
    <definedName name="pf" localSheetId="3">'[1]C.D. INSUMOS'!#REF!</definedName>
    <definedName name="pf" localSheetId="7">'[3]C.D. INSUMOS'!#REF!</definedName>
    <definedName name="pf" localSheetId="5">'[1]C.D. INSUMOS'!#REF!</definedName>
    <definedName name="pf" localSheetId="2">'[3]C.D. INSUMOS'!#REF!</definedName>
    <definedName name="pf" localSheetId="4">'[1]C.D. INSUMOS'!#REF!</definedName>
    <definedName name="pf">'[3]C.D. INSUMOS'!#REF!</definedName>
    <definedName name="piedrap" localSheetId="5">[6]analisis!$M$13</definedName>
    <definedName name="piedrap">[7]analisis!$M$13</definedName>
    <definedName name="planasfp" localSheetId="5">[6]analisis!$I$10</definedName>
    <definedName name="planasfp">[7]analisis!$I$10</definedName>
    <definedName name="plazo" localSheetId="19">'[3]C.D. INSUMOS'!#REF!</definedName>
    <definedName name="plazo" localSheetId="3">'[1]C.D. INSUMOS'!#REF!</definedName>
    <definedName name="plazo" localSheetId="7">'[3]C.D. INSUMOS'!#REF!</definedName>
    <definedName name="plazo" localSheetId="5">'[1]C.D. INSUMOS'!#REF!</definedName>
    <definedName name="plazo" localSheetId="2">'[3]C.D. INSUMOS'!#REF!</definedName>
    <definedName name="plazo" localSheetId="4">'[1]C.D. INSUMOS'!#REF!</definedName>
    <definedName name="plazo">'[3]C.D. INSUMOS'!#REF!</definedName>
    <definedName name="plp" localSheetId="5">[6]analisis!$I$11</definedName>
    <definedName name="plp">[7]analisis!$I$11</definedName>
    <definedName name="PNac">#N/A</definedName>
    <definedName name="PRECIO" localSheetId="19">'[3]Flujo de Caja Consorcio'!#REF!</definedName>
    <definedName name="PRECIO" localSheetId="3">'[1]Flujo de Caja Consorcio'!#REF!</definedName>
    <definedName name="PRECIO" localSheetId="7">'[3]Flujo de Caja Consorcio'!#REF!</definedName>
    <definedName name="PRECIO" localSheetId="5">'[1]Flujo de Caja Consorcio'!#REF!</definedName>
    <definedName name="PRECIO" localSheetId="2">'[3]Flujo de Caja Consorcio'!#REF!</definedName>
    <definedName name="PRECIO" localSheetId="4">'[1]Flujo de Caja Consorcio'!#REF!</definedName>
    <definedName name="PRECIO">'[3]Flujo de Caja Consorcio'!#REF!</definedName>
    <definedName name="Print_Area_MI" localSheetId="19">#REF!</definedName>
    <definedName name="Print_Area_MI" localSheetId="3">#REF!</definedName>
    <definedName name="Print_Area_MI" localSheetId="7">#REF!</definedName>
    <definedName name="Print_Area_MI" localSheetId="2">#REF!</definedName>
    <definedName name="Print_Area_MI" localSheetId="4">#REF!</definedName>
    <definedName name="Print_Area_MI">#REF!</definedName>
    <definedName name="Prot" localSheetId="19">#REF!</definedName>
    <definedName name="Prot" localSheetId="7">#REF!</definedName>
    <definedName name="Prot" localSheetId="5">#REF!</definedName>
    <definedName name="Prot" localSheetId="2">#REF!</definedName>
    <definedName name="Prot" localSheetId="11">#REF!</definedName>
    <definedName name="Prot" localSheetId="4">#REF!</definedName>
    <definedName name="Prot">#REF!</definedName>
    <definedName name="PRUEVA" localSheetId="19">'[1]Flujo de Caja Consorcio'!#REF!</definedName>
    <definedName name="PRUEVA" localSheetId="7">'[1]Flujo de Caja Consorcio'!#REF!</definedName>
    <definedName name="PRUEVA" localSheetId="5">'[1]Flujo de Caja Consorcio'!#REF!</definedName>
    <definedName name="PRUEVA" localSheetId="2">'[1]Flujo de Caja Consorcio'!#REF!</definedName>
    <definedName name="PRUEVA" localSheetId="4">'[1]Flujo de Caja Consorcio'!#REF!</definedName>
    <definedName name="PRUEVA">'[1]Flujo de Caja Consorcio'!#REF!</definedName>
    <definedName name="Q" localSheetId="19">#REF!</definedName>
    <definedName name="Q" localSheetId="3">#REF!</definedName>
    <definedName name="Q" localSheetId="7">#REF!</definedName>
    <definedName name="Q" localSheetId="2">#REF!</definedName>
    <definedName name="Q" localSheetId="4">#REF!</definedName>
    <definedName name="Q">#REF!</definedName>
    <definedName name="re" localSheetId="5">[14]OT!$D$106</definedName>
    <definedName name="re">[15]OT!$D$106</definedName>
    <definedName name="red" localSheetId="19" hidden="1">'[1]Flujo de Caja Consorcio'!#REF!</definedName>
    <definedName name="red" localSheetId="7" hidden="1">'[1]Flujo de Caja Consorcio'!#REF!</definedName>
    <definedName name="red" localSheetId="2" hidden="1">'[1]Flujo de Caja Consorcio'!#REF!</definedName>
    <definedName name="red" localSheetId="4" hidden="1">'[1]Flujo de Caja Consorcio'!#REF!</definedName>
    <definedName name="red" hidden="1">'[1]Flujo de Caja Consorcio'!#REF!</definedName>
    <definedName name="REPRESENTANTE">[4]DEFINICION!$B$17</definedName>
    <definedName name="RES" localSheetId="19">'[1]C.D. INSUMOS'!#REF!</definedName>
    <definedName name="RES" localSheetId="7">'[1]C.D. INSUMOS'!#REF!</definedName>
    <definedName name="RES" localSheetId="2">'[1]C.D. INSUMOS'!#REF!</definedName>
    <definedName name="RES" localSheetId="4">'[1]C.D. INSUMOS'!#REF!</definedName>
    <definedName name="RES">'[1]C.D. INSUMOS'!#REF!</definedName>
    <definedName name="RET" localSheetId="19" hidden="1">'[3]Flujo de Caja Consorcio'!#REF!</definedName>
    <definedName name="RET" localSheetId="3" hidden="1">'[1]Flujo de Caja Consorcio'!#REF!</definedName>
    <definedName name="RET" localSheetId="7" hidden="1">'[3]Flujo de Caja Consorcio'!#REF!</definedName>
    <definedName name="RET" localSheetId="5" hidden="1">'[1]Flujo de Caja Consorcio'!#REF!</definedName>
    <definedName name="RET" localSheetId="2" hidden="1">'[3]Flujo de Caja Consorcio'!#REF!</definedName>
    <definedName name="RET" localSheetId="4" hidden="1">'[1]Flujo de Caja Consorcio'!#REF!</definedName>
    <definedName name="RET" hidden="1">'[3]Flujo de Caja Consorcio'!#REF!</definedName>
    <definedName name="ripp" localSheetId="5">[6]analisis!$M$6</definedName>
    <definedName name="ripp">[7]analisis!$M$6</definedName>
    <definedName name="RL" localSheetId="19">'[1]C.D. INSUMOS'!#REF!</definedName>
    <definedName name="RL" localSheetId="7">'[1]C.D. INSUMOS'!#REF!</definedName>
    <definedName name="RL" localSheetId="2">'[1]C.D. INSUMOS'!#REF!</definedName>
    <definedName name="RL" localSheetId="4">'[1]C.D. INSUMOS'!#REF!</definedName>
    <definedName name="RL">'[1]C.D. INSUMOS'!#REF!</definedName>
    <definedName name="rompepavip" localSheetId="5">[6]analisis!$I$5</definedName>
    <definedName name="rompepavip">[7]analisis!$I$5</definedName>
    <definedName name="RTW" localSheetId="19" hidden="1">'[3]Flujo de Caja Consorcio'!#REF!</definedName>
    <definedName name="RTW" localSheetId="3" hidden="1">'[1]Flujo de Caja Consorcio'!#REF!</definedName>
    <definedName name="RTW" localSheetId="7" hidden="1">'[3]Flujo de Caja Consorcio'!#REF!</definedName>
    <definedName name="RTW" localSheetId="5" hidden="1">'[1]Flujo de Caja Consorcio'!#REF!</definedName>
    <definedName name="RTW" localSheetId="2" hidden="1">'[3]Flujo de Caja Consorcio'!#REF!</definedName>
    <definedName name="RTW" localSheetId="4" hidden="1">'[1]Flujo de Caja Consorcio'!#REF!</definedName>
    <definedName name="RTW" hidden="1">'[3]Flujo de Caja Consorcio'!#REF!</definedName>
    <definedName name="S" localSheetId="19" hidden="1">#REF!</definedName>
    <definedName name="S" localSheetId="3" hidden="1">#REF!</definedName>
    <definedName name="S" localSheetId="7" hidden="1">#REF!</definedName>
    <definedName name="S" localSheetId="5" hidden="1">#REF!</definedName>
    <definedName name="S" localSheetId="2" hidden="1">#REF!</definedName>
    <definedName name="s" localSheetId="11" hidden="1">#REF!</definedName>
    <definedName name="S" localSheetId="4" hidden="1">#REF!</definedName>
    <definedName name="S" hidden="1">#REF!</definedName>
    <definedName name="s1c" localSheetId="19">#REF!</definedName>
    <definedName name="s1c" localSheetId="3">#REF!</definedName>
    <definedName name="s1c" localSheetId="7">#REF!</definedName>
    <definedName name="s1c" localSheetId="5">#REF!</definedName>
    <definedName name="s1c" localSheetId="2">#REF!</definedName>
    <definedName name="s1c" localSheetId="4">#REF!</definedName>
    <definedName name="s1c">#REF!</definedName>
    <definedName name="s2c" localSheetId="19">#REF!</definedName>
    <definedName name="s2c" localSheetId="3">#REF!</definedName>
    <definedName name="s2c" localSheetId="7">#REF!</definedName>
    <definedName name="s2c" localSheetId="5">#REF!</definedName>
    <definedName name="s2c" localSheetId="2">#REF!</definedName>
    <definedName name="s2c" localSheetId="4">#REF!</definedName>
    <definedName name="s2c">#REF!</definedName>
    <definedName name="sa" localSheetId="11" hidden="1">#REF!</definedName>
    <definedName name="SADSAD" localSheetId="19">'[18]ESTACADO DEL EJE'!#REF!</definedName>
    <definedName name="SADSAD" localSheetId="7">'[18]ESTACADO DEL EJE'!#REF!</definedName>
    <definedName name="SADSAD" localSheetId="5">'[18]ESTACADO DEL EJE'!#REF!</definedName>
    <definedName name="SADSAD" localSheetId="2">'[18]ESTACADO DEL EJE'!#REF!</definedName>
    <definedName name="SADSAD" localSheetId="4">'[18]ESTACADO DEL EJE'!#REF!</definedName>
    <definedName name="SADSAD">'[18]ESTACADO DEL EJE'!#REF!</definedName>
    <definedName name="sbase" localSheetId="5">[6]analisis!$K$21</definedName>
    <definedName name="sbase">[7]analisis!$K$21</definedName>
    <definedName name="sbasep" localSheetId="5">[6]analisis!$M$21</definedName>
    <definedName name="sbasep">[7]analisis!$M$21</definedName>
    <definedName name="SD" localSheetId="11" hidden="1">#REF!</definedName>
    <definedName name="SDVSD" localSheetId="19" hidden="1">'[1]Flujo de Caja Consorcio'!#REF!</definedName>
    <definedName name="SDVSD" localSheetId="7" hidden="1">'[1]Flujo de Caja Consorcio'!#REF!</definedName>
    <definedName name="SDVSD" localSheetId="2" hidden="1">'[1]Flujo de Caja Consorcio'!#REF!</definedName>
    <definedName name="SDVSD" localSheetId="4" hidden="1">'[1]Flujo de Caja Consorcio'!#REF!</definedName>
    <definedName name="SDVSD" hidden="1">'[1]Flujo de Caja Consorcio'!#REF!</definedName>
    <definedName name="SEC" localSheetId="19" hidden="1">'[1]Flujo de Caja Consorcio'!#REF!</definedName>
    <definedName name="SEC" localSheetId="7" hidden="1">'[1]Flujo de Caja Consorcio'!#REF!</definedName>
    <definedName name="SEC" localSheetId="2" hidden="1">'[1]Flujo de Caja Consorcio'!#REF!</definedName>
    <definedName name="SEC" localSheetId="4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5">[14]OT!$D$990</definedName>
    <definedName name="sol">[15]OT!$D$990</definedName>
    <definedName name="sss" localSheetId="19" hidden="1">'[1]Flujo de Caja Consorcio'!#REF!</definedName>
    <definedName name="sss" localSheetId="7" hidden="1">'[1]Flujo de Caja Consorcio'!#REF!</definedName>
    <definedName name="sss" localSheetId="2" hidden="1">'[1]Flujo de Caja Consorcio'!#REF!</definedName>
    <definedName name="sss" localSheetId="4" hidden="1">'[1]Flujo de Caja Consorcio'!#REF!</definedName>
    <definedName name="sss" hidden="1">'[1]Flujo de Caja Consorcio'!#REF!</definedName>
    <definedName name="sssssssssssss" localSheetId="19" hidden="1">'[1]Flujo de Caja Consorcio'!#REF!</definedName>
    <definedName name="sssssssssssss" localSheetId="7" hidden="1">'[1]Flujo de Caja Consorcio'!#REF!</definedName>
    <definedName name="sssssssssssss" localSheetId="2" hidden="1">'[1]Flujo de Caja Consorcio'!#REF!</definedName>
    <definedName name="sssssssssssss" localSheetId="4" hidden="1">'[1]Flujo de Caja Consorcio'!#REF!</definedName>
    <definedName name="sssssssssssss" hidden="1">'[1]Flujo de Caja Consorcio'!#REF!</definedName>
    <definedName name="Su" localSheetId="19">#REF!</definedName>
    <definedName name="Su" localSheetId="7">#REF!</definedName>
    <definedName name="Su" localSheetId="14">#REF!</definedName>
    <definedName name="Su" localSheetId="2">#REF!</definedName>
    <definedName name="Su" localSheetId="11">#REF!</definedName>
    <definedName name="Su" localSheetId="15">#REF!</definedName>
    <definedName name="Su" localSheetId="10">#REF!</definedName>
    <definedName name="Su" localSheetId="4">#REF!</definedName>
    <definedName name="Su">#REF!</definedName>
    <definedName name="Sueldo" localSheetId="19">#REF!</definedName>
    <definedName name="Sueldo" localSheetId="7">#REF!</definedName>
    <definedName name="Sueldo" localSheetId="5">#REF!</definedName>
    <definedName name="Sueldo" localSheetId="2">#REF!</definedName>
    <definedName name="Sueldo" localSheetId="11">#REF!</definedName>
    <definedName name="Sueldo" localSheetId="4">#REF!</definedName>
    <definedName name="Sueldo">#REF!</definedName>
    <definedName name="SueldoApoyo" localSheetId="19">#REF!</definedName>
    <definedName name="SueldoApoyo" localSheetId="7">#REF!</definedName>
    <definedName name="SueldoApoyo" localSheetId="5">#REF!</definedName>
    <definedName name="SueldoApoyo" localSheetId="2">#REF!</definedName>
    <definedName name="SueldoApoyo" localSheetId="11">#REF!</definedName>
    <definedName name="SueldoApoyo" localSheetId="4">#REF!</definedName>
    <definedName name="SueldoApoyo">#REF!</definedName>
    <definedName name="SueldoInt" localSheetId="19">#REF!</definedName>
    <definedName name="SueldoInt" localSheetId="7">#REF!</definedName>
    <definedName name="SueldoInt" localSheetId="5">#REF!</definedName>
    <definedName name="SueldoInt" localSheetId="2">#REF!</definedName>
    <definedName name="SueldoInt" localSheetId="11">#REF!</definedName>
    <definedName name="SueldoInt" localSheetId="4">#REF!</definedName>
    <definedName name="SueldoInt">#REF!</definedName>
    <definedName name="SueldoPE" localSheetId="19">[19]PERSONAL!#REF!</definedName>
    <definedName name="SueldoPE" localSheetId="7">[19]PERSONAL!#REF!</definedName>
    <definedName name="SueldoPE" localSheetId="5">[19]PERSONAL!#REF!</definedName>
    <definedName name="SueldoPE" localSheetId="2">[19]PERSONAL!#REF!</definedName>
    <definedName name="SueldoPE" localSheetId="11">[20]PERSONAL!#REF!</definedName>
    <definedName name="SueldoPE" localSheetId="4">[19]PERSONAL!#REF!</definedName>
    <definedName name="SueldoPE">[19]PERSONAL!#REF!</definedName>
    <definedName name="Sueldos" localSheetId="19">#REF!</definedName>
    <definedName name="Sueldos" localSheetId="7">#REF!</definedName>
    <definedName name="Sueldos" localSheetId="5">#REF!</definedName>
    <definedName name="Sueldos" localSheetId="2">#REF!</definedName>
    <definedName name="Sueldos" localSheetId="11">#REF!</definedName>
    <definedName name="Sueldos" localSheetId="4">#REF!</definedName>
    <definedName name="Sueldos">#REF!</definedName>
    <definedName name="T_C">[13]DEFINICIONES!$B$6</definedName>
    <definedName name="TAC" localSheetId="19">'[3]Flujo de Caja Consorcio'!#REF!</definedName>
    <definedName name="TAC" localSheetId="3">'[1]Flujo de Caja Consorcio'!#REF!</definedName>
    <definedName name="TAC" localSheetId="7">'[3]Flujo de Caja Consorcio'!#REF!</definedName>
    <definedName name="TAC" localSheetId="5">'[1]Flujo de Caja Consorcio'!#REF!</definedName>
    <definedName name="TAC" localSheetId="2">'[3]Flujo de Caja Consorcio'!#REF!</definedName>
    <definedName name="TAC" localSheetId="4">'[1]Flujo de Caja Consorcio'!#REF!</definedName>
    <definedName name="TAC">'[3]Flujo de Caja Consorcio'!#REF!</definedName>
    <definedName name="tasa_cero" localSheetId="19">'[3]Flujo de Caja Consorcio'!#REF!</definedName>
    <definedName name="tasa_cero" localSheetId="3">'[1]Flujo de Caja Consorcio'!#REF!</definedName>
    <definedName name="tasa_cero" localSheetId="7">'[3]Flujo de Caja Consorcio'!#REF!</definedName>
    <definedName name="tasa_cero" localSheetId="5">'[1]Flujo de Caja Consorcio'!#REF!</definedName>
    <definedName name="tasa_cero" localSheetId="2">'[3]Flujo de Caja Consorcio'!#REF!</definedName>
    <definedName name="tasa_cero" localSheetId="4">'[1]Flujo de Caja Consorcio'!#REF!</definedName>
    <definedName name="tasa_cero">'[3]Flujo de Caja Consorcio'!#REF!</definedName>
    <definedName name="tc" localSheetId="5">'[21]planilla geral'!$A$1</definedName>
    <definedName name="tc" localSheetId="11">#REF!</definedName>
    <definedName name="tc">'[22]planilla geral'!$A$1</definedName>
    <definedName name="terasfp" localSheetId="5">[6]analisis!$I$9</definedName>
    <definedName name="terasfp">[7]analisis!$I$9</definedName>
    <definedName name="TERR3" localSheetId="19" hidden="1">'[1]Flujo de Caja Consorcio'!#REF!</definedName>
    <definedName name="TERR3" localSheetId="7" hidden="1">'[1]Flujo de Caja Consorcio'!#REF!</definedName>
    <definedName name="TERR3" localSheetId="2" hidden="1">'[1]Flujo de Caja Consorcio'!#REF!</definedName>
    <definedName name="TERR3" localSheetId="4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7">'Cant. Ejec,'!$3:$4</definedName>
    <definedName name="_xlnm.Print_Titles" localSheetId="12">'Planilla de Avance'!$7:$8</definedName>
    <definedName name="TOTAL" localSheetId="3">'[1]Flujo de Caja Consorcio'!$I$3</definedName>
    <definedName name="TOTAL" localSheetId="5">'[1]Flujo de Caja Consorcio'!$I$3</definedName>
    <definedName name="TOTAL" localSheetId="4">'[1]Flujo de Caja Consorcio'!$I$3</definedName>
    <definedName name="TOTAL">'[3]Flujo de Caja Consorcio'!$I$3</definedName>
    <definedName name="TPA" localSheetId="19">'[3]Flujo de Caja Consorcio'!#REF!</definedName>
    <definedName name="TPA" localSheetId="3">'[1]Flujo de Caja Consorcio'!#REF!</definedName>
    <definedName name="TPA" localSheetId="7">'[3]Flujo de Caja Consorcio'!#REF!</definedName>
    <definedName name="TPA" localSheetId="5">'[1]Flujo de Caja Consorcio'!#REF!</definedName>
    <definedName name="TPA" localSheetId="2">'[3]Flujo de Caja Consorcio'!#REF!</definedName>
    <definedName name="TPA" localSheetId="4">'[1]Flujo de Caja Consorcio'!#REF!</definedName>
    <definedName name="TPA">'[3]Flujo de Caja Consorcio'!#REF!</definedName>
    <definedName name="Tramsp" localSheetId="19">#REF!</definedName>
    <definedName name="Tramsp" localSheetId="7">#REF!</definedName>
    <definedName name="Tramsp" localSheetId="5">#REF!</definedName>
    <definedName name="Tramsp" localSheetId="2">#REF!</definedName>
    <definedName name="Tramsp" localSheetId="11">#REF!</definedName>
    <definedName name="Tramsp" localSheetId="4">#REF!</definedName>
    <definedName name="Tramsp">#REF!</definedName>
    <definedName name="Tran">#N/A</definedName>
    <definedName name="Transporte" localSheetId="19">#REF!</definedName>
    <definedName name="Transporte" localSheetId="7">#REF!</definedName>
    <definedName name="Transporte" localSheetId="5">#REF!</definedName>
    <definedName name="Transporte" localSheetId="2">#REF!</definedName>
    <definedName name="Transporte" localSheetId="11">#REF!</definedName>
    <definedName name="Transporte" localSheetId="4">#REF!</definedName>
    <definedName name="Transporte">#REF!</definedName>
    <definedName name="tratamientop" localSheetId="5">[6]analisis!$M$11</definedName>
    <definedName name="tratamientop">[7]analisis!$M$11</definedName>
    <definedName name="trp" localSheetId="5">[6]analisis!$I$3</definedName>
    <definedName name="trp">[7]analisis!$I$3</definedName>
    <definedName name="UT">[12]DEFINICIONES!$B$4</definedName>
    <definedName name="val" localSheetId="19">'[3]C.D. INSUMOS'!#REF!</definedName>
    <definedName name="val" localSheetId="3">'[1]C.D. INSUMOS'!#REF!</definedName>
    <definedName name="val" localSheetId="7">'[3]C.D. INSUMOS'!#REF!</definedName>
    <definedName name="val" localSheetId="5">'[1]C.D. INSUMOS'!#REF!</definedName>
    <definedName name="val" localSheetId="2">'[3]C.D. INSUMOS'!#REF!</definedName>
    <definedName name="val" localSheetId="4">'[1]C.D. INSUMOS'!#REF!</definedName>
    <definedName name="val">'[3]C.D. INSUMOS'!#REF!</definedName>
    <definedName name="Via">#N/A</definedName>
    <definedName name="Viatico" localSheetId="19">#REF!</definedName>
    <definedName name="Viatico" localSheetId="7">#REF!</definedName>
    <definedName name="Viatico" localSheetId="5">#REF!</definedName>
    <definedName name="Viatico" localSheetId="2">#REF!</definedName>
    <definedName name="Viatico" localSheetId="11">#REF!</definedName>
    <definedName name="Viatico" localSheetId="4">#REF!</definedName>
    <definedName name="Viatico">#REF!</definedName>
    <definedName name="vibp" localSheetId="5">[6]analisis!$I$6</definedName>
    <definedName name="vibp">[7]analisis!$I$6</definedName>
    <definedName name="vibrahormigonp" localSheetId="5">[6]analisis!$I$17</definedName>
    <definedName name="vibrahormigonp">[7]analisis!$I$17</definedName>
    <definedName name="W" localSheetId="19">[23]cantidades_enero_2006!#REF!</definedName>
    <definedName name="W" localSheetId="3">[23]cantidades_enero_2006!#REF!</definedName>
    <definedName name="W" localSheetId="7">[23]cantidades_enero_2006!#REF!</definedName>
    <definedName name="W" localSheetId="5">[24]cantidades_AGOSTO_2006!#REF!</definedName>
    <definedName name="W" localSheetId="2">[23]cantidades_enero_2006!#REF!</definedName>
    <definedName name="W" localSheetId="4">[23]cantidades_enero_2006!#REF!</definedName>
    <definedName name="W">[23]cantidades_enero_2006!#REF!</definedName>
    <definedName name="WERT" localSheetId="19">'[3]C.D. INSUMOS'!#REF!</definedName>
    <definedName name="WERT" localSheetId="3">'[1]C.D. INSUMOS'!#REF!</definedName>
    <definedName name="WERT" localSheetId="7">'[3]C.D. INSUMOS'!#REF!</definedName>
    <definedName name="WERT" localSheetId="5">'[1]C.D. INSUMOS'!#REF!</definedName>
    <definedName name="WERT" localSheetId="2">'[3]C.D. INSUMOS'!#REF!</definedName>
    <definedName name="WERT" localSheetId="4">'[1]C.D. INSUMOS'!#REF!</definedName>
    <definedName name="WERT">'[3]C.D. INSUMOS'!#REF!</definedName>
    <definedName name="wsq" localSheetId="19" hidden="1">'[1]Flujo de Caja Consorcio'!#REF!</definedName>
    <definedName name="wsq" localSheetId="7" hidden="1">'[1]Flujo de Caja Consorcio'!#REF!</definedName>
    <definedName name="wsq" localSheetId="2" hidden="1">'[1]Flujo de Caja Consorcio'!#REF!</definedName>
    <definedName name="wsq" localSheetId="4" hidden="1">'[1]Flujo de Caja Consorcio'!#REF!</definedName>
    <definedName name="wsq" hidden="1">'[1]Flujo de Caja Consorcio'!#REF!</definedName>
    <definedName name="xxx" localSheetId="19">#REF!</definedName>
    <definedName name="XXX" localSheetId="3" hidden="1">#REF!</definedName>
    <definedName name="xxx" localSheetId="7">#REF!</definedName>
    <definedName name="xxx" localSheetId="14">#REF!</definedName>
    <definedName name="XXX" localSheetId="2" hidden="1">#REF!</definedName>
    <definedName name="xxx" localSheetId="11">#REF!</definedName>
    <definedName name="xxx" localSheetId="15">#REF!</definedName>
    <definedName name="xxx" localSheetId="10">#REF!</definedName>
    <definedName name="XXX" localSheetId="4" hidden="1">#REF!</definedName>
    <definedName name="xxx">#REF!</definedName>
    <definedName name="YH" localSheetId="19">'[1]C.D. INSUMOS'!#REF!</definedName>
    <definedName name="YH" localSheetId="7">'[1]C.D. INSUMOS'!#REF!</definedName>
    <definedName name="YH" localSheetId="5">'[1]C.D. INSUMOS'!#REF!</definedName>
    <definedName name="YH" localSheetId="2">'[1]C.D. INSUMOS'!#REF!</definedName>
    <definedName name="YH" localSheetId="4">'[1]C.D. INSUMOS'!#REF!</definedName>
    <definedName name="YH">'[1]C.D. INSUMOS'!#REF!</definedName>
    <definedName name="yy" localSheetId="19">#REF!</definedName>
    <definedName name="yy" localSheetId="7">#REF!</definedName>
    <definedName name="yy" localSheetId="14">#REF!</definedName>
    <definedName name="yy" localSheetId="2">#REF!</definedName>
    <definedName name="yy" localSheetId="11">#REF!</definedName>
    <definedName name="yy" localSheetId="15">#REF!</definedName>
    <definedName name="yy" localSheetId="10">#REF!</definedName>
    <definedName name="yy" localSheetId="4">#REF!</definedName>
    <definedName name="yy">#REF!</definedName>
    <definedName name="yyy" localSheetId="19">#REF!</definedName>
    <definedName name="yyy" localSheetId="7">#REF!</definedName>
    <definedName name="yyy" localSheetId="14">#REF!</definedName>
    <definedName name="yyy" localSheetId="2">#REF!</definedName>
    <definedName name="yyy" localSheetId="11">#REF!</definedName>
    <definedName name="yyy" localSheetId="15">#REF!</definedName>
    <definedName name="yyy" localSheetId="10">#REF!</definedName>
    <definedName name="yyy" localSheetId="4">#REF!</definedName>
    <definedName name="yyy">#REF!</definedName>
    <definedName name="yyyy" localSheetId="19">#REF!</definedName>
    <definedName name="yyyy" localSheetId="7">#REF!</definedName>
    <definedName name="yyyy" localSheetId="14">#REF!</definedName>
    <definedName name="yyyy" localSheetId="2">#REF!</definedName>
    <definedName name="yyyy" localSheetId="11">#REF!</definedName>
    <definedName name="yyyy" localSheetId="15">#REF!</definedName>
    <definedName name="yyyy" localSheetId="10">#REF!</definedName>
    <definedName name="yyyy" localSheetId="4">#REF!</definedName>
    <definedName name="yyyy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26" l="1"/>
  <c r="C28" i="26"/>
  <c r="C26" i="26" s="1"/>
  <c r="D26" i="26" s="1"/>
  <c r="C27" i="26"/>
  <c r="D33" i="26"/>
  <c r="D35" i="26"/>
  <c r="D34" i="26"/>
  <c r="D32" i="26"/>
  <c r="G42" i="37" l="1"/>
  <c r="F42" i="37"/>
  <c r="H42" i="37"/>
  <c r="I42" i="37"/>
  <c r="F40" i="430"/>
  <c r="G40" i="430"/>
  <c r="H40" i="430"/>
  <c r="I40" i="430"/>
  <c r="D40" i="26" l="1"/>
  <c r="Q15" i="36"/>
  <c r="J34" i="26"/>
  <c r="D20" i="26" l="1"/>
  <c r="D21" i="26"/>
  <c r="F13" i="421" l="1"/>
  <c r="F12" i="421"/>
  <c r="F14" i="421"/>
  <c r="J31" i="26"/>
  <c r="D38" i="26"/>
  <c r="D37" i="26"/>
  <c r="D36" i="26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R10" i="25"/>
  <c r="Q10" i="25"/>
  <c r="P10" i="25"/>
  <c r="L10" i="25"/>
  <c r="L11" i="454"/>
  <c r="K11" i="454"/>
  <c r="K16" i="25" s="1"/>
  <c r="K13" i="25"/>
  <c r="K14" i="25"/>
  <c r="K15" i="25"/>
  <c r="K17" i="25"/>
  <c r="K18" i="25"/>
  <c r="K19" i="25"/>
  <c r="K20" i="25"/>
  <c r="K21" i="25"/>
  <c r="K22" i="25"/>
  <c r="K10" i="25"/>
  <c r="X108" i="25"/>
  <c r="C15" i="36" l="1"/>
  <c r="F37" i="437"/>
  <c r="D15" i="37" l="1"/>
  <c r="G15" i="37" s="1"/>
  <c r="I15" i="36"/>
  <c r="K15" i="36"/>
  <c r="W6" i="454"/>
  <c r="M86" i="454" l="1"/>
  <c r="M96" i="25" s="1"/>
  <c r="K84" i="454"/>
  <c r="L84" i="454" s="1"/>
  <c r="L83" i="454" s="1"/>
  <c r="M26" i="454"/>
  <c r="M33" i="25" s="1"/>
  <c r="M9" i="454"/>
  <c r="M14" i="25" s="1"/>
  <c r="M8" i="454"/>
  <c r="M13" i="25" s="1"/>
  <c r="M27" i="454"/>
  <c r="M34" i="25" s="1"/>
  <c r="B11" i="450" l="1"/>
  <c r="F10" i="450"/>
  <c r="F11" i="450"/>
  <c r="B11" i="453"/>
  <c r="F11" i="453" s="1"/>
  <c r="F10" i="453"/>
  <c r="B11" i="33"/>
  <c r="F11" i="33" s="1"/>
  <c r="F10" i="33"/>
  <c r="F10" i="446"/>
  <c r="I10" i="33"/>
  <c r="B11" i="446"/>
  <c r="B12" i="446" s="1"/>
  <c r="M34" i="454"/>
  <c r="M41" i="25" s="1"/>
  <c r="O6" i="454"/>
  <c r="AI6" i="454"/>
  <c r="AU4" i="454"/>
  <c r="AX4" i="454"/>
  <c r="BA4" i="454"/>
  <c r="AR4" i="454"/>
  <c r="AO4" i="454"/>
  <c r="AL4" i="454"/>
  <c r="AC4" i="454"/>
  <c r="Z4" i="454"/>
  <c r="B12" i="453" l="1"/>
  <c r="F12" i="453" s="1"/>
  <c r="I11" i="33"/>
  <c r="F11" i="446"/>
  <c r="B13" i="453"/>
  <c r="F13" i="453" s="1"/>
  <c r="B13" i="450"/>
  <c r="F13" i="450" s="1"/>
  <c r="B13" i="33"/>
  <c r="B13" i="446"/>
  <c r="F12" i="446"/>
  <c r="B12" i="33"/>
  <c r="B12" i="450"/>
  <c r="F12" i="450" s="1"/>
  <c r="M48" i="454"/>
  <c r="M55" i="25" s="1"/>
  <c r="K74" i="454"/>
  <c r="L74" i="454" s="1"/>
  <c r="M11" i="454"/>
  <c r="M16" i="25" s="1"/>
  <c r="M41" i="454"/>
  <c r="M48" i="25" s="1"/>
  <c r="K34" i="454"/>
  <c r="L34" i="454" s="1"/>
  <c r="M10" i="454"/>
  <c r="M15" i="25" s="1"/>
  <c r="M40" i="454"/>
  <c r="M47" i="25" s="1"/>
  <c r="K26" i="454"/>
  <c r="L26" i="454" s="1"/>
  <c r="M65" i="454"/>
  <c r="M72" i="25" s="1"/>
  <c r="M64" i="454"/>
  <c r="M71" i="25" s="1"/>
  <c r="K10" i="454"/>
  <c r="L10" i="454" s="1"/>
  <c r="M89" i="454"/>
  <c r="M99" i="25" s="1"/>
  <c r="M57" i="454"/>
  <c r="M64" i="25" s="1"/>
  <c r="K89" i="454"/>
  <c r="L89" i="454" s="1"/>
  <c r="K57" i="454"/>
  <c r="L57" i="454" s="1"/>
  <c r="M81" i="454"/>
  <c r="M89" i="25" s="1"/>
  <c r="M49" i="454"/>
  <c r="M56" i="25" s="1"/>
  <c r="K81" i="454"/>
  <c r="L81" i="454" s="1"/>
  <c r="K49" i="454"/>
  <c r="L49" i="454" s="1"/>
  <c r="M80" i="454"/>
  <c r="M88" i="25" s="1"/>
  <c r="K42" i="454"/>
  <c r="L42" i="454" s="1"/>
  <c r="M73" i="454"/>
  <c r="M81" i="25" s="1"/>
  <c r="K73" i="454"/>
  <c r="L73" i="454" s="1"/>
  <c r="M72" i="454"/>
  <c r="M80" i="25" s="1"/>
  <c r="K66" i="454"/>
  <c r="M22" i="454"/>
  <c r="M28" i="25" s="1"/>
  <c r="K65" i="454"/>
  <c r="L65" i="454" s="1"/>
  <c r="M21" i="454"/>
  <c r="M27" i="25" s="1"/>
  <c r="K90" i="454"/>
  <c r="L90" i="454" s="1"/>
  <c r="K58" i="454"/>
  <c r="L58" i="454" s="1"/>
  <c r="M88" i="454"/>
  <c r="M98" i="25" s="1"/>
  <c r="M56" i="454"/>
  <c r="M63" i="25" s="1"/>
  <c r="K82" i="454"/>
  <c r="L82" i="454" s="1"/>
  <c r="K50" i="454"/>
  <c r="L50" i="454" s="1"/>
  <c r="M35" i="454"/>
  <c r="M42" i="25" s="1"/>
  <c r="M87" i="454"/>
  <c r="M97" i="25" s="1"/>
  <c r="M71" i="454"/>
  <c r="M79" i="25" s="1"/>
  <c r="M55" i="454"/>
  <c r="M62" i="25" s="1"/>
  <c r="M47" i="454"/>
  <c r="M54" i="25" s="1"/>
  <c r="K88" i="454"/>
  <c r="L88" i="454" s="1"/>
  <c r="K72" i="454"/>
  <c r="L72" i="454" s="1"/>
  <c r="K56" i="454"/>
  <c r="L56" i="454" s="1"/>
  <c r="K40" i="454"/>
  <c r="L40" i="454" s="1"/>
  <c r="K24" i="454"/>
  <c r="L24" i="454" s="1"/>
  <c r="K8" i="454"/>
  <c r="L8" i="454" s="1"/>
  <c r="M16" i="454"/>
  <c r="M21" i="25" s="1"/>
  <c r="M19" i="454"/>
  <c r="M25" i="25" s="1"/>
  <c r="M78" i="454"/>
  <c r="M86" i="25" s="1"/>
  <c r="M62" i="454"/>
  <c r="M69" i="25" s="1"/>
  <c r="M46" i="454"/>
  <c r="M53" i="25" s="1"/>
  <c r="K79" i="454"/>
  <c r="L79" i="454" s="1"/>
  <c r="K71" i="454"/>
  <c r="L71" i="454" s="1"/>
  <c r="K55" i="454"/>
  <c r="L55" i="454" s="1"/>
  <c r="K39" i="454"/>
  <c r="L39" i="454" s="1"/>
  <c r="K23" i="454"/>
  <c r="L23" i="454" s="1"/>
  <c r="M15" i="454"/>
  <c r="M20" i="25" s="1"/>
  <c r="M77" i="454"/>
  <c r="M85" i="25" s="1"/>
  <c r="M69" i="454"/>
  <c r="M77" i="25" s="1"/>
  <c r="M53" i="454"/>
  <c r="M60" i="25" s="1"/>
  <c r="M37" i="454"/>
  <c r="M44" i="25" s="1"/>
  <c r="K78" i="454"/>
  <c r="L78" i="454" s="1"/>
  <c r="K62" i="454"/>
  <c r="L62" i="454" s="1"/>
  <c r="K54" i="454"/>
  <c r="L54" i="454" s="1"/>
  <c r="K46" i="454"/>
  <c r="L46" i="454" s="1"/>
  <c r="K38" i="454"/>
  <c r="L38" i="454" s="1"/>
  <c r="K30" i="454"/>
  <c r="L30" i="454" s="1"/>
  <c r="K22" i="454"/>
  <c r="L22" i="454" s="1"/>
  <c r="K14" i="454"/>
  <c r="L14" i="454" s="1"/>
  <c r="K6" i="454"/>
  <c r="M31" i="454"/>
  <c r="M38" i="25" s="1"/>
  <c r="M14" i="454"/>
  <c r="M19" i="25" s="1"/>
  <c r="M17" i="454"/>
  <c r="M22" i="25" s="1"/>
  <c r="M84" i="454"/>
  <c r="M76" i="454"/>
  <c r="M84" i="25" s="1"/>
  <c r="M68" i="454"/>
  <c r="M76" i="25" s="1"/>
  <c r="M60" i="454"/>
  <c r="M67" i="25" s="1"/>
  <c r="M52" i="454"/>
  <c r="M59" i="25" s="1"/>
  <c r="M44" i="454"/>
  <c r="M51" i="25" s="1"/>
  <c r="M36" i="454"/>
  <c r="M43" i="25" s="1"/>
  <c r="K85" i="454"/>
  <c r="K77" i="454"/>
  <c r="L77" i="454" s="1"/>
  <c r="K69" i="454"/>
  <c r="L69" i="454" s="1"/>
  <c r="K61" i="454"/>
  <c r="L61" i="454" s="1"/>
  <c r="K53" i="454"/>
  <c r="L53" i="454" s="1"/>
  <c r="K45" i="454"/>
  <c r="L45" i="454" s="1"/>
  <c r="K37" i="454"/>
  <c r="L37" i="454" s="1"/>
  <c r="K29" i="454"/>
  <c r="L29" i="454" s="1"/>
  <c r="K21" i="454"/>
  <c r="L21" i="454" s="1"/>
  <c r="K13" i="454"/>
  <c r="L13" i="454" s="1"/>
  <c r="M6" i="454"/>
  <c r="M32" i="454"/>
  <c r="M39" i="25" s="1"/>
  <c r="M13" i="454"/>
  <c r="M18" i="25" s="1"/>
  <c r="M24" i="454"/>
  <c r="M30" i="25" s="1"/>
  <c r="M91" i="454"/>
  <c r="M101" i="25" s="1"/>
  <c r="M83" i="454"/>
  <c r="M75" i="454"/>
  <c r="M83" i="25" s="1"/>
  <c r="M67" i="454"/>
  <c r="M75" i="25" s="1"/>
  <c r="M59" i="454"/>
  <c r="M66" i="25" s="1"/>
  <c r="M51" i="454"/>
  <c r="M58" i="25" s="1"/>
  <c r="M43" i="454"/>
  <c r="M50" i="25" s="1"/>
  <c r="K76" i="454"/>
  <c r="L76" i="454" s="1"/>
  <c r="K68" i="454"/>
  <c r="L68" i="454" s="1"/>
  <c r="K60" i="454"/>
  <c r="L60" i="454" s="1"/>
  <c r="K52" i="454"/>
  <c r="L52" i="454" s="1"/>
  <c r="K44" i="454"/>
  <c r="L44" i="454" s="1"/>
  <c r="K36" i="454"/>
  <c r="L36" i="454" s="1"/>
  <c r="K28" i="454"/>
  <c r="L28" i="454" s="1"/>
  <c r="K20" i="454"/>
  <c r="L20" i="454" s="1"/>
  <c r="K12" i="454"/>
  <c r="L12" i="454" s="1"/>
  <c r="M33" i="454"/>
  <c r="M40" i="25" s="1"/>
  <c r="K41" i="454"/>
  <c r="L41" i="454" s="1"/>
  <c r="K33" i="454"/>
  <c r="L33" i="454" s="1"/>
  <c r="K17" i="454"/>
  <c r="L17" i="454" s="1"/>
  <c r="K9" i="454"/>
  <c r="M28" i="454"/>
  <c r="M35" i="25" s="1"/>
  <c r="M20" i="454"/>
  <c r="M26" i="25" s="1"/>
  <c r="M79" i="454"/>
  <c r="M87" i="25" s="1"/>
  <c r="M63" i="454"/>
  <c r="M70" i="25" s="1"/>
  <c r="M39" i="454"/>
  <c r="M46" i="25" s="1"/>
  <c r="K80" i="454"/>
  <c r="L80" i="454" s="1"/>
  <c r="K64" i="454"/>
  <c r="L64" i="454" s="1"/>
  <c r="K48" i="454"/>
  <c r="L48" i="454" s="1"/>
  <c r="K32" i="454"/>
  <c r="L32" i="454" s="1"/>
  <c r="K16" i="454"/>
  <c r="L16" i="454" s="1"/>
  <c r="M29" i="454"/>
  <c r="M36" i="25" s="1"/>
  <c r="M70" i="454"/>
  <c r="M78" i="25" s="1"/>
  <c r="M54" i="454"/>
  <c r="M61" i="25" s="1"/>
  <c r="M38" i="454"/>
  <c r="M45" i="25" s="1"/>
  <c r="K87" i="454"/>
  <c r="L87" i="454" s="1"/>
  <c r="K63" i="454"/>
  <c r="L63" i="454" s="1"/>
  <c r="K47" i="454"/>
  <c r="L47" i="454" s="1"/>
  <c r="K31" i="454"/>
  <c r="L31" i="454" s="1"/>
  <c r="K15" i="454"/>
  <c r="L15" i="454" s="1"/>
  <c r="M30" i="454"/>
  <c r="M37" i="25" s="1"/>
  <c r="M85" i="454"/>
  <c r="M61" i="454"/>
  <c r="M68" i="25" s="1"/>
  <c r="M45" i="454"/>
  <c r="M52" i="25" s="1"/>
  <c r="K86" i="454"/>
  <c r="L86" i="454" s="1"/>
  <c r="K70" i="454"/>
  <c r="L70" i="454" s="1"/>
  <c r="M12" i="454"/>
  <c r="M17" i="25" s="1"/>
  <c r="M23" i="454"/>
  <c r="M29" i="25" s="1"/>
  <c r="M90" i="454"/>
  <c r="M100" i="25" s="1"/>
  <c r="M82" i="454"/>
  <c r="M90" i="25" s="1"/>
  <c r="M74" i="454"/>
  <c r="M82" i="25" s="1"/>
  <c r="M66" i="454"/>
  <c r="M58" i="454"/>
  <c r="M65" i="25" s="1"/>
  <c r="M50" i="454"/>
  <c r="M57" i="25" s="1"/>
  <c r="M42" i="454"/>
  <c r="M49" i="25" s="1"/>
  <c r="K91" i="454"/>
  <c r="L91" i="454" s="1"/>
  <c r="K83" i="454"/>
  <c r="K75" i="454"/>
  <c r="L75" i="454" s="1"/>
  <c r="K67" i="454"/>
  <c r="L67" i="454" s="1"/>
  <c r="K59" i="454"/>
  <c r="L59" i="454" s="1"/>
  <c r="K51" i="454"/>
  <c r="L51" i="454" s="1"/>
  <c r="K43" i="454"/>
  <c r="L43" i="454" s="1"/>
  <c r="K35" i="454"/>
  <c r="L35" i="454" s="1"/>
  <c r="K27" i="454"/>
  <c r="L27" i="454" s="1"/>
  <c r="K19" i="454"/>
  <c r="L19" i="454" s="1"/>
  <c r="L85" i="454" l="1"/>
  <c r="L6" i="454"/>
  <c r="N84" i="454"/>
  <c r="N83" i="454" s="1"/>
  <c r="M93" i="25"/>
  <c r="N6" i="454"/>
  <c r="N5" i="454" s="1"/>
  <c r="M10" i="25"/>
  <c r="F12" i="33"/>
  <c r="I12" i="33"/>
  <c r="F13" i="446"/>
  <c r="B14" i="453"/>
  <c r="F14" i="453" s="1"/>
  <c r="B14" i="450"/>
  <c r="F14" i="450" s="1"/>
  <c r="B14" i="33"/>
  <c r="F14" i="33" s="1"/>
  <c r="B14" i="446"/>
  <c r="I13" i="33"/>
  <c r="F13" i="33"/>
  <c r="O23" i="454"/>
  <c r="O17" i="454"/>
  <c r="O10" i="454"/>
  <c r="L66" i="454"/>
  <c r="O21" i="454"/>
  <c r="O13" i="454"/>
  <c r="O22" i="454"/>
  <c r="O8" i="454"/>
  <c r="L25" i="454"/>
  <c r="O19" i="454"/>
  <c r="O24" i="454"/>
  <c r="L18" i="454"/>
  <c r="O12" i="454"/>
  <c r="O14" i="454"/>
  <c r="O11" i="454"/>
  <c r="O15" i="454"/>
  <c r="L9" i="454"/>
  <c r="L7" i="454" s="1"/>
  <c r="O9" i="454"/>
  <c r="O16" i="454"/>
  <c r="O20" i="454"/>
  <c r="P6" i="454" l="1"/>
  <c r="L5" i="454"/>
  <c r="L93" i="454" s="1"/>
  <c r="B15" i="453"/>
  <c r="F15" i="453" s="1"/>
  <c r="B15" i="450"/>
  <c r="F15" i="450" s="1"/>
  <c r="B15" i="446"/>
  <c r="F14" i="446"/>
  <c r="B16" i="453" l="1"/>
  <c r="F16" i="453" s="1"/>
  <c r="B16" i="450"/>
  <c r="F16" i="450" s="1"/>
  <c r="F15" i="446"/>
  <c r="B16" i="446"/>
  <c r="F16" i="446" l="1"/>
  <c r="B17" i="453"/>
  <c r="F17" i="453" s="1"/>
  <c r="B17" i="450"/>
  <c r="F17" i="450" s="1"/>
  <c r="B17" i="446"/>
  <c r="F17" i="446" l="1"/>
  <c r="B18" i="453"/>
  <c r="F18" i="453" s="1"/>
  <c r="B18" i="450"/>
  <c r="F18" i="450" s="1"/>
  <c r="B15" i="33"/>
  <c r="F15" i="33" s="1"/>
  <c r="B18" i="446"/>
  <c r="B19" i="450" l="1"/>
  <c r="F19" i="450" s="1"/>
  <c r="B16" i="33"/>
  <c r="F16" i="33" s="1"/>
  <c r="F18" i="446"/>
  <c r="B19" i="453"/>
  <c r="F19" i="453" s="1"/>
  <c r="B19" i="446"/>
  <c r="B20" i="450" l="1"/>
  <c r="F20" i="450" s="1"/>
  <c r="B17" i="33"/>
  <c r="F17" i="33" s="1"/>
  <c r="F19" i="446"/>
  <c r="B20" i="453"/>
  <c r="F20" i="453" s="1"/>
  <c r="B20" i="446"/>
  <c r="B21" i="453" l="1"/>
  <c r="F21" i="453" s="1"/>
  <c r="B21" i="450"/>
  <c r="F21" i="450" s="1"/>
  <c r="B18" i="33"/>
  <c r="F18" i="33" s="1"/>
  <c r="F20" i="446"/>
  <c r="B21" i="446"/>
  <c r="B22" i="453" l="1"/>
  <c r="F22" i="453" s="1"/>
  <c r="B19" i="33"/>
  <c r="F19" i="33" s="1"/>
  <c r="B22" i="450"/>
  <c r="F22" i="450" s="1"/>
  <c r="F21" i="446"/>
  <c r="B22" i="446"/>
  <c r="B23" i="453" l="1"/>
  <c r="F23" i="453" s="1"/>
  <c r="B23" i="450"/>
  <c r="F23" i="450" s="1"/>
  <c r="B20" i="33"/>
  <c r="F20" i="33" s="1"/>
  <c r="F22" i="446"/>
  <c r="B23" i="446"/>
  <c r="B24" i="453" l="1"/>
  <c r="F24" i="453" s="1"/>
  <c r="B24" i="450"/>
  <c r="F24" i="450" s="1"/>
  <c r="B21" i="33"/>
  <c r="F21" i="33" s="1"/>
  <c r="F23" i="446"/>
  <c r="B24" i="446"/>
  <c r="F24" i="446" l="1"/>
  <c r="B25" i="453"/>
  <c r="F25" i="453" s="1"/>
  <c r="B25" i="450"/>
  <c r="F25" i="450" s="1"/>
  <c r="B22" i="33"/>
  <c r="F22" i="33" s="1"/>
  <c r="B25" i="446"/>
  <c r="F25" i="446" l="1"/>
  <c r="B26" i="453"/>
  <c r="F26" i="453" s="1"/>
  <c r="B23" i="33"/>
  <c r="F23" i="33" s="1"/>
  <c r="B26" i="450"/>
  <c r="F26" i="450" s="1"/>
  <c r="B26" i="446"/>
  <c r="B27" i="450" l="1"/>
  <c r="F27" i="450" s="1"/>
  <c r="B24" i="33"/>
  <c r="F24" i="33" s="1"/>
  <c r="F26" i="446"/>
  <c r="B27" i="453"/>
  <c r="F27" i="453" s="1"/>
  <c r="B27" i="446"/>
  <c r="B28" i="450" l="1"/>
  <c r="F28" i="450" s="1"/>
  <c r="B25" i="33"/>
  <c r="F25" i="33" s="1"/>
  <c r="F27" i="446"/>
  <c r="B28" i="453"/>
  <c r="F28" i="453" s="1"/>
  <c r="B28" i="446"/>
  <c r="B29" i="453" l="1"/>
  <c r="F29" i="453" s="1"/>
  <c r="B29" i="450"/>
  <c r="F29" i="450" s="1"/>
  <c r="B26" i="33"/>
  <c r="F26" i="33" s="1"/>
  <c r="F28" i="446"/>
  <c r="B29" i="446"/>
  <c r="B30" i="453" l="1"/>
  <c r="F30" i="453" s="1"/>
  <c r="B30" i="450"/>
  <c r="F30" i="450" s="1"/>
  <c r="B27" i="33"/>
  <c r="F27" i="33" s="1"/>
  <c r="F29" i="446"/>
  <c r="B30" i="446"/>
  <c r="B31" i="453" l="1"/>
  <c r="F31" i="453" s="1"/>
  <c r="B31" i="450"/>
  <c r="F31" i="450" s="1"/>
  <c r="B28" i="33"/>
  <c r="F28" i="33" s="1"/>
  <c r="F30" i="446"/>
  <c r="B31" i="446"/>
  <c r="B32" i="453" l="1"/>
  <c r="F32" i="453" s="1"/>
  <c r="B32" i="450"/>
  <c r="F32" i="450" s="1"/>
  <c r="B29" i="33"/>
  <c r="F29" i="33" s="1"/>
  <c r="F31" i="446"/>
  <c r="B32" i="446"/>
  <c r="F32" i="446" l="1"/>
  <c r="B33" i="453"/>
  <c r="F33" i="453" s="1"/>
  <c r="B33" i="450"/>
  <c r="F33" i="450" s="1"/>
  <c r="B30" i="33"/>
  <c r="F30" i="33" s="1"/>
  <c r="B33" i="446"/>
  <c r="F33" i="446" l="1"/>
  <c r="B34" i="453"/>
  <c r="F34" i="453" s="1"/>
  <c r="B31" i="33"/>
  <c r="F31" i="33" s="1"/>
  <c r="B34" i="450"/>
  <c r="F34" i="450" s="1"/>
  <c r="B34" i="446"/>
  <c r="B35" i="450" l="1"/>
  <c r="F35" i="450" s="1"/>
  <c r="B32" i="33"/>
  <c r="F32" i="33" s="1"/>
  <c r="F34" i="446"/>
  <c r="B35" i="453"/>
  <c r="F35" i="453" s="1"/>
  <c r="B35" i="446"/>
  <c r="B36" i="450" l="1"/>
  <c r="F36" i="450" s="1"/>
  <c r="B33" i="33"/>
  <c r="F33" i="33" s="1"/>
  <c r="F35" i="446"/>
  <c r="B36" i="453"/>
  <c r="F36" i="453" s="1"/>
  <c r="B36" i="446"/>
  <c r="B37" i="453" l="1"/>
  <c r="F37" i="453" s="1"/>
  <c r="B37" i="450"/>
  <c r="F37" i="450" s="1"/>
  <c r="B34" i="33"/>
  <c r="F34" i="33" s="1"/>
  <c r="F36" i="446"/>
  <c r="B37" i="446"/>
  <c r="B38" i="453" l="1"/>
  <c r="F38" i="453" s="1"/>
  <c r="B35" i="33"/>
  <c r="F35" i="33" s="1"/>
  <c r="B38" i="450"/>
  <c r="F38" i="450" s="1"/>
  <c r="F37" i="446"/>
  <c r="B38" i="446"/>
  <c r="B39" i="453" l="1"/>
  <c r="F39" i="453" s="1"/>
  <c r="B39" i="450"/>
  <c r="F39" i="450" s="1"/>
  <c r="B36" i="33"/>
  <c r="F36" i="33" s="1"/>
  <c r="F38" i="446"/>
  <c r="B39" i="446"/>
  <c r="AF27" i="454"/>
  <c r="B40" i="453" l="1"/>
  <c r="F40" i="453" s="1"/>
  <c r="B40" i="450"/>
  <c r="F40" i="450" s="1"/>
  <c r="B37" i="33"/>
  <c r="F37" i="33" s="1"/>
  <c r="F39" i="446"/>
  <c r="B40" i="446"/>
  <c r="BA93" i="454"/>
  <c r="BB92" i="454"/>
  <c r="BA92" i="454"/>
  <c r="BA91" i="454"/>
  <c r="BA90" i="454"/>
  <c r="BA89" i="454"/>
  <c r="BA88" i="454"/>
  <c r="BA87" i="454"/>
  <c r="BA86" i="454"/>
  <c r="BA84" i="454"/>
  <c r="BA83" i="454" s="1"/>
  <c r="BA82" i="454"/>
  <c r="BA81" i="454"/>
  <c r="BA80" i="454"/>
  <c r="BA79" i="454"/>
  <c r="BA78" i="454"/>
  <c r="BA77" i="454"/>
  <c r="BA76" i="454"/>
  <c r="BA75" i="454"/>
  <c r="BA74" i="454"/>
  <c r="BA73" i="454"/>
  <c r="BA72" i="454"/>
  <c r="BA71" i="454"/>
  <c r="BA70" i="454"/>
  <c r="BA69" i="454"/>
  <c r="BA68" i="454"/>
  <c r="BA67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4" i="454"/>
  <c r="BA33" i="454"/>
  <c r="BA32" i="454"/>
  <c r="BA31" i="454"/>
  <c r="BA30" i="454"/>
  <c r="BA29" i="454"/>
  <c r="BA28" i="454"/>
  <c r="BA27" i="454"/>
  <c r="BA26" i="454"/>
  <c r="BA24" i="454"/>
  <c r="BA23" i="454"/>
  <c r="BA22" i="454"/>
  <c r="BA21" i="454"/>
  <c r="BA20" i="454"/>
  <c r="BA19" i="454"/>
  <c r="BA17" i="454"/>
  <c r="BA16" i="454"/>
  <c r="BA15" i="454"/>
  <c r="BA14" i="454"/>
  <c r="BA13" i="454"/>
  <c r="BA12" i="454"/>
  <c r="BA11" i="454"/>
  <c r="BA10" i="454"/>
  <c r="BA9" i="454"/>
  <c r="BA8" i="454"/>
  <c r="BA6" i="454"/>
  <c r="BA5" i="454" s="1"/>
  <c r="AX93" i="454"/>
  <c r="AX92" i="454"/>
  <c r="AY92" i="454" s="1"/>
  <c r="AX91" i="454"/>
  <c r="AX90" i="454"/>
  <c r="AX89" i="454"/>
  <c r="AX88" i="454"/>
  <c r="AX87" i="454"/>
  <c r="AX86" i="454"/>
  <c r="AX84" i="454"/>
  <c r="AX83" i="454"/>
  <c r="AX82" i="454"/>
  <c r="AX81" i="454"/>
  <c r="AX80" i="454"/>
  <c r="AX79" i="454"/>
  <c r="AX78" i="454"/>
  <c r="AX77" i="454"/>
  <c r="AX76" i="454"/>
  <c r="AX75" i="454"/>
  <c r="AX74" i="454"/>
  <c r="AX73" i="454"/>
  <c r="AX72" i="454"/>
  <c r="AX71" i="454"/>
  <c r="AX70" i="454"/>
  <c r="AX69" i="454"/>
  <c r="AX68" i="454"/>
  <c r="AX67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4" i="454"/>
  <c r="AX33" i="454"/>
  <c r="AX32" i="454"/>
  <c r="AX31" i="454"/>
  <c r="AX30" i="454"/>
  <c r="AX29" i="454"/>
  <c r="AX28" i="454"/>
  <c r="AX27" i="454"/>
  <c r="AX26" i="454"/>
  <c r="AX24" i="454"/>
  <c r="AX18" i="454" s="1"/>
  <c r="AX23" i="454"/>
  <c r="AX22" i="454"/>
  <c r="AX21" i="454"/>
  <c r="AX20" i="454"/>
  <c r="AX19" i="454"/>
  <c r="AX17" i="454"/>
  <c r="AX16" i="454"/>
  <c r="AX15" i="454"/>
  <c r="AX14" i="454"/>
  <c r="AX13" i="454"/>
  <c r="AX12" i="454"/>
  <c r="AX11" i="454"/>
  <c r="AX10" i="454"/>
  <c r="AX9" i="454"/>
  <c r="AX8" i="454"/>
  <c r="AX6" i="454"/>
  <c r="AU93" i="454"/>
  <c r="AV92" i="454"/>
  <c r="AU92" i="454"/>
  <c r="AU91" i="454"/>
  <c r="AU90" i="454"/>
  <c r="AU89" i="454"/>
  <c r="AU88" i="454"/>
  <c r="AU87" i="454"/>
  <c r="AU86" i="454"/>
  <c r="AU84" i="454"/>
  <c r="AU83" i="454"/>
  <c r="AU82" i="454"/>
  <c r="AU81" i="454"/>
  <c r="AU80" i="454"/>
  <c r="AU79" i="454"/>
  <c r="AU78" i="454"/>
  <c r="AU77" i="454"/>
  <c r="AU76" i="454"/>
  <c r="AU75" i="454"/>
  <c r="AU74" i="454"/>
  <c r="AU73" i="454"/>
  <c r="AU72" i="454"/>
  <c r="AU71" i="454"/>
  <c r="AU70" i="454"/>
  <c r="AU69" i="454"/>
  <c r="AU68" i="454"/>
  <c r="AU67" i="454"/>
  <c r="AU65" i="454"/>
  <c r="AU64" i="454"/>
  <c r="AU63" i="454"/>
  <c r="AU62" i="454"/>
  <c r="AU61" i="454"/>
  <c r="AU60" i="454"/>
  <c r="AU59" i="454"/>
  <c r="AU58" i="454"/>
  <c r="AU57" i="454"/>
  <c r="AU56" i="454"/>
  <c r="AU55" i="454"/>
  <c r="AU54" i="454"/>
  <c r="AU53" i="454"/>
  <c r="AU52" i="454"/>
  <c r="AU51" i="454"/>
  <c r="AU50" i="454"/>
  <c r="AU49" i="454"/>
  <c r="AU48" i="454"/>
  <c r="AU47" i="454"/>
  <c r="AU46" i="454"/>
  <c r="AU45" i="454"/>
  <c r="AU44" i="454"/>
  <c r="AU43" i="454"/>
  <c r="AU42" i="454"/>
  <c r="AU41" i="454"/>
  <c r="AU40" i="454"/>
  <c r="AU39" i="454"/>
  <c r="AU38" i="454"/>
  <c r="AU37" i="454"/>
  <c r="AU36" i="454"/>
  <c r="AU35" i="454"/>
  <c r="AU34" i="454"/>
  <c r="AU33" i="454"/>
  <c r="AU32" i="454"/>
  <c r="AU31" i="454"/>
  <c r="AU30" i="454"/>
  <c r="AU29" i="454"/>
  <c r="AU28" i="454"/>
  <c r="AU27" i="454"/>
  <c r="AU26" i="454"/>
  <c r="AU24" i="454"/>
  <c r="AU23" i="454"/>
  <c r="AU22" i="454"/>
  <c r="AU21" i="454"/>
  <c r="AU20" i="454"/>
  <c r="AU19" i="454"/>
  <c r="AU17" i="454"/>
  <c r="AU16" i="454"/>
  <c r="AU15" i="454"/>
  <c r="AU14" i="454"/>
  <c r="AU13" i="454"/>
  <c r="AU12" i="454"/>
  <c r="AU11" i="454"/>
  <c r="AU10" i="454"/>
  <c r="AU9" i="454"/>
  <c r="AU8" i="454"/>
  <c r="AU6" i="454"/>
  <c r="AU5" i="454" s="1"/>
  <c r="AR93" i="454"/>
  <c r="AR92" i="454"/>
  <c r="AS92" i="454" s="1"/>
  <c r="AR91" i="454"/>
  <c r="AR90" i="454"/>
  <c r="AR89" i="454"/>
  <c r="AR88" i="454"/>
  <c r="AR87" i="454"/>
  <c r="AR86" i="454"/>
  <c r="AR84" i="454"/>
  <c r="AR83" i="454"/>
  <c r="AR82" i="454"/>
  <c r="AR81" i="454"/>
  <c r="AR80" i="454"/>
  <c r="AR79" i="454"/>
  <c r="AR78" i="454"/>
  <c r="AR77" i="454"/>
  <c r="AR76" i="454"/>
  <c r="AR75" i="454"/>
  <c r="AR74" i="454"/>
  <c r="AR73" i="454"/>
  <c r="AR72" i="454"/>
  <c r="AR71" i="454"/>
  <c r="AR70" i="454"/>
  <c r="AR69" i="454"/>
  <c r="AR68" i="454"/>
  <c r="AR67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4" i="454"/>
  <c r="AR33" i="454"/>
  <c r="AR32" i="454"/>
  <c r="AR31" i="454"/>
  <c r="AR30" i="454"/>
  <c r="AR29" i="454"/>
  <c r="AR28" i="454"/>
  <c r="AR27" i="454"/>
  <c r="AR26" i="454"/>
  <c r="AR24" i="454"/>
  <c r="AR23" i="454"/>
  <c r="AR22" i="454"/>
  <c r="AR21" i="454"/>
  <c r="AR20" i="454"/>
  <c r="AR19" i="454"/>
  <c r="AR17" i="454"/>
  <c r="AR16" i="454"/>
  <c r="AR15" i="454"/>
  <c r="AR14" i="454"/>
  <c r="AR13" i="454"/>
  <c r="AR12" i="454"/>
  <c r="AR11" i="454"/>
  <c r="AR10" i="454"/>
  <c r="AR9" i="454"/>
  <c r="AR8" i="454"/>
  <c r="AR6" i="454"/>
  <c r="AR5" i="454" s="1"/>
  <c r="AO93" i="454"/>
  <c r="AP92" i="454"/>
  <c r="AO92" i="454"/>
  <c r="AO91" i="454"/>
  <c r="AO90" i="454"/>
  <c r="AO89" i="454"/>
  <c r="AO88" i="454"/>
  <c r="AO87" i="454"/>
  <c r="AO86" i="454"/>
  <c r="AO85" i="454" s="1"/>
  <c r="AO84" i="454"/>
  <c r="AO83" i="454" s="1"/>
  <c r="AO82" i="454"/>
  <c r="AO81" i="454"/>
  <c r="AO80" i="454"/>
  <c r="AO79" i="454"/>
  <c r="AO78" i="454"/>
  <c r="AO77" i="454"/>
  <c r="AO76" i="454"/>
  <c r="AO75" i="454"/>
  <c r="AO74" i="454"/>
  <c r="AO73" i="454"/>
  <c r="AO72" i="454"/>
  <c r="AO71" i="454"/>
  <c r="AO70" i="454"/>
  <c r="AO69" i="454"/>
  <c r="AO68" i="454"/>
  <c r="AO67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4" i="454"/>
  <c r="AO33" i="454"/>
  <c r="AO32" i="454"/>
  <c r="AO31" i="454"/>
  <c r="AO30" i="454"/>
  <c r="AO29" i="454"/>
  <c r="AO28" i="454"/>
  <c r="AO27" i="454"/>
  <c r="AO26" i="454"/>
  <c r="AO24" i="454"/>
  <c r="AO23" i="454"/>
  <c r="AO22" i="454"/>
  <c r="AO21" i="454"/>
  <c r="AO20" i="454"/>
  <c r="AO19" i="454"/>
  <c r="AO17" i="454"/>
  <c r="AO16" i="454"/>
  <c r="AO15" i="454"/>
  <c r="AO14" i="454"/>
  <c r="AO13" i="454"/>
  <c r="AO12" i="454"/>
  <c r="AO11" i="454"/>
  <c r="AO10" i="454"/>
  <c r="AO9" i="454"/>
  <c r="AO8" i="454"/>
  <c r="AO6" i="454"/>
  <c r="AO5" i="454" s="1"/>
  <c r="AL93" i="454"/>
  <c r="AL92" i="454"/>
  <c r="AM92" i="454" s="1"/>
  <c r="AL91" i="454"/>
  <c r="AL90" i="454"/>
  <c r="AL89" i="454"/>
  <c r="AL88" i="454"/>
  <c r="AL87" i="454"/>
  <c r="AL86" i="454"/>
  <c r="AL84" i="454"/>
  <c r="AL83" i="454" s="1"/>
  <c r="AL82" i="454"/>
  <c r="AL81" i="454"/>
  <c r="AL80" i="454"/>
  <c r="AL79" i="454"/>
  <c r="AL78" i="454"/>
  <c r="AL77" i="454"/>
  <c r="AL76" i="454"/>
  <c r="AL75" i="454"/>
  <c r="AL74" i="454"/>
  <c r="AL73" i="454"/>
  <c r="AL72" i="454"/>
  <c r="AL71" i="454"/>
  <c r="AL70" i="454"/>
  <c r="AL69" i="454"/>
  <c r="AL68" i="454"/>
  <c r="AL67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4" i="454"/>
  <c r="AL33" i="454"/>
  <c r="AL32" i="454"/>
  <c r="AL31" i="454"/>
  <c r="AL30" i="454"/>
  <c r="AL29" i="454"/>
  <c r="AL28" i="454"/>
  <c r="AL27" i="454"/>
  <c r="AL26" i="454"/>
  <c r="AL24" i="454"/>
  <c r="AL23" i="454"/>
  <c r="AL22" i="454"/>
  <c r="AL21" i="454"/>
  <c r="AL18" i="454" s="1"/>
  <c r="AL20" i="454"/>
  <c r="AL19" i="454"/>
  <c r="AL17" i="454"/>
  <c r="AL16" i="454"/>
  <c r="AL15" i="454"/>
  <c r="AL14" i="454"/>
  <c r="AL13" i="454"/>
  <c r="AL12" i="454"/>
  <c r="AL11" i="454"/>
  <c r="AL10" i="454"/>
  <c r="AL9" i="454"/>
  <c r="AL8" i="454"/>
  <c r="AL6" i="454"/>
  <c r="AL5" i="454" s="1"/>
  <c r="AI93" i="454"/>
  <c r="AJ92" i="454"/>
  <c r="AI92" i="454"/>
  <c r="AI91" i="454"/>
  <c r="AI90" i="454"/>
  <c r="AI89" i="454"/>
  <c r="AI88" i="454"/>
  <c r="AI87" i="454"/>
  <c r="AI86" i="454"/>
  <c r="AI84" i="454"/>
  <c r="AI82" i="454"/>
  <c r="AI81" i="454"/>
  <c r="AI80" i="454"/>
  <c r="AI79" i="454"/>
  <c r="AI78" i="454"/>
  <c r="AI77" i="454"/>
  <c r="AI76" i="454"/>
  <c r="AI75" i="454"/>
  <c r="AI74" i="454"/>
  <c r="AI73" i="454"/>
  <c r="AI72" i="454"/>
  <c r="AI71" i="454"/>
  <c r="AI70" i="454"/>
  <c r="AI69" i="454"/>
  <c r="AI68" i="454"/>
  <c r="AI67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4" i="454"/>
  <c r="AI33" i="454"/>
  <c r="AI32" i="454"/>
  <c r="AI31" i="454"/>
  <c r="AI30" i="454"/>
  <c r="AI29" i="454"/>
  <c r="AI28" i="454"/>
  <c r="AI27" i="454"/>
  <c r="AI26" i="454"/>
  <c r="AI24" i="454"/>
  <c r="AI23" i="454"/>
  <c r="AI22" i="454"/>
  <c r="AI21" i="454"/>
  <c r="AI20" i="454"/>
  <c r="AI19" i="454"/>
  <c r="AI17" i="454"/>
  <c r="AI16" i="454"/>
  <c r="AI15" i="454"/>
  <c r="AI14" i="454"/>
  <c r="AI13" i="454"/>
  <c r="AI12" i="454"/>
  <c r="AI11" i="454"/>
  <c r="AI10" i="454"/>
  <c r="AI9" i="454"/>
  <c r="AI8" i="454"/>
  <c r="AI5" i="454"/>
  <c r="AF93" i="454"/>
  <c r="AG92" i="454"/>
  <c r="AF92" i="454"/>
  <c r="AF91" i="454"/>
  <c r="AF90" i="454"/>
  <c r="AF89" i="454"/>
  <c r="AF88" i="454"/>
  <c r="AF87" i="454"/>
  <c r="AF86" i="454"/>
  <c r="AF84" i="454"/>
  <c r="AF83" i="454" s="1"/>
  <c r="AF82" i="454"/>
  <c r="AF81" i="454"/>
  <c r="AF80" i="454"/>
  <c r="AF79" i="454"/>
  <c r="AF78" i="454"/>
  <c r="AF77" i="454"/>
  <c r="AF76" i="454"/>
  <c r="AF75" i="454"/>
  <c r="AF74" i="454"/>
  <c r="AF73" i="454"/>
  <c r="AF72" i="454"/>
  <c r="AF71" i="454"/>
  <c r="AF70" i="454"/>
  <c r="AF69" i="454"/>
  <c r="AF68" i="454"/>
  <c r="AF67" i="454"/>
  <c r="AF66" i="454" s="1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6" i="454"/>
  <c r="AF35" i="454"/>
  <c r="AF34" i="454"/>
  <c r="AF33" i="454"/>
  <c r="AF32" i="454"/>
  <c r="AF31" i="454"/>
  <c r="AF30" i="454"/>
  <c r="AF29" i="454"/>
  <c r="AF28" i="454"/>
  <c r="AF26" i="454"/>
  <c r="AF24" i="454"/>
  <c r="AF23" i="454"/>
  <c r="AF22" i="454"/>
  <c r="AF21" i="454"/>
  <c r="AF20" i="454"/>
  <c r="AF19" i="454"/>
  <c r="AF17" i="454"/>
  <c r="AF16" i="454"/>
  <c r="AF15" i="454"/>
  <c r="AF14" i="454"/>
  <c r="AF13" i="454"/>
  <c r="AF12" i="454"/>
  <c r="AF11" i="454"/>
  <c r="AF10" i="454"/>
  <c r="AF9" i="454"/>
  <c r="AF8" i="454"/>
  <c r="AF6" i="454"/>
  <c r="AF5" i="454" s="1"/>
  <c r="AF4" i="454" s="1"/>
  <c r="AC93" i="454"/>
  <c r="AD92" i="454"/>
  <c r="AC92" i="454"/>
  <c r="AC91" i="454"/>
  <c r="AC90" i="454"/>
  <c r="AC89" i="454"/>
  <c r="AC88" i="454"/>
  <c r="AC87" i="454"/>
  <c r="AC86" i="454"/>
  <c r="AC84" i="454"/>
  <c r="AC83" i="454"/>
  <c r="AC82" i="454"/>
  <c r="AC81" i="454"/>
  <c r="AC80" i="454"/>
  <c r="AC79" i="454"/>
  <c r="AC78" i="454"/>
  <c r="AC77" i="454"/>
  <c r="AC76" i="454"/>
  <c r="AC75" i="454"/>
  <c r="AC74" i="454"/>
  <c r="AC73" i="454"/>
  <c r="AC72" i="454"/>
  <c r="AC71" i="454"/>
  <c r="AC70" i="454"/>
  <c r="AC69" i="454"/>
  <c r="AC68" i="454"/>
  <c r="AC67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4" i="454"/>
  <c r="AC33" i="454"/>
  <c r="AC32" i="454"/>
  <c r="AC31" i="454"/>
  <c r="AC30" i="454"/>
  <c r="AC29" i="454"/>
  <c r="AC28" i="454"/>
  <c r="AC27" i="454"/>
  <c r="AC26" i="454"/>
  <c r="AC24" i="454"/>
  <c r="AC18" i="454" s="1"/>
  <c r="AC23" i="454"/>
  <c r="AC22" i="454"/>
  <c r="AC21" i="454"/>
  <c r="AC20" i="454"/>
  <c r="AC19" i="454"/>
  <c r="AC17" i="454"/>
  <c r="AC16" i="454"/>
  <c r="AC15" i="454"/>
  <c r="AC14" i="454"/>
  <c r="AC13" i="454"/>
  <c r="AC12" i="454"/>
  <c r="AC11" i="454"/>
  <c r="AC10" i="454"/>
  <c r="AC9" i="454"/>
  <c r="AC8" i="454"/>
  <c r="AC6" i="454"/>
  <c r="AC5" i="454" s="1"/>
  <c r="Z93" i="454"/>
  <c r="Z92" i="454"/>
  <c r="AA92" i="454" s="1"/>
  <c r="Z91" i="454"/>
  <c r="Z90" i="454"/>
  <c r="Z89" i="454"/>
  <c r="Z88" i="454"/>
  <c r="Z87" i="454"/>
  <c r="Z86" i="454"/>
  <c r="Z84" i="454"/>
  <c r="Z83" i="454" s="1"/>
  <c r="Z82" i="454"/>
  <c r="Z81" i="454"/>
  <c r="Z80" i="454"/>
  <c r="Z79" i="454"/>
  <c r="Z78" i="454"/>
  <c r="Z77" i="454"/>
  <c r="Z76" i="454"/>
  <c r="Z75" i="454"/>
  <c r="Z74" i="454"/>
  <c r="Z73" i="454"/>
  <c r="Z72" i="454"/>
  <c r="Z71" i="454"/>
  <c r="Z70" i="454"/>
  <c r="Z69" i="454"/>
  <c r="Z68" i="454"/>
  <c r="Z67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4" i="454"/>
  <c r="Z33" i="454"/>
  <c r="Z32" i="454"/>
  <c r="Z31" i="454"/>
  <c r="Z30" i="454"/>
  <c r="Z29" i="454"/>
  <c r="Z28" i="454"/>
  <c r="Z27" i="454"/>
  <c r="Z26" i="454"/>
  <c r="Z24" i="454"/>
  <c r="Z23" i="454"/>
  <c r="Z22" i="454"/>
  <c r="Z21" i="454"/>
  <c r="Z20" i="454"/>
  <c r="Z19" i="454"/>
  <c r="Z17" i="454"/>
  <c r="Z16" i="454"/>
  <c r="Z15" i="454"/>
  <c r="Z14" i="454"/>
  <c r="Z13" i="454"/>
  <c r="Z12" i="454"/>
  <c r="Z11" i="454"/>
  <c r="Z10" i="454"/>
  <c r="Z9" i="454"/>
  <c r="Z8" i="454"/>
  <c r="Z6" i="454"/>
  <c r="Z5" i="454" s="1"/>
  <c r="W81" i="454"/>
  <c r="W82" i="454"/>
  <c r="W92" i="454"/>
  <c r="X92" i="454" s="1"/>
  <c r="W93" i="454"/>
  <c r="W91" i="454"/>
  <c r="W90" i="454"/>
  <c r="W89" i="454"/>
  <c r="W88" i="454"/>
  <c r="W87" i="454"/>
  <c r="W86" i="454"/>
  <c r="W84" i="454"/>
  <c r="W80" i="454"/>
  <c r="W79" i="454"/>
  <c r="W78" i="454"/>
  <c r="W77" i="454"/>
  <c r="W76" i="454"/>
  <c r="W75" i="454"/>
  <c r="W74" i="454"/>
  <c r="W73" i="454"/>
  <c r="W72" i="454"/>
  <c r="W71" i="454"/>
  <c r="W70" i="454"/>
  <c r="W69" i="454"/>
  <c r="W68" i="454"/>
  <c r="W67" i="454"/>
  <c r="W32" i="454"/>
  <c r="W33" i="454"/>
  <c r="W34" i="454"/>
  <c r="W35" i="454"/>
  <c r="W36" i="454"/>
  <c r="W37" i="454"/>
  <c r="W38" i="454"/>
  <c r="W39" i="454"/>
  <c r="W40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31" i="454"/>
  <c r="W30" i="454"/>
  <c r="W29" i="454"/>
  <c r="W28" i="454"/>
  <c r="W27" i="454"/>
  <c r="W26" i="454"/>
  <c r="W24" i="454"/>
  <c r="W23" i="454"/>
  <c r="W22" i="454"/>
  <c r="W21" i="454"/>
  <c r="W20" i="454"/>
  <c r="W19" i="454"/>
  <c r="W17" i="454"/>
  <c r="W16" i="454"/>
  <c r="W15" i="454"/>
  <c r="W14" i="454"/>
  <c r="W13" i="454"/>
  <c r="W12" i="454"/>
  <c r="W11" i="454"/>
  <c r="W10" i="454"/>
  <c r="W9" i="454"/>
  <c r="W8" i="454"/>
  <c r="F40" i="446" l="1"/>
  <c r="B41" i="453"/>
  <c r="F41" i="453" s="1"/>
  <c r="B41" i="450"/>
  <c r="F41" i="450" s="1"/>
  <c r="B38" i="33"/>
  <c r="F38" i="33" s="1"/>
  <c r="B41" i="446"/>
  <c r="AC66" i="454"/>
  <c r="AO18" i="454"/>
  <c r="Z25" i="454"/>
  <c r="W85" i="454"/>
  <c r="AC7" i="454"/>
  <c r="Z66" i="454"/>
  <c r="Z85" i="454"/>
  <c r="AF85" i="454"/>
  <c r="AR18" i="454"/>
  <c r="AU18" i="454"/>
  <c r="AI66" i="454"/>
  <c r="AX66" i="454"/>
  <c r="W5" i="454"/>
  <c r="AF25" i="454"/>
  <c r="AI83" i="454"/>
  <c r="AX85" i="454"/>
  <c r="AU25" i="454"/>
  <c r="AI85" i="454"/>
  <c r="AO66" i="454"/>
  <c r="BA7" i="454"/>
  <c r="AC85" i="454"/>
  <c r="AR7" i="454"/>
  <c r="AI7" i="454"/>
  <c r="AL25" i="454"/>
  <c r="AC25" i="454"/>
  <c r="AI25" i="454"/>
  <c r="AF7" i="454"/>
  <c r="AO25" i="454"/>
  <c r="AR85" i="454"/>
  <c r="AU85" i="454"/>
  <c r="BA85" i="454"/>
  <c r="BA25" i="454"/>
  <c r="AL85" i="454"/>
  <c r="AR25" i="454"/>
  <c r="AU7" i="454"/>
  <c r="AX25" i="454"/>
  <c r="BA18" i="454"/>
  <c r="BA66" i="454"/>
  <c r="AX7" i="454"/>
  <c r="AX5" i="454"/>
  <c r="AU66" i="454"/>
  <c r="AR66" i="454"/>
  <c r="AO7" i="454"/>
  <c r="AL66" i="454"/>
  <c r="AL7" i="454"/>
  <c r="AI18" i="454"/>
  <c r="AF18" i="454"/>
  <c r="Z18" i="454"/>
  <c r="Z7" i="454"/>
  <c r="W83" i="454"/>
  <c r="W18" i="454"/>
  <c r="W7" i="454"/>
  <c r="W25" i="454"/>
  <c r="W66" i="454"/>
  <c r="F41" i="446" l="1"/>
  <c r="B42" i="453"/>
  <c r="F42" i="453" s="1"/>
  <c r="B39" i="33"/>
  <c r="F39" i="33" s="1"/>
  <c r="B42" i="450"/>
  <c r="F42" i="450" s="1"/>
  <c r="B42" i="446"/>
  <c r="AI4" i="454"/>
  <c r="W4" i="454"/>
  <c r="B43" i="450" l="1"/>
  <c r="F43" i="450" s="1"/>
  <c r="B40" i="33"/>
  <c r="F40" i="33" s="1"/>
  <c r="F42" i="446"/>
  <c r="B43" i="453"/>
  <c r="F43" i="453" s="1"/>
  <c r="B43" i="446"/>
  <c r="O91" i="454"/>
  <c r="Q91" i="454" s="1"/>
  <c r="N91" i="454"/>
  <c r="J91" i="454"/>
  <c r="B91" i="454"/>
  <c r="O90" i="454"/>
  <c r="Q90" i="454" s="1"/>
  <c r="N90" i="454"/>
  <c r="J90" i="454"/>
  <c r="B90" i="454"/>
  <c r="O89" i="454"/>
  <c r="Q89" i="454" s="1"/>
  <c r="N89" i="454"/>
  <c r="J89" i="454"/>
  <c r="B89" i="454"/>
  <c r="O88" i="454"/>
  <c r="Q88" i="454" s="1"/>
  <c r="N88" i="454"/>
  <c r="J88" i="454"/>
  <c r="B88" i="454"/>
  <c r="O87" i="454"/>
  <c r="Q87" i="454" s="1"/>
  <c r="N87" i="454"/>
  <c r="P87" i="454" s="1"/>
  <c r="J87" i="454"/>
  <c r="B87" i="454"/>
  <c r="O86" i="454"/>
  <c r="Q86" i="454" s="1"/>
  <c r="N86" i="454"/>
  <c r="J86" i="454"/>
  <c r="D86" i="454"/>
  <c r="D87" i="454" s="1"/>
  <c r="D88" i="454" s="1"/>
  <c r="D89" i="454" s="1"/>
  <c r="D90" i="454" s="1"/>
  <c r="D91" i="454" s="1"/>
  <c r="B86" i="454"/>
  <c r="B85" i="454"/>
  <c r="O84" i="454"/>
  <c r="Q84" i="454" s="1"/>
  <c r="J84" i="454"/>
  <c r="D84" i="454"/>
  <c r="B84" i="454"/>
  <c r="B83" i="454"/>
  <c r="O82" i="454"/>
  <c r="Q82" i="454" s="1"/>
  <c r="N82" i="454"/>
  <c r="P82" i="454" s="1"/>
  <c r="J82" i="454"/>
  <c r="B82" i="454"/>
  <c r="O81" i="454"/>
  <c r="Q81" i="454" s="1"/>
  <c r="N81" i="454"/>
  <c r="P81" i="454" s="1"/>
  <c r="J81" i="454"/>
  <c r="B81" i="454"/>
  <c r="O80" i="454"/>
  <c r="Q80" i="454" s="1"/>
  <c r="N80" i="454"/>
  <c r="J80" i="454"/>
  <c r="B80" i="454"/>
  <c r="O79" i="454"/>
  <c r="Q79" i="454" s="1"/>
  <c r="N79" i="454"/>
  <c r="J79" i="454"/>
  <c r="B79" i="454"/>
  <c r="O78" i="454"/>
  <c r="Q78" i="454" s="1"/>
  <c r="N78" i="454"/>
  <c r="J78" i="454"/>
  <c r="B78" i="454"/>
  <c r="O77" i="454"/>
  <c r="Q77" i="454" s="1"/>
  <c r="N77" i="454"/>
  <c r="J77" i="454"/>
  <c r="B77" i="454"/>
  <c r="O76" i="454"/>
  <c r="Q76" i="454" s="1"/>
  <c r="N76" i="454"/>
  <c r="J76" i="454"/>
  <c r="B76" i="454"/>
  <c r="O75" i="454"/>
  <c r="Q75" i="454" s="1"/>
  <c r="N75" i="454"/>
  <c r="J75" i="454"/>
  <c r="B75" i="454"/>
  <c r="O74" i="454"/>
  <c r="Q74" i="454" s="1"/>
  <c r="N74" i="454"/>
  <c r="J74" i="454"/>
  <c r="B74" i="454"/>
  <c r="O73" i="454"/>
  <c r="Q73" i="454" s="1"/>
  <c r="N73" i="454"/>
  <c r="P73" i="454" s="1"/>
  <c r="J73" i="454"/>
  <c r="B73" i="454"/>
  <c r="O72" i="454"/>
  <c r="Q72" i="454" s="1"/>
  <c r="N72" i="454"/>
  <c r="P72" i="454" s="1"/>
  <c r="J72" i="454"/>
  <c r="B72" i="454"/>
  <c r="O71" i="454"/>
  <c r="Q71" i="454" s="1"/>
  <c r="N71" i="454"/>
  <c r="J71" i="454"/>
  <c r="B71" i="454"/>
  <c r="O70" i="454"/>
  <c r="Q70" i="454" s="1"/>
  <c r="N70" i="454"/>
  <c r="J70" i="454"/>
  <c r="B70" i="454"/>
  <c r="O69" i="454"/>
  <c r="Q69" i="454" s="1"/>
  <c r="N69" i="454"/>
  <c r="J69" i="454"/>
  <c r="B69" i="454"/>
  <c r="O68" i="454"/>
  <c r="Q68" i="454" s="1"/>
  <c r="N68" i="454"/>
  <c r="J68" i="454"/>
  <c r="B68" i="454"/>
  <c r="O67" i="454"/>
  <c r="Q67" i="454" s="1"/>
  <c r="N67" i="454"/>
  <c r="J67" i="454"/>
  <c r="D67" i="454"/>
  <c r="D68" i="454" s="1"/>
  <c r="D69" i="454" s="1"/>
  <c r="D70" i="454" s="1"/>
  <c r="D71" i="454" s="1"/>
  <c r="D72" i="454" s="1"/>
  <c r="D73" i="454" s="1"/>
  <c r="D74" i="454" s="1"/>
  <c r="D75" i="454" s="1"/>
  <c r="D76" i="454" s="1"/>
  <c r="D77" i="454" s="1"/>
  <c r="D78" i="454" s="1"/>
  <c r="D79" i="454" s="1"/>
  <c r="D80" i="454" s="1"/>
  <c r="D81" i="454" s="1"/>
  <c r="D82" i="454" s="1"/>
  <c r="B67" i="454"/>
  <c r="B66" i="454"/>
  <c r="O65" i="454"/>
  <c r="Q65" i="454" s="1"/>
  <c r="N65" i="454"/>
  <c r="J65" i="454"/>
  <c r="B65" i="454"/>
  <c r="O64" i="454"/>
  <c r="Q64" i="454" s="1"/>
  <c r="N64" i="454"/>
  <c r="P64" i="454" s="1"/>
  <c r="J64" i="454"/>
  <c r="B64" i="454"/>
  <c r="O63" i="454"/>
  <c r="Q63" i="454" s="1"/>
  <c r="N63" i="454"/>
  <c r="J63" i="454"/>
  <c r="B63" i="454"/>
  <c r="O62" i="454"/>
  <c r="Q62" i="454" s="1"/>
  <c r="N62" i="454"/>
  <c r="P62" i="454" s="1"/>
  <c r="J62" i="454"/>
  <c r="B62" i="454"/>
  <c r="O61" i="454"/>
  <c r="Q61" i="454" s="1"/>
  <c r="N61" i="454"/>
  <c r="J61" i="454"/>
  <c r="B61" i="454"/>
  <c r="O60" i="454"/>
  <c r="Q60" i="454" s="1"/>
  <c r="N60" i="454"/>
  <c r="J60" i="454"/>
  <c r="B60" i="454"/>
  <c r="O59" i="454"/>
  <c r="Q59" i="454" s="1"/>
  <c r="N59" i="454"/>
  <c r="J59" i="454"/>
  <c r="B59" i="454"/>
  <c r="O58" i="454"/>
  <c r="Q58" i="454" s="1"/>
  <c r="N58" i="454"/>
  <c r="J58" i="454"/>
  <c r="B58" i="454"/>
  <c r="O57" i="454"/>
  <c r="Q57" i="454" s="1"/>
  <c r="N57" i="454"/>
  <c r="J57" i="454"/>
  <c r="B57" i="454"/>
  <c r="O56" i="454"/>
  <c r="Q56" i="454" s="1"/>
  <c r="N56" i="454"/>
  <c r="J56" i="454"/>
  <c r="B56" i="454"/>
  <c r="O55" i="454"/>
  <c r="Q55" i="454" s="1"/>
  <c r="N55" i="454"/>
  <c r="J55" i="454"/>
  <c r="B55" i="454"/>
  <c r="O54" i="454"/>
  <c r="Q54" i="454" s="1"/>
  <c r="N54" i="454"/>
  <c r="P54" i="454" s="1"/>
  <c r="J54" i="454"/>
  <c r="B54" i="454"/>
  <c r="O53" i="454"/>
  <c r="Q53" i="454" s="1"/>
  <c r="N53" i="454"/>
  <c r="J53" i="454"/>
  <c r="B53" i="454"/>
  <c r="O52" i="454"/>
  <c r="Q52" i="454" s="1"/>
  <c r="N52" i="454"/>
  <c r="J52" i="454"/>
  <c r="B52" i="454"/>
  <c r="O51" i="454"/>
  <c r="Q51" i="454" s="1"/>
  <c r="N51" i="454"/>
  <c r="J51" i="454"/>
  <c r="B51" i="454"/>
  <c r="O50" i="454"/>
  <c r="Q50" i="454" s="1"/>
  <c r="N50" i="454"/>
  <c r="J50" i="454"/>
  <c r="B50" i="454"/>
  <c r="O49" i="454"/>
  <c r="Q49" i="454" s="1"/>
  <c r="N49" i="454"/>
  <c r="J49" i="454"/>
  <c r="B49" i="454"/>
  <c r="O48" i="454"/>
  <c r="Q48" i="454" s="1"/>
  <c r="N48" i="454"/>
  <c r="P48" i="454" s="1"/>
  <c r="J48" i="454"/>
  <c r="B48" i="454"/>
  <c r="O47" i="454"/>
  <c r="Q47" i="454" s="1"/>
  <c r="N47" i="454"/>
  <c r="J47" i="454"/>
  <c r="B47" i="454"/>
  <c r="O46" i="454"/>
  <c r="Q46" i="454" s="1"/>
  <c r="N46" i="454"/>
  <c r="P46" i="454" s="1"/>
  <c r="J46" i="454"/>
  <c r="B46" i="454"/>
  <c r="O45" i="454"/>
  <c r="Q45" i="454" s="1"/>
  <c r="N45" i="454"/>
  <c r="J45" i="454"/>
  <c r="B45" i="454"/>
  <c r="O44" i="454"/>
  <c r="Q44" i="454" s="1"/>
  <c r="N44" i="454"/>
  <c r="J44" i="454"/>
  <c r="B44" i="454"/>
  <c r="O43" i="454"/>
  <c r="Q43" i="454" s="1"/>
  <c r="N43" i="454"/>
  <c r="J43" i="454"/>
  <c r="B43" i="454"/>
  <c r="O42" i="454"/>
  <c r="Q42" i="454" s="1"/>
  <c r="N42" i="454"/>
  <c r="J42" i="454"/>
  <c r="B42" i="454"/>
  <c r="O41" i="454"/>
  <c r="Q41" i="454" s="1"/>
  <c r="N41" i="454"/>
  <c r="J41" i="454"/>
  <c r="B41" i="454"/>
  <c r="O40" i="454"/>
  <c r="Q40" i="454" s="1"/>
  <c r="N40" i="454"/>
  <c r="P40" i="454" s="1"/>
  <c r="J40" i="454"/>
  <c r="B40" i="454"/>
  <c r="O39" i="454"/>
  <c r="Q39" i="454" s="1"/>
  <c r="N39" i="454"/>
  <c r="J39" i="454"/>
  <c r="B39" i="454"/>
  <c r="O38" i="454"/>
  <c r="Q38" i="454" s="1"/>
  <c r="N38" i="454"/>
  <c r="J38" i="454"/>
  <c r="B38" i="454"/>
  <c r="O37" i="454"/>
  <c r="Q37" i="454" s="1"/>
  <c r="N37" i="454"/>
  <c r="J37" i="454"/>
  <c r="B37" i="454"/>
  <c r="O36" i="454"/>
  <c r="Q36" i="454" s="1"/>
  <c r="N36" i="454"/>
  <c r="J36" i="454"/>
  <c r="B36" i="454"/>
  <c r="O35" i="454"/>
  <c r="Q35" i="454" s="1"/>
  <c r="N35" i="454"/>
  <c r="J35" i="454"/>
  <c r="B35" i="454"/>
  <c r="O34" i="454"/>
  <c r="Q34" i="454" s="1"/>
  <c r="N34" i="454"/>
  <c r="J34" i="454"/>
  <c r="B34" i="454"/>
  <c r="O33" i="454"/>
  <c r="Q33" i="454" s="1"/>
  <c r="N33" i="454"/>
  <c r="J33" i="454"/>
  <c r="B33" i="454"/>
  <c r="O32" i="454"/>
  <c r="Q32" i="454" s="1"/>
  <c r="N32" i="454"/>
  <c r="J32" i="454"/>
  <c r="B32" i="454"/>
  <c r="O31" i="454"/>
  <c r="Q31" i="454" s="1"/>
  <c r="N31" i="454"/>
  <c r="J31" i="454"/>
  <c r="B31" i="454"/>
  <c r="O30" i="454"/>
  <c r="Q30" i="454" s="1"/>
  <c r="N30" i="454"/>
  <c r="J30" i="454"/>
  <c r="B30" i="454"/>
  <c r="O29" i="454"/>
  <c r="Q29" i="454" s="1"/>
  <c r="N29" i="454"/>
  <c r="J29" i="454"/>
  <c r="B29" i="454"/>
  <c r="O28" i="454"/>
  <c r="Q28" i="454" s="1"/>
  <c r="N28" i="454"/>
  <c r="J28" i="454"/>
  <c r="B28" i="454"/>
  <c r="O27" i="454"/>
  <c r="Q27" i="454" s="1"/>
  <c r="N27" i="454"/>
  <c r="J27" i="454"/>
  <c r="B27" i="454"/>
  <c r="O26" i="454"/>
  <c r="Q26" i="454" s="1"/>
  <c r="N26" i="454"/>
  <c r="J26" i="454"/>
  <c r="D26" i="454"/>
  <c r="D27" i="454" s="1"/>
  <c r="D28" i="454" s="1"/>
  <c r="D29" i="454" s="1"/>
  <c r="D30" i="454" s="1"/>
  <c r="D31" i="454" s="1"/>
  <c r="D32" i="454" s="1"/>
  <c r="D33" i="454" s="1"/>
  <c r="D34" i="454" s="1"/>
  <c r="D35" i="454" s="1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B26" i="454"/>
  <c r="B25" i="454"/>
  <c r="Q24" i="454"/>
  <c r="N24" i="454"/>
  <c r="J24" i="454"/>
  <c r="B24" i="454"/>
  <c r="Q23" i="454"/>
  <c r="N23" i="454"/>
  <c r="P23" i="454" s="1"/>
  <c r="J23" i="454"/>
  <c r="B23" i="454"/>
  <c r="Q22" i="454"/>
  <c r="N22" i="454"/>
  <c r="J22" i="454"/>
  <c r="B22" i="454"/>
  <c r="Q21" i="454"/>
  <c r="N21" i="454"/>
  <c r="J21" i="454"/>
  <c r="B21" i="454"/>
  <c r="Q20" i="454"/>
  <c r="N20" i="454"/>
  <c r="P20" i="454" s="1"/>
  <c r="J20" i="454"/>
  <c r="B20" i="454"/>
  <c r="Q19" i="454"/>
  <c r="N19" i="454"/>
  <c r="J19" i="454"/>
  <c r="D19" i="454"/>
  <c r="D20" i="454" s="1"/>
  <c r="D21" i="454" s="1"/>
  <c r="D22" i="454" s="1"/>
  <c r="D23" i="454" s="1"/>
  <c r="D24" i="454" s="1"/>
  <c r="B19" i="454"/>
  <c r="B18" i="454"/>
  <c r="Q17" i="454"/>
  <c r="N17" i="454"/>
  <c r="S17" i="454" s="1"/>
  <c r="J17" i="454"/>
  <c r="B17" i="454"/>
  <c r="Q16" i="454"/>
  <c r="N16" i="454"/>
  <c r="J16" i="454"/>
  <c r="B16" i="454"/>
  <c r="Q15" i="454"/>
  <c r="N15" i="454"/>
  <c r="J15" i="454"/>
  <c r="B15" i="454"/>
  <c r="Q14" i="454"/>
  <c r="N14" i="454"/>
  <c r="J14" i="454"/>
  <c r="B14" i="454"/>
  <c r="Q13" i="454"/>
  <c r="N13" i="454"/>
  <c r="J13" i="454"/>
  <c r="B13" i="454"/>
  <c r="Q12" i="454"/>
  <c r="N12" i="454"/>
  <c r="J12" i="454"/>
  <c r="B12" i="454"/>
  <c r="Q11" i="454"/>
  <c r="N11" i="454"/>
  <c r="J11" i="454"/>
  <c r="B11" i="454"/>
  <c r="Q10" i="454"/>
  <c r="N10" i="454"/>
  <c r="J10" i="454"/>
  <c r="B10" i="454"/>
  <c r="Q9" i="454"/>
  <c r="N9" i="454"/>
  <c r="J9" i="454"/>
  <c r="B9" i="454"/>
  <c r="Q8" i="454"/>
  <c r="N8" i="454"/>
  <c r="J8" i="454"/>
  <c r="D8" i="454"/>
  <c r="D9" i="454" s="1"/>
  <c r="D10" i="454" s="1"/>
  <c r="D11" i="454" s="1"/>
  <c r="D12" i="454" s="1"/>
  <c r="D13" i="454" s="1"/>
  <c r="D14" i="454" s="1"/>
  <c r="D15" i="454" s="1"/>
  <c r="D16" i="454" s="1"/>
  <c r="D17" i="454" s="1"/>
  <c r="B8" i="454"/>
  <c r="B7" i="454"/>
  <c r="Q6" i="454"/>
  <c r="J6" i="454"/>
  <c r="D6" i="454"/>
  <c r="B6" i="454"/>
  <c r="C6" i="454" s="1"/>
  <c r="N7" i="454" l="1"/>
  <c r="N85" i="454"/>
  <c r="N66" i="454"/>
  <c r="B44" i="450"/>
  <c r="F44" i="450" s="1"/>
  <c r="B41" i="33"/>
  <c r="F41" i="33" s="1"/>
  <c r="B44" i="453"/>
  <c r="F44" i="453" s="1"/>
  <c r="F43" i="446"/>
  <c r="B44" i="446"/>
  <c r="X82" i="454"/>
  <c r="AD82" i="454"/>
  <c r="AV82" i="454"/>
  <c r="AM82" i="454"/>
  <c r="AP82" i="454"/>
  <c r="AG82" i="454"/>
  <c r="AS82" i="454"/>
  <c r="AY82" i="454"/>
  <c r="AA82" i="454"/>
  <c r="BB82" i="454"/>
  <c r="AJ82" i="454"/>
  <c r="AM20" i="454"/>
  <c r="AV20" i="454"/>
  <c r="AD20" i="454"/>
  <c r="AS20" i="454"/>
  <c r="AJ20" i="454"/>
  <c r="BB20" i="454"/>
  <c r="AP20" i="454"/>
  <c r="AA20" i="454"/>
  <c r="AY20" i="454"/>
  <c r="X20" i="454"/>
  <c r="AG20" i="454"/>
  <c r="AV28" i="454"/>
  <c r="AM28" i="454"/>
  <c r="AJ28" i="454"/>
  <c r="AD28" i="454"/>
  <c r="BB28" i="454"/>
  <c r="AP28" i="454"/>
  <c r="AS28" i="454"/>
  <c r="AG28" i="454"/>
  <c r="X28" i="454"/>
  <c r="AY28" i="454"/>
  <c r="AA28" i="454"/>
  <c r="AS32" i="454"/>
  <c r="AP32" i="454"/>
  <c r="X32" i="454"/>
  <c r="BB32" i="454"/>
  <c r="AJ32" i="454"/>
  <c r="AG32" i="454"/>
  <c r="AV32" i="454"/>
  <c r="AD32" i="454"/>
  <c r="AA32" i="454"/>
  <c r="AY32" i="454"/>
  <c r="AM32" i="454"/>
  <c r="AJ36" i="454"/>
  <c r="AA36" i="454"/>
  <c r="AM36" i="454"/>
  <c r="AP36" i="454"/>
  <c r="AD36" i="454"/>
  <c r="AS36" i="454"/>
  <c r="AV36" i="454"/>
  <c r="BB36" i="454"/>
  <c r="X36" i="454"/>
  <c r="AY36" i="454"/>
  <c r="AG36" i="454"/>
  <c r="AM40" i="454"/>
  <c r="AJ40" i="454"/>
  <c r="X40" i="454"/>
  <c r="AD40" i="454"/>
  <c r="BB40" i="454"/>
  <c r="AA40" i="454"/>
  <c r="AP40" i="454"/>
  <c r="AS40" i="454"/>
  <c r="AG40" i="454"/>
  <c r="AV40" i="454"/>
  <c r="AY40" i="454"/>
  <c r="AG57" i="454"/>
  <c r="AS57" i="454"/>
  <c r="AJ57" i="454"/>
  <c r="X57" i="454"/>
  <c r="AM57" i="454"/>
  <c r="AV57" i="454"/>
  <c r="AD57" i="454"/>
  <c r="BB57" i="454"/>
  <c r="AY57" i="454"/>
  <c r="AA57" i="454"/>
  <c r="AP57" i="454"/>
  <c r="BB61" i="454"/>
  <c r="AG61" i="454"/>
  <c r="AV61" i="454"/>
  <c r="AJ61" i="454"/>
  <c r="AM61" i="454"/>
  <c r="X61" i="454"/>
  <c r="AP61" i="454"/>
  <c r="AY61" i="454"/>
  <c r="AS61" i="454"/>
  <c r="AA61" i="454"/>
  <c r="AD61" i="454"/>
  <c r="AG67" i="454"/>
  <c r="BB67" i="454"/>
  <c r="AP67" i="454"/>
  <c r="X67" i="454"/>
  <c r="AM67" i="454"/>
  <c r="AV67" i="454"/>
  <c r="AJ67" i="454"/>
  <c r="AY67" i="454"/>
  <c r="AD67" i="454"/>
  <c r="AS67" i="454"/>
  <c r="AA67" i="454"/>
  <c r="AA71" i="454"/>
  <c r="AV71" i="454"/>
  <c r="AP71" i="454"/>
  <c r="AD71" i="454"/>
  <c r="AS71" i="454"/>
  <c r="AG71" i="454"/>
  <c r="X71" i="454"/>
  <c r="AY71" i="454"/>
  <c r="BB71" i="454"/>
  <c r="AM71" i="454"/>
  <c r="AJ71" i="454"/>
  <c r="BB44" i="454"/>
  <c r="AA44" i="454"/>
  <c r="AS44" i="454"/>
  <c r="AD44" i="454"/>
  <c r="AM44" i="454"/>
  <c r="AV44" i="454"/>
  <c r="AP44" i="454"/>
  <c r="AG44" i="454"/>
  <c r="AY44" i="454"/>
  <c r="AJ44" i="454"/>
  <c r="X44" i="454"/>
  <c r="BB63" i="454"/>
  <c r="AY63" i="454"/>
  <c r="AV63" i="454"/>
  <c r="AP63" i="454"/>
  <c r="AG63" i="454"/>
  <c r="X63" i="454"/>
  <c r="AA63" i="454"/>
  <c r="AJ63" i="454"/>
  <c r="AM63" i="454"/>
  <c r="AD63" i="454"/>
  <c r="AS63" i="454"/>
  <c r="X14" i="454"/>
  <c r="AG14" i="454"/>
  <c r="AS14" i="454"/>
  <c r="BB14" i="454"/>
  <c r="AD14" i="454"/>
  <c r="AJ14" i="454"/>
  <c r="AY14" i="454"/>
  <c r="AM14" i="454"/>
  <c r="AA14" i="454"/>
  <c r="AP14" i="454"/>
  <c r="AV14" i="454"/>
  <c r="BB48" i="454"/>
  <c r="AS48" i="454"/>
  <c r="AD48" i="454"/>
  <c r="X48" i="454"/>
  <c r="AG48" i="454"/>
  <c r="AM48" i="454"/>
  <c r="AA48" i="454"/>
  <c r="AV48" i="454"/>
  <c r="AP48" i="454"/>
  <c r="AJ48" i="454"/>
  <c r="AY48" i="454"/>
  <c r="BB65" i="454"/>
  <c r="AV65" i="454"/>
  <c r="AP65" i="454"/>
  <c r="AJ65" i="454"/>
  <c r="AM65" i="454"/>
  <c r="AG65" i="454"/>
  <c r="AA65" i="454"/>
  <c r="X65" i="454"/>
  <c r="AD65" i="454"/>
  <c r="AY65" i="454"/>
  <c r="AS65" i="454"/>
  <c r="AA75" i="454"/>
  <c r="AM75" i="454"/>
  <c r="AV75" i="454"/>
  <c r="AY75" i="454"/>
  <c r="AJ75" i="454"/>
  <c r="BB75" i="454"/>
  <c r="AS75" i="454"/>
  <c r="AD75" i="454"/>
  <c r="AP75" i="454"/>
  <c r="AG75" i="454"/>
  <c r="X75" i="454"/>
  <c r="AY77" i="454"/>
  <c r="AG77" i="454"/>
  <c r="BB77" i="454"/>
  <c r="AV77" i="454"/>
  <c r="AP77" i="454"/>
  <c r="AJ77" i="454"/>
  <c r="AS77" i="454"/>
  <c r="AD77" i="454"/>
  <c r="AM77" i="454"/>
  <c r="AA77" i="454"/>
  <c r="X77" i="454"/>
  <c r="X79" i="454"/>
  <c r="AY79" i="454"/>
  <c r="AJ79" i="454"/>
  <c r="AP79" i="454"/>
  <c r="BB79" i="454"/>
  <c r="AM79" i="454"/>
  <c r="AD79" i="454"/>
  <c r="AG79" i="454"/>
  <c r="AA79" i="454"/>
  <c r="AV79" i="454"/>
  <c r="AS79" i="454"/>
  <c r="AS81" i="454"/>
  <c r="AD81" i="454"/>
  <c r="BB81" i="454"/>
  <c r="AJ81" i="454"/>
  <c r="AM81" i="454"/>
  <c r="AP81" i="454"/>
  <c r="AY81" i="454"/>
  <c r="AA81" i="454"/>
  <c r="X81" i="454"/>
  <c r="AV81" i="454"/>
  <c r="AG81" i="454"/>
  <c r="AJ50" i="454"/>
  <c r="AS50" i="454"/>
  <c r="BB50" i="454"/>
  <c r="AP50" i="454"/>
  <c r="X50" i="454"/>
  <c r="AG50" i="454"/>
  <c r="AY50" i="454"/>
  <c r="AA50" i="454"/>
  <c r="AD50" i="454"/>
  <c r="AM50" i="454"/>
  <c r="AV50" i="454"/>
  <c r="AY52" i="454"/>
  <c r="AS52" i="454"/>
  <c r="X52" i="454"/>
  <c r="AG52" i="454"/>
  <c r="AA52" i="454"/>
  <c r="AM52" i="454"/>
  <c r="AP52" i="454"/>
  <c r="AJ52" i="454"/>
  <c r="AV52" i="454"/>
  <c r="AD52" i="454"/>
  <c r="BB52" i="454"/>
  <c r="AV54" i="454"/>
  <c r="AJ54" i="454"/>
  <c r="AP54" i="454"/>
  <c r="AM54" i="454"/>
  <c r="AD54" i="454"/>
  <c r="X54" i="454"/>
  <c r="AY54" i="454"/>
  <c r="AG54" i="454"/>
  <c r="BB54" i="454"/>
  <c r="AS54" i="454"/>
  <c r="AA54" i="454"/>
  <c r="AG49" i="454"/>
  <c r="BB49" i="454"/>
  <c r="AV49" i="454"/>
  <c r="AM49" i="454"/>
  <c r="AY49" i="454"/>
  <c r="AP49" i="454"/>
  <c r="AD49" i="454"/>
  <c r="AS49" i="454"/>
  <c r="AJ49" i="454"/>
  <c r="X49" i="454"/>
  <c r="AA49" i="454"/>
  <c r="BB53" i="454"/>
  <c r="AS53" i="454"/>
  <c r="AV53" i="454"/>
  <c r="AD53" i="454"/>
  <c r="AM53" i="454"/>
  <c r="AA53" i="454"/>
  <c r="AP53" i="454"/>
  <c r="X53" i="454"/>
  <c r="AY53" i="454"/>
  <c r="AJ53" i="454"/>
  <c r="AG53" i="454"/>
  <c r="AS26" i="454"/>
  <c r="BB26" i="454"/>
  <c r="AA26" i="454"/>
  <c r="AM26" i="454"/>
  <c r="AG26" i="454"/>
  <c r="AY26" i="454"/>
  <c r="AJ26" i="454"/>
  <c r="X26" i="454"/>
  <c r="AP26" i="454"/>
  <c r="AV26" i="454"/>
  <c r="AD26" i="454"/>
  <c r="AV30" i="454"/>
  <c r="AP30" i="454"/>
  <c r="AG30" i="454"/>
  <c r="AM30" i="454"/>
  <c r="AJ30" i="454"/>
  <c r="AD30" i="454"/>
  <c r="BB30" i="454"/>
  <c r="X30" i="454"/>
  <c r="AS30" i="454"/>
  <c r="AA30" i="454"/>
  <c r="AY30" i="454"/>
  <c r="AY34" i="454"/>
  <c r="AD34" i="454"/>
  <c r="X34" i="454"/>
  <c r="AG34" i="454"/>
  <c r="AP34" i="454"/>
  <c r="BB34" i="454"/>
  <c r="AJ34" i="454"/>
  <c r="AA34" i="454"/>
  <c r="AS34" i="454"/>
  <c r="AV34" i="454"/>
  <c r="AM34" i="454"/>
  <c r="X38" i="454"/>
  <c r="AJ38" i="454"/>
  <c r="AM38" i="454"/>
  <c r="AA38" i="454"/>
  <c r="AY38" i="454"/>
  <c r="AP38" i="454"/>
  <c r="BB38" i="454"/>
  <c r="AG38" i="454"/>
  <c r="AS38" i="454"/>
  <c r="AV38" i="454"/>
  <c r="AD38" i="454"/>
  <c r="X55" i="454"/>
  <c r="AV55" i="454"/>
  <c r="AS55" i="454"/>
  <c r="AD55" i="454"/>
  <c r="AG55" i="454"/>
  <c r="AY55" i="454"/>
  <c r="AA55" i="454"/>
  <c r="BB55" i="454"/>
  <c r="AM55" i="454"/>
  <c r="AJ55" i="454"/>
  <c r="AP55" i="454"/>
  <c r="BB59" i="454"/>
  <c r="AA59" i="454"/>
  <c r="AS59" i="454"/>
  <c r="AD59" i="454"/>
  <c r="X59" i="454"/>
  <c r="AG59" i="454"/>
  <c r="AV59" i="454"/>
  <c r="AY59" i="454"/>
  <c r="AM59" i="454"/>
  <c r="AP59" i="454"/>
  <c r="AJ59" i="454"/>
  <c r="BB69" i="454"/>
  <c r="AV69" i="454"/>
  <c r="X69" i="454"/>
  <c r="AP69" i="454"/>
  <c r="AS69" i="454"/>
  <c r="AM69" i="454"/>
  <c r="AG69" i="454"/>
  <c r="AJ69" i="454"/>
  <c r="AA69" i="454"/>
  <c r="AD69" i="454"/>
  <c r="AY69" i="454"/>
  <c r="AM87" i="454"/>
  <c r="AJ87" i="454"/>
  <c r="AP87" i="454"/>
  <c r="AY87" i="454"/>
  <c r="AD87" i="454"/>
  <c r="AA87" i="454"/>
  <c r="AG87" i="454"/>
  <c r="AV87" i="454"/>
  <c r="BB87" i="454"/>
  <c r="AS87" i="454"/>
  <c r="X87" i="454"/>
  <c r="X42" i="454"/>
  <c r="AD42" i="454"/>
  <c r="AV42" i="454"/>
  <c r="AY42" i="454"/>
  <c r="AS42" i="454"/>
  <c r="AG42" i="454"/>
  <c r="AM42" i="454"/>
  <c r="AA42" i="454"/>
  <c r="AP42" i="454"/>
  <c r="BB42" i="454"/>
  <c r="AJ42" i="454"/>
  <c r="AA91" i="454"/>
  <c r="X91" i="454"/>
  <c r="AD91" i="454"/>
  <c r="AG91" i="454"/>
  <c r="AY91" i="454"/>
  <c r="BB91" i="454"/>
  <c r="AJ91" i="454"/>
  <c r="AV91" i="454"/>
  <c r="AS91" i="454"/>
  <c r="AP91" i="454"/>
  <c r="AM91" i="454"/>
  <c r="X10" i="454"/>
  <c r="BB10" i="454"/>
  <c r="AA10" i="454"/>
  <c r="AS10" i="454"/>
  <c r="AJ10" i="454"/>
  <c r="AV10" i="454"/>
  <c r="AM10" i="454"/>
  <c r="AG10" i="454"/>
  <c r="AY10" i="454"/>
  <c r="AD10" i="454"/>
  <c r="AP10" i="454"/>
  <c r="AV16" i="454"/>
  <c r="AP16" i="454"/>
  <c r="AD16" i="454"/>
  <c r="AG16" i="454"/>
  <c r="BB16" i="454"/>
  <c r="X16" i="454"/>
  <c r="AS16" i="454"/>
  <c r="AA16" i="454"/>
  <c r="AY16" i="454"/>
  <c r="AM16" i="454"/>
  <c r="AJ16" i="454"/>
  <c r="J5" i="454"/>
  <c r="AS6" i="454"/>
  <c r="AJ6" i="454"/>
  <c r="AA6" i="454"/>
  <c r="X6" i="454"/>
  <c r="AG6" i="454"/>
  <c r="AV6" i="454"/>
  <c r="AY6" i="454"/>
  <c r="BB6" i="454"/>
  <c r="AD6" i="454"/>
  <c r="AP6" i="454"/>
  <c r="AM6" i="454"/>
  <c r="AS19" i="454"/>
  <c r="AA19" i="454"/>
  <c r="AY19" i="454"/>
  <c r="X19" i="454"/>
  <c r="AJ19" i="454"/>
  <c r="AM19" i="454"/>
  <c r="AD19" i="454"/>
  <c r="AP19" i="454"/>
  <c r="BB19" i="454"/>
  <c r="AV19" i="454"/>
  <c r="AG19" i="454"/>
  <c r="AS29" i="454"/>
  <c r="AV29" i="454"/>
  <c r="AD29" i="454"/>
  <c r="AA29" i="454"/>
  <c r="X29" i="454"/>
  <c r="BB29" i="454"/>
  <c r="AP29" i="454"/>
  <c r="AG29" i="454"/>
  <c r="AM29" i="454"/>
  <c r="AJ29" i="454"/>
  <c r="AY29" i="454"/>
  <c r="AV33" i="454"/>
  <c r="BB33" i="454"/>
  <c r="AD33" i="454"/>
  <c r="AS33" i="454"/>
  <c r="AG33" i="454"/>
  <c r="X33" i="454"/>
  <c r="AY33" i="454"/>
  <c r="AM33" i="454"/>
  <c r="AA33" i="454"/>
  <c r="AJ33" i="454"/>
  <c r="AP33" i="454"/>
  <c r="BB37" i="454"/>
  <c r="AS37" i="454"/>
  <c r="AV37" i="454"/>
  <c r="AG37" i="454"/>
  <c r="AY37" i="454"/>
  <c r="AA37" i="454"/>
  <c r="AJ37" i="454"/>
  <c r="AD37" i="454"/>
  <c r="AP37" i="454"/>
  <c r="AM37" i="454"/>
  <c r="X37" i="454"/>
  <c r="AY56" i="454"/>
  <c r="AJ56" i="454"/>
  <c r="X56" i="454"/>
  <c r="AG56" i="454"/>
  <c r="AP56" i="454"/>
  <c r="AA56" i="454"/>
  <c r="BB56" i="454"/>
  <c r="AS56" i="454"/>
  <c r="AD56" i="454"/>
  <c r="AV56" i="454"/>
  <c r="AM56" i="454"/>
  <c r="AJ60" i="454"/>
  <c r="BB60" i="454"/>
  <c r="AV60" i="454"/>
  <c r="AY60" i="454"/>
  <c r="AP60" i="454"/>
  <c r="X60" i="454"/>
  <c r="AG60" i="454"/>
  <c r="AA60" i="454"/>
  <c r="AM60" i="454"/>
  <c r="AD60" i="454"/>
  <c r="AS60" i="454"/>
  <c r="AM68" i="454"/>
  <c r="AJ68" i="454"/>
  <c r="AG68" i="454"/>
  <c r="AP68" i="454"/>
  <c r="AA68" i="454"/>
  <c r="AS68" i="454"/>
  <c r="AV68" i="454"/>
  <c r="BB68" i="454"/>
  <c r="X68" i="454"/>
  <c r="AY68" i="454"/>
  <c r="AD68" i="454"/>
  <c r="AG72" i="454"/>
  <c r="AJ72" i="454"/>
  <c r="AY72" i="454"/>
  <c r="AV72" i="454"/>
  <c r="AD72" i="454"/>
  <c r="AA72" i="454"/>
  <c r="BB72" i="454"/>
  <c r="AP72" i="454"/>
  <c r="AS72" i="454"/>
  <c r="AM72" i="454"/>
  <c r="X72" i="454"/>
  <c r="S5" i="454"/>
  <c r="AV21" i="454"/>
  <c r="BB21" i="454"/>
  <c r="AD21" i="454"/>
  <c r="AG21" i="454"/>
  <c r="X21" i="454"/>
  <c r="AJ21" i="454"/>
  <c r="AP21" i="454"/>
  <c r="AM21" i="454"/>
  <c r="AY21" i="454"/>
  <c r="AA21" i="454"/>
  <c r="AS21" i="454"/>
  <c r="AV23" i="454"/>
  <c r="AM23" i="454"/>
  <c r="AD23" i="454"/>
  <c r="BB23" i="454"/>
  <c r="X23" i="454"/>
  <c r="AS23" i="454"/>
  <c r="AG23" i="454"/>
  <c r="AJ23" i="454"/>
  <c r="AY23" i="454"/>
  <c r="AP23" i="454"/>
  <c r="AA23" i="454"/>
  <c r="AS41" i="454"/>
  <c r="X41" i="454"/>
  <c r="AD41" i="454"/>
  <c r="AP41" i="454"/>
  <c r="AY41" i="454"/>
  <c r="AJ41" i="454"/>
  <c r="AM41" i="454"/>
  <c r="AV41" i="454"/>
  <c r="BB41" i="454"/>
  <c r="AG41" i="454"/>
  <c r="AA41" i="454"/>
  <c r="AM43" i="454"/>
  <c r="AY43" i="454"/>
  <c r="AG43" i="454"/>
  <c r="AV43" i="454"/>
  <c r="AP43" i="454"/>
  <c r="AD43" i="454"/>
  <c r="AS43" i="454"/>
  <c r="AJ43" i="454"/>
  <c r="X43" i="454"/>
  <c r="AA43" i="454"/>
  <c r="BB43" i="454"/>
  <c r="AG45" i="454"/>
  <c r="AD45" i="454"/>
  <c r="X45" i="454"/>
  <c r="AV45" i="454"/>
  <c r="BB45" i="454"/>
  <c r="AS45" i="454"/>
  <c r="AA45" i="454"/>
  <c r="AJ45" i="454"/>
  <c r="AM45" i="454"/>
  <c r="AY45" i="454"/>
  <c r="AP45" i="454"/>
  <c r="AP64" i="454"/>
  <c r="AM64" i="454"/>
  <c r="AG64" i="454"/>
  <c r="AS64" i="454"/>
  <c r="BB64" i="454"/>
  <c r="AA64" i="454"/>
  <c r="X64" i="454"/>
  <c r="AJ64" i="454"/>
  <c r="AD64" i="454"/>
  <c r="AV64" i="454"/>
  <c r="AY64" i="454"/>
  <c r="AP88" i="454"/>
  <c r="AJ88" i="454"/>
  <c r="AS88" i="454"/>
  <c r="AM88" i="454"/>
  <c r="AA88" i="454"/>
  <c r="AV88" i="454"/>
  <c r="AD88" i="454"/>
  <c r="AG88" i="454"/>
  <c r="BB88" i="454"/>
  <c r="AY88" i="454"/>
  <c r="X88" i="454"/>
  <c r="AA90" i="454"/>
  <c r="AY90" i="454"/>
  <c r="AM90" i="454"/>
  <c r="AG90" i="454"/>
  <c r="X90" i="454"/>
  <c r="AD90" i="454"/>
  <c r="BB90" i="454"/>
  <c r="AJ90" i="454"/>
  <c r="AS90" i="454"/>
  <c r="AV90" i="454"/>
  <c r="AP90" i="454"/>
  <c r="X51" i="454"/>
  <c r="AM51" i="454"/>
  <c r="AV51" i="454"/>
  <c r="AG51" i="454"/>
  <c r="AY51" i="454"/>
  <c r="AS51" i="454"/>
  <c r="AP51" i="454"/>
  <c r="AA51" i="454"/>
  <c r="AD51" i="454"/>
  <c r="AJ51" i="454"/>
  <c r="BB51" i="454"/>
  <c r="AM22" i="454"/>
  <c r="AG22" i="454"/>
  <c r="BB22" i="454"/>
  <c r="AV22" i="454"/>
  <c r="AD22" i="454"/>
  <c r="X22" i="454"/>
  <c r="AS22" i="454"/>
  <c r="AA22" i="454"/>
  <c r="AP22" i="454"/>
  <c r="AJ22" i="454"/>
  <c r="AY22" i="454"/>
  <c r="AS46" i="454"/>
  <c r="AV46" i="454"/>
  <c r="AD46" i="454"/>
  <c r="AA46" i="454"/>
  <c r="AP46" i="454"/>
  <c r="BB46" i="454"/>
  <c r="X46" i="454"/>
  <c r="AG46" i="454"/>
  <c r="AM46" i="454"/>
  <c r="AY46" i="454"/>
  <c r="AJ46" i="454"/>
  <c r="AS73" i="454"/>
  <c r="AV73" i="454"/>
  <c r="BB73" i="454"/>
  <c r="AG73" i="454"/>
  <c r="AP73" i="454"/>
  <c r="AD73" i="454"/>
  <c r="X73" i="454"/>
  <c r="AM73" i="454"/>
  <c r="AA73" i="454"/>
  <c r="AJ73" i="454"/>
  <c r="AY73" i="454"/>
  <c r="AV89" i="454"/>
  <c r="AA89" i="454"/>
  <c r="AY89" i="454"/>
  <c r="AS89" i="454"/>
  <c r="AM89" i="454"/>
  <c r="AD89" i="454"/>
  <c r="AG89" i="454"/>
  <c r="AJ89" i="454"/>
  <c r="BB89" i="454"/>
  <c r="AP89" i="454"/>
  <c r="X89" i="454"/>
  <c r="BB8" i="454"/>
  <c r="AP8" i="454"/>
  <c r="AS8" i="454"/>
  <c r="J7" i="454"/>
  <c r="AG8" i="454"/>
  <c r="AM8" i="454"/>
  <c r="AD8" i="454"/>
  <c r="X8" i="454"/>
  <c r="AJ8" i="454"/>
  <c r="AA8" i="454"/>
  <c r="AY8" i="454"/>
  <c r="AV8" i="454"/>
  <c r="AP12" i="454"/>
  <c r="AV12" i="454"/>
  <c r="AG12" i="454"/>
  <c r="X12" i="454"/>
  <c r="AM12" i="454"/>
  <c r="AJ12" i="454"/>
  <c r="AA12" i="454"/>
  <c r="AS12" i="454"/>
  <c r="AD12" i="454"/>
  <c r="AY12" i="454"/>
  <c r="BB12" i="454"/>
  <c r="AG24" i="454"/>
  <c r="AD24" i="454"/>
  <c r="AM24" i="454"/>
  <c r="AA24" i="454"/>
  <c r="X24" i="454"/>
  <c r="AS24" i="454"/>
  <c r="AY24" i="454"/>
  <c r="BB24" i="454"/>
  <c r="AJ24" i="454"/>
  <c r="AP24" i="454"/>
  <c r="AV24" i="454"/>
  <c r="AG27" i="454"/>
  <c r="AV27" i="454"/>
  <c r="AA27" i="454"/>
  <c r="BB27" i="454"/>
  <c r="X27" i="454"/>
  <c r="AM27" i="454"/>
  <c r="AP27" i="454"/>
  <c r="AD27" i="454"/>
  <c r="AY27" i="454"/>
  <c r="AS27" i="454"/>
  <c r="AJ27" i="454"/>
  <c r="AG31" i="454"/>
  <c r="AV31" i="454"/>
  <c r="AA31" i="454"/>
  <c r="X31" i="454"/>
  <c r="AD31" i="454"/>
  <c r="AP31" i="454"/>
  <c r="AM31" i="454"/>
  <c r="AJ31" i="454"/>
  <c r="AY31" i="454"/>
  <c r="AS31" i="454"/>
  <c r="BB31" i="454"/>
  <c r="AY35" i="454"/>
  <c r="AP35" i="454"/>
  <c r="AG35" i="454"/>
  <c r="AD35" i="454"/>
  <c r="BB35" i="454"/>
  <c r="AM35" i="454"/>
  <c r="AJ35" i="454"/>
  <c r="AV35" i="454"/>
  <c r="AS35" i="454"/>
  <c r="X35" i="454"/>
  <c r="AA35" i="454"/>
  <c r="X39" i="454"/>
  <c r="AS39" i="454"/>
  <c r="AP39" i="454"/>
  <c r="AA39" i="454"/>
  <c r="AV39" i="454"/>
  <c r="AG39" i="454"/>
  <c r="AM39" i="454"/>
  <c r="AY39" i="454"/>
  <c r="BB39" i="454"/>
  <c r="AD39" i="454"/>
  <c r="AJ39" i="454"/>
  <c r="AG58" i="454"/>
  <c r="AA58" i="454"/>
  <c r="X58" i="454"/>
  <c r="AP58" i="454"/>
  <c r="AD58" i="454"/>
  <c r="AV58" i="454"/>
  <c r="AS58" i="454"/>
  <c r="AJ58" i="454"/>
  <c r="AM58" i="454"/>
  <c r="BB58" i="454"/>
  <c r="AY58" i="454"/>
  <c r="X62" i="454"/>
  <c r="AG62" i="454"/>
  <c r="AS62" i="454"/>
  <c r="AM62" i="454"/>
  <c r="AY62" i="454"/>
  <c r="AD62" i="454"/>
  <c r="AV62" i="454"/>
  <c r="AJ62" i="454"/>
  <c r="AP62" i="454"/>
  <c r="BB62" i="454"/>
  <c r="AA62" i="454"/>
  <c r="AJ70" i="454"/>
  <c r="AM70" i="454"/>
  <c r="AG70" i="454"/>
  <c r="BB70" i="454"/>
  <c r="AP70" i="454"/>
  <c r="AA70" i="454"/>
  <c r="AY70" i="454"/>
  <c r="AD70" i="454"/>
  <c r="AV70" i="454"/>
  <c r="X70" i="454"/>
  <c r="AS70" i="454"/>
  <c r="AJ86" i="454"/>
  <c r="AA86" i="454"/>
  <c r="BB86" i="454"/>
  <c r="AS86" i="454"/>
  <c r="AM86" i="454"/>
  <c r="AD86" i="454"/>
  <c r="AY86" i="454"/>
  <c r="AG86" i="454"/>
  <c r="AP86" i="454"/>
  <c r="AV86" i="454"/>
  <c r="X86" i="454"/>
  <c r="AS9" i="454"/>
  <c r="AA9" i="454"/>
  <c r="X9" i="454"/>
  <c r="AP9" i="454"/>
  <c r="AY9" i="454"/>
  <c r="AG9" i="454"/>
  <c r="AD9" i="454"/>
  <c r="BB9" i="454"/>
  <c r="AM9" i="454"/>
  <c r="AV9" i="454"/>
  <c r="AJ9" i="454"/>
  <c r="AD11" i="454"/>
  <c r="AJ11" i="454"/>
  <c r="BB11" i="454"/>
  <c r="AV11" i="454"/>
  <c r="AM11" i="454"/>
  <c r="AA11" i="454"/>
  <c r="AY11" i="454"/>
  <c r="AG11" i="454"/>
  <c r="AP11" i="454"/>
  <c r="AS11" i="454"/>
  <c r="X11" i="454"/>
  <c r="S13" i="454"/>
  <c r="BB13" i="454"/>
  <c r="AJ13" i="454"/>
  <c r="AG13" i="454"/>
  <c r="AV13" i="454"/>
  <c r="AS13" i="454"/>
  <c r="AM13" i="454"/>
  <c r="AP13" i="454"/>
  <c r="AD13" i="454"/>
  <c r="AA13" i="454"/>
  <c r="X13" i="454"/>
  <c r="AY13" i="454"/>
  <c r="AA15" i="454"/>
  <c r="BB15" i="454"/>
  <c r="X15" i="454"/>
  <c r="AJ15" i="454"/>
  <c r="AP15" i="454"/>
  <c r="AS15" i="454"/>
  <c r="AD15" i="454"/>
  <c r="AM15" i="454"/>
  <c r="AV15" i="454"/>
  <c r="AG15" i="454"/>
  <c r="AY15" i="454"/>
  <c r="AG17" i="454"/>
  <c r="X17" i="454"/>
  <c r="AV17" i="454"/>
  <c r="AS17" i="454"/>
  <c r="BB17" i="454"/>
  <c r="AY17" i="454"/>
  <c r="AM17" i="454"/>
  <c r="AD17" i="454"/>
  <c r="AP17" i="454"/>
  <c r="AA17" i="454"/>
  <c r="AJ17" i="454"/>
  <c r="AM47" i="454"/>
  <c r="AV47" i="454"/>
  <c r="AD47" i="454"/>
  <c r="AG47" i="454"/>
  <c r="X47" i="454"/>
  <c r="AY47" i="454"/>
  <c r="AS47" i="454"/>
  <c r="AJ47" i="454"/>
  <c r="BB47" i="454"/>
  <c r="AP47" i="454"/>
  <c r="AA47" i="454"/>
  <c r="AA74" i="454"/>
  <c r="AY74" i="454"/>
  <c r="AP74" i="454"/>
  <c r="AM74" i="454"/>
  <c r="BB74" i="454"/>
  <c r="AJ74" i="454"/>
  <c r="AG74" i="454"/>
  <c r="AV74" i="454"/>
  <c r="AD74" i="454"/>
  <c r="AS74" i="454"/>
  <c r="X74" i="454"/>
  <c r="AA76" i="454"/>
  <c r="AJ76" i="454"/>
  <c r="X76" i="454"/>
  <c r="BB76" i="454"/>
  <c r="AP76" i="454"/>
  <c r="AY76" i="454"/>
  <c r="AS76" i="454"/>
  <c r="AM76" i="454"/>
  <c r="AG76" i="454"/>
  <c r="AD76" i="454"/>
  <c r="AV76" i="454"/>
  <c r="AM78" i="454"/>
  <c r="AJ78" i="454"/>
  <c r="AG78" i="454"/>
  <c r="AA78" i="454"/>
  <c r="X78" i="454"/>
  <c r="AP78" i="454"/>
  <c r="AV78" i="454"/>
  <c r="AS78" i="454"/>
  <c r="BB78" i="454"/>
  <c r="AD78" i="454"/>
  <c r="AY78" i="454"/>
  <c r="BB80" i="454"/>
  <c r="AV80" i="454"/>
  <c r="AM80" i="454"/>
  <c r="AG80" i="454"/>
  <c r="AS80" i="454"/>
  <c r="AY80" i="454"/>
  <c r="X80" i="454"/>
  <c r="AD80" i="454"/>
  <c r="AP80" i="454"/>
  <c r="AA80" i="454"/>
  <c r="AJ80" i="454"/>
  <c r="AY84" i="454"/>
  <c r="AG84" i="454"/>
  <c r="AS84" i="454"/>
  <c r="AP84" i="454"/>
  <c r="AM84" i="454"/>
  <c r="AA84" i="454"/>
  <c r="AV84" i="454"/>
  <c r="X84" i="454"/>
  <c r="BB84" i="454"/>
  <c r="AJ84" i="454"/>
  <c r="AD84" i="454"/>
  <c r="S23" i="454"/>
  <c r="S29" i="454"/>
  <c r="S45" i="454"/>
  <c r="P71" i="454"/>
  <c r="T71" i="454" s="1"/>
  <c r="R23" i="454"/>
  <c r="U23" i="454" s="1"/>
  <c r="S49" i="454"/>
  <c r="S77" i="454"/>
  <c r="P29" i="454"/>
  <c r="R29" i="454" s="1"/>
  <c r="U29" i="454" s="1"/>
  <c r="P37" i="454"/>
  <c r="R37" i="454" s="1"/>
  <c r="U37" i="454" s="1"/>
  <c r="P45" i="454"/>
  <c r="T45" i="454" s="1"/>
  <c r="P68" i="454"/>
  <c r="R68" i="454" s="1"/>
  <c r="U68" i="454" s="1"/>
  <c r="P90" i="454"/>
  <c r="T90" i="454" s="1"/>
  <c r="P89" i="454"/>
  <c r="T89" i="454" s="1"/>
  <c r="S47" i="454"/>
  <c r="P9" i="454"/>
  <c r="R9" i="454" s="1"/>
  <c r="U9" i="454" s="1"/>
  <c r="P17" i="454"/>
  <c r="T17" i="454" s="1"/>
  <c r="P31" i="454"/>
  <c r="R31" i="454" s="1"/>
  <c r="U31" i="454" s="1"/>
  <c r="P39" i="454"/>
  <c r="T39" i="454" s="1"/>
  <c r="P22" i="454"/>
  <c r="T22" i="454" s="1"/>
  <c r="T81" i="454"/>
  <c r="P13" i="454"/>
  <c r="R13" i="454" s="1"/>
  <c r="U13" i="454" s="1"/>
  <c r="P60" i="454"/>
  <c r="R60" i="454" s="1"/>
  <c r="U60" i="454" s="1"/>
  <c r="S81" i="454"/>
  <c r="P15" i="454"/>
  <c r="R15" i="454" s="1"/>
  <c r="U15" i="454" s="1"/>
  <c r="T46" i="454"/>
  <c r="T54" i="454"/>
  <c r="S59" i="454"/>
  <c r="S9" i="454"/>
  <c r="S30" i="454"/>
  <c r="P38" i="454"/>
  <c r="T38" i="454" s="1"/>
  <c r="P69" i="454"/>
  <c r="R69" i="454" s="1"/>
  <c r="U69" i="454" s="1"/>
  <c r="P77" i="454"/>
  <c r="R77" i="454" s="1"/>
  <c r="U77" i="454" s="1"/>
  <c r="S21" i="454"/>
  <c r="T64" i="454"/>
  <c r="S56" i="454"/>
  <c r="S68" i="454"/>
  <c r="S37" i="454"/>
  <c r="S80" i="454"/>
  <c r="S76" i="454"/>
  <c r="P24" i="454"/>
  <c r="R24" i="454" s="1"/>
  <c r="U24" i="454" s="1"/>
  <c r="S53" i="454"/>
  <c r="S79" i="454"/>
  <c r="R82" i="454"/>
  <c r="U82" i="454" s="1"/>
  <c r="S22" i="454"/>
  <c r="S51" i="454"/>
  <c r="S54" i="454"/>
  <c r="S65" i="454"/>
  <c r="T72" i="454"/>
  <c r="T87" i="454"/>
  <c r="P8" i="454"/>
  <c r="P14" i="454"/>
  <c r="R14" i="454" s="1"/>
  <c r="U14" i="454" s="1"/>
  <c r="P27" i="454"/>
  <c r="T27" i="454" s="1"/>
  <c r="P30" i="454"/>
  <c r="T30" i="454" s="1"/>
  <c r="S39" i="454"/>
  <c r="S48" i="454"/>
  <c r="P59" i="454"/>
  <c r="T59" i="454" s="1"/>
  <c r="S62" i="454"/>
  <c r="S75" i="454"/>
  <c r="P78" i="454"/>
  <c r="R78" i="454" s="1"/>
  <c r="U78" i="454" s="1"/>
  <c r="S87" i="454"/>
  <c r="S90" i="454"/>
  <c r="C7" i="454"/>
  <c r="A7" i="454" s="1"/>
  <c r="S12" i="454"/>
  <c r="S8" i="454"/>
  <c r="S14" i="454"/>
  <c r="S27" i="454"/>
  <c r="S41" i="454"/>
  <c r="P61" i="454"/>
  <c r="T61" i="454" s="1"/>
  <c r="S15" i="454"/>
  <c r="P28" i="454"/>
  <c r="T28" i="454" s="1"/>
  <c r="S73" i="454"/>
  <c r="S33" i="454"/>
  <c r="A6" i="454"/>
  <c r="P10" i="454"/>
  <c r="R10" i="454" s="1"/>
  <c r="U10" i="454" s="1"/>
  <c r="P26" i="454"/>
  <c r="T26" i="454" s="1"/>
  <c r="P32" i="454"/>
  <c r="T32" i="454" s="1"/>
  <c r="R40" i="454"/>
  <c r="U40" i="454" s="1"/>
  <c r="P43" i="454"/>
  <c r="T43" i="454" s="1"/>
  <c r="S82" i="454"/>
  <c r="T62" i="454"/>
  <c r="R62" i="454"/>
  <c r="U62" i="454" s="1"/>
  <c r="T73" i="454"/>
  <c r="R73" i="454"/>
  <c r="U73" i="454" s="1"/>
  <c r="R46" i="454"/>
  <c r="U46" i="454" s="1"/>
  <c r="S10" i="454"/>
  <c r="N18" i="454"/>
  <c r="J18" i="454"/>
  <c r="P33" i="454"/>
  <c r="T33" i="454" s="1"/>
  <c r="T40" i="454"/>
  <c r="P65" i="454"/>
  <c r="T65" i="454" s="1"/>
  <c r="S72" i="454"/>
  <c r="P75" i="454"/>
  <c r="T75" i="454" s="1"/>
  <c r="S6" i="454"/>
  <c r="S24" i="454"/>
  <c r="S50" i="454"/>
  <c r="S71" i="454"/>
  <c r="P91" i="454"/>
  <c r="R91" i="454" s="1"/>
  <c r="U91" i="454" s="1"/>
  <c r="S31" i="454"/>
  <c r="P35" i="454"/>
  <c r="T35" i="454" s="1"/>
  <c r="S44" i="454"/>
  <c r="P53" i="454"/>
  <c r="P58" i="454"/>
  <c r="T58" i="454" s="1"/>
  <c r="S69" i="454"/>
  <c r="P79" i="454"/>
  <c r="T79" i="454" s="1"/>
  <c r="P80" i="454"/>
  <c r="R81" i="454"/>
  <c r="U81" i="454" s="1"/>
  <c r="S16" i="454"/>
  <c r="T20" i="454"/>
  <c r="T23" i="454"/>
  <c r="S28" i="454"/>
  <c r="S34" i="454"/>
  <c r="T82" i="454"/>
  <c r="S91" i="454"/>
  <c r="S11" i="454"/>
  <c r="P16" i="454"/>
  <c r="T16" i="454" s="1"/>
  <c r="S20" i="454"/>
  <c r="S38" i="454"/>
  <c r="P41" i="454"/>
  <c r="T41" i="454" s="1"/>
  <c r="P42" i="454"/>
  <c r="T42" i="454" s="1"/>
  <c r="P51" i="454"/>
  <c r="T51" i="454" s="1"/>
  <c r="S57" i="454"/>
  <c r="T48" i="454"/>
  <c r="R48" i="454"/>
  <c r="U48" i="454" s="1"/>
  <c r="P67" i="454"/>
  <c r="R67" i="454" s="1"/>
  <c r="S67" i="454"/>
  <c r="P44" i="454"/>
  <c r="S84" i="454"/>
  <c r="P84" i="454"/>
  <c r="R87" i="454"/>
  <c r="U87" i="454" s="1"/>
  <c r="R64" i="454"/>
  <c r="U64" i="454" s="1"/>
  <c r="S70" i="454"/>
  <c r="P70" i="454"/>
  <c r="T70" i="454" s="1"/>
  <c r="P12" i="454"/>
  <c r="S26" i="454"/>
  <c r="S32" i="454"/>
  <c r="S35" i="454"/>
  <c r="J85" i="454"/>
  <c r="S19" i="454"/>
  <c r="S58" i="454"/>
  <c r="S74" i="454"/>
  <c r="P74" i="454"/>
  <c r="T74" i="454" s="1"/>
  <c r="P86" i="454"/>
  <c r="R86" i="454" s="1"/>
  <c r="S42" i="454"/>
  <c r="J25" i="454"/>
  <c r="J66" i="454"/>
  <c r="S78" i="454"/>
  <c r="S55" i="454"/>
  <c r="P55" i="454"/>
  <c r="T55" i="454" s="1"/>
  <c r="P11" i="454"/>
  <c r="P19" i="454"/>
  <c r="R19" i="454" s="1"/>
  <c r="R20" i="454"/>
  <c r="U20" i="454" s="1"/>
  <c r="P49" i="454"/>
  <c r="T49" i="454" s="1"/>
  <c r="P52" i="454"/>
  <c r="S52" i="454"/>
  <c r="N25" i="454"/>
  <c r="P34" i="454"/>
  <c r="S40" i="454"/>
  <c r="S43" i="454"/>
  <c r="P56" i="454"/>
  <c r="S60" i="454"/>
  <c r="P21" i="454"/>
  <c r="P47" i="454"/>
  <c r="T47" i="454" s="1"/>
  <c r="P50" i="454"/>
  <c r="T50" i="454" s="1"/>
  <c r="R54" i="454"/>
  <c r="U54" i="454" s="1"/>
  <c r="S63" i="454"/>
  <c r="P63" i="454"/>
  <c r="T63" i="454" s="1"/>
  <c r="P76" i="454"/>
  <c r="T76" i="454" s="1"/>
  <c r="S36" i="454"/>
  <c r="P36" i="454"/>
  <c r="S88" i="454"/>
  <c r="P88" i="454"/>
  <c r="T88" i="454" s="1"/>
  <c r="S46" i="454"/>
  <c r="S61" i="454"/>
  <c r="S86" i="454"/>
  <c r="P57" i="454"/>
  <c r="T57" i="454" s="1"/>
  <c r="S64" i="454"/>
  <c r="J83" i="454"/>
  <c r="S89" i="454"/>
  <c r="R72" i="454"/>
  <c r="U72" i="454" s="1"/>
  <c r="T8" i="454" l="1"/>
  <c r="P7" i="454"/>
  <c r="T7" i="454" s="1"/>
  <c r="N93" i="454"/>
  <c r="B45" i="453"/>
  <c r="F45" i="453" s="1"/>
  <c r="B45" i="450"/>
  <c r="F45" i="450" s="1"/>
  <c r="B42" i="33"/>
  <c r="F42" i="33" s="1"/>
  <c r="F44" i="446"/>
  <c r="B45" i="446"/>
  <c r="T37" i="454"/>
  <c r="T31" i="454"/>
  <c r="R71" i="454"/>
  <c r="U71" i="454" s="1"/>
  <c r="R89" i="454"/>
  <c r="U89" i="454" s="1"/>
  <c r="R39" i="454"/>
  <c r="U39" i="454" s="1"/>
  <c r="J93" i="454"/>
  <c r="X7" i="454"/>
  <c r="AV7" i="454"/>
  <c r="AP7" i="454"/>
  <c r="AA7" i="454"/>
  <c r="AD7" i="454"/>
  <c r="AS7" i="454"/>
  <c r="AJ7" i="454"/>
  <c r="BB7" i="454"/>
  <c r="AG7" i="454"/>
  <c r="AY7" i="454"/>
  <c r="AM7" i="454"/>
  <c r="AD5" i="454"/>
  <c r="AS5" i="454"/>
  <c r="AM5" i="454"/>
  <c r="BB5" i="454"/>
  <c r="AA5" i="454"/>
  <c r="AJ5" i="454"/>
  <c r="AP5" i="454"/>
  <c r="AG5" i="454"/>
  <c r="AV5" i="454"/>
  <c r="AY5" i="454"/>
  <c r="X5" i="454"/>
  <c r="L1" i="454" s="1"/>
  <c r="AJ25" i="454"/>
  <c r="BB25" i="454"/>
  <c r="X25" i="454"/>
  <c r="AV25" i="454"/>
  <c r="AS25" i="454"/>
  <c r="AG25" i="454"/>
  <c r="AA25" i="454"/>
  <c r="AY25" i="454"/>
  <c r="AD25" i="454"/>
  <c r="AM25" i="454"/>
  <c r="AP25" i="454"/>
  <c r="AD18" i="454"/>
  <c r="AY18" i="454"/>
  <c r="AM18" i="454"/>
  <c r="AS18" i="454"/>
  <c r="AA18" i="454"/>
  <c r="AJ18" i="454"/>
  <c r="X18" i="454"/>
  <c r="BB18" i="454"/>
  <c r="AP18" i="454"/>
  <c r="AV18" i="454"/>
  <c r="AG18" i="454"/>
  <c r="AG66" i="454"/>
  <c r="AD66" i="454"/>
  <c r="AV66" i="454"/>
  <c r="AY66" i="454"/>
  <c r="AP66" i="454"/>
  <c r="AS66" i="454"/>
  <c r="X66" i="454"/>
  <c r="BB66" i="454"/>
  <c r="AM66" i="454"/>
  <c r="AJ66" i="454"/>
  <c r="AA66" i="454"/>
  <c r="AY83" i="454"/>
  <c r="AV83" i="454"/>
  <c r="BB83" i="454"/>
  <c r="AA83" i="454"/>
  <c r="AS83" i="454"/>
  <c r="AP83" i="454"/>
  <c r="AG83" i="454"/>
  <c r="AM83" i="454"/>
  <c r="AD83" i="454"/>
  <c r="X83" i="454"/>
  <c r="AJ83" i="454"/>
  <c r="AP85" i="454"/>
  <c r="X85" i="454"/>
  <c r="AD85" i="454"/>
  <c r="AM85" i="454"/>
  <c r="BB85" i="454"/>
  <c r="AG85" i="454"/>
  <c r="AV85" i="454"/>
  <c r="AS85" i="454"/>
  <c r="AA85" i="454"/>
  <c r="AJ85" i="454"/>
  <c r="AY85" i="454"/>
  <c r="R22" i="454"/>
  <c r="U22" i="454" s="1"/>
  <c r="R16" i="454"/>
  <c r="U16" i="454" s="1"/>
  <c r="R35" i="454"/>
  <c r="U35" i="454" s="1"/>
  <c r="R45" i="454"/>
  <c r="U45" i="454" s="1"/>
  <c r="R90" i="454"/>
  <c r="U90" i="454" s="1"/>
  <c r="T68" i="454"/>
  <c r="T77" i="454"/>
  <c r="T78" i="454"/>
  <c r="T60" i="454"/>
  <c r="T15" i="454"/>
  <c r="R17" i="454"/>
  <c r="U17" i="454" s="1"/>
  <c r="T29" i="454"/>
  <c r="T13" i="454"/>
  <c r="S18" i="454"/>
  <c r="T9" i="454"/>
  <c r="R65" i="454"/>
  <c r="U65" i="454" s="1"/>
  <c r="R55" i="454"/>
  <c r="U55" i="454" s="1"/>
  <c r="T24" i="454"/>
  <c r="T10" i="454"/>
  <c r="T69" i="454"/>
  <c r="R38" i="454"/>
  <c r="U38" i="454" s="1"/>
  <c r="R43" i="454"/>
  <c r="U43" i="454" s="1"/>
  <c r="T14" i="454"/>
  <c r="R28" i="454"/>
  <c r="U28" i="454" s="1"/>
  <c r="R76" i="454"/>
  <c r="U76" i="454" s="1"/>
  <c r="S25" i="454"/>
  <c r="R8" i="454"/>
  <c r="U8" i="454" s="1"/>
  <c r="J1" i="454"/>
  <c r="S85" i="454"/>
  <c r="R61" i="454"/>
  <c r="U61" i="454" s="1"/>
  <c r="C8" i="454"/>
  <c r="R27" i="454"/>
  <c r="U27" i="454" s="1"/>
  <c r="R59" i="454"/>
  <c r="U59" i="454" s="1"/>
  <c r="R42" i="454"/>
  <c r="U42" i="454" s="1"/>
  <c r="R32" i="454"/>
  <c r="U32" i="454" s="1"/>
  <c r="R26" i="454"/>
  <c r="U26" i="454" s="1"/>
  <c r="R30" i="454"/>
  <c r="U30" i="454" s="1"/>
  <c r="R58" i="454"/>
  <c r="U58" i="454" s="1"/>
  <c r="S7" i="454"/>
  <c r="R79" i="454"/>
  <c r="U79" i="454" s="1"/>
  <c r="R51" i="454"/>
  <c r="U51" i="454" s="1"/>
  <c r="T80" i="454"/>
  <c r="R80" i="454"/>
  <c r="U80" i="454" s="1"/>
  <c r="R88" i="454"/>
  <c r="U88" i="454" s="1"/>
  <c r="T53" i="454"/>
  <c r="R53" i="454"/>
  <c r="U53" i="454" s="1"/>
  <c r="T91" i="454"/>
  <c r="R57" i="454"/>
  <c r="U57" i="454" s="1"/>
  <c r="R33" i="454"/>
  <c r="U33" i="454" s="1"/>
  <c r="R41" i="454"/>
  <c r="U41" i="454" s="1"/>
  <c r="R75" i="454"/>
  <c r="U75" i="454" s="1"/>
  <c r="R49" i="454"/>
  <c r="U49" i="454" s="1"/>
  <c r="R50" i="454"/>
  <c r="U50" i="454" s="1"/>
  <c r="R63" i="454"/>
  <c r="U63" i="454" s="1"/>
  <c r="S83" i="454"/>
  <c r="R70" i="454"/>
  <c r="U70" i="454" s="1"/>
  <c r="T56" i="454"/>
  <c r="R56" i="454"/>
  <c r="U56" i="454" s="1"/>
  <c r="R21" i="454"/>
  <c r="U21" i="454" s="1"/>
  <c r="T21" i="454"/>
  <c r="T34" i="454"/>
  <c r="R34" i="454"/>
  <c r="U34" i="454" s="1"/>
  <c r="P18" i="454"/>
  <c r="T18" i="454" s="1"/>
  <c r="T19" i="454"/>
  <c r="P85" i="454"/>
  <c r="T85" i="454" s="1"/>
  <c r="T86" i="454"/>
  <c r="T44" i="454"/>
  <c r="R44" i="454"/>
  <c r="U44" i="454" s="1"/>
  <c r="S66" i="454"/>
  <c r="U67" i="454"/>
  <c r="T84" i="454"/>
  <c r="P83" i="454"/>
  <c r="T83" i="454" s="1"/>
  <c r="R84" i="454"/>
  <c r="R47" i="454"/>
  <c r="U47" i="454" s="1"/>
  <c r="T52" i="454"/>
  <c r="R52" i="454"/>
  <c r="U52" i="454" s="1"/>
  <c r="T11" i="454"/>
  <c r="R11" i="454"/>
  <c r="U11" i="454" s="1"/>
  <c r="T67" i="454"/>
  <c r="P66" i="454"/>
  <c r="T66" i="454" s="1"/>
  <c r="U86" i="454"/>
  <c r="T12" i="454"/>
  <c r="R12" i="454"/>
  <c r="U12" i="454" s="1"/>
  <c r="R74" i="454"/>
  <c r="U74" i="454" s="1"/>
  <c r="U19" i="454"/>
  <c r="R36" i="454"/>
  <c r="U36" i="454" s="1"/>
  <c r="T36" i="454"/>
  <c r="P25" i="454"/>
  <c r="T25" i="454" s="1"/>
  <c r="J20" i="25"/>
  <c r="O16" i="25"/>
  <c r="B46" i="453" l="1"/>
  <c r="F46" i="453" s="1"/>
  <c r="B46" i="450"/>
  <c r="F46" i="450" s="1"/>
  <c r="B43" i="33"/>
  <c r="F43" i="33" s="1"/>
  <c r="F45" i="446"/>
  <c r="B46" i="446"/>
  <c r="AS93" i="454"/>
  <c r="BB93" i="454"/>
  <c r="AG93" i="454"/>
  <c r="AY93" i="454"/>
  <c r="X93" i="454"/>
  <c r="AM93" i="454"/>
  <c r="AJ93" i="454"/>
  <c r="AD93" i="454"/>
  <c r="AA93" i="454"/>
  <c r="AP93" i="454"/>
  <c r="AV93" i="454"/>
  <c r="AM4" i="454"/>
  <c r="AV4" i="454"/>
  <c r="AY4" i="454"/>
  <c r="X4" i="454"/>
  <c r="AS4" i="454"/>
  <c r="AA4" i="454"/>
  <c r="AJ4" i="454"/>
  <c r="AG4" i="454"/>
  <c r="AD4" i="454"/>
  <c r="AP4" i="454"/>
  <c r="BB4" i="454"/>
  <c r="R85" i="454"/>
  <c r="U85" i="454" s="1"/>
  <c r="A8" i="454"/>
  <c r="C9" i="454"/>
  <c r="S93" i="454"/>
  <c r="N1" i="454"/>
  <c r="R25" i="454"/>
  <c r="U25" i="454" s="1"/>
  <c r="R18" i="454"/>
  <c r="U18" i="454" s="1"/>
  <c r="U84" i="454"/>
  <c r="R83" i="454"/>
  <c r="U83" i="454" s="1"/>
  <c r="R66" i="454"/>
  <c r="U66" i="454" s="1"/>
  <c r="R7" i="454"/>
  <c r="U7" i="454" s="1"/>
  <c r="B47" i="453" l="1"/>
  <c r="F47" i="453" s="1"/>
  <c r="B47" i="450"/>
  <c r="F47" i="450" s="1"/>
  <c r="B44" i="33"/>
  <c r="F44" i="33" s="1"/>
  <c r="F46" i="446"/>
  <c r="B47" i="446"/>
  <c r="A9" i="454"/>
  <c r="C10" i="454"/>
  <c r="B48" i="453" l="1"/>
  <c r="F48" i="453" s="1"/>
  <c r="B48" i="450"/>
  <c r="F48" i="450" s="1"/>
  <c r="B45" i="33"/>
  <c r="F45" i="33" s="1"/>
  <c r="F47" i="446"/>
  <c r="B48" i="446"/>
  <c r="A10" i="454"/>
  <c r="C11" i="454"/>
  <c r="C12" i="454" s="1"/>
  <c r="F15" i="421"/>
  <c r="F12" i="418"/>
  <c r="F11" i="418"/>
  <c r="F10" i="418"/>
  <c r="F7" i="418"/>
  <c r="D22" i="26"/>
  <c r="D23" i="26" s="1"/>
  <c r="D18" i="26"/>
  <c r="F48" i="446" l="1"/>
  <c r="B49" i="453"/>
  <c r="F49" i="453" s="1"/>
  <c r="B49" i="450"/>
  <c r="F49" i="450" s="1"/>
  <c r="B46" i="33"/>
  <c r="F46" i="33" s="1"/>
  <c r="B49" i="446"/>
  <c r="A11" i="454"/>
  <c r="C13" i="454"/>
  <c r="A12" i="454"/>
  <c r="D15" i="430"/>
  <c r="G15" i="430" s="1"/>
  <c r="H15" i="421" l="1"/>
  <c r="F49" i="446"/>
  <c r="B50" i="453"/>
  <c r="F50" i="453" s="1"/>
  <c r="B50" i="450"/>
  <c r="F50" i="450" s="1"/>
  <c r="B47" i="33"/>
  <c r="F47" i="33" s="1"/>
  <c r="B50" i="446"/>
  <c r="A13" i="454"/>
  <c r="C14" i="454"/>
  <c r="J1" i="25"/>
  <c r="G3" i="25"/>
  <c r="D6" i="38"/>
  <c r="F12" i="430"/>
  <c r="B51" i="450" l="1"/>
  <c r="F51" i="450" s="1"/>
  <c r="B48" i="33"/>
  <c r="F48" i="33" s="1"/>
  <c r="F50" i="446"/>
  <c r="B51" i="453"/>
  <c r="F51" i="453" s="1"/>
  <c r="B51" i="446"/>
  <c r="C15" i="454"/>
  <c r="A14" i="454"/>
  <c r="G10" i="450"/>
  <c r="G10" i="33"/>
  <c r="E11" i="33"/>
  <c r="G11" i="453"/>
  <c r="E12" i="453" s="1"/>
  <c r="B52" i="450" l="1"/>
  <c r="F52" i="450" s="1"/>
  <c r="B49" i="33"/>
  <c r="F49" i="33" s="1"/>
  <c r="B52" i="453"/>
  <c r="F52" i="453" s="1"/>
  <c r="F51" i="446"/>
  <c r="E11" i="450"/>
  <c r="G12" i="453"/>
  <c r="E13" i="453" s="1"/>
  <c r="G13" i="453" s="1"/>
  <c r="B52" i="446"/>
  <c r="F52" i="446" s="1"/>
  <c r="G11" i="33"/>
  <c r="E12" i="33" s="1"/>
  <c r="G12" i="33" s="1"/>
  <c r="E13" i="33" s="1"/>
  <c r="G13" i="33" s="1"/>
  <c r="C16" i="454"/>
  <c r="A15" i="454"/>
  <c r="C24" i="438"/>
  <c r="C20" i="438"/>
  <c r="E6" i="438"/>
  <c r="C11" i="438"/>
  <c r="C10" i="438"/>
  <c r="A24" i="437"/>
  <c r="A23" i="437"/>
  <c r="E53" i="453" l="1"/>
  <c r="G11" i="450"/>
  <c r="G50" i="33"/>
  <c r="E50" i="33"/>
  <c r="C17" i="454"/>
  <c r="A16" i="454"/>
  <c r="G10" i="453"/>
  <c r="G53" i="453" s="1"/>
  <c r="B60" i="453"/>
  <c r="H6" i="453"/>
  <c r="E6" i="453"/>
  <c r="E5" i="453"/>
  <c r="F53" i="453" l="1"/>
  <c r="F54" i="453" s="1"/>
  <c r="E12" i="450"/>
  <c r="F50" i="33"/>
  <c r="A17" i="454"/>
  <c r="G54" i="453"/>
  <c r="E54" i="453"/>
  <c r="G12" i="450" l="1"/>
  <c r="C18" i="454"/>
  <c r="E13" i="450" l="1"/>
  <c r="C19" i="454"/>
  <c r="A18" i="454"/>
  <c r="C40" i="38"/>
  <c r="C39" i="38"/>
  <c r="D13" i="430"/>
  <c r="G13" i="430" s="1"/>
  <c r="D12" i="430"/>
  <c r="G12" i="430" s="1"/>
  <c r="H12" i="430" s="1"/>
  <c r="F13" i="430" s="1"/>
  <c r="D12" i="37"/>
  <c r="G12" i="37" s="1"/>
  <c r="D13" i="37"/>
  <c r="G13" i="37" s="1"/>
  <c r="K12" i="36"/>
  <c r="K13" i="36"/>
  <c r="I12" i="36"/>
  <c r="I13" i="36"/>
  <c r="Q12" i="36" l="1"/>
  <c r="H13" i="430"/>
  <c r="F14" i="430" s="1"/>
  <c r="G13" i="450"/>
  <c r="C20" i="454"/>
  <c r="A19" i="454"/>
  <c r="Q13" i="36"/>
  <c r="H13" i="421"/>
  <c r="C4" i="418"/>
  <c r="G10" i="446"/>
  <c r="E11" i="446" l="1"/>
  <c r="A20" i="454"/>
  <c r="C21" i="454"/>
  <c r="B43" i="36"/>
  <c r="E4" i="37"/>
  <c r="G53" i="450" l="1"/>
  <c r="E53" i="450"/>
  <c r="G11" i="446"/>
  <c r="C22" i="454"/>
  <c r="A21" i="454"/>
  <c r="H32" i="36"/>
  <c r="P32" i="36"/>
  <c r="N32" i="36"/>
  <c r="F53" i="450" l="1"/>
  <c r="E12" i="446"/>
  <c r="A22" i="454"/>
  <c r="C23" i="454"/>
  <c r="V12" i="25"/>
  <c r="V24" i="25"/>
  <c r="V32" i="25"/>
  <c r="V74" i="25"/>
  <c r="V92" i="25"/>
  <c r="V95" i="25"/>
  <c r="V103" i="25"/>
  <c r="N10" i="25"/>
  <c r="S10" i="25" s="1"/>
  <c r="J7" i="26"/>
  <c r="H8" i="26"/>
  <c r="P8" i="429"/>
  <c r="N8" i="429"/>
  <c r="D15" i="26"/>
  <c r="G12" i="446" l="1"/>
  <c r="C24" i="454"/>
  <c r="A23" i="454"/>
  <c r="N11" i="25"/>
  <c r="C4" i="26"/>
  <c r="G4" i="25" s="1"/>
  <c r="C5" i="206" s="1"/>
  <c r="E13" i="446" l="1"/>
  <c r="A24" i="454"/>
  <c r="D9" i="429"/>
  <c r="D6" i="429"/>
  <c r="E13" i="206"/>
  <c r="H13" i="206" s="1"/>
  <c r="Q24" i="421"/>
  <c r="G13" i="446" l="1"/>
  <c r="C25" i="454"/>
  <c r="C21" i="429"/>
  <c r="E3" i="37" s="1"/>
  <c r="A25" i="454" l="1"/>
  <c r="C26" i="454"/>
  <c r="A26" i="454" s="1"/>
  <c r="G53" i="446" l="1"/>
  <c r="E53" i="446"/>
  <c r="C27" i="454"/>
  <c r="C28" i="454" s="1"/>
  <c r="E4" i="430"/>
  <c r="E3" i="36"/>
  <c r="D8" i="37"/>
  <c r="F53" i="446" l="1"/>
  <c r="A27" i="454"/>
  <c r="C29" i="454"/>
  <c r="A28" i="454"/>
  <c r="D11" i="37"/>
  <c r="I11" i="37" s="1"/>
  <c r="I12" i="37" s="1"/>
  <c r="I13" i="37" s="1"/>
  <c r="H8" i="37"/>
  <c r="C25" i="26" s="1"/>
  <c r="Y19" i="25"/>
  <c r="D25" i="26" l="1"/>
  <c r="J35" i="26"/>
  <c r="A29" i="454"/>
  <c r="C30" i="454"/>
  <c r="Q11" i="36"/>
  <c r="B60" i="450"/>
  <c r="H6" i="450"/>
  <c r="E6" i="450"/>
  <c r="E5" i="450"/>
  <c r="B60" i="446"/>
  <c r="H6" i="446"/>
  <c r="F54" i="446" s="1"/>
  <c r="E6" i="446"/>
  <c r="E5" i="446"/>
  <c r="H6" i="33"/>
  <c r="G11" i="421"/>
  <c r="G12" i="421" s="1"/>
  <c r="G13" i="421" s="1"/>
  <c r="C9" i="26"/>
  <c r="H11" i="37"/>
  <c r="F12" i="37" s="1"/>
  <c r="P12" i="421"/>
  <c r="C31" i="454" l="1"/>
  <c r="A30" i="454"/>
  <c r="E54" i="450"/>
  <c r="F54" i="450"/>
  <c r="G54" i="450"/>
  <c r="F51" i="33"/>
  <c r="E51" i="33"/>
  <c r="G51" i="33"/>
  <c r="E54" i="446"/>
  <c r="G54" i="446"/>
  <c r="A31" i="454" l="1"/>
  <c r="C32" i="454"/>
  <c r="E12" i="421"/>
  <c r="E13" i="421" s="1"/>
  <c r="E14" i="421" s="1"/>
  <c r="E15" i="421" s="1"/>
  <c r="E16" i="421" s="1"/>
  <c r="E17" i="421" s="1"/>
  <c r="E18" i="421" s="1"/>
  <c r="E19" i="421" s="1"/>
  <c r="E20" i="421" s="1"/>
  <c r="E21" i="421" s="1"/>
  <c r="E22" i="421" s="1"/>
  <c r="E7" i="36"/>
  <c r="L15" i="36" s="1"/>
  <c r="C33" i="454" l="1"/>
  <c r="A32" i="454"/>
  <c r="D15" i="36"/>
  <c r="J15" i="36"/>
  <c r="D13" i="36"/>
  <c r="D12" i="36"/>
  <c r="L12" i="36"/>
  <c r="J12" i="36"/>
  <c r="L13" i="36"/>
  <c r="J13" i="36"/>
  <c r="R11" i="36"/>
  <c r="D11" i="36"/>
  <c r="D13" i="25"/>
  <c r="D14" i="25" s="1"/>
  <c r="D15" i="25" s="1"/>
  <c r="D16" i="25" s="1"/>
  <c r="D17" i="25" s="1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" i="25"/>
  <c r="D25" i="25"/>
  <c r="D26" i="25" s="1"/>
  <c r="D27" i="25" s="1"/>
  <c r="D28" i="25" s="1"/>
  <c r="D29" i="25" s="1"/>
  <c r="D30" i="25" s="1"/>
  <c r="D33" i="25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5" i="25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3" i="25"/>
  <c r="D96" i="25"/>
  <c r="D97" i="25" s="1"/>
  <c r="D98" i="25" s="1"/>
  <c r="D99" i="25" s="1"/>
  <c r="D100" i="25" s="1"/>
  <c r="D101" i="25" s="1"/>
  <c r="D10" i="25"/>
  <c r="O101" i="25"/>
  <c r="Q101" i="25" s="1"/>
  <c r="N101" i="25"/>
  <c r="L101" i="25"/>
  <c r="O100" i="25"/>
  <c r="Q100" i="25" s="1"/>
  <c r="N100" i="25"/>
  <c r="L100" i="25"/>
  <c r="O99" i="25"/>
  <c r="Q99" i="25" s="1"/>
  <c r="N99" i="25"/>
  <c r="L99" i="25"/>
  <c r="O98" i="25"/>
  <c r="Q98" i="25" s="1"/>
  <c r="N98" i="25"/>
  <c r="L98" i="25"/>
  <c r="O97" i="25"/>
  <c r="Q97" i="25" s="1"/>
  <c r="N97" i="25"/>
  <c r="L97" i="25"/>
  <c r="O96" i="25"/>
  <c r="Q96" i="25" s="1"/>
  <c r="N96" i="25"/>
  <c r="L96" i="25"/>
  <c r="J101" i="25"/>
  <c r="J100" i="25"/>
  <c r="J99" i="25"/>
  <c r="J98" i="25"/>
  <c r="J97" i="25"/>
  <c r="J96" i="25"/>
  <c r="J93" i="25"/>
  <c r="J94" i="25" s="1"/>
  <c r="O93" i="25"/>
  <c r="Q93" i="25" s="1"/>
  <c r="N93" i="25"/>
  <c r="L93" i="25"/>
  <c r="L94" i="25" s="1"/>
  <c r="O75" i="25"/>
  <c r="Q75" i="25" s="1"/>
  <c r="Y75" i="25" s="1"/>
  <c r="O76" i="25"/>
  <c r="Q76" i="25" s="1"/>
  <c r="O77" i="25"/>
  <c r="Q77" i="25" s="1"/>
  <c r="O78" i="25"/>
  <c r="Q78" i="25" s="1"/>
  <c r="O79" i="25"/>
  <c r="Q79" i="25" s="1"/>
  <c r="O80" i="25"/>
  <c r="Q80" i="25" s="1"/>
  <c r="O81" i="25"/>
  <c r="Q81" i="25" s="1"/>
  <c r="O82" i="25"/>
  <c r="Q82" i="25" s="1"/>
  <c r="O83" i="25"/>
  <c r="Q83" i="25" s="1"/>
  <c r="O84" i="25"/>
  <c r="Q84" i="25" s="1"/>
  <c r="O85" i="25"/>
  <c r="Q85" i="25" s="1"/>
  <c r="O86" i="25"/>
  <c r="Q86" i="25" s="1"/>
  <c r="O87" i="25"/>
  <c r="Q87" i="25" s="1"/>
  <c r="O88" i="25"/>
  <c r="Q88" i="25" s="1"/>
  <c r="O89" i="25"/>
  <c r="Q89" i="25" s="1"/>
  <c r="O90" i="25"/>
  <c r="Q90" i="25" s="1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75" i="25"/>
  <c r="N76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75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L39" i="25"/>
  <c r="N39" i="25"/>
  <c r="O39" i="25"/>
  <c r="Q39" i="25" s="1"/>
  <c r="L40" i="25"/>
  <c r="N40" i="25"/>
  <c r="O40" i="25"/>
  <c r="Q40" i="25" s="1"/>
  <c r="L41" i="25"/>
  <c r="N41" i="25"/>
  <c r="O41" i="25"/>
  <c r="Q41" i="25" s="1"/>
  <c r="L42" i="25"/>
  <c r="N42" i="25"/>
  <c r="S42" i="25" s="1"/>
  <c r="O42" i="25"/>
  <c r="Q42" i="25" s="1"/>
  <c r="L43" i="25"/>
  <c r="N43" i="25"/>
  <c r="O43" i="25"/>
  <c r="Q43" i="25" s="1"/>
  <c r="L44" i="25"/>
  <c r="N44" i="25"/>
  <c r="O44" i="25"/>
  <c r="Q44" i="25" s="1"/>
  <c r="L45" i="25"/>
  <c r="N45" i="25"/>
  <c r="O45" i="25"/>
  <c r="Q45" i="25" s="1"/>
  <c r="L46" i="25"/>
  <c r="N46" i="25"/>
  <c r="O46" i="25"/>
  <c r="Q46" i="25" s="1"/>
  <c r="L47" i="25"/>
  <c r="N47" i="25"/>
  <c r="O47" i="25"/>
  <c r="Q47" i="25" s="1"/>
  <c r="L48" i="25"/>
  <c r="N48" i="25"/>
  <c r="O48" i="25"/>
  <c r="Q48" i="25" s="1"/>
  <c r="L49" i="25"/>
  <c r="N49" i="25"/>
  <c r="O49" i="25"/>
  <c r="Q49" i="25" s="1"/>
  <c r="L50" i="25"/>
  <c r="N50" i="25"/>
  <c r="S50" i="25" s="1"/>
  <c r="O50" i="25"/>
  <c r="Q50" i="25" s="1"/>
  <c r="L51" i="25"/>
  <c r="N51" i="25"/>
  <c r="O51" i="25"/>
  <c r="Q51" i="25" s="1"/>
  <c r="L52" i="25"/>
  <c r="N52" i="25"/>
  <c r="O52" i="25"/>
  <c r="Q52" i="25" s="1"/>
  <c r="L53" i="25"/>
  <c r="N53" i="25"/>
  <c r="O53" i="25"/>
  <c r="Q53" i="25" s="1"/>
  <c r="L54" i="25"/>
  <c r="N54" i="25"/>
  <c r="O54" i="25"/>
  <c r="Q54" i="25" s="1"/>
  <c r="L55" i="25"/>
  <c r="N55" i="25"/>
  <c r="O55" i="25"/>
  <c r="Q55" i="25" s="1"/>
  <c r="L56" i="25"/>
  <c r="N56" i="25"/>
  <c r="O56" i="25"/>
  <c r="Q56" i="25" s="1"/>
  <c r="L57" i="25"/>
  <c r="N57" i="25"/>
  <c r="O57" i="25"/>
  <c r="Q57" i="25" s="1"/>
  <c r="L58" i="25"/>
  <c r="N58" i="25"/>
  <c r="S58" i="25" s="1"/>
  <c r="O58" i="25"/>
  <c r="Q58" i="25" s="1"/>
  <c r="L59" i="25"/>
  <c r="N59" i="25"/>
  <c r="O59" i="25"/>
  <c r="Q59" i="25" s="1"/>
  <c r="L60" i="25"/>
  <c r="N60" i="25"/>
  <c r="O60" i="25"/>
  <c r="Q60" i="25" s="1"/>
  <c r="L61" i="25"/>
  <c r="N61" i="25"/>
  <c r="O61" i="25"/>
  <c r="Q61" i="25" s="1"/>
  <c r="L62" i="25"/>
  <c r="N62" i="25"/>
  <c r="O62" i="25"/>
  <c r="Q62" i="25" s="1"/>
  <c r="L63" i="25"/>
  <c r="N63" i="25"/>
  <c r="O63" i="25"/>
  <c r="Q63" i="25" s="1"/>
  <c r="L64" i="25"/>
  <c r="N64" i="25"/>
  <c r="O64" i="25"/>
  <c r="Q64" i="25" s="1"/>
  <c r="L65" i="25"/>
  <c r="N65" i="25"/>
  <c r="O65" i="25"/>
  <c r="Q65" i="25" s="1"/>
  <c r="L66" i="25"/>
  <c r="N66" i="25"/>
  <c r="S66" i="25" s="1"/>
  <c r="O66" i="25"/>
  <c r="Q66" i="25" s="1"/>
  <c r="L67" i="25"/>
  <c r="N67" i="25"/>
  <c r="O67" i="25"/>
  <c r="Q67" i="25" s="1"/>
  <c r="L68" i="25"/>
  <c r="N68" i="25"/>
  <c r="O68" i="25"/>
  <c r="Q68" i="25" s="1"/>
  <c r="L69" i="25"/>
  <c r="N69" i="25"/>
  <c r="S69" i="25" s="1"/>
  <c r="O69" i="25"/>
  <c r="Q69" i="25" s="1"/>
  <c r="L70" i="25"/>
  <c r="N70" i="25"/>
  <c r="O70" i="25"/>
  <c r="Q70" i="25" s="1"/>
  <c r="L71" i="25"/>
  <c r="N71" i="25"/>
  <c r="O71" i="25"/>
  <c r="Q71" i="25" s="1"/>
  <c r="L72" i="25"/>
  <c r="N72" i="25"/>
  <c r="O72" i="25"/>
  <c r="Q72" i="25" s="1"/>
  <c r="O38" i="25"/>
  <c r="Q38" i="25" s="1"/>
  <c r="N38" i="25"/>
  <c r="L38" i="25"/>
  <c r="O37" i="25"/>
  <c r="Q37" i="25" s="1"/>
  <c r="N37" i="25"/>
  <c r="L37" i="25"/>
  <c r="O36" i="25"/>
  <c r="Q36" i="25" s="1"/>
  <c r="N36" i="25"/>
  <c r="L36" i="25"/>
  <c r="O35" i="25"/>
  <c r="Q35" i="25" s="1"/>
  <c r="N35" i="25"/>
  <c r="L35" i="25"/>
  <c r="O34" i="25"/>
  <c r="Q34" i="25" s="1"/>
  <c r="N34" i="25"/>
  <c r="L34" i="25"/>
  <c r="O33" i="25"/>
  <c r="Q33" i="25" s="1"/>
  <c r="N33" i="25"/>
  <c r="L33" i="25"/>
  <c r="N28" i="25"/>
  <c r="N27" i="25"/>
  <c r="N30" i="25"/>
  <c r="S30" i="25" s="1"/>
  <c r="N29" i="25"/>
  <c r="N26" i="25"/>
  <c r="N25" i="25"/>
  <c r="J30" i="25"/>
  <c r="J29" i="25"/>
  <c r="J28" i="25"/>
  <c r="J27" i="25"/>
  <c r="J26" i="25"/>
  <c r="J25" i="25"/>
  <c r="O30" i="25"/>
  <c r="Q30" i="25" s="1"/>
  <c r="L30" i="25"/>
  <c r="O29" i="25"/>
  <c r="Q29" i="25" s="1"/>
  <c r="L29" i="25"/>
  <c r="O28" i="25"/>
  <c r="Q28" i="25" s="1"/>
  <c r="L28" i="25"/>
  <c r="O27" i="25"/>
  <c r="Q27" i="25" s="1"/>
  <c r="L27" i="25"/>
  <c r="O26" i="25"/>
  <c r="Q26" i="25" s="1"/>
  <c r="L26" i="25"/>
  <c r="O25" i="25"/>
  <c r="Q25" i="25" s="1"/>
  <c r="L25" i="25"/>
  <c r="O10" i="25"/>
  <c r="O13" i="25"/>
  <c r="Q13" i="25" s="1"/>
  <c r="O14" i="25"/>
  <c r="Q14" i="25" s="1"/>
  <c r="O15" i="25"/>
  <c r="Q15" i="25" s="1"/>
  <c r="Q16" i="25"/>
  <c r="O17" i="25"/>
  <c r="Q17" i="25" s="1"/>
  <c r="O18" i="25"/>
  <c r="Q18" i="25" s="1"/>
  <c r="O19" i="25"/>
  <c r="Q19" i="25" s="1"/>
  <c r="O20" i="25"/>
  <c r="Q20" i="25" s="1"/>
  <c r="O21" i="25"/>
  <c r="Q21" i="25" s="1"/>
  <c r="O22" i="25"/>
  <c r="Q22" i="25" s="1"/>
  <c r="N13" i="25"/>
  <c r="N14" i="25"/>
  <c r="N15" i="25"/>
  <c r="N16" i="25"/>
  <c r="N17" i="25"/>
  <c r="N18" i="25"/>
  <c r="N19" i="25"/>
  <c r="S19" i="25" s="1"/>
  <c r="N20" i="25"/>
  <c r="N21" i="25"/>
  <c r="N22" i="25"/>
  <c r="L13" i="25"/>
  <c r="L14" i="25"/>
  <c r="L15" i="25"/>
  <c r="L16" i="25"/>
  <c r="L17" i="25"/>
  <c r="L18" i="25"/>
  <c r="L19" i="25"/>
  <c r="L20" i="25"/>
  <c r="L21" i="25"/>
  <c r="L22" i="25"/>
  <c r="L11" i="25"/>
  <c r="L104" i="25" s="1"/>
  <c r="J13" i="25"/>
  <c r="J14" i="25"/>
  <c r="J15" i="25"/>
  <c r="J16" i="25"/>
  <c r="J17" i="25"/>
  <c r="J18" i="25"/>
  <c r="J19" i="25"/>
  <c r="J21" i="25"/>
  <c r="J22" i="25"/>
  <c r="J10" i="25"/>
  <c r="Q113" i="25"/>
  <c r="Q112" i="25"/>
  <c r="Q111" i="25"/>
  <c r="J113" i="25"/>
  <c r="J112" i="25"/>
  <c r="F60" i="453" s="1"/>
  <c r="J111" i="25"/>
  <c r="F59" i="453" s="1"/>
  <c r="F111" i="25"/>
  <c r="D14" i="429"/>
  <c r="C16" i="438" s="1"/>
  <c r="C3" i="438"/>
  <c r="A19" i="437"/>
  <c r="R15" i="36" l="1"/>
  <c r="C34" i="454"/>
  <c r="A33" i="454"/>
  <c r="R12" i="36"/>
  <c r="R13" i="36"/>
  <c r="S88" i="25"/>
  <c r="S71" i="25"/>
  <c r="S55" i="25"/>
  <c r="S47" i="25"/>
  <c r="S18" i="25"/>
  <c r="S80" i="25"/>
  <c r="S63" i="25"/>
  <c r="S39" i="25"/>
  <c r="S53" i="25"/>
  <c r="S45" i="25"/>
  <c r="S79" i="25"/>
  <c r="S86" i="25"/>
  <c r="S17" i="25"/>
  <c r="S38" i="25"/>
  <c r="S60" i="25"/>
  <c r="S52" i="25"/>
  <c r="S44" i="25"/>
  <c r="S100" i="25"/>
  <c r="S37" i="25"/>
  <c r="S87" i="25"/>
  <c r="S78" i="25"/>
  <c r="P22" i="25"/>
  <c r="R22" i="25" s="1"/>
  <c r="U22" i="25" s="1"/>
  <c r="V22" i="25" s="1"/>
  <c r="S16" i="25"/>
  <c r="S70" i="25"/>
  <c r="S61" i="25"/>
  <c r="S68" i="25"/>
  <c r="S25" i="25"/>
  <c r="S36" i="25"/>
  <c r="S62" i="25"/>
  <c r="S54" i="25"/>
  <c r="S46" i="25"/>
  <c r="S20" i="25"/>
  <c r="S99" i="25"/>
  <c r="B59" i="453"/>
  <c r="C38" i="38"/>
  <c r="S85" i="25"/>
  <c r="S15" i="25"/>
  <c r="S75" i="25"/>
  <c r="S83" i="25"/>
  <c r="S98" i="25"/>
  <c r="J11" i="25"/>
  <c r="S11" i="25" s="1"/>
  <c r="S35" i="25"/>
  <c r="S97" i="25"/>
  <c r="S77" i="25"/>
  <c r="S33" i="25"/>
  <c r="S65" i="25"/>
  <c r="S57" i="25"/>
  <c r="S49" i="25"/>
  <c r="S41" i="25"/>
  <c r="S76" i="25"/>
  <c r="S84" i="25"/>
  <c r="S22" i="25"/>
  <c r="S14" i="25"/>
  <c r="S26" i="25"/>
  <c r="S72" i="25"/>
  <c r="S67" i="25"/>
  <c r="S59" i="25"/>
  <c r="S51" i="25"/>
  <c r="S43" i="25"/>
  <c r="S90" i="25"/>
  <c r="S82" i="25"/>
  <c r="S101" i="25"/>
  <c r="S27" i="25"/>
  <c r="S28" i="25"/>
  <c r="S21" i="25"/>
  <c r="S13" i="25"/>
  <c r="S29" i="25"/>
  <c r="S34" i="25"/>
  <c r="S64" i="25"/>
  <c r="S56" i="25"/>
  <c r="S48" i="25"/>
  <c r="S40" i="25"/>
  <c r="S89" i="25"/>
  <c r="S81" i="25"/>
  <c r="S96" i="25"/>
  <c r="N94" i="25"/>
  <c r="S94" i="25" s="1"/>
  <c r="S93" i="25"/>
  <c r="N23" i="25"/>
  <c r="F60" i="450"/>
  <c r="F60" i="446"/>
  <c r="F59" i="450"/>
  <c r="F59" i="446"/>
  <c r="B59" i="446"/>
  <c r="B59" i="450"/>
  <c r="P18" i="25"/>
  <c r="T18" i="25" s="1"/>
  <c r="P27" i="25"/>
  <c r="T27" i="25" s="1"/>
  <c r="P19" i="25"/>
  <c r="T19" i="25" s="1"/>
  <c r="P96" i="25"/>
  <c r="T96" i="25" s="1"/>
  <c r="P100" i="25"/>
  <c r="T100" i="25" s="1"/>
  <c r="J91" i="25"/>
  <c r="J23" i="25"/>
  <c r="D18" i="25"/>
  <c r="D19" i="25" s="1"/>
  <c r="D20" i="25" s="1"/>
  <c r="D21" i="25" s="1"/>
  <c r="D22" i="25" s="1"/>
  <c r="C10" i="25"/>
  <c r="A10" i="25" s="1"/>
  <c r="P28" i="25"/>
  <c r="N31" i="25"/>
  <c r="P16" i="25"/>
  <c r="T16" i="25" s="1"/>
  <c r="P14" i="25"/>
  <c r="T14" i="25" s="1"/>
  <c r="P26" i="25"/>
  <c r="P29" i="25"/>
  <c r="P15" i="25"/>
  <c r="T15" i="25" s="1"/>
  <c r="P62" i="25"/>
  <c r="T62" i="25" s="1"/>
  <c r="P17" i="25"/>
  <c r="T17" i="25" s="1"/>
  <c r="P37" i="25"/>
  <c r="T37" i="25" s="1"/>
  <c r="P13" i="25"/>
  <c r="L91" i="25"/>
  <c r="N73" i="25"/>
  <c r="P21" i="25"/>
  <c r="T21" i="25" s="1"/>
  <c r="P30" i="25"/>
  <c r="P101" i="25"/>
  <c r="T101" i="25" s="1"/>
  <c r="L31" i="25"/>
  <c r="J102" i="25"/>
  <c r="P98" i="25"/>
  <c r="T98" i="25" s="1"/>
  <c r="J73" i="25"/>
  <c r="P85" i="25"/>
  <c r="T85" i="25" s="1"/>
  <c r="P20" i="25"/>
  <c r="T20" i="25" s="1"/>
  <c r="L23" i="25"/>
  <c r="P25" i="25"/>
  <c r="J31" i="25"/>
  <c r="P84" i="25"/>
  <c r="T84" i="25" s="1"/>
  <c r="P81" i="25"/>
  <c r="P82" i="25"/>
  <c r="P80" i="25"/>
  <c r="T80" i="25" s="1"/>
  <c r="P90" i="25"/>
  <c r="T90" i="25" s="1"/>
  <c r="P78" i="25"/>
  <c r="T78" i="25" s="1"/>
  <c r="P99" i="25"/>
  <c r="T99" i="25" s="1"/>
  <c r="L102" i="25"/>
  <c r="N102" i="25"/>
  <c r="P97" i="25"/>
  <c r="T97" i="25" s="1"/>
  <c r="P88" i="25"/>
  <c r="P87" i="25"/>
  <c r="P86" i="25"/>
  <c r="T86" i="25" s="1"/>
  <c r="P76" i="25"/>
  <c r="P83" i="25"/>
  <c r="T83" i="25" s="1"/>
  <c r="P75" i="25"/>
  <c r="T75" i="25" s="1"/>
  <c r="P79" i="25"/>
  <c r="T79" i="25" s="1"/>
  <c r="P89" i="25"/>
  <c r="T89" i="25" s="1"/>
  <c r="P77" i="25"/>
  <c r="T77" i="25" s="1"/>
  <c r="P93" i="25"/>
  <c r="L73" i="25"/>
  <c r="P51" i="25"/>
  <c r="T51" i="25" s="1"/>
  <c r="P44" i="25"/>
  <c r="T44" i="25" s="1"/>
  <c r="P47" i="25"/>
  <c r="T47" i="25" s="1"/>
  <c r="P50" i="25"/>
  <c r="T50" i="25" s="1"/>
  <c r="P41" i="25"/>
  <c r="T41" i="25" s="1"/>
  <c r="P54" i="25"/>
  <c r="T54" i="25" s="1"/>
  <c r="P40" i="25"/>
  <c r="T40" i="25" s="1"/>
  <c r="P65" i="25"/>
  <c r="T65" i="25" s="1"/>
  <c r="P68" i="25"/>
  <c r="T68" i="25" s="1"/>
  <c r="P58" i="25"/>
  <c r="T58" i="25" s="1"/>
  <c r="P71" i="25"/>
  <c r="P38" i="25"/>
  <c r="T38" i="25" s="1"/>
  <c r="P53" i="25"/>
  <c r="T53" i="25" s="1"/>
  <c r="P56" i="25"/>
  <c r="T56" i="25" s="1"/>
  <c r="P69" i="25"/>
  <c r="T69" i="25" s="1"/>
  <c r="P59" i="25"/>
  <c r="T59" i="25" s="1"/>
  <c r="P72" i="25"/>
  <c r="T72" i="25" s="1"/>
  <c r="P33" i="25"/>
  <c r="T33" i="25" s="1"/>
  <c r="P34" i="25"/>
  <c r="T34" i="25" s="1"/>
  <c r="P60" i="25"/>
  <c r="T60" i="25" s="1"/>
  <c r="P55" i="25"/>
  <c r="T55" i="25" s="1"/>
  <c r="P57" i="25"/>
  <c r="T57" i="25" s="1"/>
  <c r="P39" i="25"/>
  <c r="T39" i="25" s="1"/>
  <c r="P36" i="25"/>
  <c r="T36" i="25" s="1"/>
  <c r="P70" i="25"/>
  <c r="T70" i="25" s="1"/>
  <c r="P52" i="25"/>
  <c r="T52" i="25" s="1"/>
  <c r="P42" i="25"/>
  <c r="T42" i="25" s="1"/>
  <c r="P67" i="25"/>
  <c r="T67" i="25" s="1"/>
  <c r="P49" i="25"/>
  <c r="T49" i="25" s="1"/>
  <c r="P64" i="25"/>
  <c r="T64" i="25" s="1"/>
  <c r="P46" i="25"/>
  <c r="T46" i="25" s="1"/>
  <c r="P66" i="25"/>
  <c r="T66" i="25" s="1"/>
  <c r="P48" i="25"/>
  <c r="T48" i="25" s="1"/>
  <c r="P61" i="25"/>
  <c r="T61" i="25" s="1"/>
  <c r="P43" i="25"/>
  <c r="T43" i="25" s="1"/>
  <c r="P35" i="25"/>
  <c r="T35" i="25" s="1"/>
  <c r="P63" i="25"/>
  <c r="P45" i="25"/>
  <c r="T45" i="25" s="1"/>
  <c r="A34" i="454" l="1"/>
  <c r="C35" i="454"/>
  <c r="R27" i="25"/>
  <c r="U27" i="25" s="1"/>
  <c r="V27" i="25" s="1"/>
  <c r="S102" i="25"/>
  <c r="T22" i="25"/>
  <c r="R14" i="25"/>
  <c r="U14" i="25" s="1"/>
  <c r="V14" i="25" s="1"/>
  <c r="R30" i="25"/>
  <c r="U30" i="25" s="1"/>
  <c r="V30" i="25" s="1"/>
  <c r="T30" i="25"/>
  <c r="R15" i="25"/>
  <c r="U15" i="25" s="1"/>
  <c r="V15" i="25" s="1"/>
  <c r="R87" i="25"/>
  <c r="U87" i="25" s="1"/>
  <c r="V87" i="25" s="1"/>
  <c r="T87" i="25"/>
  <c r="R29" i="25"/>
  <c r="U29" i="25" s="1"/>
  <c r="V29" i="25" s="1"/>
  <c r="T29" i="25"/>
  <c r="R76" i="25"/>
  <c r="U76" i="25" s="1"/>
  <c r="V76" i="25" s="1"/>
  <c r="T76" i="25"/>
  <c r="R18" i="25"/>
  <c r="U18" i="25" s="1"/>
  <c r="V18" i="25" s="1"/>
  <c r="R81" i="25"/>
  <c r="U81" i="25" s="1"/>
  <c r="V81" i="25" s="1"/>
  <c r="T81" i="25"/>
  <c r="R13" i="25"/>
  <c r="U13" i="25" s="1"/>
  <c r="V13" i="25" s="1"/>
  <c r="T13" i="25"/>
  <c r="R20" i="25"/>
  <c r="U20" i="25" s="1"/>
  <c r="V20" i="25" s="1"/>
  <c r="R17" i="25"/>
  <c r="U17" i="25" s="1"/>
  <c r="V17" i="25" s="1"/>
  <c r="R19" i="25"/>
  <c r="U19" i="25" s="1"/>
  <c r="V19" i="25" s="1"/>
  <c r="R88" i="25"/>
  <c r="U88" i="25" s="1"/>
  <c r="V88" i="25" s="1"/>
  <c r="T88" i="25"/>
  <c r="R82" i="25"/>
  <c r="U82" i="25" s="1"/>
  <c r="V82" i="25" s="1"/>
  <c r="T82" i="25"/>
  <c r="S73" i="25"/>
  <c r="R26" i="25"/>
  <c r="U26" i="25" s="1"/>
  <c r="V26" i="25" s="1"/>
  <c r="T26" i="25"/>
  <c r="R63" i="25"/>
  <c r="U63" i="25" s="1"/>
  <c r="V63" i="25" s="1"/>
  <c r="T63" i="25"/>
  <c r="R71" i="25"/>
  <c r="U71" i="25" s="1"/>
  <c r="V71" i="25" s="1"/>
  <c r="T71" i="25"/>
  <c r="S31" i="25"/>
  <c r="R25" i="25"/>
  <c r="U25" i="25" s="1"/>
  <c r="V25" i="25" s="1"/>
  <c r="T25" i="25"/>
  <c r="R28" i="25"/>
  <c r="U28" i="25" s="1"/>
  <c r="V28" i="25" s="1"/>
  <c r="T28" i="25"/>
  <c r="S23" i="25"/>
  <c r="R21" i="25"/>
  <c r="U21" i="25" s="1"/>
  <c r="V21" i="25" s="1"/>
  <c r="P94" i="25"/>
  <c r="T94" i="25" s="1"/>
  <c r="T93" i="25"/>
  <c r="R16" i="25"/>
  <c r="U16" i="25" s="1"/>
  <c r="V16" i="25" s="1"/>
  <c r="R100" i="25"/>
  <c r="U100" i="25" s="1"/>
  <c r="V100" i="25" s="1"/>
  <c r="R96" i="25"/>
  <c r="U96" i="25" s="1"/>
  <c r="V96" i="25" s="1"/>
  <c r="P102" i="25"/>
  <c r="T102" i="25" s="1"/>
  <c r="J104" i="25"/>
  <c r="R98" i="25"/>
  <c r="U98" i="25" s="1"/>
  <c r="V98" i="25" s="1"/>
  <c r="P91" i="25"/>
  <c r="T91" i="25" s="1"/>
  <c r="C11" i="25"/>
  <c r="A11" i="25" s="1"/>
  <c r="R84" i="25"/>
  <c r="U84" i="25" s="1"/>
  <c r="V84" i="25" s="1"/>
  <c r="P23" i="25"/>
  <c r="T23" i="25" s="1"/>
  <c r="R101" i="25"/>
  <c r="U101" i="25" s="1"/>
  <c r="V101" i="25" s="1"/>
  <c r="R85" i="25"/>
  <c r="U85" i="25" s="1"/>
  <c r="V85" i="25" s="1"/>
  <c r="R90" i="25"/>
  <c r="U90" i="25" s="1"/>
  <c r="V90" i="25" s="1"/>
  <c r="P31" i="25"/>
  <c r="T31" i="25" s="1"/>
  <c r="R80" i="25"/>
  <c r="U80" i="25" s="1"/>
  <c r="V80" i="25" s="1"/>
  <c r="R99" i="25"/>
  <c r="U99" i="25" s="1"/>
  <c r="V99" i="25" s="1"/>
  <c r="R78" i="25"/>
  <c r="U78" i="25" s="1"/>
  <c r="V78" i="25" s="1"/>
  <c r="R93" i="25"/>
  <c r="R97" i="25"/>
  <c r="U97" i="25" s="1"/>
  <c r="V97" i="25" s="1"/>
  <c r="R86" i="25"/>
  <c r="U86" i="25" s="1"/>
  <c r="V86" i="25" s="1"/>
  <c r="R83" i="25"/>
  <c r="U83" i="25" s="1"/>
  <c r="V83" i="25" s="1"/>
  <c r="R89" i="25"/>
  <c r="U89" i="25" s="1"/>
  <c r="V89" i="25" s="1"/>
  <c r="R77" i="25"/>
  <c r="U77" i="25" s="1"/>
  <c r="V77" i="25" s="1"/>
  <c r="R79" i="25"/>
  <c r="U79" i="25" s="1"/>
  <c r="V79" i="25" s="1"/>
  <c r="R75" i="25"/>
  <c r="U75" i="25" s="1"/>
  <c r="V75" i="25" s="1"/>
  <c r="R33" i="25"/>
  <c r="U33" i="25" s="1"/>
  <c r="V33" i="25" s="1"/>
  <c r="P73" i="25"/>
  <c r="T73" i="25" s="1"/>
  <c r="R43" i="25"/>
  <c r="U43" i="25" s="1"/>
  <c r="V43" i="25" s="1"/>
  <c r="R67" i="25"/>
  <c r="U67" i="25" s="1"/>
  <c r="V67" i="25" s="1"/>
  <c r="L1" i="25" l="1"/>
  <c r="J21" i="26"/>
  <c r="C36" i="454"/>
  <c r="A35" i="454"/>
  <c r="R31" i="25"/>
  <c r="U31" i="25" s="1"/>
  <c r="V31" i="25" s="1"/>
  <c r="Y20" i="25"/>
  <c r="R94" i="25"/>
  <c r="U94" i="25" s="1"/>
  <c r="V94" i="25" s="1"/>
  <c r="U93" i="25"/>
  <c r="V93" i="25" s="1"/>
  <c r="H12" i="37"/>
  <c r="F13" i="37" s="1"/>
  <c r="R23" i="25"/>
  <c r="U23" i="25" s="1"/>
  <c r="V23" i="25" s="1"/>
  <c r="R102" i="25"/>
  <c r="U102" i="25" s="1"/>
  <c r="V102" i="25" s="1"/>
  <c r="R91" i="25"/>
  <c r="U91" i="25" s="1"/>
  <c r="V91" i="25" s="1"/>
  <c r="C12" i="25"/>
  <c r="A36" i="454" l="1"/>
  <c r="C37" i="454"/>
  <c r="H13" i="37"/>
  <c r="F14" i="37" s="1"/>
  <c r="H12" i="421"/>
  <c r="A12" i="25"/>
  <c r="C13" i="25"/>
  <c r="A37" i="454" l="1"/>
  <c r="C38" i="454"/>
  <c r="A13" i="25"/>
  <c r="C14" i="25"/>
  <c r="A38" i="454" l="1"/>
  <c r="C39" i="454"/>
  <c r="A14" i="25"/>
  <c r="C15" i="25"/>
  <c r="C40" i="454" l="1"/>
  <c r="A39" i="454"/>
  <c r="A15" i="25"/>
  <c r="C16" i="25"/>
  <c r="A40" i="454" l="1"/>
  <c r="C41" i="454"/>
  <c r="A16" i="25"/>
  <c r="C17" i="25"/>
  <c r="C42" i="454" l="1"/>
  <c r="A41" i="454"/>
  <c r="A17" i="25"/>
  <c r="C18" i="25"/>
  <c r="A42" i="454" l="1"/>
  <c r="C43" i="454"/>
  <c r="A18" i="25"/>
  <c r="C19" i="25"/>
  <c r="C44" i="454" l="1"/>
  <c r="A43" i="454"/>
  <c r="A19" i="25"/>
  <c r="C20" i="25"/>
  <c r="C45" i="454" l="1"/>
  <c r="A44" i="454"/>
  <c r="A20" i="25"/>
  <c r="C21" i="25"/>
  <c r="A45" i="454" l="1"/>
  <c r="C46" i="454"/>
  <c r="A21" i="25"/>
  <c r="C22" i="25"/>
  <c r="C23" i="25" s="1"/>
  <c r="A23" i="25" s="1"/>
  <c r="C47" i="454" l="1"/>
  <c r="A46" i="454"/>
  <c r="A22" i="25"/>
  <c r="C24" i="25"/>
  <c r="C48" i="454" l="1"/>
  <c r="A47" i="454"/>
  <c r="A24" i="25"/>
  <c r="C25" i="25"/>
  <c r="A48" i="454" l="1"/>
  <c r="C49" i="454"/>
  <c r="A25" i="25"/>
  <c r="C26" i="25"/>
  <c r="A26" i="25" s="1"/>
  <c r="C50" i="454" l="1"/>
  <c r="A49" i="454"/>
  <c r="C27" i="25"/>
  <c r="A27" i="25" s="1"/>
  <c r="A50" i="454" l="1"/>
  <c r="C51" i="454"/>
  <c r="C28" i="25"/>
  <c r="A28" i="25" s="1"/>
  <c r="C52" i="454" l="1"/>
  <c r="A51" i="454"/>
  <c r="C29" i="25"/>
  <c r="A29" i="25" s="1"/>
  <c r="C53" i="454" l="1"/>
  <c r="A52" i="454"/>
  <c r="C30" i="25"/>
  <c r="C31" i="25" s="1"/>
  <c r="C54" i="454" l="1"/>
  <c r="A53" i="454"/>
  <c r="A30" i="25"/>
  <c r="C32" i="25"/>
  <c r="A31" i="25"/>
  <c r="A54" i="454" l="1"/>
  <c r="C55" i="454"/>
  <c r="C33" i="25"/>
  <c r="A33" i="25" s="1"/>
  <c r="A32" i="25"/>
  <c r="C56" i="454" l="1"/>
  <c r="A55" i="454"/>
  <c r="C34" i="25"/>
  <c r="A34" i="25" s="1"/>
  <c r="A56" i="454" l="1"/>
  <c r="C57" i="454"/>
  <c r="C35" i="25"/>
  <c r="A35" i="25" s="1"/>
  <c r="C58" i="454" l="1"/>
  <c r="A57" i="454"/>
  <c r="C36" i="25"/>
  <c r="A36" i="25" s="1"/>
  <c r="A58" i="454" l="1"/>
  <c r="C59" i="454"/>
  <c r="C37" i="25"/>
  <c r="A37" i="25" s="1"/>
  <c r="C60" i="454" l="1"/>
  <c r="A59" i="454"/>
  <c r="C38" i="25"/>
  <c r="A38" i="25" s="1"/>
  <c r="A60" i="454" l="1"/>
  <c r="C61" i="454"/>
  <c r="C39" i="25"/>
  <c r="A39" i="25" s="1"/>
  <c r="C62" i="454" l="1"/>
  <c r="A61" i="454"/>
  <c r="C40" i="25"/>
  <c r="A40" i="25" s="1"/>
  <c r="A62" i="454" l="1"/>
  <c r="C63" i="454"/>
  <c r="C41" i="25"/>
  <c r="A41" i="25" s="1"/>
  <c r="C64" i="454" l="1"/>
  <c r="A63" i="454"/>
  <c r="C42" i="25"/>
  <c r="A42" i="25" s="1"/>
  <c r="A64" i="454" l="1"/>
  <c r="C65" i="454"/>
  <c r="C43" i="25"/>
  <c r="A43" i="25" s="1"/>
  <c r="A65" i="454" l="1"/>
  <c r="C44" i="25"/>
  <c r="A44" i="25" s="1"/>
  <c r="C66" i="454" l="1"/>
  <c r="C45" i="25"/>
  <c r="A45" i="25" s="1"/>
  <c r="A66" i="454" l="1"/>
  <c r="C67" i="454"/>
  <c r="C46" i="25"/>
  <c r="A46" i="25" s="1"/>
  <c r="C68" i="454" l="1"/>
  <c r="A67" i="454"/>
  <c r="C47" i="25"/>
  <c r="A47" i="25" s="1"/>
  <c r="C69" i="454" l="1"/>
  <c r="A68" i="454"/>
  <c r="C48" i="25"/>
  <c r="A48" i="25" s="1"/>
  <c r="A69" i="454" l="1"/>
  <c r="C70" i="454"/>
  <c r="C49" i="25"/>
  <c r="A49" i="25" s="1"/>
  <c r="A70" i="454" l="1"/>
  <c r="C71" i="454"/>
  <c r="C50" i="25"/>
  <c r="A50" i="25" s="1"/>
  <c r="A71" i="454" l="1"/>
  <c r="C72" i="454"/>
  <c r="C51" i="25"/>
  <c r="A51" i="25" s="1"/>
  <c r="A72" i="454" l="1"/>
  <c r="C73" i="454"/>
  <c r="C52" i="25"/>
  <c r="A52" i="25" s="1"/>
  <c r="C74" i="454" l="1"/>
  <c r="A73" i="454"/>
  <c r="C53" i="25"/>
  <c r="A53" i="25" s="1"/>
  <c r="A74" i="454" l="1"/>
  <c r="C75" i="454"/>
  <c r="C54" i="25"/>
  <c r="A54" i="25" s="1"/>
  <c r="A75" i="454" l="1"/>
  <c r="C76" i="454"/>
  <c r="C55" i="25"/>
  <c r="A55" i="25" s="1"/>
  <c r="C77" i="454" l="1"/>
  <c r="A76" i="454"/>
  <c r="C56" i="25"/>
  <c r="A56" i="25" s="1"/>
  <c r="C78" i="454" l="1"/>
  <c r="A77" i="454"/>
  <c r="C57" i="25"/>
  <c r="A57" i="25" s="1"/>
  <c r="C79" i="454" l="1"/>
  <c r="A78" i="454"/>
  <c r="C58" i="25"/>
  <c r="A58" i="25" s="1"/>
  <c r="C80" i="454" l="1"/>
  <c r="A79" i="454"/>
  <c r="C59" i="25"/>
  <c r="A59" i="25" s="1"/>
  <c r="A80" i="454" l="1"/>
  <c r="C81" i="454"/>
  <c r="C60" i="25"/>
  <c r="A60" i="25" s="1"/>
  <c r="A81" i="454" l="1"/>
  <c r="C82" i="454"/>
  <c r="C61" i="25"/>
  <c r="A61" i="25" s="1"/>
  <c r="A82" i="454" l="1"/>
  <c r="C62" i="25"/>
  <c r="A62" i="25" s="1"/>
  <c r="C83" i="454" l="1"/>
  <c r="C63" i="25"/>
  <c r="A63" i="25" s="1"/>
  <c r="C84" i="454" l="1"/>
  <c r="A84" i="454" s="1"/>
  <c r="A83" i="454"/>
  <c r="C64" i="25"/>
  <c r="A64" i="25" s="1"/>
  <c r="C85" i="454" l="1"/>
  <c r="C65" i="25"/>
  <c r="A65" i="25" s="1"/>
  <c r="A85" i="454" l="1"/>
  <c r="C86" i="454"/>
  <c r="C66" i="25"/>
  <c r="A66" i="25" s="1"/>
  <c r="C87" i="454" l="1"/>
  <c r="A86" i="454"/>
  <c r="C67" i="25"/>
  <c r="A67" i="25" s="1"/>
  <c r="A87" i="454" l="1"/>
  <c r="C88" i="454"/>
  <c r="C68" i="25"/>
  <c r="A68" i="25" s="1"/>
  <c r="A88" i="454" l="1"/>
  <c r="C89" i="454"/>
  <c r="C69" i="25"/>
  <c r="A69" i="25" s="1"/>
  <c r="A89" i="454" l="1"/>
  <c r="C90" i="454"/>
  <c r="C70" i="25"/>
  <c r="A70" i="25" s="1"/>
  <c r="A90" i="454" l="1"/>
  <c r="C91" i="454"/>
  <c r="A91" i="454" s="1"/>
  <c r="C71" i="25"/>
  <c r="A71" i="25" s="1"/>
  <c r="C72" i="25" l="1"/>
  <c r="C73" i="25" s="1"/>
  <c r="A72" i="25" l="1"/>
  <c r="C74" i="25"/>
  <c r="A73" i="25"/>
  <c r="C75" i="25" l="1"/>
  <c r="A75" i="25" s="1"/>
  <c r="A74" i="25"/>
  <c r="C76" i="25" l="1"/>
  <c r="A76" i="25" s="1"/>
  <c r="C77" i="25" l="1"/>
  <c r="A77" i="25" s="1"/>
  <c r="C78" i="25" l="1"/>
  <c r="A78" i="25" s="1"/>
  <c r="C79" i="25" l="1"/>
  <c r="A79" i="25" s="1"/>
  <c r="C80" i="25" l="1"/>
  <c r="A80" i="25" s="1"/>
  <c r="C81" i="25" l="1"/>
  <c r="A81" i="25" s="1"/>
  <c r="C82" i="25" l="1"/>
  <c r="A82" i="25" s="1"/>
  <c r="C83" i="25" l="1"/>
  <c r="A83" i="25" s="1"/>
  <c r="C84" i="25" l="1"/>
  <c r="A84" i="25" s="1"/>
  <c r="C85" i="25" l="1"/>
  <c r="A85" i="25" s="1"/>
  <c r="C86" i="25" l="1"/>
  <c r="A86" i="25" s="1"/>
  <c r="C87" i="25" l="1"/>
  <c r="A87" i="25" s="1"/>
  <c r="C88" i="25" l="1"/>
  <c r="A88" i="25" s="1"/>
  <c r="C89" i="25" l="1"/>
  <c r="A89" i="25" s="1"/>
  <c r="C90" i="25" l="1"/>
  <c r="C91" i="25" s="1"/>
  <c r="A90" i="25" l="1"/>
  <c r="C92" i="25"/>
  <c r="A91" i="25"/>
  <c r="C93" i="25" l="1"/>
  <c r="C94" i="25" s="1"/>
  <c r="A92" i="25"/>
  <c r="A93" i="25" l="1"/>
  <c r="C95" i="25"/>
  <c r="A94" i="25"/>
  <c r="C96" i="25" l="1"/>
  <c r="A96" i="25" s="1"/>
  <c r="A95" i="25"/>
  <c r="C97" i="25" l="1"/>
  <c r="A97" i="25" s="1"/>
  <c r="C98" i="25" l="1"/>
  <c r="A98" i="25" s="1"/>
  <c r="C99" i="25" l="1"/>
  <c r="A99" i="25" s="1"/>
  <c r="C100" i="25" l="1"/>
  <c r="A100" i="25" s="1"/>
  <c r="C101" i="25" l="1"/>
  <c r="C878" i="440" l="1"/>
  <c r="A101" i="25"/>
  <c r="D2028" i="440" s="1"/>
  <c r="A830" i="440"/>
  <c r="A785" i="440"/>
  <c r="A740" i="440"/>
  <c r="A695" i="440"/>
  <c r="A650" i="440"/>
  <c r="A605" i="440"/>
  <c r="A560" i="440"/>
  <c r="A515" i="440"/>
  <c r="A470" i="440"/>
  <c r="A425" i="440"/>
  <c r="A380" i="440"/>
  <c r="A335" i="440"/>
  <c r="A290" i="440"/>
  <c r="A245" i="440"/>
  <c r="A200" i="440"/>
  <c r="A155" i="440"/>
  <c r="A110" i="440"/>
  <c r="A65" i="440"/>
  <c r="A20" i="440"/>
  <c r="C114" i="439"/>
  <c r="D924" i="440" l="1"/>
  <c r="C1200" i="440"/>
  <c r="A920" i="440"/>
  <c r="D878" i="440"/>
  <c r="A874" i="440"/>
  <c r="C924" i="440"/>
  <c r="C1016" i="440"/>
  <c r="D970" i="440"/>
  <c r="D1108" i="440"/>
  <c r="C1154" i="440"/>
  <c r="A1932" i="440"/>
  <c r="A966" i="440"/>
  <c r="A1012" i="440"/>
  <c r="C1062" i="440"/>
  <c r="A1104" i="440"/>
  <c r="A1150" i="440"/>
  <c r="C970" i="440"/>
  <c r="C1108" i="440"/>
  <c r="A1058" i="440"/>
  <c r="D1154" i="440"/>
  <c r="D1062" i="440"/>
  <c r="D1016" i="440"/>
  <c r="C1706" i="440"/>
  <c r="D1200" i="440"/>
  <c r="C1752" i="440"/>
  <c r="A1656" i="440"/>
  <c r="A1196" i="440"/>
  <c r="A1564" i="440"/>
  <c r="A1702" i="440"/>
  <c r="C1614" i="440"/>
  <c r="A1840" i="440"/>
  <c r="D1844" i="440"/>
  <c r="D1292" i="440"/>
  <c r="C1844" i="440"/>
  <c r="D1476" i="440"/>
  <c r="D1752" i="440"/>
  <c r="A1380" i="440"/>
  <c r="C1568" i="440"/>
  <c r="A1242" i="440"/>
  <c r="A1794" i="440"/>
  <c r="C1292" i="440"/>
  <c r="D1660" i="440"/>
  <c r="D1706" i="440"/>
  <c r="C1798" i="440"/>
  <c r="D1246" i="440"/>
  <c r="D1614" i="440"/>
  <c r="D1936" i="440"/>
  <c r="D1384" i="440"/>
  <c r="C1430" i="440"/>
  <c r="C1890" i="440"/>
  <c r="A1288" i="440"/>
  <c r="C1660" i="440"/>
  <c r="D1890" i="440"/>
  <c r="D1522" i="440"/>
  <c r="D1338" i="440"/>
  <c r="C1338" i="440"/>
  <c r="D1798" i="440"/>
  <c r="A1426" i="440"/>
  <c r="A1610" i="440"/>
  <c r="D1430" i="440"/>
  <c r="A1886" i="440"/>
  <c r="D1568" i="440"/>
  <c r="A1334" i="440"/>
  <c r="A1748" i="440"/>
  <c r="C1522" i="440"/>
  <c r="A1518" i="440"/>
  <c r="C1936" i="440"/>
  <c r="C1246" i="440"/>
  <c r="C1476" i="440"/>
  <c r="A1472" i="440"/>
  <c r="C1384" i="440"/>
  <c r="C2028" i="440"/>
  <c r="A2070" i="440"/>
  <c r="A2116" i="440"/>
  <c r="C2074" i="440"/>
  <c r="D2120" i="440"/>
  <c r="C1982" i="440"/>
  <c r="A1978" i="440"/>
  <c r="D1982" i="440"/>
  <c r="C2120" i="440"/>
  <c r="D2074" i="440"/>
  <c r="A2024" i="440"/>
  <c r="H7" i="26" l="1"/>
  <c r="A6" i="438" l="1"/>
  <c r="C5" i="438"/>
  <c r="D28" i="437"/>
  <c r="C1" i="26" l="1"/>
  <c r="B26" i="437"/>
  <c r="A4" i="439"/>
  <c r="F39" i="437"/>
  <c r="F38" i="437"/>
  <c r="D44" i="26" l="1"/>
  <c r="I50" i="430"/>
  <c r="B50" i="430"/>
  <c r="I49" i="430"/>
  <c r="D49" i="430"/>
  <c r="I48" i="430"/>
  <c r="D48" i="430"/>
  <c r="D8" i="430"/>
  <c r="H8" i="430" s="1"/>
  <c r="G3" i="430"/>
  <c r="E6" i="33"/>
  <c r="E5" i="33"/>
  <c r="E12" i="206"/>
  <c r="B31" i="206"/>
  <c r="I2" i="421"/>
  <c r="D7" i="418"/>
  <c r="F27" i="418"/>
  <c r="F26" i="418"/>
  <c r="F25" i="418"/>
  <c r="D27" i="418"/>
  <c r="D26" i="418"/>
  <c r="D25" i="418"/>
  <c r="H25" i="418"/>
  <c r="B27" i="418"/>
  <c r="I11" i="430" l="1"/>
  <c r="I12" i="430" s="1"/>
  <c r="I13" i="430" s="1"/>
  <c r="C31" i="26"/>
  <c r="D31" i="26" s="1"/>
  <c r="B41" i="36" l="1"/>
  <c r="B42" i="36"/>
  <c r="N43" i="36"/>
  <c r="N42" i="36"/>
  <c r="J19" i="26"/>
  <c r="N91" i="25" l="1"/>
  <c r="N104" i="25" s="1"/>
  <c r="S91" i="25" l="1"/>
  <c r="J22" i="26"/>
  <c r="F57" i="33"/>
  <c r="F56" i="33"/>
  <c r="B57" i="33"/>
  <c r="B56" i="33"/>
  <c r="G40" i="38"/>
  <c r="I52" i="37"/>
  <c r="I53" i="37"/>
  <c r="I54" i="37"/>
  <c r="B54" i="37"/>
  <c r="B53" i="37"/>
  <c r="B52" i="37"/>
  <c r="N41" i="36"/>
  <c r="G39" i="38"/>
  <c r="G38" i="38"/>
  <c r="J20" i="26" l="1"/>
  <c r="S104" i="25"/>
  <c r="D14" i="36"/>
  <c r="R47" i="25"/>
  <c r="U47" i="25" s="1"/>
  <c r="V47" i="25" s="1"/>
  <c r="R41" i="25"/>
  <c r="U41" i="25" s="1"/>
  <c r="V41" i="25" s="1"/>
  <c r="R34" i="25"/>
  <c r="U34" i="25" s="1"/>
  <c r="V34" i="25" s="1"/>
  <c r="R35" i="25"/>
  <c r="U35" i="25" s="1"/>
  <c r="V35" i="25" s="1"/>
  <c r="R51" i="25"/>
  <c r="U51" i="25" s="1"/>
  <c r="V51" i="25" s="1"/>
  <c r="R68" i="25"/>
  <c r="U68" i="25" s="1"/>
  <c r="V68" i="25" s="1"/>
  <c r="R69" i="25"/>
  <c r="U69" i="25" s="1"/>
  <c r="V69" i="25" s="1"/>
  <c r="R48" i="25"/>
  <c r="U48" i="25" s="1"/>
  <c r="V48" i="25" s="1"/>
  <c r="R50" i="25"/>
  <c r="U50" i="25" s="1"/>
  <c r="V50" i="25" s="1"/>
  <c r="R39" i="25"/>
  <c r="U39" i="25" s="1"/>
  <c r="V39" i="25" s="1"/>
  <c r="R72" i="25"/>
  <c r="U72" i="25" s="1"/>
  <c r="V72" i="25" s="1"/>
  <c r="R60" i="25"/>
  <c r="U60" i="25" s="1"/>
  <c r="V60" i="25" s="1"/>
  <c r="R61" i="25"/>
  <c r="U61" i="25" s="1"/>
  <c r="V61" i="25" s="1"/>
  <c r="R65" i="25"/>
  <c r="U65" i="25" s="1"/>
  <c r="V65" i="25" s="1"/>
  <c r="R52" i="25"/>
  <c r="U52" i="25" s="1"/>
  <c r="V52" i="25" s="1"/>
  <c r="R55" i="25"/>
  <c r="U55" i="25" s="1"/>
  <c r="V55" i="25" s="1"/>
  <c r="R64" i="25"/>
  <c r="U64" i="25" s="1"/>
  <c r="V64" i="25" s="1"/>
  <c r="R38" i="25"/>
  <c r="U38" i="25" s="1"/>
  <c r="V38" i="25" s="1"/>
  <c r="R37" i="25"/>
  <c r="U37" i="25" s="1"/>
  <c r="V37" i="25" s="1"/>
  <c r="R44" i="25"/>
  <c r="U44" i="25" s="1"/>
  <c r="V44" i="25" s="1"/>
  <c r="R56" i="25"/>
  <c r="U56" i="25" s="1"/>
  <c r="V56" i="25" s="1"/>
  <c r="R59" i="25"/>
  <c r="U59" i="25" s="1"/>
  <c r="V59" i="25" s="1"/>
  <c r="R49" i="25"/>
  <c r="U49" i="25" s="1"/>
  <c r="V49" i="25" s="1"/>
  <c r="R40" i="25"/>
  <c r="U40" i="25" s="1"/>
  <c r="V40" i="25" s="1"/>
  <c r="R53" i="25"/>
  <c r="U53" i="25" s="1"/>
  <c r="V53" i="25" s="1"/>
  <c r="R54" i="25"/>
  <c r="U54" i="25" s="1"/>
  <c r="V54" i="25" s="1"/>
  <c r="R36" i="25"/>
  <c r="U36" i="25" s="1"/>
  <c r="V36" i="25" s="1"/>
  <c r="R45" i="25"/>
  <c r="U45" i="25" s="1"/>
  <c r="V45" i="25" s="1"/>
  <c r="R57" i="25"/>
  <c r="U57" i="25" s="1"/>
  <c r="V57" i="25" s="1"/>
  <c r="R46" i="25"/>
  <c r="U46" i="25" s="1"/>
  <c r="V46" i="25" s="1"/>
  <c r="R58" i="25"/>
  <c r="U58" i="25" s="1"/>
  <c r="V58" i="25" s="1"/>
  <c r="D14" i="430" l="1"/>
  <c r="G14" i="430" s="1"/>
  <c r="D14" i="37"/>
  <c r="G14" i="37" s="1"/>
  <c r="C32" i="36"/>
  <c r="K14" i="36"/>
  <c r="I14" i="36"/>
  <c r="I32" i="36" s="1"/>
  <c r="J29" i="26" s="1"/>
  <c r="J30" i="26" s="1"/>
  <c r="R66" i="25"/>
  <c r="U66" i="25" s="1"/>
  <c r="V66" i="25" s="1"/>
  <c r="R70" i="25"/>
  <c r="U70" i="25" s="1"/>
  <c r="V70" i="25" s="1"/>
  <c r="H14" i="37" l="1"/>
  <c r="H15" i="37" s="1"/>
  <c r="I14" i="37"/>
  <c r="I15" i="37" s="1"/>
  <c r="G14" i="421"/>
  <c r="G15" i="421" s="1"/>
  <c r="I14" i="430"/>
  <c r="I15" i="430" s="1"/>
  <c r="K17" i="430" s="1"/>
  <c r="H14" i="430"/>
  <c r="D32" i="36"/>
  <c r="J14" i="36"/>
  <c r="J32" i="36" s="1"/>
  <c r="L14" i="36"/>
  <c r="L32" i="36" s="1"/>
  <c r="K32" i="36"/>
  <c r="D27" i="26"/>
  <c r="J32" i="26"/>
  <c r="Q14" i="36"/>
  <c r="Q32" i="36" s="1"/>
  <c r="I11" i="421"/>
  <c r="I12" i="421" s="1"/>
  <c r="I13" i="421" s="1"/>
  <c r="J25" i="26"/>
  <c r="F15" i="430" l="1"/>
  <c r="H15" i="430"/>
  <c r="F15" i="37"/>
  <c r="H14" i="421"/>
  <c r="R14" i="36"/>
  <c r="Y32" i="25"/>
  <c r="Y33" i="25"/>
  <c r="Y42" i="25"/>
  <c r="Y43" i="25"/>
  <c r="Y62" i="25"/>
  <c r="Y63" i="25"/>
  <c r="Y83" i="25"/>
  <c r="Y84" i="25"/>
  <c r="Y87" i="25"/>
  <c r="Y88" i="25"/>
  <c r="R32" i="36" l="1"/>
  <c r="D41" i="26" s="1"/>
  <c r="H39" i="430"/>
  <c r="F39" i="430"/>
  <c r="I14" i="421"/>
  <c r="I15" i="421" s="1"/>
  <c r="I39" i="430" l="1"/>
  <c r="J26" i="26"/>
  <c r="C34" i="26"/>
  <c r="F41" i="37"/>
  <c r="H41" i="37"/>
  <c r="G39" i="430"/>
  <c r="J28" i="26" l="1"/>
  <c r="J27" i="26"/>
  <c r="I41" i="37"/>
  <c r="G41" i="37"/>
  <c r="K83" i="421"/>
  <c r="J83" i="421"/>
  <c r="L39" i="421"/>
  <c r="D39" i="421"/>
  <c r="L38" i="421"/>
  <c r="E38" i="421"/>
  <c r="L37" i="421"/>
  <c r="E37" i="421"/>
  <c r="E7" i="421"/>
  <c r="F3" i="421"/>
  <c r="J36" i="26" l="1"/>
  <c r="D39" i="26" s="1"/>
  <c r="C33" i="26"/>
  <c r="C32" i="26" s="1"/>
  <c r="L15" i="421"/>
  <c r="N15" i="421"/>
  <c r="L13" i="421"/>
  <c r="N12" i="421"/>
  <c r="N13" i="421"/>
  <c r="L14" i="421"/>
  <c r="N14" i="421"/>
  <c r="J21" i="421"/>
  <c r="J19" i="421"/>
  <c r="J22" i="421"/>
  <c r="J20" i="421"/>
  <c r="L11" i="421"/>
  <c r="J11" i="421"/>
  <c r="K11" i="421" s="1"/>
  <c r="J12" i="421"/>
  <c r="L12" i="421"/>
  <c r="M12" i="421" s="1"/>
  <c r="J14" i="421"/>
  <c r="J17" i="421"/>
  <c r="J15" i="421"/>
  <c r="J16" i="421"/>
  <c r="J18" i="421"/>
  <c r="J13" i="421"/>
  <c r="N11" i="421"/>
  <c r="O11" i="421" s="1"/>
  <c r="M13" i="421" l="1"/>
  <c r="M14" i="421" s="1"/>
  <c r="M15" i="421" s="1"/>
  <c r="O12" i="421"/>
  <c r="O13" i="421" s="1"/>
  <c r="O14" i="421" s="1"/>
  <c r="O15" i="421" s="1"/>
  <c r="K12" i="421"/>
  <c r="K13" i="421" s="1"/>
  <c r="K14" i="421" s="1"/>
  <c r="K15" i="421" s="1"/>
  <c r="K16" i="421" s="1"/>
  <c r="K17" i="421" s="1"/>
  <c r="K18" i="421" s="1"/>
  <c r="K19" i="421" s="1"/>
  <c r="K20" i="421" s="1"/>
  <c r="K21" i="421" s="1"/>
  <c r="K22" i="421" s="1"/>
  <c r="B26" i="418" l="1"/>
  <c r="B25" i="418"/>
  <c r="R42" i="25" l="1"/>
  <c r="U42" i="25" s="1"/>
  <c r="V42" i="25" s="1"/>
  <c r="B60" i="26" l="1"/>
  <c r="B59" i="26"/>
  <c r="I50" i="26"/>
  <c r="I49" i="26"/>
  <c r="G50" i="26"/>
  <c r="G49" i="26"/>
  <c r="J31" i="206"/>
  <c r="J30" i="206"/>
  <c r="J29" i="206"/>
  <c r="F31" i="206"/>
  <c r="F30" i="206"/>
  <c r="F29" i="206"/>
  <c r="B30" i="206"/>
  <c r="B29" i="206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R62" i="25" l="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R73" i="25" l="1"/>
  <c r="U73" i="25" s="1"/>
  <c r="V73" i="25" s="1"/>
  <c r="U62" i="25"/>
  <c r="Y31" i="25"/>
  <c r="G53" i="388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V62" i="25" l="1"/>
  <c r="E51" i="388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E52" i="388" l="1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E53" i="388"/>
  <c r="K49" i="388"/>
  <c r="M49" i="388" s="1"/>
  <c r="N48" i="388"/>
  <c r="K50" i="388"/>
  <c r="M50" i="388" s="1"/>
  <c r="E84" i="388"/>
  <c r="E62" i="388"/>
  <c r="E217" i="388" l="1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E218" i="388"/>
  <c r="G218" i="388" s="1"/>
  <c r="G217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I253" i="203"/>
  <c r="E130" i="388" l="1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U215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M254" i="203"/>
  <c r="K74" i="388" l="1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K75" i="388"/>
  <c r="M75" i="388" s="1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P118" i="388" l="1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P73" i="388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U74" i="388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P117" i="388" l="1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75" i="388"/>
  <c r="U130" i="388"/>
  <c r="L248" i="203"/>
  <c r="Q119" i="388" l="1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U98" i="388" l="1"/>
  <c r="B5" i="388" s="1"/>
  <c r="B9" i="388"/>
  <c r="B6" i="388"/>
  <c r="B11" i="388"/>
  <c r="B19" i="388"/>
  <c r="B17" i="388"/>
  <c r="J242" i="203"/>
  <c r="J37" i="206" l="1"/>
  <c r="H37" i="206"/>
  <c r="H12" i="206" l="1"/>
  <c r="K243" i="203" l="1"/>
  <c r="J244" i="203" l="1"/>
  <c r="L244" i="203" s="1"/>
  <c r="J243" i="203"/>
  <c r="L243" i="203" s="1"/>
  <c r="L242" i="203"/>
  <c r="J241" i="203"/>
  <c r="L241" i="203" s="1"/>
  <c r="J240" i="203"/>
  <c r="L240" i="203" s="1"/>
  <c r="J239" i="203"/>
  <c r="L239" i="203" s="1"/>
  <c r="L238" i="203" l="1"/>
  <c r="L235" i="203"/>
  <c r="K236" i="203"/>
  <c r="J236" i="203"/>
  <c r="L236" i="203" l="1"/>
  <c r="U222" i="203" l="1"/>
  <c r="U223" i="203"/>
  <c r="U224" i="203"/>
  <c r="U226" i="203"/>
  <c r="U221" i="203"/>
  <c r="S222" i="203"/>
  <c r="S223" i="203"/>
  <c r="S224" i="203"/>
  <c r="S225" i="203"/>
  <c r="S226" i="203"/>
  <c r="S221" i="203"/>
  <c r="U216" i="203"/>
  <c r="U215" i="203"/>
  <c r="S227" i="203" l="1"/>
  <c r="O261" i="203" l="1"/>
  <c r="P55" i="26" l="1"/>
  <c r="P61" i="26" s="1"/>
  <c r="P64" i="26" s="1"/>
  <c r="G72" i="203" l="1"/>
  <c r="N265" i="203" l="1"/>
  <c r="N261" i="203"/>
  <c r="G266" i="203"/>
  <c r="G265" i="203"/>
  <c r="G264" i="203"/>
  <c r="G263" i="203"/>
  <c r="G262" i="203"/>
  <c r="G261" i="203"/>
  <c r="P265" i="203" l="1"/>
  <c r="K266" i="203"/>
  <c r="P266" i="203" s="1"/>
  <c r="K265" i="203"/>
  <c r="L265" i="203" s="1"/>
  <c r="K264" i="203"/>
  <c r="L264" i="203" s="1"/>
  <c r="K263" i="203"/>
  <c r="L263" i="203" s="1"/>
  <c r="K262" i="203"/>
  <c r="L262" i="203" s="1"/>
  <c r="K261" i="203"/>
  <c r="P261" i="203" s="1"/>
  <c r="N266" i="203"/>
  <c r="N264" i="203"/>
  <c r="N263" i="203"/>
  <c r="N262" i="203"/>
  <c r="J266" i="203"/>
  <c r="J265" i="203"/>
  <c r="J264" i="203"/>
  <c r="J263" i="203"/>
  <c r="J262" i="203"/>
  <c r="J261" i="203"/>
  <c r="H265" i="203"/>
  <c r="H264" i="203"/>
  <c r="H266" i="203"/>
  <c r="H263" i="203"/>
  <c r="H262" i="203"/>
  <c r="H261" i="203"/>
  <c r="F266" i="203"/>
  <c r="F265" i="203"/>
  <c r="F264" i="203"/>
  <c r="F263" i="203"/>
  <c r="F262" i="203"/>
  <c r="F261" i="203"/>
  <c r="H267" i="203" l="1"/>
  <c r="N267" i="203"/>
  <c r="P262" i="203"/>
  <c r="F267" i="203"/>
  <c r="P264" i="203"/>
  <c r="P263" i="203"/>
  <c r="L261" i="203"/>
  <c r="L266" i="203"/>
  <c r="J267" i="203"/>
  <c r="P267" i="203" l="1"/>
  <c r="L267" i="203"/>
  <c r="M214" i="203" l="1"/>
  <c r="S214" i="203" s="1"/>
  <c r="K214" i="203"/>
  <c r="N214" i="203" l="1"/>
  <c r="L214" i="203"/>
  <c r="Q13" i="203" l="1"/>
  <c r="Q14" i="203"/>
  <c r="Q28" i="203"/>
  <c r="Q29" i="203"/>
  <c r="Q32" i="203"/>
  <c r="Q33" i="203"/>
  <c r="Q35" i="203"/>
  <c r="Q36" i="203"/>
  <c r="Q47" i="203"/>
  <c r="Q48" i="203"/>
  <c r="Q55" i="203"/>
  <c r="Q56" i="203"/>
  <c r="Q60" i="203"/>
  <c r="Q61" i="203"/>
  <c r="Q70" i="203"/>
  <c r="Q71" i="203"/>
  <c r="Q80" i="203"/>
  <c r="Q81" i="203"/>
  <c r="Q82" i="203"/>
  <c r="Q88" i="203"/>
  <c r="Q89" i="203"/>
  <c r="Q100" i="203"/>
  <c r="Q101" i="203"/>
  <c r="Q103" i="203"/>
  <c r="Q104" i="203"/>
  <c r="Q105" i="203"/>
  <c r="Q113" i="203"/>
  <c r="Q114" i="203"/>
  <c r="Q125" i="203"/>
  <c r="Q126" i="203"/>
  <c r="Q128" i="203"/>
  <c r="Q129" i="203"/>
  <c r="Q138" i="203"/>
  <c r="Q139" i="203"/>
  <c r="Q148" i="203"/>
  <c r="Q149" i="203"/>
  <c r="Q151" i="203"/>
  <c r="Q152" i="203"/>
  <c r="Q153" i="203"/>
  <c r="Q159" i="203"/>
  <c r="Q160" i="203"/>
  <c r="Q171" i="203"/>
  <c r="Q172" i="203"/>
  <c r="Q174" i="203"/>
  <c r="Q175" i="203"/>
  <c r="Q180" i="203"/>
  <c r="Q181" i="203"/>
  <c r="Q187" i="203"/>
  <c r="Q188" i="203"/>
  <c r="Q197" i="203"/>
  <c r="Q198" i="203"/>
  <c r="Q209" i="203"/>
  <c r="Q210" i="203"/>
  <c r="Q212" i="203"/>
  <c r="Q213" i="203"/>
  <c r="Q219" i="203"/>
  <c r="Q220" i="203"/>
  <c r="M226" i="203" l="1"/>
  <c r="N226" i="203" s="1"/>
  <c r="M225" i="203"/>
  <c r="N225" i="203" s="1"/>
  <c r="M224" i="203"/>
  <c r="M223" i="203"/>
  <c r="M222" i="203"/>
  <c r="M221" i="203"/>
  <c r="M218" i="203"/>
  <c r="N218" i="203" s="1"/>
  <c r="M217" i="203"/>
  <c r="N217" i="203" s="1"/>
  <c r="M216" i="203"/>
  <c r="M211" i="203"/>
  <c r="N211" i="203" s="1"/>
  <c r="M208" i="203"/>
  <c r="N208" i="203" s="1"/>
  <c r="M207" i="203"/>
  <c r="N207" i="203" s="1"/>
  <c r="M206" i="203"/>
  <c r="N206" i="203" s="1"/>
  <c r="M205" i="203"/>
  <c r="N205" i="203" s="1"/>
  <c r="M204" i="203"/>
  <c r="N204" i="203" s="1"/>
  <c r="M203" i="203"/>
  <c r="N203" i="203" s="1"/>
  <c r="M202" i="203"/>
  <c r="N202" i="203" s="1"/>
  <c r="M201" i="203"/>
  <c r="N201" i="203" s="1"/>
  <c r="M200" i="203"/>
  <c r="N200" i="203" s="1"/>
  <c r="M199" i="203"/>
  <c r="N199" i="203" s="1"/>
  <c r="M196" i="203"/>
  <c r="N196" i="203" s="1"/>
  <c r="M195" i="203"/>
  <c r="N195" i="203" s="1"/>
  <c r="M194" i="203"/>
  <c r="N194" i="203" s="1"/>
  <c r="M193" i="203"/>
  <c r="N193" i="203" s="1"/>
  <c r="M192" i="203"/>
  <c r="N192" i="203" s="1"/>
  <c r="M191" i="203"/>
  <c r="N191" i="203" s="1"/>
  <c r="M190" i="203"/>
  <c r="N190" i="203" s="1"/>
  <c r="M189" i="203"/>
  <c r="N189" i="203" s="1"/>
  <c r="M186" i="203"/>
  <c r="N186" i="203" s="1"/>
  <c r="M185" i="203"/>
  <c r="N185" i="203" s="1"/>
  <c r="M184" i="203"/>
  <c r="N184" i="203" s="1"/>
  <c r="M183" i="203"/>
  <c r="N183" i="203" s="1"/>
  <c r="M182" i="203"/>
  <c r="N182" i="203" s="1"/>
  <c r="M179" i="203"/>
  <c r="N179" i="203" s="1"/>
  <c r="M178" i="203"/>
  <c r="N178" i="203" s="1"/>
  <c r="M177" i="203"/>
  <c r="N177" i="203" s="1"/>
  <c r="M176" i="203"/>
  <c r="N176" i="203" s="1"/>
  <c r="M173" i="203"/>
  <c r="N173" i="203" s="1"/>
  <c r="M170" i="203"/>
  <c r="N170" i="203" s="1"/>
  <c r="M169" i="203"/>
  <c r="N169" i="203" s="1"/>
  <c r="M168" i="203"/>
  <c r="N168" i="203" s="1"/>
  <c r="M167" i="203"/>
  <c r="N167" i="203" s="1"/>
  <c r="M166" i="203"/>
  <c r="N166" i="203" s="1"/>
  <c r="M165" i="203"/>
  <c r="N165" i="203" s="1"/>
  <c r="M164" i="203"/>
  <c r="N164" i="203" s="1"/>
  <c r="M163" i="203"/>
  <c r="N163" i="203" s="1"/>
  <c r="M162" i="203"/>
  <c r="N162" i="203" s="1"/>
  <c r="M161" i="203"/>
  <c r="N161" i="203" s="1"/>
  <c r="M158" i="203"/>
  <c r="N158" i="203" s="1"/>
  <c r="M157" i="203"/>
  <c r="N157" i="203" s="1"/>
  <c r="M156" i="203"/>
  <c r="N156" i="203" s="1"/>
  <c r="M155" i="203"/>
  <c r="N155" i="203" s="1"/>
  <c r="M154" i="203"/>
  <c r="N154" i="203" s="1"/>
  <c r="M150" i="203"/>
  <c r="N150" i="203" s="1"/>
  <c r="M147" i="203"/>
  <c r="N147" i="203" s="1"/>
  <c r="M146" i="203"/>
  <c r="N146" i="203" s="1"/>
  <c r="M145" i="203"/>
  <c r="N145" i="203" s="1"/>
  <c r="M144" i="203"/>
  <c r="N144" i="203" s="1"/>
  <c r="M143" i="203"/>
  <c r="N143" i="203" s="1"/>
  <c r="M142" i="203"/>
  <c r="N142" i="203" s="1"/>
  <c r="M141" i="203"/>
  <c r="N141" i="203" s="1"/>
  <c r="M140" i="203"/>
  <c r="N140" i="203" s="1"/>
  <c r="M137" i="203"/>
  <c r="N137" i="203" s="1"/>
  <c r="M136" i="203"/>
  <c r="N136" i="203" s="1"/>
  <c r="M135" i="203"/>
  <c r="N135" i="203" s="1"/>
  <c r="M134" i="203"/>
  <c r="N134" i="203" s="1"/>
  <c r="M133" i="203"/>
  <c r="N133" i="203" s="1"/>
  <c r="M132" i="203"/>
  <c r="N132" i="203" s="1"/>
  <c r="M131" i="203"/>
  <c r="N131" i="203" s="1"/>
  <c r="M130" i="203"/>
  <c r="N130" i="203" s="1"/>
  <c r="M127" i="203"/>
  <c r="N127" i="203" s="1"/>
  <c r="M124" i="203"/>
  <c r="N124" i="203" s="1"/>
  <c r="M123" i="203"/>
  <c r="N123" i="203" s="1"/>
  <c r="M122" i="203"/>
  <c r="N122" i="203" s="1"/>
  <c r="M121" i="203"/>
  <c r="N121" i="203" s="1"/>
  <c r="M120" i="203"/>
  <c r="N120" i="203" s="1"/>
  <c r="M119" i="203"/>
  <c r="N119" i="203" s="1"/>
  <c r="M118" i="203"/>
  <c r="N118" i="203" s="1"/>
  <c r="M117" i="203"/>
  <c r="N117" i="203" s="1"/>
  <c r="M116" i="203"/>
  <c r="N116" i="203" s="1"/>
  <c r="M115" i="203"/>
  <c r="N115" i="203" s="1"/>
  <c r="M112" i="203"/>
  <c r="N112" i="203" s="1"/>
  <c r="M111" i="203"/>
  <c r="N111" i="203" s="1"/>
  <c r="M110" i="203"/>
  <c r="N110" i="203" s="1"/>
  <c r="M109" i="203"/>
  <c r="N109" i="203" s="1"/>
  <c r="M108" i="203"/>
  <c r="N108" i="203" s="1"/>
  <c r="M107" i="203"/>
  <c r="N107" i="203" s="1"/>
  <c r="M106" i="203"/>
  <c r="N106" i="203" s="1"/>
  <c r="M102" i="203"/>
  <c r="N102" i="203" s="1"/>
  <c r="M99" i="203"/>
  <c r="N99" i="203" s="1"/>
  <c r="M98" i="203"/>
  <c r="N98" i="203" s="1"/>
  <c r="M97" i="203"/>
  <c r="N97" i="203" s="1"/>
  <c r="M96" i="203"/>
  <c r="N96" i="203" s="1"/>
  <c r="M95" i="203"/>
  <c r="N95" i="203" s="1"/>
  <c r="M94" i="203"/>
  <c r="N94" i="203" s="1"/>
  <c r="M93" i="203"/>
  <c r="N93" i="203" s="1"/>
  <c r="M92" i="203"/>
  <c r="N92" i="203" s="1"/>
  <c r="M91" i="203"/>
  <c r="N91" i="203" s="1"/>
  <c r="M90" i="203"/>
  <c r="N90" i="203" s="1"/>
  <c r="M87" i="203"/>
  <c r="N87" i="203" s="1"/>
  <c r="M86" i="203"/>
  <c r="N86" i="203" s="1"/>
  <c r="M85" i="203"/>
  <c r="N85" i="203" s="1"/>
  <c r="M84" i="203"/>
  <c r="N84" i="203" s="1"/>
  <c r="M83" i="203"/>
  <c r="N83" i="203" s="1"/>
  <c r="M79" i="203"/>
  <c r="N79" i="203" s="1"/>
  <c r="M78" i="203"/>
  <c r="N78" i="203" s="1"/>
  <c r="M77" i="203"/>
  <c r="N77" i="203" s="1"/>
  <c r="M76" i="203"/>
  <c r="N76" i="203" s="1"/>
  <c r="M75" i="203"/>
  <c r="N75" i="203" s="1"/>
  <c r="M74" i="203"/>
  <c r="N74" i="203" s="1"/>
  <c r="M73" i="203"/>
  <c r="N73" i="203" s="1"/>
  <c r="M72" i="203"/>
  <c r="N72" i="203" s="1"/>
  <c r="M69" i="203"/>
  <c r="N69" i="203" s="1"/>
  <c r="M68" i="203"/>
  <c r="N68" i="203" s="1"/>
  <c r="M67" i="203"/>
  <c r="N67" i="203" s="1"/>
  <c r="M66" i="203"/>
  <c r="N66" i="203" s="1"/>
  <c r="M65" i="203"/>
  <c r="N65" i="203" s="1"/>
  <c r="M64" i="203"/>
  <c r="N64" i="203" s="1"/>
  <c r="M63" i="203"/>
  <c r="N63" i="203" s="1"/>
  <c r="M62" i="203"/>
  <c r="N62" i="203" s="1"/>
  <c r="M59" i="203"/>
  <c r="N59" i="203" s="1"/>
  <c r="M58" i="203"/>
  <c r="N58" i="203" s="1"/>
  <c r="M57" i="203"/>
  <c r="N57" i="203" s="1"/>
  <c r="M54" i="203"/>
  <c r="N54" i="203" s="1"/>
  <c r="M53" i="203"/>
  <c r="N53" i="203" s="1"/>
  <c r="M52" i="203"/>
  <c r="N52" i="203" s="1"/>
  <c r="M51" i="203"/>
  <c r="N51" i="203" s="1"/>
  <c r="M50" i="203"/>
  <c r="N50" i="203" s="1"/>
  <c r="M49" i="203"/>
  <c r="N49" i="203" s="1"/>
  <c r="M46" i="203"/>
  <c r="N46" i="203" s="1"/>
  <c r="M45" i="203"/>
  <c r="N45" i="203" s="1"/>
  <c r="M44" i="203"/>
  <c r="N44" i="203" s="1"/>
  <c r="M43" i="203"/>
  <c r="N43" i="203" s="1"/>
  <c r="M42" i="203"/>
  <c r="N42" i="203" s="1"/>
  <c r="M41" i="203"/>
  <c r="N41" i="203" s="1"/>
  <c r="M40" i="203"/>
  <c r="N40" i="203" s="1"/>
  <c r="M39" i="203"/>
  <c r="N39" i="203" s="1"/>
  <c r="M38" i="203"/>
  <c r="N38" i="203" s="1"/>
  <c r="M37" i="203"/>
  <c r="N37" i="203" s="1"/>
  <c r="M34" i="203"/>
  <c r="N34" i="203" s="1"/>
  <c r="M31" i="203"/>
  <c r="N31" i="203" s="1"/>
  <c r="M30" i="203"/>
  <c r="N30" i="203" s="1"/>
  <c r="M27" i="203"/>
  <c r="N27" i="203" s="1"/>
  <c r="M26" i="203"/>
  <c r="N26" i="203" s="1"/>
  <c r="M25" i="203"/>
  <c r="N25" i="203" s="1"/>
  <c r="M24" i="203"/>
  <c r="N24" i="203" s="1"/>
  <c r="M23" i="203"/>
  <c r="N23" i="203" s="1"/>
  <c r="M22" i="203"/>
  <c r="N22" i="203" s="1"/>
  <c r="M21" i="203"/>
  <c r="N21" i="203" s="1"/>
  <c r="M20" i="203"/>
  <c r="N20" i="203" s="1"/>
  <c r="M19" i="203"/>
  <c r="N19" i="203" s="1"/>
  <c r="M18" i="203"/>
  <c r="N18" i="203" s="1"/>
  <c r="M17" i="203"/>
  <c r="N17" i="203" s="1"/>
  <c r="M16" i="203"/>
  <c r="N16" i="203" s="1"/>
  <c r="M15" i="203"/>
  <c r="N15" i="203" s="1"/>
  <c r="M12" i="203"/>
  <c r="N12" i="203" s="1"/>
  <c r="M11" i="203"/>
  <c r="N11" i="203" s="1"/>
  <c r="M10" i="203"/>
  <c r="N10" i="203" s="1"/>
  <c r="M8" i="203"/>
  <c r="N8" i="203" s="1"/>
  <c r="K226" i="203"/>
  <c r="L226" i="203" s="1"/>
  <c r="K225" i="203"/>
  <c r="L225" i="203" s="1"/>
  <c r="K224" i="203"/>
  <c r="L224" i="203" s="1"/>
  <c r="K223" i="203"/>
  <c r="L223" i="203" s="1"/>
  <c r="K222" i="203"/>
  <c r="L222" i="203" s="1"/>
  <c r="K221" i="203"/>
  <c r="L221" i="203" s="1"/>
  <c r="K218" i="203"/>
  <c r="L218" i="203" s="1"/>
  <c r="K217" i="203"/>
  <c r="L217" i="203" s="1"/>
  <c r="K216" i="203"/>
  <c r="L216" i="203" s="1"/>
  <c r="K215" i="203"/>
  <c r="L215" i="203" s="1"/>
  <c r="K211" i="203"/>
  <c r="L211" i="203" s="1"/>
  <c r="K208" i="203"/>
  <c r="L208" i="203" s="1"/>
  <c r="K207" i="203"/>
  <c r="L207" i="203" s="1"/>
  <c r="K206" i="203"/>
  <c r="L206" i="203" s="1"/>
  <c r="K205" i="203"/>
  <c r="L205" i="203" s="1"/>
  <c r="K204" i="203"/>
  <c r="L204" i="203" s="1"/>
  <c r="K203" i="203"/>
  <c r="L203" i="203" s="1"/>
  <c r="K202" i="203"/>
  <c r="L202" i="203" s="1"/>
  <c r="K201" i="203"/>
  <c r="L201" i="203" s="1"/>
  <c r="K200" i="203"/>
  <c r="L200" i="203" s="1"/>
  <c r="K199" i="203"/>
  <c r="L199" i="203" s="1"/>
  <c r="K196" i="203"/>
  <c r="L196" i="203" s="1"/>
  <c r="K195" i="203"/>
  <c r="L195" i="203" s="1"/>
  <c r="K194" i="203"/>
  <c r="L194" i="203" s="1"/>
  <c r="K193" i="203"/>
  <c r="L193" i="203" s="1"/>
  <c r="K192" i="203"/>
  <c r="L192" i="203" s="1"/>
  <c r="K191" i="203"/>
  <c r="L191" i="203" s="1"/>
  <c r="K190" i="203"/>
  <c r="L190" i="203" s="1"/>
  <c r="K189" i="203"/>
  <c r="L189" i="203" s="1"/>
  <c r="K186" i="203"/>
  <c r="L186" i="203" s="1"/>
  <c r="K185" i="203"/>
  <c r="L185" i="203" s="1"/>
  <c r="K184" i="203"/>
  <c r="L184" i="203" s="1"/>
  <c r="K183" i="203"/>
  <c r="L183" i="203" s="1"/>
  <c r="K182" i="203"/>
  <c r="L182" i="203" s="1"/>
  <c r="K179" i="203"/>
  <c r="L179" i="203" s="1"/>
  <c r="K178" i="203"/>
  <c r="L178" i="203" s="1"/>
  <c r="K177" i="203"/>
  <c r="L177" i="203" s="1"/>
  <c r="K176" i="203"/>
  <c r="L176" i="203" s="1"/>
  <c r="K173" i="203"/>
  <c r="L173" i="203" s="1"/>
  <c r="K170" i="203"/>
  <c r="L170" i="203" s="1"/>
  <c r="K169" i="203"/>
  <c r="L169" i="203" s="1"/>
  <c r="K168" i="203"/>
  <c r="L168" i="203" s="1"/>
  <c r="K167" i="203"/>
  <c r="L167" i="203" s="1"/>
  <c r="K166" i="203"/>
  <c r="L166" i="203" s="1"/>
  <c r="K165" i="203"/>
  <c r="L165" i="203" s="1"/>
  <c r="K164" i="203"/>
  <c r="L164" i="203" s="1"/>
  <c r="K163" i="203"/>
  <c r="L163" i="203" s="1"/>
  <c r="K162" i="203"/>
  <c r="L162" i="203" s="1"/>
  <c r="K161" i="203"/>
  <c r="L161" i="203" s="1"/>
  <c r="K158" i="203"/>
  <c r="L158" i="203" s="1"/>
  <c r="K157" i="203"/>
  <c r="L157" i="203" s="1"/>
  <c r="K156" i="203"/>
  <c r="L156" i="203" s="1"/>
  <c r="K155" i="203"/>
  <c r="L155" i="203" s="1"/>
  <c r="K154" i="203"/>
  <c r="L154" i="203" s="1"/>
  <c r="K150" i="203"/>
  <c r="L150" i="203" s="1"/>
  <c r="K147" i="203"/>
  <c r="L147" i="203" s="1"/>
  <c r="K146" i="203"/>
  <c r="L146" i="203" s="1"/>
  <c r="K145" i="203"/>
  <c r="L145" i="203" s="1"/>
  <c r="K144" i="203"/>
  <c r="L144" i="203" s="1"/>
  <c r="K143" i="203"/>
  <c r="L143" i="203" s="1"/>
  <c r="K142" i="203"/>
  <c r="L142" i="203" s="1"/>
  <c r="K141" i="203"/>
  <c r="L141" i="203" s="1"/>
  <c r="K140" i="203"/>
  <c r="L140" i="203" s="1"/>
  <c r="K137" i="203"/>
  <c r="L137" i="203" s="1"/>
  <c r="K136" i="203"/>
  <c r="L136" i="203" s="1"/>
  <c r="K135" i="203"/>
  <c r="L135" i="203" s="1"/>
  <c r="K134" i="203"/>
  <c r="L134" i="203" s="1"/>
  <c r="K133" i="203"/>
  <c r="L133" i="203" s="1"/>
  <c r="K132" i="203"/>
  <c r="L132" i="203" s="1"/>
  <c r="K131" i="203"/>
  <c r="L131" i="203" s="1"/>
  <c r="K130" i="203"/>
  <c r="L130" i="203" s="1"/>
  <c r="K127" i="203"/>
  <c r="L127" i="203" s="1"/>
  <c r="K124" i="203"/>
  <c r="L124" i="203" s="1"/>
  <c r="K123" i="203"/>
  <c r="L123" i="203" s="1"/>
  <c r="K122" i="203"/>
  <c r="L122" i="203" s="1"/>
  <c r="K121" i="203"/>
  <c r="L121" i="203" s="1"/>
  <c r="K120" i="203"/>
  <c r="L120" i="203" s="1"/>
  <c r="K119" i="203"/>
  <c r="L119" i="203" s="1"/>
  <c r="K118" i="203"/>
  <c r="L118" i="203" s="1"/>
  <c r="K117" i="203"/>
  <c r="L117" i="203" s="1"/>
  <c r="K116" i="203"/>
  <c r="L116" i="203" s="1"/>
  <c r="K115" i="203"/>
  <c r="L115" i="203" s="1"/>
  <c r="K112" i="203"/>
  <c r="L112" i="203" s="1"/>
  <c r="K111" i="203"/>
  <c r="L111" i="203" s="1"/>
  <c r="K110" i="203"/>
  <c r="L110" i="203" s="1"/>
  <c r="K109" i="203"/>
  <c r="L109" i="203" s="1"/>
  <c r="K108" i="203"/>
  <c r="L108" i="203" s="1"/>
  <c r="K107" i="203"/>
  <c r="L107" i="203" s="1"/>
  <c r="K106" i="203"/>
  <c r="L106" i="203" s="1"/>
  <c r="K102" i="203"/>
  <c r="L102" i="203" s="1"/>
  <c r="K99" i="203"/>
  <c r="L99" i="203" s="1"/>
  <c r="K98" i="203"/>
  <c r="L98" i="203" s="1"/>
  <c r="K97" i="203"/>
  <c r="L97" i="203" s="1"/>
  <c r="K96" i="203"/>
  <c r="L96" i="203" s="1"/>
  <c r="K95" i="203"/>
  <c r="L95" i="203" s="1"/>
  <c r="K94" i="203"/>
  <c r="L94" i="203" s="1"/>
  <c r="K93" i="203"/>
  <c r="L93" i="203" s="1"/>
  <c r="K92" i="203"/>
  <c r="L92" i="203" s="1"/>
  <c r="K91" i="203"/>
  <c r="L91" i="203" s="1"/>
  <c r="K90" i="203"/>
  <c r="L90" i="203" s="1"/>
  <c r="K87" i="203"/>
  <c r="L87" i="203" s="1"/>
  <c r="K86" i="203"/>
  <c r="L86" i="203" s="1"/>
  <c r="K85" i="203"/>
  <c r="L85" i="203" s="1"/>
  <c r="K84" i="203"/>
  <c r="L84" i="203" s="1"/>
  <c r="K83" i="203"/>
  <c r="L83" i="203" s="1"/>
  <c r="K79" i="203"/>
  <c r="L79" i="203" s="1"/>
  <c r="K78" i="203"/>
  <c r="L78" i="203" s="1"/>
  <c r="K77" i="203"/>
  <c r="L77" i="203" s="1"/>
  <c r="K76" i="203"/>
  <c r="L76" i="203" s="1"/>
  <c r="K75" i="203"/>
  <c r="L75" i="203" s="1"/>
  <c r="K74" i="203"/>
  <c r="L74" i="203" s="1"/>
  <c r="K73" i="203"/>
  <c r="L73" i="203" s="1"/>
  <c r="K72" i="203"/>
  <c r="L72" i="203" s="1"/>
  <c r="K69" i="203"/>
  <c r="L69" i="203" s="1"/>
  <c r="K68" i="203"/>
  <c r="L68" i="203" s="1"/>
  <c r="K67" i="203"/>
  <c r="L67" i="203" s="1"/>
  <c r="K66" i="203"/>
  <c r="L66" i="203" s="1"/>
  <c r="K65" i="203"/>
  <c r="L65" i="203" s="1"/>
  <c r="K64" i="203"/>
  <c r="L64" i="203" s="1"/>
  <c r="K63" i="203"/>
  <c r="L63" i="203" s="1"/>
  <c r="K62" i="203"/>
  <c r="L62" i="203" s="1"/>
  <c r="K59" i="203"/>
  <c r="L59" i="203" s="1"/>
  <c r="K58" i="203"/>
  <c r="L58" i="203" s="1"/>
  <c r="K57" i="203"/>
  <c r="L57" i="203" s="1"/>
  <c r="K54" i="203"/>
  <c r="L54" i="203" s="1"/>
  <c r="K53" i="203"/>
  <c r="L53" i="203" s="1"/>
  <c r="K52" i="203"/>
  <c r="L52" i="203" s="1"/>
  <c r="K51" i="203"/>
  <c r="L51" i="203" s="1"/>
  <c r="K50" i="203"/>
  <c r="L50" i="203" s="1"/>
  <c r="K49" i="203"/>
  <c r="L49" i="203" s="1"/>
  <c r="K46" i="203"/>
  <c r="L46" i="203" s="1"/>
  <c r="K45" i="203"/>
  <c r="L45" i="203" s="1"/>
  <c r="K44" i="203"/>
  <c r="L44" i="203" s="1"/>
  <c r="K43" i="203"/>
  <c r="L43" i="203" s="1"/>
  <c r="K42" i="203"/>
  <c r="L42" i="203" s="1"/>
  <c r="K41" i="203"/>
  <c r="L41" i="203" s="1"/>
  <c r="K40" i="203"/>
  <c r="L40" i="203" s="1"/>
  <c r="K39" i="203"/>
  <c r="L39" i="203" s="1"/>
  <c r="K38" i="203"/>
  <c r="L38" i="203" s="1"/>
  <c r="K37" i="203"/>
  <c r="L37" i="203" s="1"/>
  <c r="K34" i="203"/>
  <c r="L34" i="203" s="1"/>
  <c r="K31" i="203"/>
  <c r="L31" i="203" s="1"/>
  <c r="K30" i="203"/>
  <c r="L30" i="203" s="1"/>
  <c r="K27" i="203"/>
  <c r="L27" i="203" s="1"/>
  <c r="K26" i="203"/>
  <c r="L26" i="203" s="1"/>
  <c r="K25" i="203"/>
  <c r="L25" i="203" s="1"/>
  <c r="K24" i="203"/>
  <c r="L24" i="203" s="1"/>
  <c r="K23" i="203"/>
  <c r="L23" i="203" s="1"/>
  <c r="K22" i="203"/>
  <c r="L22" i="203" s="1"/>
  <c r="K21" i="203"/>
  <c r="L21" i="203" s="1"/>
  <c r="K20" i="203"/>
  <c r="L20" i="203" s="1"/>
  <c r="K19" i="203"/>
  <c r="L19" i="203" s="1"/>
  <c r="K18" i="203"/>
  <c r="L18" i="203" s="1"/>
  <c r="K17" i="203"/>
  <c r="L17" i="203" s="1"/>
  <c r="K16" i="203"/>
  <c r="L16" i="203" s="1"/>
  <c r="K15" i="203"/>
  <c r="L15" i="203" s="1"/>
  <c r="K12" i="203"/>
  <c r="L12" i="203" s="1"/>
  <c r="K11" i="203"/>
  <c r="L11" i="203" s="1"/>
  <c r="K10" i="203"/>
  <c r="L10" i="203" s="1"/>
  <c r="K8" i="203"/>
  <c r="L8" i="203" s="1"/>
  <c r="G226" i="203"/>
  <c r="H226" i="203" s="1"/>
  <c r="G225" i="203"/>
  <c r="H225" i="203" s="1"/>
  <c r="G224" i="203"/>
  <c r="H224" i="203" s="1"/>
  <c r="G223" i="203"/>
  <c r="H223" i="203" s="1"/>
  <c r="G222" i="203"/>
  <c r="H222" i="203" s="1"/>
  <c r="G221" i="203"/>
  <c r="H221" i="203" s="1"/>
  <c r="G218" i="203"/>
  <c r="H218" i="203" s="1"/>
  <c r="G217" i="203"/>
  <c r="H217" i="203" s="1"/>
  <c r="G216" i="203"/>
  <c r="H216" i="203" s="1"/>
  <c r="G215" i="203"/>
  <c r="H215" i="203" s="1"/>
  <c r="G214" i="203"/>
  <c r="H214" i="203" s="1"/>
  <c r="G211" i="203"/>
  <c r="H211" i="203" s="1"/>
  <c r="G208" i="203"/>
  <c r="H208" i="203" s="1"/>
  <c r="G207" i="203"/>
  <c r="H207" i="203" s="1"/>
  <c r="G206" i="203"/>
  <c r="H206" i="203" s="1"/>
  <c r="G205" i="203"/>
  <c r="H205" i="203" s="1"/>
  <c r="G204" i="203"/>
  <c r="H204" i="203" s="1"/>
  <c r="G203" i="203"/>
  <c r="H203" i="203" s="1"/>
  <c r="G202" i="203"/>
  <c r="H202" i="203" s="1"/>
  <c r="G201" i="203"/>
  <c r="H201" i="203" s="1"/>
  <c r="G200" i="203"/>
  <c r="H200" i="203" s="1"/>
  <c r="G199" i="203"/>
  <c r="H199" i="203" s="1"/>
  <c r="G196" i="203"/>
  <c r="H196" i="203" s="1"/>
  <c r="G195" i="203"/>
  <c r="H195" i="203" s="1"/>
  <c r="G194" i="203"/>
  <c r="H194" i="203" s="1"/>
  <c r="G193" i="203"/>
  <c r="H193" i="203" s="1"/>
  <c r="G192" i="203"/>
  <c r="H192" i="203" s="1"/>
  <c r="G191" i="203"/>
  <c r="H191" i="203" s="1"/>
  <c r="G190" i="203"/>
  <c r="H190" i="203" s="1"/>
  <c r="G189" i="203"/>
  <c r="H189" i="203" s="1"/>
  <c r="G186" i="203"/>
  <c r="H186" i="203" s="1"/>
  <c r="G185" i="203"/>
  <c r="H185" i="203" s="1"/>
  <c r="G184" i="203"/>
  <c r="H184" i="203" s="1"/>
  <c r="G183" i="203"/>
  <c r="H183" i="203" s="1"/>
  <c r="G182" i="203"/>
  <c r="H182" i="203" s="1"/>
  <c r="G179" i="203"/>
  <c r="H179" i="203" s="1"/>
  <c r="G178" i="203"/>
  <c r="H178" i="203" s="1"/>
  <c r="G177" i="203"/>
  <c r="H177" i="203" s="1"/>
  <c r="G176" i="203"/>
  <c r="H176" i="203" s="1"/>
  <c r="G173" i="203"/>
  <c r="H173" i="203" s="1"/>
  <c r="G170" i="203"/>
  <c r="H170" i="203" s="1"/>
  <c r="G169" i="203"/>
  <c r="H169" i="203" s="1"/>
  <c r="G168" i="203"/>
  <c r="H168" i="203" s="1"/>
  <c r="G167" i="203"/>
  <c r="H167" i="203" s="1"/>
  <c r="G166" i="203"/>
  <c r="H166" i="203" s="1"/>
  <c r="G165" i="203"/>
  <c r="H165" i="203" s="1"/>
  <c r="G164" i="203"/>
  <c r="H164" i="203" s="1"/>
  <c r="G163" i="203"/>
  <c r="H163" i="203" s="1"/>
  <c r="G162" i="203"/>
  <c r="H162" i="203" s="1"/>
  <c r="G161" i="203"/>
  <c r="H161" i="203" s="1"/>
  <c r="G158" i="203"/>
  <c r="H158" i="203" s="1"/>
  <c r="G157" i="203"/>
  <c r="H157" i="203" s="1"/>
  <c r="G156" i="203"/>
  <c r="H156" i="203" s="1"/>
  <c r="G155" i="203"/>
  <c r="H155" i="203" s="1"/>
  <c r="G154" i="203"/>
  <c r="H154" i="203" s="1"/>
  <c r="G150" i="203"/>
  <c r="H150" i="203" s="1"/>
  <c r="G147" i="203"/>
  <c r="H147" i="203" s="1"/>
  <c r="G146" i="203"/>
  <c r="H146" i="203" s="1"/>
  <c r="G145" i="203"/>
  <c r="H145" i="203" s="1"/>
  <c r="G144" i="203"/>
  <c r="H144" i="203" s="1"/>
  <c r="G143" i="203"/>
  <c r="H143" i="203" s="1"/>
  <c r="G142" i="203"/>
  <c r="H142" i="203" s="1"/>
  <c r="G141" i="203"/>
  <c r="H141" i="203" s="1"/>
  <c r="G140" i="203"/>
  <c r="H140" i="203" s="1"/>
  <c r="G137" i="203"/>
  <c r="H137" i="203" s="1"/>
  <c r="G136" i="203"/>
  <c r="H136" i="203" s="1"/>
  <c r="G135" i="203"/>
  <c r="H135" i="203" s="1"/>
  <c r="G134" i="203"/>
  <c r="H134" i="203" s="1"/>
  <c r="G133" i="203"/>
  <c r="H133" i="203" s="1"/>
  <c r="G132" i="203"/>
  <c r="H132" i="203" s="1"/>
  <c r="G131" i="203"/>
  <c r="H131" i="203" s="1"/>
  <c r="G130" i="203"/>
  <c r="H130" i="203" s="1"/>
  <c r="G127" i="203"/>
  <c r="H127" i="203" s="1"/>
  <c r="G124" i="203"/>
  <c r="H124" i="203" s="1"/>
  <c r="G123" i="203"/>
  <c r="H123" i="203" s="1"/>
  <c r="G122" i="203"/>
  <c r="H122" i="203" s="1"/>
  <c r="G121" i="203"/>
  <c r="H121" i="203" s="1"/>
  <c r="G120" i="203"/>
  <c r="H120" i="203" s="1"/>
  <c r="G119" i="203"/>
  <c r="H119" i="203" s="1"/>
  <c r="G118" i="203"/>
  <c r="H118" i="203" s="1"/>
  <c r="G117" i="203"/>
  <c r="H117" i="203" s="1"/>
  <c r="G116" i="203"/>
  <c r="H116" i="203" s="1"/>
  <c r="G115" i="203"/>
  <c r="H115" i="203" s="1"/>
  <c r="G112" i="203"/>
  <c r="H112" i="203" s="1"/>
  <c r="G111" i="203"/>
  <c r="H111" i="203" s="1"/>
  <c r="G110" i="203"/>
  <c r="H110" i="203" s="1"/>
  <c r="G109" i="203"/>
  <c r="H109" i="203" s="1"/>
  <c r="G108" i="203"/>
  <c r="H108" i="203" s="1"/>
  <c r="G107" i="203"/>
  <c r="H107" i="203" s="1"/>
  <c r="G106" i="203"/>
  <c r="H106" i="203" s="1"/>
  <c r="G102" i="203"/>
  <c r="H102" i="203" s="1"/>
  <c r="G99" i="203"/>
  <c r="H99" i="203" s="1"/>
  <c r="G98" i="203"/>
  <c r="H98" i="203" s="1"/>
  <c r="G97" i="203"/>
  <c r="H97" i="203" s="1"/>
  <c r="G96" i="203"/>
  <c r="H96" i="203" s="1"/>
  <c r="G95" i="203"/>
  <c r="H95" i="203" s="1"/>
  <c r="G94" i="203"/>
  <c r="H94" i="203" s="1"/>
  <c r="G93" i="203"/>
  <c r="H93" i="203" s="1"/>
  <c r="G92" i="203"/>
  <c r="H92" i="203" s="1"/>
  <c r="G91" i="203"/>
  <c r="H91" i="203" s="1"/>
  <c r="G90" i="203"/>
  <c r="H90" i="203" s="1"/>
  <c r="G87" i="203"/>
  <c r="H87" i="203" s="1"/>
  <c r="G86" i="203"/>
  <c r="H86" i="203" s="1"/>
  <c r="G85" i="203"/>
  <c r="H85" i="203" s="1"/>
  <c r="G84" i="203"/>
  <c r="H84" i="203" s="1"/>
  <c r="G83" i="203"/>
  <c r="H83" i="203" s="1"/>
  <c r="G79" i="203"/>
  <c r="H79" i="203" s="1"/>
  <c r="G78" i="203"/>
  <c r="H78" i="203" s="1"/>
  <c r="G77" i="203"/>
  <c r="H77" i="203" s="1"/>
  <c r="G76" i="203"/>
  <c r="H76" i="203" s="1"/>
  <c r="G75" i="203"/>
  <c r="H75" i="203" s="1"/>
  <c r="G74" i="203"/>
  <c r="H74" i="203" s="1"/>
  <c r="G73" i="203"/>
  <c r="H73" i="203" s="1"/>
  <c r="H72" i="203"/>
  <c r="G69" i="203"/>
  <c r="H69" i="203" s="1"/>
  <c r="G68" i="203"/>
  <c r="H68" i="203" s="1"/>
  <c r="G67" i="203"/>
  <c r="H67" i="203" s="1"/>
  <c r="G66" i="203"/>
  <c r="H66" i="203" s="1"/>
  <c r="G65" i="203"/>
  <c r="H65" i="203" s="1"/>
  <c r="G64" i="203"/>
  <c r="H64" i="203" s="1"/>
  <c r="G63" i="203"/>
  <c r="H63" i="203" s="1"/>
  <c r="G62" i="203"/>
  <c r="H62" i="203" s="1"/>
  <c r="G59" i="203"/>
  <c r="H59" i="203" s="1"/>
  <c r="G58" i="203"/>
  <c r="H58" i="203" s="1"/>
  <c r="G57" i="203"/>
  <c r="H57" i="203" s="1"/>
  <c r="G54" i="203"/>
  <c r="H54" i="203" s="1"/>
  <c r="G53" i="203"/>
  <c r="H53" i="203" s="1"/>
  <c r="G52" i="203"/>
  <c r="H52" i="203" s="1"/>
  <c r="G51" i="203"/>
  <c r="H51" i="203" s="1"/>
  <c r="G50" i="203"/>
  <c r="H50" i="203" s="1"/>
  <c r="G49" i="203"/>
  <c r="H49" i="203" s="1"/>
  <c r="G46" i="203"/>
  <c r="H46" i="203" s="1"/>
  <c r="G45" i="203"/>
  <c r="H45" i="203" s="1"/>
  <c r="G44" i="203"/>
  <c r="H44" i="203" s="1"/>
  <c r="G43" i="203"/>
  <c r="H43" i="203" s="1"/>
  <c r="G42" i="203"/>
  <c r="H42" i="203" s="1"/>
  <c r="G41" i="203"/>
  <c r="H41" i="203" s="1"/>
  <c r="G40" i="203"/>
  <c r="H40" i="203" s="1"/>
  <c r="G39" i="203"/>
  <c r="H39" i="203" s="1"/>
  <c r="G38" i="203"/>
  <c r="H38" i="203" s="1"/>
  <c r="G37" i="203"/>
  <c r="H37" i="203" s="1"/>
  <c r="G34" i="203"/>
  <c r="H34" i="203" s="1"/>
  <c r="G31" i="203"/>
  <c r="H31" i="203" s="1"/>
  <c r="G30" i="203"/>
  <c r="H30" i="203" s="1"/>
  <c r="G27" i="203"/>
  <c r="H27" i="203" s="1"/>
  <c r="G26" i="203"/>
  <c r="H26" i="203" s="1"/>
  <c r="G25" i="203"/>
  <c r="H25" i="203" s="1"/>
  <c r="G24" i="203"/>
  <c r="H24" i="203" s="1"/>
  <c r="G23" i="203"/>
  <c r="H23" i="203" s="1"/>
  <c r="G22" i="203"/>
  <c r="H22" i="203" s="1"/>
  <c r="G21" i="203"/>
  <c r="H21" i="203" s="1"/>
  <c r="G20" i="203"/>
  <c r="H20" i="203" s="1"/>
  <c r="G19" i="203"/>
  <c r="H19" i="203" s="1"/>
  <c r="G18" i="203"/>
  <c r="H18" i="203" s="1"/>
  <c r="G17" i="203"/>
  <c r="H17" i="203" s="1"/>
  <c r="G16" i="203"/>
  <c r="H16" i="203" s="1"/>
  <c r="G15" i="203"/>
  <c r="H15" i="203" s="1"/>
  <c r="G12" i="203"/>
  <c r="H12" i="203" s="1"/>
  <c r="G11" i="203"/>
  <c r="H11" i="203" s="1"/>
  <c r="G10" i="203"/>
  <c r="H10" i="203" s="1"/>
  <c r="G8" i="203"/>
  <c r="H8" i="203" s="1"/>
  <c r="I226" i="203"/>
  <c r="J226" i="203" s="1"/>
  <c r="I225" i="203"/>
  <c r="J225" i="203" s="1"/>
  <c r="I224" i="203"/>
  <c r="J224" i="203" s="1"/>
  <c r="I223" i="203"/>
  <c r="J223" i="203" s="1"/>
  <c r="I222" i="203"/>
  <c r="J222" i="203" s="1"/>
  <c r="I221" i="203"/>
  <c r="J221" i="203" s="1"/>
  <c r="I218" i="203"/>
  <c r="J218" i="203" s="1"/>
  <c r="I217" i="203"/>
  <c r="J217" i="203" s="1"/>
  <c r="I216" i="203"/>
  <c r="J216" i="203" s="1"/>
  <c r="I215" i="203"/>
  <c r="J215" i="203" s="1"/>
  <c r="I214" i="203"/>
  <c r="J214" i="203" s="1"/>
  <c r="I211" i="203"/>
  <c r="J211" i="203" s="1"/>
  <c r="I208" i="203"/>
  <c r="J208" i="203" s="1"/>
  <c r="I207" i="203"/>
  <c r="J207" i="203" s="1"/>
  <c r="I206" i="203"/>
  <c r="J206" i="203" s="1"/>
  <c r="I205" i="203"/>
  <c r="J205" i="203" s="1"/>
  <c r="I204" i="203"/>
  <c r="J204" i="203" s="1"/>
  <c r="I203" i="203"/>
  <c r="J203" i="203" s="1"/>
  <c r="I202" i="203"/>
  <c r="J202" i="203" s="1"/>
  <c r="I201" i="203"/>
  <c r="J201" i="203" s="1"/>
  <c r="I200" i="203"/>
  <c r="J200" i="203" s="1"/>
  <c r="I199" i="203"/>
  <c r="J199" i="203" s="1"/>
  <c r="I196" i="203"/>
  <c r="J196" i="203" s="1"/>
  <c r="I195" i="203"/>
  <c r="J195" i="203" s="1"/>
  <c r="I194" i="203"/>
  <c r="J194" i="203" s="1"/>
  <c r="I193" i="203"/>
  <c r="J193" i="203" s="1"/>
  <c r="I192" i="203"/>
  <c r="J192" i="203" s="1"/>
  <c r="I191" i="203"/>
  <c r="J191" i="203" s="1"/>
  <c r="I190" i="203"/>
  <c r="J190" i="203" s="1"/>
  <c r="I189" i="203"/>
  <c r="J189" i="203" s="1"/>
  <c r="I186" i="203"/>
  <c r="J186" i="203" s="1"/>
  <c r="I185" i="203"/>
  <c r="J185" i="203" s="1"/>
  <c r="I184" i="203"/>
  <c r="J184" i="203" s="1"/>
  <c r="I183" i="203"/>
  <c r="J183" i="203" s="1"/>
  <c r="I182" i="203"/>
  <c r="J182" i="203" s="1"/>
  <c r="I179" i="203"/>
  <c r="J179" i="203" s="1"/>
  <c r="I178" i="203"/>
  <c r="J178" i="203" s="1"/>
  <c r="I177" i="203"/>
  <c r="J177" i="203" s="1"/>
  <c r="I176" i="203"/>
  <c r="J176" i="203" s="1"/>
  <c r="I173" i="203"/>
  <c r="J173" i="203" s="1"/>
  <c r="I170" i="203"/>
  <c r="J170" i="203" s="1"/>
  <c r="I169" i="203"/>
  <c r="J169" i="203" s="1"/>
  <c r="I168" i="203"/>
  <c r="J168" i="203" s="1"/>
  <c r="I167" i="203"/>
  <c r="J167" i="203" s="1"/>
  <c r="I166" i="203"/>
  <c r="J166" i="203" s="1"/>
  <c r="I165" i="203"/>
  <c r="J165" i="203" s="1"/>
  <c r="I164" i="203"/>
  <c r="J164" i="203" s="1"/>
  <c r="I163" i="203"/>
  <c r="J163" i="203" s="1"/>
  <c r="I162" i="203"/>
  <c r="J162" i="203" s="1"/>
  <c r="I161" i="203"/>
  <c r="J161" i="203" s="1"/>
  <c r="I158" i="203"/>
  <c r="J158" i="203" s="1"/>
  <c r="I157" i="203"/>
  <c r="J157" i="203" s="1"/>
  <c r="I156" i="203"/>
  <c r="J156" i="203" s="1"/>
  <c r="I155" i="203"/>
  <c r="J155" i="203" s="1"/>
  <c r="I154" i="203"/>
  <c r="J154" i="203" s="1"/>
  <c r="I150" i="203"/>
  <c r="J150" i="203" s="1"/>
  <c r="I147" i="203"/>
  <c r="J147" i="203" s="1"/>
  <c r="I146" i="203"/>
  <c r="J146" i="203" s="1"/>
  <c r="I145" i="203"/>
  <c r="J145" i="203" s="1"/>
  <c r="I144" i="203"/>
  <c r="J144" i="203" s="1"/>
  <c r="I143" i="203"/>
  <c r="J143" i="203" s="1"/>
  <c r="I142" i="203"/>
  <c r="J142" i="203" s="1"/>
  <c r="I141" i="203"/>
  <c r="J141" i="203" s="1"/>
  <c r="I140" i="203"/>
  <c r="J140" i="203" s="1"/>
  <c r="I137" i="203"/>
  <c r="J137" i="203" s="1"/>
  <c r="I136" i="203"/>
  <c r="J136" i="203" s="1"/>
  <c r="I135" i="203"/>
  <c r="J135" i="203" s="1"/>
  <c r="I134" i="203"/>
  <c r="J134" i="203" s="1"/>
  <c r="I133" i="203"/>
  <c r="J133" i="203" s="1"/>
  <c r="I132" i="203"/>
  <c r="J132" i="203" s="1"/>
  <c r="I131" i="203"/>
  <c r="J131" i="203" s="1"/>
  <c r="I130" i="203"/>
  <c r="J130" i="203" s="1"/>
  <c r="I127" i="203"/>
  <c r="J127" i="203" s="1"/>
  <c r="I124" i="203"/>
  <c r="J124" i="203" s="1"/>
  <c r="I123" i="203"/>
  <c r="J123" i="203" s="1"/>
  <c r="I122" i="203"/>
  <c r="J122" i="203" s="1"/>
  <c r="I121" i="203"/>
  <c r="J121" i="203" s="1"/>
  <c r="I120" i="203"/>
  <c r="J120" i="203" s="1"/>
  <c r="I119" i="203"/>
  <c r="J119" i="203" s="1"/>
  <c r="I118" i="203"/>
  <c r="J118" i="203" s="1"/>
  <c r="I117" i="203"/>
  <c r="J117" i="203" s="1"/>
  <c r="I116" i="203"/>
  <c r="J116" i="203" s="1"/>
  <c r="I115" i="203"/>
  <c r="J115" i="203" s="1"/>
  <c r="I112" i="203"/>
  <c r="J112" i="203" s="1"/>
  <c r="I111" i="203"/>
  <c r="J111" i="203" s="1"/>
  <c r="I110" i="203"/>
  <c r="J110" i="203" s="1"/>
  <c r="I109" i="203"/>
  <c r="J109" i="203" s="1"/>
  <c r="I108" i="203"/>
  <c r="J108" i="203" s="1"/>
  <c r="I107" i="203"/>
  <c r="J107" i="203" s="1"/>
  <c r="I106" i="203"/>
  <c r="J106" i="203" s="1"/>
  <c r="I102" i="203"/>
  <c r="J102" i="203" s="1"/>
  <c r="I99" i="203"/>
  <c r="J99" i="203" s="1"/>
  <c r="I98" i="203"/>
  <c r="J98" i="203" s="1"/>
  <c r="I97" i="203"/>
  <c r="J97" i="203" s="1"/>
  <c r="I96" i="203"/>
  <c r="J96" i="203" s="1"/>
  <c r="I95" i="203"/>
  <c r="J95" i="203" s="1"/>
  <c r="I94" i="203"/>
  <c r="J94" i="203" s="1"/>
  <c r="I93" i="203"/>
  <c r="J93" i="203" s="1"/>
  <c r="I92" i="203"/>
  <c r="J92" i="203" s="1"/>
  <c r="I91" i="203"/>
  <c r="J91" i="203" s="1"/>
  <c r="I90" i="203"/>
  <c r="J90" i="203" s="1"/>
  <c r="I87" i="203"/>
  <c r="J87" i="203" s="1"/>
  <c r="I86" i="203"/>
  <c r="J86" i="203" s="1"/>
  <c r="I85" i="203"/>
  <c r="J85" i="203" s="1"/>
  <c r="I84" i="203"/>
  <c r="J84" i="203" s="1"/>
  <c r="I83" i="203"/>
  <c r="J83" i="203" s="1"/>
  <c r="I79" i="203"/>
  <c r="J79" i="203" s="1"/>
  <c r="I78" i="203"/>
  <c r="J78" i="203" s="1"/>
  <c r="I77" i="203"/>
  <c r="J77" i="203" s="1"/>
  <c r="I76" i="203"/>
  <c r="J76" i="203" s="1"/>
  <c r="I75" i="203"/>
  <c r="J75" i="203" s="1"/>
  <c r="I74" i="203"/>
  <c r="J74" i="203" s="1"/>
  <c r="I73" i="203"/>
  <c r="J73" i="203" s="1"/>
  <c r="I72" i="203"/>
  <c r="J72" i="203" s="1"/>
  <c r="I69" i="203"/>
  <c r="J69" i="203" s="1"/>
  <c r="I68" i="203"/>
  <c r="J68" i="203" s="1"/>
  <c r="I67" i="203"/>
  <c r="J67" i="203" s="1"/>
  <c r="I66" i="203"/>
  <c r="J66" i="203" s="1"/>
  <c r="I65" i="203"/>
  <c r="J65" i="203" s="1"/>
  <c r="I64" i="203"/>
  <c r="J64" i="203" s="1"/>
  <c r="I63" i="203"/>
  <c r="J63" i="203" s="1"/>
  <c r="I62" i="203"/>
  <c r="J62" i="203" s="1"/>
  <c r="I59" i="203"/>
  <c r="J59" i="203" s="1"/>
  <c r="I58" i="203"/>
  <c r="J58" i="203" s="1"/>
  <c r="I57" i="203"/>
  <c r="J57" i="203" s="1"/>
  <c r="I54" i="203"/>
  <c r="J54" i="203" s="1"/>
  <c r="I53" i="203"/>
  <c r="J53" i="203" s="1"/>
  <c r="I52" i="203"/>
  <c r="J52" i="203" s="1"/>
  <c r="I51" i="203"/>
  <c r="J51" i="203" s="1"/>
  <c r="I50" i="203"/>
  <c r="J50" i="203" s="1"/>
  <c r="I49" i="203"/>
  <c r="J49" i="203" s="1"/>
  <c r="I46" i="203"/>
  <c r="J46" i="203" s="1"/>
  <c r="I45" i="203"/>
  <c r="J45" i="203" s="1"/>
  <c r="I44" i="203"/>
  <c r="J44" i="203" s="1"/>
  <c r="I43" i="203"/>
  <c r="J43" i="203" s="1"/>
  <c r="I42" i="203"/>
  <c r="J42" i="203" s="1"/>
  <c r="I41" i="203"/>
  <c r="J41" i="203" s="1"/>
  <c r="I40" i="203"/>
  <c r="J40" i="203" s="1"/>
  <c r="I39" i="203"/>
  <c r="J39" i="203" s="1"/>
  <c r="I38" i="203"/>
  <c r="J38" i="203" s="1"/>
  <c r="I37" i="203"/>
  <c r="J37" i="203" s="1"/>
  <c r="I34" i="203"/>
  <c r="J34" i="203" s="1"/>
  <c r="I31" i="203"/>
  <c r="J31" i="203" s="1"/>
  <c r="I30" i="203"/>
  <c r="J30" i="203" s="1"/>
  <c r="I27" i="203"/>
  <c r="J27" i="203" s="1"/>
  <c r="I26" i="203"/>
  <c r="J26" i="203" s="1"/>
  <c r="I25" i="203"/>
  <c r="J25" i="203" s="1"/>
  <c r="I24" i="203"/>
  <c r="J24" i="203" s="1"/>
  <c r="I23" i="203"/>
  <c r="J23" i="203" s="1"/>
  <c r="I22" i="203"/>
  <c r="J22" i="203" s="1"/>
  <c r="I21" i="203"/>
  <c r="J21" i="203" s="1"/>
  <c r="I20" i="203"/>
  <c r="J20" i="203" s="1"/>
  <c r="I19" i="203"/>
  <c r="J19" i="203" s="1"/>
  <c r="I18" i="203"/>
  <c r="J18" i="203" s="1"/>
  <c r="I17" i="203"/>
  <c r="J17" i="203" s="1"/>
  <c r="I16" i="203"/>
  <c r="J16" i="203" s="1"/>
  <c r="I15" i="203"/>
  <c r="J15" i="203" s="1"/>
  <c r="I12" i="203"/>
  <c r="J12" i="203" s="1"/>
  <c r="I8" i="203"/>
  <c r="J8" i="203" s="1"/>
  <c r="N223" i="203" l="1"/>
  <c r="P223" i="203" s="1"/>
  <c r="N224" i="203"/>
  <c r="P224" i="203" s="1"/>
  <c r="N222" i="203"/>
  <c r="N221" i="203"/>
  <c r="P221" i="203" s="1"/>
  <c r="N216" i="203"/>
  <c r="P216" i="203" s="1"/>
  <c r="S216" i="203"/>
  <c r="P226" i="203"/>
  <c r="P225" i="203"/>
  <c r="P217" i="203"/>
  <c r="P214" i="203"/>
  <c r="P218" i="203"/>
  <c r="P211" i="203"/>
  <c r="P200" i="203"/>
  <c r="P204" i="203"/>
  <c r="P208" i="203"/>
  <c r="P201" i="203"/>
  <c r="P205" i="203"/>
  <c r="P202" i="203"/>
  <c r="P206" i="203"/>
  <c r="P199" i="203"/>
  <c r="P203" i="203"/>
  <c r="P207" i="203"/>
  <c r="P190" i="203"/>
  <c r="P194" i="203"/>
  <c r="P191" i="203"/>
  <c r="P195" i="203"/>
  <c r="P192" i="203"/>
  <c r="P196" i="203"/>
  <c r="P189" i="203"/>
  <c r="P193" i="203"/>
  <c r="P184" i="203"/>
  <c r="P185" i="203"/>
  <c r="P182" i="203"/>
  <c r="P186" i="203"/>
  <c r="P183" i="203"/>
  <c r="P178" i="203"/>
  <c r="P179" i="203"/>
  <c r="P176" i="203"/>
  <c r="P177" i="203"/>
  <c r="P173" i="203"/>
  <c r="P162" i="203"/>
  <c r="P166" i="203"/>
  <c r="P170" i="203"/>
  <c r="P163" i="203"/>
  <c r="P167" i="203"/>
  <c r="P164" i="203"/>
  <c r="P168" i="203"/>
  <c r="P161" i="203"/>
  <c r="P165" i="203"/>
  <c r="P169" i="203"/>
  <c r="P156" i="203"/>
  <c r="P157" i="203"/>
  <c r="P154" i="203"/>
  <c r="P158" i="203"/>
  <c r="P155" i="203"/>
  <c r="P150" i="203"/>
  <c r="P143" i="203"/>
  <c r="P147" i="203"/>
  <c r="P140" i="203"/>
  <c r="P144" i="203"/>
  <c r="P141" i="203"/>
  <c r="P145" i="203"/>
  <c r="P142" i="203"/>
  <c r="P146" i="203"/>
  <c r="P133" i="203"/>
  <c r="P137" i="203"/>
  <c r="P130" i="203"/>
  <c r="P134" i="203"/>
  <c r="P131" i="203"/>
  <c r="P135" i="203"/>
  <c r="P132" i="203"/>
  <c r="P136" i="203"/>
  <c r="P127" i="203"/>
  <c r="P117" i="203"/>
  <c r="P121" i="203"/>
  <c r="P118" i="203"/>
  <c r="P122" i="203"/>
  <c r="P115" i="203"/>
  <c r="P119" i="203"/>
  <c r="P123" i="203"/>
  <c r="P116" i="203"/>
  <c r="P120" i="203"/>
  <c r="P124" i="203"/>
  <c r="P107" i="203"/>
  <c r="P111" i="203"/>
  <c r="P108" i="203"/>
  <c r="P112" i="203"/>
  <c r="P109" i="203"/>
  <c r="P106" i="203"/>
  <c r="P110" i="203"/>
  <c r="P102" i="203"/>
  <c r="P90" i="203"/>
  <c r="P94" i="203"/>
  <c r="P98" i="203"/>
  <c r="P91" i="203"/>
  <c r="P95" i="203"/>
  <c r="P99" i="203"/>
  <c r="P92" i="203"/>
  <c r="P96" i="203"/>
  <c r="P93" i="203"/>
  <c r="P97" i="203"/>
  <c r="P84" i="203"/>
  <c r="P85" i="203"/>
  <c r="P86" i="203"/>
  <c r="P72" i="203"/>
  <c r="P76" i="203"/>
  <c r="P83" i="203"/>
  <c r="P87" i="203"/>
  <c r="P73" i="203"/>
  <c r="P77" i="203"/>
  <c r="P74" i="203"/>
  <c r="P78" i="203"/>
  <c r="P75" i="203"/>
  <c r="P79" i="203"/>
  <c r="P63" i="203"/>
  <c r="P67" i="203"/>
  <c r="P64" i="203"/>
  <c r="P68" i="203"/>
  <c r="P65" i="203"/>
  <c r="P69" i="203"/>
  <c r="P62" i="203"/>
  <c r="P66" i="203"/>
  <c r="P57" i="203"/>
  <c r="P58" i="203"/>
  <c r="P59" i="203"/>
  <c r="P51" i="203"/>
  <c r="P52" i="203"/>
  <c r="P49" i="203"/>
  <c r="P53" i="203"/>
  <c r="P50" i="203"/>
  <c r="P54" i="203"/>
  <c r="P37" i="203"/>
  <c r="P41" i="203"/>
  <c r="P45" i="203"/>
  <c r="P38" i="203"/>
  <c r="P42" i="203"/>
  <c r="P46" i="203"/>
  <c r="P39" i="203"/>
  <c r="P43" i="203"/>
  <c r="P40" i="203"/>
  <c r="P44" i="203"/>
  <c r="P34" i="203"/>
  <c r="P30" i="203"/>
  <c r="P31" i="203"/>
  <c r="P15" i="203"/>
  <c r="P19" i="203"/>
  <c r="P23" i="203"/>
  <c r="P27" i="203"/>
  <c r="P16" i="203"/>
  <c r="P20" i="203"/>
  <c r="P24" i="203"/>
  <c r="P17" i="203"/>
  <c r="P21" i="203"/>
  <c r="P25" i="203"/>
  <c r="P18" i="203"/>
  <c r="P22" i="203"/>
  <c r="P26" i="203"/>
  <c r="P12" i="203"/>
  <c r="P8" i="203"/>
  <c r="O222" i="203"/>
  <c r="O226" i="203"/>
  <c r="O217" i="203"/>
  <c r="O223" i="203"/>
  <c r="O224" i="203"/>
  <c r="O221" i="203"/>
  <c r="O225" i="203"/>
  <c r="T225" i="203" s="1"/>
  <c r="O216" i="203"/>
  <c r="O214" i="203"/>
  <c r="U214" i="203" s="1"/>
  <c r="U219" i="203" s="1"/>
  <c r="O218" i="203"/>
  <c r="O211" i="203"/>
  <c r="O200" i="203"/>
  <c r="O204" i="203"/>
  <c r="O208" i="203"/>
  <c r="O191" i="203"/>
  <c r="O195" i="203"/>
  <c r="O201" i="203"/>
  <c r="O205" i="203"/>
  <c r="O202" i="203"/>
  <c r="O206" i="203"/>
  <c r="O199" i="203"/>
  <c r="O203" i="203"/>
  <c r="O207" i="203"/>
  <c r="O190" i="203"/>
  <c r="O194" i="203"/>
  <c r="O192" i="203"/>
  <c r="O196" i="203"/>
  <c r="O189" i="203"/>
  <c r="O193" i="203"/>
  <c r="O184" i="203"/>
  <c r="O185" i="203"/>
  <c r="O182" i="203"/>
  <c r="O186" i="203"/>
  <c r="O183" i="203"/>
  <c r="O178" i="203"/>
  <c r="O179" i="203"/>
  <c r="O176" i="203"/>
  <c r="O177" i="203"/>
  <c r="O173" i="203"/>
  <c r="O162" i="203"/>
  <c r="O166" i="203"/>
  <c r="O170" i="203"/>
  <c r="O163" i="203"/>
  <c r="O167" i="203"/>
  <c r="O164" i="203"/>
  <c r="O168" i="203"/>
  <c r="O161" i="203"/>
  <c r="O165" i="203"/>
  <c r="O169" i="203"/>
  <c r="O156" i="203"/>
  <c r="O150" i="203"/>
  <c r="O157" i="203"/>
  <c r="O154" i="203"/>
  <c r="O158" i="203"/>
  <c r="O155" i="203"/>
  <c r="O143" i="203"/>
  <c r="O147" i="203"/>
  <c r="O140" i="203"/>
  <c r="O144" i="203"/>
  <c r="O141" i="203"/>
  <c r="O145" i="203"/>
  <c r="O142" i="203"/>
  <c r="O146" i="203"/>
  <c r="O133" i="203"/>
  <c r="O137" i="203"/>
  <c r="O130" i="203"/>
  <c r="O134" i="203"/>
  <c r="O131" i="203"/>
  <c r="O135" i="203"/>
  <c r="O132" i="203"/>
  <c r="O136" i="203"/>
  <c r="O127" i="203"/>
  <c r="O118" i="203"/>
  <c r="O122" i="203"/>
  <c r="O117" i="203"/>
  <c r="O121" i="203"/>
  <c r="O109" i="203"/>
  <c r="O115" i="203"/>
  <c r="O119" i="203"/>
  <c r="O123" i="203"/>
  <c r="O116" i="203"/>
  <c r="O120" i="203"/>
  <c r="O124" i="203"/>
  <c r="O107" i="203"/>
  <c r="O111" i="203"/>
  <c r="O108" i="203"/>
  <c r="O112" i="203"/>
  <c r="O106" i="203"/>
  <c r="O110" i="203"/>
  <c r="O102" i="203"/>
  <c r="O90" i="203"/>
  <c r="O94" i="203"/>
  <c r="O98" i="203"/>
  <c r="O91" i="203"/>
  <c r="O95" i="203"/>
  <c r="O99" i="203"/>
  <c r="O92" i="203"/>
  <c r="O96" i="203"/>
  <c r="O93" i="203"/>
  <c r="O97" i="203"/>
  <c r="O84" i="203"/>
  <c r="O85" i="203"/>
  <c r="O86" i="203"/>
  <c r="O83" i="203"/>
  <c r="O87" i="203"/>
  <c r="O73" i="203"/>
  <c r="O77" i="203"/>
  <c r="O74" i="203"/>
  <c r="O78" i="203"/>
  <c r="O75" i="203"/>
  <c r="O79" i="203"/>
  <c r="O72" i="203"/>
  <c r="O76" i="203"/>
  <c r="O63" i="203"/>
  <c r="O67" i="203"/>
  <c r="O64" i="203"/>
  <c r="O68" i="203"/>
  <c r="O65" i="203"/>
  <c r="O69" i="203"/>
  <c r="O62" i="203"/>
  <c r="O66" i="203"/>
  <c r="O57" i="203"/>
  <c r="O58" i="203"/>
  <c r="O59" i="203"/>
  <c r="O51" i="203"/>
  <c r="O52" i="203"/>
  <c r="O49" i="203"/>
  <c r="O53" i="203"/>
  <c r="O50" i="203"/>
  <c r="O54" i="203"/>
  <c r="O37" i="203"/>
  <c r="O41" i="203"/>
  <c r="O45" i="203"/>
  <c r="O38" i="203"/>
  <c r="O42" i="203"/>
  <c r="O46" i="203"/>
  <c r="O39" i="203"/>
  <c r="O43" i="203"/>
  <c r="O40" i="203"/>
  <c r="O44" i="203"/>
  <c r="O34" i="203"/>
  <c r="O30" i="203"/>
  <c r="O31" i="203"/>
  <c r="O18" i="203"/>
  <c r="O22" i="203"/>
  <c r="O26" i="203"/>
  <c r="O15" i="203"/>
  <c r="O19" i="203"/>
  <c r="O23" i="203"/>
  <c r="O27" i="203"/>
  <c r="O16" i="203"/>
  <c r="O20" i="203"/>
  <c r="O24" i="203"/>
  <c r="O17" i="203"/>
  <c r="O21" i="203"/>
  <c r="O25" i="203"/>
  <c r="O12" i="203"/>
  <c r="O8" i="203"/>
  <c r="I10" i="203"/>
  <c r="P222" i="203" l="1"/>
  <c r="R232" i="203"/>
  <c r="U225" i="203"/>
  <c r="U227" i="203" s="1"/>
  <c r="N227" i="203"/>
  <c r="O10" i="203"/>
  <c r="J10" i="203"/>
  <c r="P10" i="203" s="1"/>
  <c r="P151" i="203"/>
  <c r="P174" i="203"/>
  <c r="P212" i="203"/>
  <c r="P103" i="203"/>
  <c r="P35" i="203"/>
  <c r="P128" i="203"/>
  <c r="M215" i="203"/>
  <c r="I11" i="203"/>
  <c r="N215" i="203" l="1"/>
  <c r="N219" i="203" s="1"/>
  <c r="N231" i="203" s="1"/>
  <c r="S215" i="203"/>
  <c r="S219" i="203" s="1"/>
  <c r="S229" i="203" s="1"/>
  <c r="O215" i="203"/>
  <c r="O11" i="203"/>
  <c r="J11" i="203"/>
  <c r="P11" i="203" s="1"/>
  <c r="P209" i="203"/>
  <c r="P197" i="203"/>
  <c r="P171" i="203"/>
  <c r="P125" i="203"/>
  <c r="P113" i="203"/>
  <c r="P100" i="203"/>
  <c r="P47" i="203"/>
  <c r="P88" i="203"/>
  <c r="P227" i="203"/>
  <c r="P180" i="203"/>
  <c r="P159" i="203"/>
  <c r="P187" i="203"/>
  <c r="P148" i="203"/>
  <c r="P138" i="203"/>
  <c r="P80" i="203"/>
  <c r="P70" i="203"/>
  <c r="P60" i="203"/>
  <c r="P55" i="203"/>
  <c r="P32" i="203"/>
  <c r="P28" i="203"/>
  <c r="P215" i="203" l="1"/>
  <c r="P219" i="203" s="1"/>
  <c r="N232" i="203"/>
  <c r="H212" i="203" l="1"/>
  <c r="H174" i="203"/>
  <c r="H151" i="203"/>
  <c r="H128" i="203"/>
  <c r="H103" i="203"/>
  <c r="H35" i="203"/>
  <c r="J212" i="203"/>
  <c r="J174" i="203"/>
  <c r="J151" i="203"/>
  <c r="J128" i="203"/>
  <c r="J103" i="203"/>
  <c r="J35" i="203"/>
  <c r="L212" i="203"/>
  <c r="L174" i="203"/>
  <c r="L151" i="203"/>
  <c r="L128" i="203"/>
  <c r="L103" i="203"/>
  <c r="L35" i="203"/>
  <c r="L148" i="203" l="1"/>
  <c r="L138" i="203"/>
  <c r="L55" i="203"/>
  <c r="L125" i="203"/>
  <c r="H60" i="203"/>
  <c r="H32" i="203"/>
  <c r="L171" i="203"/>
  <c r="H55" i="203"/>
  <c r="H70" i="203"/>
  <c r="H80" i="203"/>
  <c r="H88" i="203"/>
  <c r="H113" i="203"/>
  <c r="H159" i="203"/>
  <c r="J187" i="203"/>
  <c r="J180" i="203"/>
  <c r="J159" i="203"/>
  <c r="J47" i="203"/>
  <c r="J32" i="203"/>
  <c r="L28" i="203"/>
  <c r="L70" i="203"/>
  <c r="L80" i="203"/>
  <c r="L88" i="203"/>
  <c r="L113" i="203"/>
  <c r="L227" i="203"/>
  <c r="J100" i="203"/>
  <c r="J197" i="203"/>
  <c r="J209" i="203"/>
  <c r="J219" i="203"/>
  <c r="H100" i="203"/>
  <c r="H125" i="203"/>
  <c r="H171" i="203"/>
  <c r="H180" i="203"/>
  <c r="H187" i="203"/>
  <c r="H219" i="203"/>
  <c r="L32" i="203"/>
  <c r="L47" i="203"/>
  <c r="L159" i="203"/>
  <c r="L180" i="203"/>
  <c r="L187" i="203"/>
  <c r="J55" i="203"/>
  <c r="J60" i="203"/>
  <c r="J125" i="203"/>
  <c r="J138" i="203"/>
  <c r="J148" i="203"/>
  <c r="J171" i="203"/>
  <c r="H28" i="203"/>
  <c r="H197" i="203"/>
  <c r="H227" i="203"/>
  <c r="L60" i="203"/>
  <c r="L100" i="203"/>
  <c r="L197" i="203"/>
  <c r="L209" i="203"/>
  <c r="L219" i="203"/>
  <c r="J28" i="203"/>
  <c r="J70" i="203"/>
  <c r="J80" i="203"/>
  <c r="J88" i="203"/>
  <c r="J113" i="203"/>
  <c r="J227" i="203"/>
  <c r="H47" i="203"/>
  <c r="H138" i="203"/>
  <c r="H148" i="203"/>
  <c r="H209" i="203"/>
  <c r="N28" i="203" l="1"/>
  <c r="N32" i="203"/>
  <c r="N35" i="203"/>
  <c r="N47" i="203"/>
  <c r="N55" i="203"/>
  <c r="N60" i="203"/>
  <c r="N70" i="203"/>
  <c r="N80" i="203"/>
  <c r="N88" i="203"/>
  <c r="N100" i="203"/>
  <c r="N103" i="203"/>
  <c r="N113" i="203"/>
  <c r="N125" i="203"/>
  <c r="N128" i="203"/>
  <c r="N138" i="203"/>
  <c r="N148" i="203"/>
  <c r="N151" i="203"/>
  <c r="N159" i="203"/>
  <c r="N171" i="203"/>
  <c r="N174" i="203"/>
  <c r="N180" i="203"/>
  <c r="N187" i="203"/>
  <c r="N197" i="203"/>
  <c r="N209" i="203"/>
  <c r="N212" i="203"/>
  <c r="C1" i="203"/>
  <c r="F226" i="203"/>
  <c r="F225" i="203"/>
  <c r="F224" i="203"/>
  <c r="F223" i="203"/>
  <c r="F222" i="203"/>
  <c r="F221" i="203"/>
  <c r="F218" i="203"/>
  <c r="F217" i="203"/>
  <c r="F216" i="203"/>
  <c r="F215" i="203"/>
  <c r="F214" i="203"/>
  <c r="F211" i="203"/>
  <c r="F212" i="203" s="1"/>
  <c r="F208" i="203"/>
  <c r="F207" i="203"/>
  <c r="F206" i="203"/>
  <c r="F205" i="203"/>
  <c r="F204" i="203"/>
  <c r="F203" i="203"/>
  <c r="F202" i="203"/>
  <c r="F201" i="203"/>
  <c r="F200" i="203"/>
  <c r="F199" i="203"/>
  <c r="F196" i="203"/>
  <c r="F195" i="203"/>
  <c r="F194" i="203"/>
  <c r="F193" i="203"/>
  <c r="F192" i="203"/>
  <c r="F191" i="203"/>
  <c r="F190" i="203"/>
  <c r="F189" i="203"/>
  <c r="F186" i="203"/>
  <c r="F185" i="203"/>
  <c r="F184" i="203"/>
  <c r="F183" i="203"/>
  <c r="F182" i="203"/>
  <c r="F179" i="203"/>
  <c r="F178" i="203"/>
  <c r="F177" i="203"/>
  <c r="F176" i="203"/>
  <c r="F173" i="203"/>
  <c r="F174" i="203" s="1"/>
  <c r="F170" i="203"/>
  <c r="F169" i="203"/>
  <c r="F168" i="203"/>
  <c r="F167" i="203"/>
  <c r="F166" i="203"/>
  <c r="F165" i="203"/>
  <c r="F164" i="203"/>
  <c r="F163" i="203"/>
  <c r="F162" i="203"/>
  <c r="F161" i="203"/>
  <c r="F158" i="203"/>
  <c r="F157" i="203"/>
  <c r="F156" i="203"/>
  <c r="F155" i="203"/>
  <c r="F154" i="203"/>
  <c r="F150" i="203"/>
  <c r="F151" i="203" s="1"/>
  <c r="F147" i="203"/>
  <c r="F146" i="203"/>
  <c r="F145" i="203"/>
  <c r="F144" i="203"/>
  <c r="F143" i="203"/>
  <c r="F142" i="203"/>
  <c r="F141" i="203"/>
  <c r="F140" i="203"/>
  <c r="F137" i="203"/>
  <c r="F136" i="203"/>
  <c r="F135" i="203"/>
  <c r="F134" i="203"/>
  <c r="F133" i="203"/>
  <c r="F132" i="203"/>
  <c r="F131" i="203"/>
  <c r="F130" i="203"/>
  <c r="F127" i="203"/>
  <c r="F128" i="203" s="1"/>
  <c r="F124" i="203"/>
  <c r="F123" i="203"/>
  <c r="F122" i="203"/>
  <c r="F121" i="203"/>
  <c r="F120" i="203"/>
  <c r="F119" i="203"/>
  <c r="F118" i="203"/>
  <c r="F117" i="203"/>
  <c r="F116" i="203"/>
  <c r="F115" i="203"/>
  <c r="F112" i="203"/>
  <c r="F111" i="203"/>
  <c r="F110" i="203"/>
  <c r="F109" i="203"/>
  <c r="F108" i="203"/>
  <c r="F107" i="203"/>
  <c r="F106" i="203"/>
  <c r="F102" i="203"/>
  <c r="F103" i="203" s="1"/>
  <c r="F99" i="203"/>
  <c r="F98" i="203"/>
  <c r="F97" i="203"/>
  <c r="F96" i="203"/>
  <c r="F95" i="203"/>
  <c r="F94" i="203"/>
  <c r="F93" i="203"/>
  <c r="F92" i="203"/>
  <c r="F91" i="203"/>
  <c r="F90" i="203"/>
  <c r="F87" i="203"/>
  <c r="F86" i="203"/>
  <c r="F85" i="203"/>
  <c r="F84" i="203"/>
  <c r="F83" i="203"/>
  <c r="F79" i="203"/>
  <c r="F78" i="203"/>
  <c r="F77" i="203"/>
  <c r="F76" i="203"/>
  <c r="F75" i="203"/>
  <c r="F74" i="203"/>
  <c r="F73" i="203"/>
  <c r="F72" i="203"/>
  <c r="F69" i="203"/>
  <c r="F68" i="203"/>
  <c r="F67" i="203"/>
  <c r="F66" i="203"/>
  <c r="F65" i="203"/>
  <c r="F64" i="203"/>
  <c r="F63" i="203"/>
  <c r="F62" i="203"/>
  <c r="F59" i="203"/>
  <c r="F58" i="203"/>
  <c r="F57" i="203"/>
  <c r="F54" i="203"/>
  <c r="F53" i="203"/>
  <c r="F52" i="203"/>
  <c r="F51" i="203"/>
  <c r="F50" i="203"/>
  <c r="F49" i="203"/>
  <c r="F46" i="203"/>
  <c r="F45" i="203"/>
  <c r="F44" i="203"/>
  <c r="F43" i="203"/>
  <c r="F42" i="203"/>
  <c r="F41" i="203"/>
  <c r="F40" i="203"/>
  <c r="F39" i="203"/>
  <c r="F38" i="203"/>
  <c r="F37" i="203"/>
  <c r="F34" i="203"/>
  <c r="F35" i="203" s="1"/>
  <c r="F31" i="203"/>
  <c r="F30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2" i="203"/>
  <c r="F11" i="203"/>
  <c r="F10" i="203"/>
  <c r="F9" i="203"/>
  <c r="F8" i="203"/>
  <c r="F32" i="203" l="1"/>
  <c r="F138" i="203"/>
  <c r="F28" i="203"/>
  <c r="F55" i="203"/>
  <c r="F159" i="203"/>
  <c r="F70" i="203"/>
  <c r="F80" i="203"/>
  <c r="F88" i="203"/>
  <c r="F125" i="203"/>
  <c r="F13" i="203"/>
  <c r="F60" i="203"/>
  <c r="F100" i="203"/>
  <c r="F171" i="203"/>
  <c r="F180" i="203"/>
  <c r="F187" i="203"/>
  <c r="F219" i="203"/>
  <c r="F197" i="203"/>
  <c r="F209" i="203"/>
  <c r="F227" i="203"/>
  <c r="F148" i="203"/>
  <c r="F47" i="203"/>
  <c r="F113" i="203"/>
  <c r="K9" i="203" l="1"/>
  <c r="I9" i="203"/>
  <c r="M9" i="203"/>
  <c r="G9" i="203"/>
  <c r="H9" i="203" s="1"/>
  <c r="F229" i="203"/>
  <c r="N9" i="203" l="1"/>
  <c r="N13" i="203" s="1"/>
  <c r="N229" i="203" s="1"/>
  <c r="L9" i="203"/>
  <c r="L13" i="203" s="1"/>
  <c r="L229" i="203" s="1"/>
  <c r="J9" i="203"/>
  <c r="J13" i="203" s="1"/>
  <c r="J229" i="203" s="1"/>
  <c r="O9" i="203"/>
  <c r="H13" i="203"/>
  <c r="H229" i="203" s="1"/>
  <c r="S230" i="203" l="1"/>
  <c r="E235" i="203"/>
  <c r="F236" i="203"/>
  <c r="E236" i="203"/>
  <c r="D235" i="203"/>
  <c r="D236" i="203"/>
  <c r="P9" i="203"/>
  <c r="P13" i="203" s="1"/>
  <c r="P229" i="203" s="1"/>
  <c r="F235" i="203" l="1"/>
  <c r="F237" i="203" s="1"/>
  <c r="E237" i="203"/>
  <c r="D237" i="203"/>
  <c r="G236" i="203"/>
  <c r="G235" i="203" l="1"/>
  <c r="G237" i="203" s="1"/>
  <c r="D240" i="203" s="1"/>
  <c r="Q132" i="203"/>
  <c r="Q136" i="203"/>
  <c r="Q142" i="203"/>
  <c r="Q154" i="203"/>
  <c r="Q161" i="203"/>
  <c r="Q167" i="203"/>
  <c r="Q183" i="203"/>
  <c r="Q194" i="203"/>
  <c r="Q204" i="203"/>
  <c r="Q208" i="203"/>
  <c r="Q216" i="203"/>
  <c r="Q222" i="203"/>
  <c r="Q226" i="203"/>
  <c r="Q135" i="203"/>
  <c r="Q141" i="203"/>
  <c r="Q145" i="203"/>
  <c r="Q146" i="203"/>
  <c r="Q147" i="203"/>
  <c r="Q150" i="203"/>
  <c r="Q157" i="203"/>
  <c r="Q158" i="203"/>
  <c r="Q164" i="203"/>
  <c r="Q165" i="203"/>
  <c r="Q166" i="203"/>
  <c r="Q170" i="203"/>
  <c r="Q173" i="203"/>
  <c r="Q176" i="203"/>
  <c r="Q177" i="203"/>
  <c r="Q178" i="203"/>
  <c r="Q179" i="203"/>
  <c r="Q182" i="203"/>
  <c r="Q186" i="203"/>
  <c r="Q189" i="203"/>
  <c r="Q190" i="203"/>
  <c r="Q191" i="203"/>
  <c r="Q192" i="203"/>
  <c r="Q193" i="203"/>
  <c r="Q199" i="203"/>
  <c r="Q200" i="203"/>
  <c r="Q201" i="203"/>
  <c r="Q202" i="203"/>
  <c r="Q203" i="203"/>
  <c r="Q207" i="203"/>
  <c r="Q215" i="203"/>
  <c r="Q221" i="203"/>
  <c r="Q225" i="203"/>
  <c r="Q131" i="203"/>
  <c r="Q134" i="203"/>
  <c r="Q140" i="203"/>
  <c r="Q144" i="203"/>
  <c r="Q156" i="203"/>
  <c r="Q163" i="203"/>
  <c r="Q169" i="203"/>
  <c r="Q185" i="203"/>
  <c r="Q196" i="203"/>
  <c r="Q206" i="203"/>
  <c r="Q214" i="203"/>
  <c r="Q218" i="203"/>
  <c r="Q224" i="203"/>
  <c r="Q133" i="203"/>
  <c r="Q137" i="203"/>
  <c r="Q143" i="203"/>
  <c r="Q155" i="203"/>
  <c r="Q162" i="203"/>
  <c r="Q168" i="203"/>
  <c r="Q184" i="203"/>
  <c r="Q195" i="203"/>
  <c r="Q205" i="203"/>
  <c r="Q211" i="203"/>
  <c r="Q217" i="203"/>
  <c r="Q223" i="203"/>
  <c r="E1" i="36"/>
  <c r="J249" i="203" l="1"/>
  <c r="K249" i="203"/>
  <c r="K252" i="203" s="1"/>
  <c r="K253" i="203" s="1"/>
  <c r="I249" i="203"/>
  <c r="I252" i="203" s="1"/>
  <c r="J251" i="203"/>
  <c r="F240" i="203"/>
  <c r="E242" i="203"/>
  <c r="E240" i="203"/>
  <c r="H237" i="203"/>
  <c r="G240" i="203"/>
  <c r="Q9" i="203"/>
  <c r="Q31" i="203"/>
  <c r="Q39" i="203"/>
  <c r="Q49" i="203"/>
  <c r="Q73" i="203"/>
  <c r="Q77" i="203"/>
  <c r="Q84" i="203"/>
  <c r="Q11" i="203"/>
  <c r="Q17" i="203"/>
  <c r="Q20" i="203"/>
  <c r="Q24" i="203"/>
  <c r="Q30" i="203"/>
  <c r="Q38" i="203"/>
  <c r="Q42" i="203"/>
  <c r="Q46" i="203"/>
  <c r="Q52" i="203"/>
  <c r="Q57" i="203"/>
  <c r="Q63" i="203"/>
  <c r="Q72" i="203"/>
  <c r="Q76" i="203"/>
  <c r="Q87" i="203"/>
  <c r="Q93" i="203"/>
  <c r="Q97" i="203"/>
  <c r="Q106" i="203"/>
  <c r="Q110" i="203"/>
  <c r="Q116" i="203"/>
  <c r="Q120" i="203"/>
  <c r="Q124" i="203"/>
  <c r="Q21" i="203"/>
  <c r="Q53" i="203"/>
  <c r="Q58" i="203"/>
  <c r="Q64" i="203"/>
  <c r="Q67" i="203"/>
  <c r="Q78" i="203"/>
  <c r="Q16" i="203"/>
  <c r="Q23" i="203"/>
  <c r="Q27" i="203"/>
  <c r="Q37" i="203"/>
  <c r="Q41" i="203"/>
  <c r="Q45" i="203"/>
  <c r="Q51" i="203"/>
  <c r="Q62" i="203"/>
  <c r="Q66" i="203"/>
  <c r="Q69" i="203"/>
  <c r="Q75" i="203"/>
  <c r="Q86" i="203"/>
  <c r="Q92" i="203"/>
  <c r="Q96" i="203"/>
  <c r="Q102" i="203"/>
  <c r="Q109" i="203"/>
  <c r="Q115" i="203"/>
  <c r="Q119" i="203"/>
  <c r="Q123" i="203"/>
  <c r="Q130" i="203"/>
  <c r="Q12" i="203"/>
  <c r="Q18" i="203"/>
  <c r="Q25" i="203"/>
  <c r="Q43" i="203"/>
  <c r="Q79" i="203"/>
  <c r="Q8" i="203"/>
  <c r="Q15" i="203"/>
  <c r="Q19" i="203"/>
  <c r="Q22" i="203"/>
  <c r="Q26" i="203"/>
  <c r="Q34" i="203"/>
  <c r="Q40" i="203"/>
  <c r="Q44" i="203"/>
  <c r="Q50" i="203"/>
  <c r="Q54" i="203"/>
  <c r="Q59" i="203"/>
  <c r="Q65" i="203"/>
  <c r="Q68" i="203"/>
  <c r="Q74" i="203"/>
  <c r="Q85" i="203"/>
  <c r="Q91" i="203"/>
  <c r="Q95" i="203"/>
  <c r="Q99" i="203"/>
  <c r="Q108" i="203"/>
  <c r="Q112" i="203"/>
  <c r="Q118" i="203"/>
  <c r="Q122" i="203"/>
  <c r="Q90" i="203"/>
  <c r="Q98" i="203"/>
  <c r="Q107" i="203"/>
  <c r="Q111" i="203"/>
  <c r="Q117" i="203"/>
  <c r="Q121" i="203"/>
  <c r="Q127" i="203"/>
  <c r="Q10" i="203"/>
  <c r="T10" i="25" l="1"/>
  <c r="G248" i="203"/>
  <c r="J252" i="203"/>
  <c r="J253" i="203" s="1"/>
  <c r="L253" i="203" s="1"/>
  <c r="M253" i="203" s="1"/>
  <c r="E244" i="203"/>
  <c r="F242" i="203"/>
  <c r="D242" i="203"/>
  <c r="Q83" i="203"/>
  <c r="Q94" i="203"/>
  <c r="U10" i="25" l="1"/>
  <c r="R11" i="25"/>
  <c r="P11" i="25"/>
  <c r="T11" i="25" s="1"/>
  <c r="L252" i="203"/>
  <c r="H240" i="203"/>
  <c r="Y27" i="25"/>
  <c r="Y28" i="25"/>
  <c r="Y29" i="25"/>
  <c r="Y30" i="25"/>
  <c r="Y34" i="25"/>
  <c r="Y35" i="25"/>
  <c r="Y36" i="25"/>
  <c r="Y37" i="25"/>
  <c r="Y38" i="25"/>
  <c r="Y39" i="25"/>
  <c r="Y40" i="25"/>
  <c r="Y41" i="25"/>
  <c r="Y44" i="25"/>
  <c r="Y45" i="25"/>
  <c r="Y46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4" i="25"/>
  <c r="Y65" i="25"/>
  <c r="Y76" i="25"/>
  <c r="Y77" i="25"/>
  <c r="Y78" i="25"/>
  <c r="Y81" i="25"/>
  <c r="Y82" i="25"/>
  <c r="Y85" i="25"/>
  <c r="Y86" i="25"/>
  <c r="Y89" i="25"/>
  <c r="Y90" i="25"/>
  <c r="Y91" i="25"/>
  <c r="R104" i="25" l="1"/>
  <c r="U104" i="25" s="1"/>
  <c r="U11" i="25"/>
  <c r="V11" i="25" s="1"/>
  <c r="P104" i="25"/>
  <c r="T104" i="25" s="1"/>
  <c r="Y10" i="25"/>
  <c r="V10" i="25" l="1"/>
  <c r="V104" i="25"/>
  <c r="D228" i="203" l="1"/>
  <c r="F243" i="203" l="1"/>
  <c r="F244" i="203" s="1"/>
  <c r="D243" i="203"/>
  <c r="D244" i="203" s="1"/>
  <c r="H228" i="203"/>
  <c r="L228" i="203"/>
  <c r="J228" i="203"/>
  <c r="N228" i="203"/>
  <c r="P228" i="203"/>
  <c r="G243" i="203" l="1"/>
  <c r="D247" i="203"/>
  <c r="D248" i="203" s="1"/>
  <c r="L254" i="203"/>
  <c r="E247" i="203"/>
  <c r="E248" i="203" s="1"/>
  <c r="E250" i="203" s="1"/>
  <c r="F247" i="203"/>
  <c r="F248" i="203" s="1"/>
  <c r="F250" i="203" s="1"/>
  <c r="D250" i="203" l="1"/>
  <c r="H248" i="203"/>
  <c r="G244" i="203"/>
  <c r="H244" i="203" s="1"/>
  <c r="G250" i="203"/>
  <c r="G32" i="36" l="1"/>
  <c r="H250" i="203"/>
  <c r="O32" i="36" l="1"/>
  <c r="M32" i="36"/>
  <c r="N1" i="25" l="1"/>
  <c r="P13" i="421" l="1"/>
  <c r="G1" i="388" l="1"/>
  <c r="E287" i="388" s="1"/>
  <c r="U290" i="388" s="1"/>
  <c r="E290" i="388" l="1"/>
  <c r="H290" i="388" l="1"/>
  <c r="E288" i="388"/>
  <c r="E291" i="388"/>
  <c r="G291" i="388" s="1"/>
  <c r="E292" i="388"/>
  <c r="G292" i="388" s="1"/>
  <c r="H295" i="388"/>
  <c r="E293" i="388" l="1"/>
  <c r="G293" i="388" s="1"/>
  <c r="H292" i="388"/>
  <c r="J292" i="388" s="1"/>
  <c r="K290" i="388"/>
  <c r="H291" i="388"/>
  <c r="J291" i="388" s="1"/>
  <c r="C35" i="26"/>
  <c r="E294" i="388" l="1"/>
  <c r="E295" i="388" s="1"/>
  <c r="G295" i="388" s="1"/>
  <c r="H293" i="388"/>
  <c r="J293" i="388" s="1"/>
  <c r="K291" i="388"/>
  <c r="M291" i="388" s="1"/>
  <c r="N290" i="388"/>
  <c r="K292" i="388"/>
  <c r="M292" i="388" s="1"/>
  <c r="G294" i="388" l="1"/>
  <c r="U292" i="388" s="1"/>
  <c r="H294" i="388"/>
  <c r="J294" i="388" s="1"/>
  <c r="J295" i="388"/>
  <c r="K293" i="388"/>
  <c r="N292" i="388"/>
  <c r="P292" i="388" s="1"/>
  <c r="N291" i="388"/>
  <c r="P291" i="388" s="1"/>
  <c r="Q290" i="388"/>
  <c r="U293" i="388" l="1"/>
  <c r="N293" i="388"/>
  <c r="N294" i="388" s="1"/>
  <c r="P294" i="388" s="1"/>
  <c r="Q291" i="388"/>
  <c r="S291" i="388" s="1"/>
  <c r="Q292" i="388"/>
  <c r="S292" i="388" s="1"/>
  <c r="M293" i="388"/>
  <c r="K294" i="388"/>
  <c r="N295" i="388" l="1"/>
  <c r="P295" i="388" s="1"/>
  <c r="M294" i="388"/>
  <c r="K295" i="388"/>
  <c r="Q293" i="388"/>
  <c r="M295" i="388" l="1"/>
  <c r="U294" i="388" s="1"/>
  <c r="P293" i="388"/>
  <c r="U295" i="388" s="1"/>
  <c r="S293" i="388"/>
  <c r="Q294" i="388"/>
  <c r="H1" i="388" l="1"/>
  <c r="G37" i="26" s="1"/>
  <c r="S294" i="388"/>
  <c r="Q295" i="388"/>
  <c r="S295" i="388" s="1"/>
  <c r="P1" i="25"/>
  <c r="R1" i="25"/>
  <c r="D28" i="26" l="1"/>
  <c r="D29" i="26" s="1"/>
  <c r="R6" i="454" l="1"/>
  <c r="R5" i="454" s="1"/>
  <c r="T6" i="454"/>
  <c r="P5" i="454"/>
  <c r="T5" i="454" l="1"/>
  <c r="P93" i="454"/>
  <c r="R93" i="454"/>
  <c r="U5" i="454"/>
  <c r="U6" i="454"/>
  <c r="T93" i="454" l="1"/>
  <c r="P1" i="454"/>
  <c r="U93" i="454"/>
  <c r="R1" i="454"/>
</calcChain>
</file>

<file path=xl/sharedStrings.xml><?xml version="1.0" encoding="utf-8"?>
<sst xmlns="http://schemas.openxmlformats.org/spreadsheetml/2006/main" count="2267" uniqueCount="690">
  <si>
    <t>m</t>
  </si>
  <si>
    <t>PRESENTE MES</t>
  </si>
  <si>
    <t>Ítem</t>
  </si>
  <si>
    <t>Descripción</t>
  </si>
  <si>
    <t>SEGÚN  CONTRATO</t>
  </si>
  <si>
    <t>Unidad</t>
  </si>
  <si>
    <t>Cantidad</t>
  </si>
  <si>
    <t>Precio Unitario</t>
  </si>
  <si>
    <t>Precio Total</t>
  </si>
  <si>
    <t>Importe (Bs.)</t>
  </si>
  <si>
    <t>Sub Total</t>
  </si>
  <si>
    <t>Excavación común</t>
  </si>
  <si>
    <t>Barandado tipo P-3</t>
  </si>
  <si>
    <t>Señalización preventiva</t>
  </si>
  <si>
    <t>5.10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</si>
  <si>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</si>
  <si>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</si>
  <si>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</si>
  <si>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</si>
  <si>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Acero estructural</t>
  </si>
  <si>
    <t>ml</t>
  </si>
  <si>
    <t>PROYECTO: "CONSTRUCCIÓN DE LA DOBLE VIA QUILLACOLLO - SUTICOLLO"</t>
  </si>
  <si>
    <t>Instalación de faenas</t>
  </si>
  <si>
    <t>glb</t>
  </si>
  <si>
    <t>Replanteo para caminos</t>
  </si>
  <si>
    <t>km</t>
  </si>
  <si>
    <t>Excavación no clasificada</t>
  </si>
  <si>
    <t>m3</t>
  </si>
  <si>
    <t>Conformación de terraplen c/material de prestamo</t>
  </si>
  <si>
    <t>Limpieza general</t>
  </si>
  <si>
    <t>Ejecución colocado y compactado carpeta de concreto asfaltico e=6 cm</t>
  </si>
  <si>
    <t>m2</t>
  </si>
  <si>
    <t>Imprimación sobre carpeta (no incluye suministro de asfalto)</t>
  </si>
  <si>
    <t>Imprimación sobre capa base (no incluye suministro de asfalto)</t>
  </si>
  <si>
    <t>Tratamiento Superficial doble para berma (no incluye suministro de asfalto)</t>
  </si>
  <si>
    <t>Provisión, colocado y compactado capa base compactada</t>
  </si>
  <si>
    <t>Provisión, colocado y compactado capa sub-base compactada</t>
  </si>
  <si>
    <t>Refuerzo para carpeta asfáltica.</t>
  </si>
  <si>
    <t>Ejecución colocado y compactado carpeta de concreto asfaltico SMA ( no incluye suministro de asfalto)</t>
  </si>
  <si>
    <t>Fresado pavimento flexible</t>
  </si>
  <si>
    <t>2.10</t>
  </si>
  <si>
    <t>Sello de fisuras con agregado</t>
  </si>
  <si>
    <t>Bacheo asfaltico Ca</t>
  </si>
  <si>
    <t>Bacheo profundo en carpeta asfáltica</t>
  </si>
  <si>
    <t>Subrasante mejorada</t>
  </si>
  <si>
    <t>Isletas</t>
  </si>
  <si>
    <t>kg</t>
  </si>
  <si>
    <t>Hormigón simple tipo "A" Fck = 21 Mpa</t>
  </si>
  <si>
    <t>Excavación común para alcantarillas</t>
  </si>
  <si>
    <t>Excavación para encauce de quebradas</t>
  </si>
  <si>
    <t>Relleno y compactado c/material del sitio</t>
  </si>
  <si>
    <t>Relleno y compactado c/material  seleccionado (cama de arena)</t>
  </si>
  <si>
    <t>Rip Rap (e=0.30 m)</t>
  </si>
  <si>
    <t>Hormigón Ciclópeo Fck=18 Mpa (50% PD)</t>
  </si>
  <si>
    <t>Prov. Y colocado de alcantarilla tubo de HºAº D = 1000 mm</t>
  </si>
  <si>
    <t>Enlucido con mortero (e=3 cm)</t>
  </si>
  <si>
    <t xml:space="preserve">Movimiento de Tierras </t>
  </si>
  <si>
    <t xml:space="preserve">1. </t>
  </si>
  <si>
    <t xml:space="preserve">2. </t>
  </si>
  <si>
    <t xml:space="preserve">3. </t>
  </si>
  <si>
    <t>Separador Central</t>
  </si>
  <si>
    <t xml:space="preserve">4. </t>
  </si>
  <si>
    <t xml:space="preserve">5. </t>
  </si>
  <si>
    <t xml:space="preserve">Alcantarillas </t>
  </si>
  <si>
    <t>Gavión</t>
  </si>
  <si>
    <t>Colchoneta tipo reno</t>
  </si>
  <si>
    <t>Demolición de estructuras</t>
  </si>
  <si>
    <t>Demolición y remoción de hormigón ciclópeo</t>
  </si>
  <si>
    <t>Remoción de alcantarillas de metal corrugado</t>
  </si>
  <si>
    <t>Demolición y remoción de hormigón armado</t>
  </si>
  <si>
    <t xml:space="preserve">7. </t>
  </si>
  <si>
    <t xml:space="preserve">Demolicion </t>
  </si>
  <si>
    <t xml:space="preserve">6. </t>
  </si>
  <si>
    <t xml:space="preserve">Obras de Encauce </t>
  </si>
  <si>
    <t xml:space="preserve">8. </t>
  </si>
  <si>
    <t>Puente Cajon Tacata</t>
  </si>
  <si>
    <t>Hormigón Simple tipo "E"</t>
  </si>
  <si>
    <t>Barbacanas D=3"</t>
  </si>
  <si>
    <t xml:space="preserve">9. </t>
  </si>
  <si>
    <t>Puente Cajon Chulla</t>
  </si>
  <si>
    <t xml:space="preserve">10. </t>
  </si>
  <si>
    <t>Puente Khora 1</t>
  </si>
  <si>
    <t>INFRAESTRUCTURA</t>
  </si>
  <si>
    <t>SUPERESTRUCTURA</t>
  </si>
  <si>
    <t>OBRAS COMPLEMENTARIAS</t>
  </si>
  <si>
    <t>Neopreno compuesto</t>
  </si>
  <si>
    <t>dm3</t>
  </si>
  <si>
    <t>Tubo de drenaje D=4"</t>
  </si>
  <si>
    <t>Junta de dilatación</t>
  </si>
  <si>
    <t>Hormigón simple tipo "P" Fck = 35 Mpa</t>
  </si>
  <si>
    <t>Acero Pretensado</t>
  </si>
  <si>
    <t>Vainas de D=7 cm</t>
  </si>
  <si>
    <t>Anclajes 12V fijo</t>
  </si>
  <si>
    <t>pza</t>
  </si>
  <si>
    <t>Lanzamientos de vigas</t>
  </si>
  <si>
    <t>Excavación común con entibado</t>
  </si>
  <si>
    <t xml:space="preserve">11. </t>
  </si>
  <si>
    <t>Puente Khora 2</t>
  </si>
  <si>
    <t>Neopreno simple</t>
  </si>
  <si>
    <t>Excavación para pilotes</t>
  </si>
  <si>
    <t>Manta geotextil</t>
  </si>
  <si>
    <t/>
  </si>
  <si>
    <t>11.10</t>
  </si>
  <si>
    <t>Barandado tipo P-3 (SNC)</t>
  </si>
  <si>
    <t>Junta longitudinal</t>
  </si>
  <si>
    <t xml:space="preserve">12. </t>
  </si>
  <si>
    <t>Puente Cajon Huacarani</t>
  </si>
  <si>
    <t>Puente Cajon Huachaca</t>
  </si>
  <si>
    <t xml:space="preserve">13. </t>
  </si>
  <si>
    <t>Puente Viloma</t>
  </si>
  <si>
    <t>Construcción puente Viloma paralelo</t>
  </si>
  <si>
    <t xml:space="preserve">14. </t>
  </si>
  <si>
    <t>Puente Pankuruma</t>
  </si>
  <si>
    <t xml:space="preserve">15. </t>
  </si>
  <si>
    <t>15.10</t>
  </si>
  <si>
    <t xml:space="preserve">16. </t>
  </si>
  <si>
    <t>Puente Kollpa Pampa</t>
  </si>
  <si>
    <t xml:space="preserve">17. </t>
  </si>
  <si>
    <t>Puente Chillca Mayu</t>
  </si>
  <si>
    <t xml:space="preserve">18. </t>
  </si>
  <si>
    <t>Pasarelas</t>
  </si>
  <si>
    <t xml:space="preserve">Señalización </t>
  </si>
  <si>
    <t xml:space="preserve">19. </t>
  </si>
  <si>
    <t>Señalización restrictiva</t>
  </si>
  <si>
    <t>Señalización informativa de servicios</t>
  </si>
  <si>
    <t>Señalización de identificación</t>
  </si>
  <si>
    <t>Señalización Inf. Destino / Localidad</t>
  </si>
  <si>
    <t>Señalización horizontal ancho=15cm e=700 micrones termoplástica</t>
  </si>
  <si>
    <t>Mojón Kilométrico</t>
  </si>
  <si>
    <t>Postes de iluminación</t>
  </si>
  <si>
    <t>Postes de señalización</t>
  </si>
  <si>
    <t>19.10</t>
  </si>
  <si>
    <t>Tachas reflectivas</t>
  </si>
  <si>
    <t xml:space="preserve">20. </t>
  </si>
  <si>
    <t xml:space="preserve">Medidas de Mitigacion de Impacto Ambiental </t>
  </si>
  <si>
    <t>Medidas de mitigación</t>
  </si>
  <si>
    <t xml:space="preserve">21. </t>
  </si>
  <si>
    <t xml:space="preserve">Servicios de  Supervision </t>
  </si>
  <si>
    <t>Oficina de campo y vivienda</t>
  </si>
  <si>
    <t>Servicios de alimentación</t>
  </si>
  <si>
    <t>h-día</t>
  </si>
  <si>
    <t>Mantenimiento de vehículos, combustible  y lubricantes</t>
  </si>
  <si>
    <t>mes</t>
  </si>
  <si>
    <t>Camioneta doble cabina 4x4</t>
  </si>
  <si>
    <t>Vagoneta 4x4</t>
  </si>
  <si>
    <t xml:space="preserve">22. </t>
  </si>
  <si>
    <t xml:space="preserve">Mantenimiento de la via </t>
  </si>
  <si>
    <t>Humedecimiento de calzada</t>
  </si>
  <si>
    <t>Km</t>
  </si>
  <si>
    <t>Reposición de material de Bermas</t>
  </si>
  <si>
    <t>Provisión y colocado de terraplén para desvíos</t>
  </si>
  <si>
    <t>Excavación común a maquina</t>
  </si>
  <si>
    <t>Construcción de alcantarillas para desvíos</t>
  </si>
  <si>
    <t>Señalización</t>
  </si>
  <si>
    <t>TOTAL GENERAL</t>
  </si>
  <si>
    <t>ADMINISTRADORA BOLIVIANA DE CARRETERAS</t>
  </si>
  <si>
    <t>unid.</t>
  </si>
  <si>
    <t>SUPERVISION:</t>
  </si>
  <si>
    <t>SUPERINTENDENTE DE OBRA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</si>
  <si>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</si>
  <si>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</si>
  <si>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</si>
  <si>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</si>
  <si>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</si>
  <si>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</si>
  <si>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</si>
  <si>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</si>
  <si>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</si>
  <si>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</si>
  <si>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</si>
  <si>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</si>
  <si>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</si>
  <si>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</si>
  <si>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</si>
  <si>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</si>
  <si>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</si>
  <si>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</si>
  <si>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</si>
  <si>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</si>
  <si>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</si>
  <si>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</si>
  <si>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</si>
  <si>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</si>
  <si>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</si>
  <si>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</si>
  <si>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</si>
  <si>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</si>
  <si>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</si>
  <si>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</si>
  <si>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DETALLE</t>
  </si>
  <si>
    <t>MONTO TOTAL DE LA OBRA</t>
  </si>
  <si>
    <t>MONTO</t>
  </si>
  <si>
    <t>EJECUTADO</t>
  </si>
  <si>
    <t>PERIODO</t>
  </si>
  <si>
    <t>MONTO DE LA OBRA:</t>
  </si>
  <si>
    <t>MONTO DE ANTICIPO:</t>
  </si>
  <si>
    <t>LIQUIDO PAGABLE</t>
  </si>
  <si>
    <t>NUMERO DE POLIZA</t>
  </si>
  <si>
    <t>VIGENCIA</t>
  </si>
  <si>
    <t>AVICONS</t>
  </si>
  <si>
    <t>SIAJSA</t>
  </si>
  <si>
    <t>AMVI</t>
  </si>
  <si>
    <t>CONSORCIO</t>
  </si>
  <si>
    <t>ITEMES , CANTIDADES Y PRECIOS (POR FRENTES DE TRABAJO)</t>
  </si>
  <si>
    <t>Certificado Anticipo Principal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</si>
  <si>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</si>
  <si>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</si>
  <si>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</si>
  <si>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</si>
  <si>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</si>
  <si>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</si>
  <si>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</si>
  <si>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</si>
  <si>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</si>
  <si>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</si>
  <si>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</si>
  <si>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</si>
  <si>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</si>
  <si>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 AMPLIATORIO</t>
    </r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</si>
  <si>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</si>
  <si>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</si>
  <si>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EJECUTADO Y ACUMULADO HASTA EL MES ANTERIOR</t>
  </si>
  <si>
    <t>IMPORTE DE SERVICIO DEL PRESENTE PERIODO</t>
  </si>
  <si>
    <t>MULTAS Y/O DEDUCCIONES ACUMULADAS HASTA EL MES ANTERIOR</t>
  </si>
  <si>
    <t>MULTAS Y/O DEDUCCIONES CONTRACTUALES EN EL PRESENTE PERIODO</t>
  </si>
  <si>
    <t>Monto restituido hasta el mes anterior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</si>
  <si>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</si>
  <si>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</si>
  <si>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</si>
  <si>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</si>
  <si>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</si>
  <si>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</si>
  <si>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% DE MULTAS Y PENALIDADES</t>
  </si>
  <si>
    <t>Razón Social</t>
  </si>
  <si>
    <t>Carnet de Identidad</t>
  </si>
  <si>
    <t>Banco</t>
  </si>
  <si>
    <t>NIT</t>
  </si>
  <si>
    <t>No Cuenta</t>
  </si>
  <si>
    <t>Liquido pagable en el presente certificado</t>
  </si>
  <si>
    <t>Son: (Bs):</t>
  </si>
  <si>
    <t>Saldo por cobrar a la fecha</t>
  </si>
  <si>
    <t>PLANILLA DE AVANCE DE OBRA</t>
  </si>
  <si>
    <t>EMISOR</t>
  </si>
  <si>
    <t>DETALLE DOCUMENTOS DE GARANTIA BOLETA Ó POLIZA</t>
  </si>
  <si>
    <t>CONTRATISTA</t>
  </si>
  <si>
    <t>CANTIDAD CONTRACTUAL</t>
  </si>
  <si>
    <t>METODOLOGIA DE PAGO MANTENIMIENTO DE LA VIA</t>
  </si>
  <si>
    <t>COBRO DE DOS MESES</t>
  </si>
  <si>
    <t>PAGO AJUST. ACTUAL</t>
  </si>
  <si>
    <t>ASIG. EN 26 MESES</t>
  </si>
  <si>
    <t>ASIG. EN 26 MESES AJUST.</t>
  </si>
  <si>
    <t>PAGOS  HASTA ANTERIOR MES</t>
  </si>
  <si>
    <t>RESUMEN</t>
  </si>
  <si>
    <t>Monto certificado</t>
  </si>
  <si>
    <t>Monto de distribucion de los Item´s certificados por consorcio</t>
  </si>
  <si>
    <t>TOTAL</t>
  </si>
  <si>
    <t>Total Certificado por Empresas</t>
  </si>
  <si>
    <t>Liquido Pagable</t>
  </si>
  <si>
    <t>Compensaciones</t>
  </si>
  <si>
    <t>Porcentaje de amortizacion asumida por liquido pagable negativo (-)</t>
  </si>
  <si>
    <t>Amortizacion asumida por liquido pagable negativo (-)</t>
  </si>
  <si>
    <t>Total de Amotizacion de Anticipos</t>
  </si>
  <si>
    <t>TOTAL LIQUIDO PAGABLE NETO</t>
  </si>
  <si>
    <t>VERIFICACION</t>
  </si>
  <si>
    <t>AVICONS 33%</t>
  </si>
  <si>
    <t>SIAJSA 33%</t>
  </si>
  <si>
    <t>MES</t>
  </si>
  <si>
    <t>PROGRAMADO</t>
  </si>
  <si>
    <t>PORCENTAJE</t>
  </si>
  <si>
    <t>PARCIAL</t>
  </si>
  <si>
    <t>ACUMULADO</t>
  </si>
  <si>
    <t>AMVI 34%</t>
  </si>
  <si>
    <t>según ing garcia</t>
  </si>
  <si>
    <t>amvi</t>
  </si>
  <si>
    <t>siajsa y avicons</t>
  </si>
  <si>
    <t>ACUM.</t>
  </si>
  <si>
    <t>Deducción de 1er Desdembolso de anticipo en presente periodo</t>
  </si>
  <si>
    <t>Deducción de 2do Desdembolso de anticipo en presente periodo</t>
  </si>
  <si>
    <t>1er Desembolso</t>
  </si>
  <si>
    <t>2do Desembolso</t>
  </si>
  <si>
    <t>ANTICIPOS</t>
  </si>
  <si>
    <t>Saldo por Devolver</t>
  </si>
  <si>
    <t>Detalle</t>
  </si>
  <si>
    <t>SALDO ANTICIPOS EMPRESAS</t>
  </si>
  <si>
    <t>Porcentaje de amortizacion del del 1er anticipo</t>
  </si>
  <si>
    <t>Porcentaje de amortizacion del del 2do anticipo</t>
  </si>
  <si>
    <t>% Sobre el Saldo</t>
  </si>
  <si>
    <t>Ajustes por asignaciones irregulares en planillas anteriores y deducciones por multas</t>
  </si>
  <si>
    <t>RESUMEN DE DISTRIBUCIÓN DE CERTIFICADO DE PAGO No 9 (DICIEMBRE 2013)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</si>
  <si>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</si>
  <si>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</si>
  <si>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</si>
  <si>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</si>
  <si>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</si>
  <si>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</si>
  <si>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</si>
  <si>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</si>
  <si>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</si>
  <si>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</si>
  <si>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</si>
  <si>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</si>
  <si>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</si>
  <si>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</si>
  <si>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</si>
  <si>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</si>
  <si>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</si>
  <si>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</si>
  <si>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</si>
  <si>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</si>
  <si>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</si>
  <si>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</si>
  <si>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</si>
  <si>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</si>
  <si>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</si>
  <si>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</si>
  <si>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</si>
  <si>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</si>
  <si>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</si>
  <si>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</si>
  <si>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</si>
  <si>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</si>
  <si>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</si>
  <si>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</si>
  <si>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</si>
  <si>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</si>
  <si>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</si>
  <si>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</si>
  <si>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</si>
  <si>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</si>
  <si>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</si>
  <si>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</si>
  <si>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</si>
  <si>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</si>
  <si>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</si>
  <si>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</si>
  <si>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</si>
  <si>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</si>
  <si>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</si>
  <si>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</si>
  <si>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</si>
  <si>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</si>
  <si>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</si>
  <si>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</si>
  <si>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</si>
  <si>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</si>
  <si>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</si>
  <si>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</si>
  <si>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</si>
  <si>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</si>
  <si>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</si>
  <si>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</si>
  <si>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</si>
  <si>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</si>
  <si>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</si>
  <si>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</si>
  <si>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</si>
  <si>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</si>
  <si>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</si>
  <si>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</si>
  <si>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</si>
  <si>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</si>
  <si>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</si>
  <si>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</si>
  <si>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</si>
  <si>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</si>
  <si>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</si>
  <si>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</si>
  <si>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</si>
  <si>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</si>
  <si>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</si>
  <si>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</si>
  <si>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</si>
  <si>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</si>
  <si>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</si>
  <si>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</si>
  <si>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</si>
  <si>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</si>
  <si>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</si>
  <si>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</si>
  <si>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</si>
  <si>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</si>
  <si>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</si>
  <si>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</si>
  <si>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</si>
  <si>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</si>
  <si>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</si>
  <si>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</si>
  <si>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</si>
  <si>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</si>
  <si>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</si>
  <si>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</si>
  <si>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</si>
  <si>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</si>
  <si>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</si>
  <si>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</si>
  <si>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</si>
  <si>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</si>
  <si>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</si>
  <si>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</si>
  <si>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</si>
  <si>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</si>
  <si>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</si>
  <si>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</si>
  <si>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</si>
  <si>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</si>
  <si>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</si>
  <si>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</si>
  <si>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</si>
  <si>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</si>
  <si>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</si>
  <si>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Superintendente de Obra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</si>
  <si>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</si>
  <si>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</si>
  <si>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</si>
  <si>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</si>
  <si>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</si>
  <si>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</si>
  <si>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MULTAS ACUMULADAS A LA FECHA</t>
  </si>
  <si>
    <t>CUADRO RESUMEN POR MULTAS</t>
  </si>
  <si>
    <t>MULTAS ACUMULADAS
[ Bs. ]</t>
  </si>
  <si>
    <t>MONTO DEL CONTRATO [Bs]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</si>
  <si>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</si>
  <si>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</si>
  <si>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</si>
  <si>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</si>
  <si>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</si>
  <si>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</si>
  <si>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al</t>
  </si>
  <si>
    <t>AJUSTE POR DECIMALES</t>
  </si>
  <si>
    <t>TOTAL:</t>
  </si>
  <si>
    <t>AMORTIZACIÓN DE ANTICIPO [ - ]</t>
  </si>
  <si>
    <t>TELÉFONO/FAX:</t>
  </si>
  <si>
    <t>RETENCIÓN POR GARANTÍA DE CONTRATO HASTA LA FECHA (H+I)</t>
  </si>
  <si>
    <t>RETENCIÓN POR GARANTÍA ACUMULADA HASTA EL MES ANTERIOR</t>
  </si>
  <si>
    <t>RETENCIÓN POR GARANTÍA CONTRACTUAL EN EL PRESENTE MES</t>
  </si>
  <si>
    <t>DEVOLUCIÓN POR GARANTÍA DE CONTRATO HASTA LA FECHA (K+L)</t>
  </si>
  <si>
    <t>DEVOLUCIÓN POR GARANTÍA ACUMULADA HASTA EL MES ANTERIOR</t>
  </si>
  <si>
    <t>% DE AVANCE FÍSICO</t>
  </si>
  <si>
    <t>DEVOLUCIÓN POR GARANTÍA CONTRACTUAL EN EL PRESENTE MES</t>
  </si>
  <si>
    <t>DEDUCCIÓN DEL ANTICIPO EN EL PRESENTE PERIODO</t>
  </si>
  <si>
    <t>Ing. Daniel Garcia Molina</t>
  </si>
  <si>
    <t>Acéfalo (Esp. Control de Calidad)</t>
  </si>
  <si>
    <t>Acéfalo (Esp. Medio Ambiente)</t>
  </si>
  <si>
    <t>CRONOGRAMA DE DESEMBOLSOS</t>
  </si>
  <si>
    <t>MONTO DE CONTRATO:</t>
  </si>
  <si>
    <t>CONTRATO MODIFICATORIO N° 1:</t>
  </si>
  <si>
    <t>AVANCE FINANCIERO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</si>
  <si>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</si>
  <si>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</si>
  <si>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</si>
  <si>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</si>
  <si>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</si>
  <si>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</si>
  <si>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</si>
  <si>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</si>
  <si>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</si>
  <si>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</si>
  <si>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</si>
  <si>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</si>
  <si>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</si>
  <si>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</si>
  <si>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</si>
  <si>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</si>
  <si>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</si>
  <si>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</si>
  <si>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</si>
  <si>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</si>
  <si>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</si>
  <si>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PLANILLA DE RETENCION POR BUENA EJECUCION DE OBRA</t>
  </si>
  <si>
    <t>MONTO A SER RETENIDO:</t>
  </si>
  <si>
    <t>PREFECTURA DEL DEPARTAMENTO DE ORURO</t>
  </si>
  <si>
    <t>INDICE</t>
  </si>
  <si>
    <t>ITEM:</t>
  </si>
  <si>
    <t xml:space="preserve">PERIODO: 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</si>
  <si>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</si>
  <si>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</si>
  <si>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</si>
  <si>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</si>
  <si>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</si>
  <si>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</si>
  <si>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</si>
  <si>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</si>
  <si>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</si>
  <si>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</si>
  <si>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</si>
  <si>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</si>
  <si>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</si>
  <si>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</si>
  <si>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</si>
  <si>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</si>
  <si>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</si>
  <si>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</si>
  <si>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</si>
  <si>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</si>
  <si>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</si>
  <si>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</si>
  <si>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</si>
  <si>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</si>
  <si>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</si>
  <si>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</si>
  <si>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ANEXOS (CONTROL TECNOLOGICO DE MATERIALES)</t>
  </si>
  <si>
    <t>NO CORRESPONDE</t>
  </si>
  <si>
    <t>ANEXOS</t>
  </si>
  <si>
    <t>INFORME DEL SUPERVISOR</t>
  </si>
  <si>
    <t>PLANILLA PRINCIPAL</t>
  </si>
  <si>
    <t>AMORTIZACIÓN DE ANTICIPOS</t>
  </si>
  <si>
    <t>PERSONAL TÉCNICO CLAVE</t>
  </si>
  <si>
    <t>PLANILLA DE DOCUMENTOS DE GARANTÍA</t>
  </si>
  <si>
    <t>RESUMEN DE CANTIDADES</t>
  </si>
  <si>
    <t>CÓMPUTOS MÉTRICOS</t>
  </si>
  <si>
    <t>FOTOGRAFÍAS EXPLICATIVAS</t>
  </si>
  <si>
    <t>CRONOGRAMA DE AVANCE DE OBRA</t>
  </si>
  <si>
    <t>ORDEN DE PROCEDER</t>
  </si>
  <si>
    <t>COPIA DE LIBRO DE ORDENES</t>
  </si>
  <si>
    <t>POLIZA DE GARANTIA DE CORRECTA INVERSION DE ANTICIPO</t>
  </si>
  <si>
    <t>BOLETA O PÓLIZA DE GARANTÍA DE CUMPLIMIENTO DE CONTRATO</t>
  </si>
  <si>
    <t>BOLETA O PÓLIZA DE SEGURO DE OBRA, CONTRA ACCIDENTES PERSONALES, RESPONSABILIDAD CIVIL</t>
  </si>
  <si>
    <t xml:space="preserve"> SIGEP</t>
  </si>
  <si>
    <t>CONTRATO</t>
  </si>
  <si>
    <t>Monto desembolsado Anticipo</t>
  </si>
  <si>
    <t>SUPERVISOR DE OBRA</t>
  </si>
  <si>
    <t>ABC - REGIONAL TARIJA</t>
  </si>
  <si>
    <t>FISCAL DE OBRA</t>
  </si>
  <si>
    <t>CONSTRUCCION Y REHABILITACION TRAMO CARRETERO VILLA MONTES - LA VERTIENTE - PALO MARCADO</t>
  </si>
  <si>
    <t>PROYECTO: CONSTRUCCION Y REHABILITACION TRAMO CARRETERO VILLA MONTES - LA VERTIENTE - PALO MARCADO</t>
  </si>
  <si>
    <t>ABC N° 818/19 GNT-SCT-OBR-TGN</t>
  </si>
  <si>
    <t>TARIJA - BOLIVIA</t>
  </si>
  <si>
    <r>
      <t xml:space="preserve">GERENCIA A CARGO DEL PROYECTO:   </t>
    </r>
    <r>
      <rPr>
        <b/>
        <sz val="10"/>
        <rFont val="Arial"/>
        <family val="2"/>
      </rPr>
      <t>GERENCIA REGIONAL TARIJA</t>
    </r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</si>
  <si>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</si>
  <si>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</si>
  <si>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</si>
  <si>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</si>
  <si>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</si>
  <si>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</si>
  <si>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</si>
  <si>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</si>
  <si>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</si>
  <si>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</si>
  <si>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</si>
  <si>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</si>
  <si>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</si>
  <si>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</si>
  <si>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</si>
  <si>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</si>
  <si>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</si>
  <si>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</si>
  <si>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</si>
  <si>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</si>
  <si>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</si>
  <si>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</si>
  <si>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</si>
  <si>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</si>
  <si>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</si>
  <si>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</si>
  <si>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</si>
  <si>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</si>
  <si>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</si>
  <si>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</si>
  <si>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</si>
  <si>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</si>
  <si>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</si>
  <si>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</si>
  <si>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</si>
  <si>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</si>
  <si>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</si>
  <si>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</si>
  <si>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</si>
  <si>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</si>
  <si>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</si>
  <si>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</si>
  <si>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</si>
  <si>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</si>
  <si>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</si>
  <si>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</si>
  <si>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</si>
  <si>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</si>
  <si>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</si>
  <si>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</si>
  <si>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</si>
  <si>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</si>
  <si>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</si>
  <si>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</si>
  <si>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</si>
  <si>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</si>
  <si>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</si>
  <si>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</si>
  <si>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</si>
  <si>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</si>
  <si>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</si>
  <si>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</si>
  <si>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</si>
  <si>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</si>
  <si>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</si>
  <si>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</si>
  <si>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</si>
  <si>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</si>
  <si>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</si>
  <si>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</si>
  <si>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</si>
  <si>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</si>
  <si>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</si>
  <si>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</si>
  <si>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</si>
  <si>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</si>
  <si>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</si>
  <si>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</si>
  <si>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</si>
  <si>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</si>
  <si>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</si>
  <si>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</si>
  <si>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</si>
  <si>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</si>
  <si>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</si>
  <si>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</si>
  <si>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</si>
  <si>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</si>
  <si>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</si>
  <si>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</si>
  <si>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E.B.C.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</si>
  <si>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</si>
  <si>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</si>
  <si>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</si>
  <si>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</si>
  <si>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</si>
  <si>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</si>
  <si>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</si>
  <si>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</si>
  <si>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</si>
  <si>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CERTIFICADO DE PAGO :</t>
  </si>
  <si>
    <t>ADENDA AL CONTRATO:</t>
  </si>
  <si>
    <t>Ing. Hernan Vasquez Iriarte</t>
  </si>
  <si>
    <t>Ing. Casiano Nuñez Alave</t>
  </si>
  <si>
    <t>Especialista en Drenaje Vial e Hidrologia</t>
  </si>
  <si>
    <t>Especialista en Estructuras y Control y Calidad</t>
  </si>
  <si>
    <t>Ing. Jorge Tellez Pino</t>
  </si>
  <si>
    <t>Ing. Cesar Gustavo Paris Velasco</t>
  </si>
  <si>
    <t>Especialista Ambiental</t>
  </si>
  <si>
    <t>Ing. Jhovana Cespedes Balderrama</t>
  </si>
  <si>
    <t>Ing. Industrial</t>
  </si>
  <si>
    <t>TGNEBC-G22D-1-19</t>
  </si>
  <si>
    <t>TGNEBC-G22E-1-19</t>
  </si>
  <si>
    <t>Ing. Herlan Rene Ramos Estrada</t>
  </si>
  <si>
    <t>Ing. Franz Reynaldo Salazar Martinez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</si>
  <si>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</si>
  <si>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</si>
  <si>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</si>
  <si>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</si>
  <si>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</si>
  <si>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</si>
  <si>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PROCESO DE CONTRATACIÓN DIRECTA:</t>
  </si>
  <si>
    <t>CD Nº 004/2019-OFC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</si>
  <si>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</si>
  <si>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</si>
  <si>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</si>
  <si>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</si>
  <si>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</si>
  <si>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</si>
  <si>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</si>
  <si>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</si>
  <si>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PROYECTO: CONSTRUCCION Y REHABILITACION TRAMO CARRETERO                         VILLA MONTES - LA VERTIENTE - PALO MARCADO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</si>
  <si>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</si>
  <si>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</si>
  <si>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</si>
  <si>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</si>
  <si>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</si>
  <si>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</si>
  <si>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Ing. Gabriel Daza Chavez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</si>
  <si>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</si>
  <si>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</si>
  <si>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</si>
  <si>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</si>
  <si>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DICIEMBRE 2020, ENERO 2021 Y FEBRERO 2021</t>
  </si>
  <si>
    <t>01-Dic-2020</t>
  </si>
  <si>
    <t>28-Feb-2021</t>
  </si>
  <si>
    <t>TESORO GENERAL DE LA NACION (70%)</t>
  </si>
  <si>
    <t>GOBIERNO AUTONOMO MUNICIPAL DEL GRAN CHACO (30%)</t>
  </si>
  <si>
    <t>Tarija, ____ /___ /2021</t>
  </si>
  <si>
    <t>Tarija, _______ /______ /2021</t>
  </si>
  <si>
    <t>Tarija, _______ /_______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</si>
  <si>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</si>
  <si>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</si>
  <si>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</si>
  <si>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</si>
  <si>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</si>
  <si>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</si>
  <si>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</si>
  <si>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Ing. Marco Antonio Ortiz Tapia  GERENTE REGIONAL                            ABC - REGIONAL TARIJA</t>
  </si>
  <si>
    <r>
      <t xml:space="preserve">PERIODO DE CERTIFICACION:  </t>
    </r>
    <r>
      <rPr>
        <sz val="10"/>
        <rFont val="Arial"/>
        <family val="2"/>
      </rPr>
      <t>DEL 01 DE DICIEMBRE DE 2020 AL 28 DE FEBRERO DE 2021</t>
    </r>
  </si>
  <si>
    <t>HOJA DE CONTROL</t>
  </si>
  <si>
    <t>RESOLUCIÓN ADMINISTRATIVA DE ADJUDICACIÓN: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</si>
</sst>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43" formatCode="_(* #,##0.00_);_(* \(#,##0.00\);_(* &quot;-&quot;??_);_(@_)"/>
    <numFmt numFmtId="164" formatCode="_-* #,##0.00\ _€_-;\-* #,##0.00\ _€_-;_-* &quot;-&quot;??\ _€_-;_-@_-"/>
    <numFmt numFmtId="165" formatCode="_-* #,##0.00_-;\-* #,##0.00_-;_-* &quot;-&quot;??_-;_-@_-"/>
    <numFmt numFmtId="166" formatCode="_ * #,##0.00_ ;_ * \-#,##0.00_ ;_ * &quot;-&quot;??_ ;_ @_ "/>
    <numFmt numFmtId="167" formatCode="#,###.0"/>
    <numFmt numFmtId="168" formatCode="#,###.00"/>
    <numFmt numFmtId="169" formatCode="_([$€]* #,##0.00_);_([$€]* \(#,##0.00\);_([$€]* &quot;-&quot;??_);_(@_)"/>
    <numFmt numFmtId="170" formatCode="_-* #,##0.000\ _€_-;\-* #,##0.000\ _€_-;_-* &quot;-&quot;??\ _€_-;_-@_-"/>
    <numFmt numFmtId="171" formatCode="dd/mm/yyyy;@"/>
    <numFmt numFmtId="172" formatCode="0.0%"/>
    <numFmt numFmtId="173" formatCode="#,##0\ &quot;d.c.&quot;;[Red]\-#,##0\ &quot;$us&quot;"/>
    <numFmt numFmtId="174" formatCode="#.##0,"/>
    <numFmt numFmtId="175" formatCode="mmmm\ \-\ yyyy"/>
    <numFmt numFmtId="176" formatCode="0\+000"/>
    <numFmt numFmtId="177" formatCode="&quot;Bs.  &quot;#,##0.00"/>
    <numFmt numFmtId="178" formatCode="_ * #,##0.00_ ;_ * \-#,##0.0_ ;_ * &quot;-&quot;??_ ;_ @_ "/>
    <numFmt numFmtId="179" formatCode="#,##0.00&quot;   &quot;"/>
    <numFmt numFmtId="180" formatCode="General_)"/>
    <numFmt numFmtId="181" formatCode="&quot;Son.  &quot;#,##0.00"/>
    <numFmt numFmtId="182" formatCode="[$-400A]d&quot; de &quot;mmmm&quot; de &quot;yyyy;@"/>
    <numFmt numFmtId="183" formatCode="_-* #,##0.0000_-;\-* #,##0.0000_-;_-* &quot;-&quot;??_-;_-@_-"/>
    <numFmt numFmtId="184" formatCode="_-* #,##0.00000\ _€_-;\-* #,##0.00000\ _€_-;_-* &quot;-&quot;??\ _€_-;_-@_-"/>
    <numFmt numFmtId="185" formatCode="#,##0.0\ &quot;Meses&quot;;"/>
    <numFmt numFmtId="186" formatCode="#,##0.00000000"/>
    <numFmt numFmtId="187" formatCode="#,##0.0000000000000000000000000"/>
    <numFmt numFmtId="188" formatCode="#,##0.00_ ;[Red]\-#,##0.00\ "/>
    <numFmt numFmtId="189" formatCode="#,##0.000000"/>
    <numFmt numFmtId="190" formatCode="0.0000"/>
    <numFmt numFmtId="191" formatCode="#,##0.00000"/>
    <numFmt numFmtId="192" formatCode="_ * #,##0.0000_ ;_ * \-#,##0.0000_ ;_ * &quot;-&quot;??_ ;_ @_ "/>
    <numFmt numFmtId="193" formatCode="_-* #,##0.000_-;\-* #,##0.000_-;_-* &quot;-&quot;??_-;_-@_-"/>
    <numFmt numFmtId="194" formatCode="_-* #,##0.00000_-;\-* #,##0.00000_-;_-* &quot;-&quot;??_-;_-@_-"/>
    <numFmt numFmtId="195" formatCode="_ * #,##0.0000000_ ;_ * \-#,##0.0000000_ ;_ * &quot;-&quot;??_ ;_ @_ "/>
    <numFmt numFmtId="196" formatCode="_-* #,##0.0000\ _€_-;\-* #,##0.0000\ _€_-;_-* &quot;-&quot;??\ _€_-;_-@_-"/>
    <numFmt numFmtId="197" formatCode="_ * #,##0.000_ ;_ * \-#,##0.00_ ;_ * &quot;-&quot;??_ ;_ @_ "/>
    <numFmt numFmtId="198" formatCode="#,##0_ ;[Red]\-#,##0\ "/>
    <numFmt numFmtId="199" formatCode="0.000"/>
    <numFmt numFmtId="200" formatCode="_(* #,##0.0000_);_(* \(#,##0.0000\);_(* &quot;-&quot;??_);_(@_)"/>
    <numFmt numFmtId="201" formatCode="0.000000%"/>
    <numFmt numFmtId="202" formatCode="&quot;CERTIFICADO DE PAGO: No. &quot;0\ "/>
    <numFmt numFmtId="203" formatCode="&quot;CERTIFICADO DE PAGO: No. &quot;"/>
    <numFmt numFmtId="204" formatCode="&quot;AL&quot;\ [$-C0A]d\ &quot;de&quot;\ mmmm\ &quot;de&quot;\ yyyy;@"/>
    <numFmt numFmtId="205" formatCode="#,##0\ &quot;Días Calendario&quot;;"/>
    <numFmt numFmtId="206" formatCode="dd\-mmm\-yyyy"/>
    <numFmt numFmtId="207" formatCode="0.0000000000"/>
  </numFmts>
  <fonts count="1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i/>
      <sz val="8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b/>
      <i/>
      <sz val="9"/>
      <name val="Arial Narrow"/>
      <family val="2"/>
    </font>
    <font>
      <sz val="8"/>
      <color theme="0"/>
      <name val="Arial Narrow"/>
      <family val="2"/>
    </font>
    <font>
      <sz val="10"/>
      <color theme="0"/>
      <name val="Arial"/>
      <family val="2"/>
    </font>
    <font>
      <u val="singleAccounting"/>
      <sz val="8"/>
      <name val="Arial Narrow"/>
      <family val="2"/>
    </font>
    <font>
      <b/>
      <sz val="10"/>
      <name val="Arial"/>
      <family val="2"/>
    </font>
    <font>
      <sz val="28"/>
      <color rgb="FFFF0000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sz val="36"/>
      <color rgb="FFFF0000"/>
      <name val="Arial Narrow"/>
      <family val="2"/>
    </font>
    <font>
      <i/>
      <sz val="11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sz val="9"/>
      <color rgb="FFFF0000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b/>
      <sz val="10.5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sz val="11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sz val="10"/>
      <color theme="0" tint="-0.34998626667073579"/>
      <name val="Arial Narrow"/>
      <family val="2"/>
    </font>
    <font>
      <sz val="10"/>
      <color theme="0" tint="-0.34998626667073579"/>
      <name val="Arial Narrow"/>
      <family val="2"/>
    </font>
    <font>
      <sz val="9.5"/>
      <name val="Arial Narrow"/>
      <family val="2"/>
    </font>
    <font>
      <sz val="10"/>
      <color theme="0"/>
      <name val="Arial Narrow"/>
      <family val="2"/>
    </font>
    <font>
      <b/>
      <u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2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86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0" fontId="16" fillId="0" borderId="3" applyNumberFormat="0" applyFill="0" applyAlignment="0" applyProtection="0"/>
    <xf numFmtId="43" fontId="11" fillId="0" borderId="0" applyFont="0" applyFill="0" applyBorder="0" applyAlignment="0" applyProtection="0"/>
    <xf numFmtId="0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9" fillId="0" borderId="0" applyNumberFormat="0" applyFill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20" fillId="7" borderId="1" applyNumberFormat="0" applyAlignment="0" applyProtection="0"/>
    <xf numFmtId="169" fontId="21" fillId="0" borderId="0" applyFont="0" applyFill="0" applyBorder="0" applyAlignment="0" applyProtection="0"/>
    <xf numFmtId="174" fontId="17" fillId="0" borderId="0">
      <protection locked="0"/>
    </xf>
    <xf numFmtId="174" fontId="17" fillId="0" borderId="0">
      <protection locked="0"/>
    </xf>
    <xf numFmtId="174" fontId="22" fillId="0" borderId="0">
      <protection locked="0"/>
    </xf>
    <xf numFmtId="174" fontId="17" fillId="0" borderId="0">
      <protection locked="0"/>
    </xf>
    <xf numFmtId="174" fontId="17" fillId="0" borderId="0">
      <protection locked="0"/>
    </xf>
    <xf numFmtId="174" fontId="17" fillId="0" borderId="0">
      <protection locked="0"/>
    </xf>
    <xf numFmtId="174" fontId="17" fillId="0" borderId="0">
      <protection locked="0"/>
    </xf>
    <xf numFmtId="0" fontId="17" fillId="0" borderId="0">
      <protection locked="0"/>
    </xf>
    <xf numFmtId="4" fontId="17" fillId="0" borderId="0">
      <protection locked="0"/>
    </xf>
    <xf numFmtId="0" fontId="23" fillId="3" borderId="0" applyNumberFormat="0" applyBorder="0" applyAlignment="0" applyProtection="0"/>
    <xf numFmtId="43" fontId="24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7" fillId="0" borderId="0">
      <protection locked="0"/>
    </xf>
    <xf numFmtId="0" fontId="26" fillId="22" borderId="0" applyNumberFormat="0" applyBorder="0" applyAlignment="0" applyProtection="0"/>
    <xf numFmtId="0" fontId="27" fillId="0" borderId="0"/>
    <xf numFmtId="0" fontId="25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24" fillId="23" borderId="4" applyNumberFormat="0" applyFont="0" applyAlignment="0" applyProtection="0"/>
    <xf numFmtId="9" fontId="1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8" fillId="16" borderId="5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19" fillId="0" borderId="8" applyNumberFormat="0" applyFill="0" applyAlignment="0" applyProtection="0"/>
    <xf numFmtId="0" fontId="34" fillId="0" borderId="9" applyNumberFormat="0" applyFill="0" applyAlignment="0" applyProtection="0"/>
    <xf numFmtId="0" fontId="27" fillId="0" borderId="0"/>
    <xf numFmtId="0" fontId="27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23" fillId="3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0" fontId="30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16" fillId="0" borderId="3" applyNumberFormat="0" applyFill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27" fillId="23" borderId="4" applyNumberFormat="0" applyFont="0" applyAlignment="0" applyProtection="0"/>
    <xf numFmtId="0" fontId="28" fillId="16" borderId="5" applyNumberFormat="0" applyAlignment="0" applyProtection="0"/>
    <xf numFmtId="0" fontId="3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/>
    <xf numFmtId="0" fontId="53" fillId="0" borderId="0" applyNumberFormat="0" applyFill="0" applyBorder="0" applyAlignment="0" applyProtection="0"/>
    <xf numFmtId="0" fontId="27" fillId="0" borderId="0"/>
    <xf numFmtId="0" fontId="27" fillId="0" borderId="0"/>
    <xf numFmtId="166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180" fontId="54" fillId="0" borderId="0"/>
    <xf numFmtId="0" fontId="9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0" fontId="35" fillId="0" borderId="0"/>
    <xf numFmtId="0" fontId="3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9" fontId="3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8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4" fillId="0" borderId="0"/>
    <xf numFmtId="0" fontId="24" fillId="0" borderId="0"/>
    <xf numFmtId="0" fontId="2" fillId="0" borderId="0"/>
    <xf numFmtId="0" fontId="1" fillId="0" borderId="0"/>
  </cellStyleXfs>
  <cellXfs count="1866">
    <xf numFmtId="0" fontId="0" fillId="0" borderId="0" xfId="0"/>
    <xf numFmtId="0" fontId="38" fillId="0" borderId="0" xfId="0" applyFont="1" applyFill="1" applyAlignment="1">
      <alignment vertical="center"/>
    </xf>
    <xf numFmtId="0" fontId="37" fillId="24" borderId="13" xfId="0" applyFont="1" applyFill="1" applyBorder="1" applyAlignment="1">
      <alignment horizontal="center" vertical="center" wrapText="1"/>
    </xf>
    <xf numFmtId="0" fontId="37" fillId="24" borderId="14" xfId="0" applyFont="1" applyFill="1" applyBorder="1" applyAlignment="1">
      <alignment horizontal="center" vertical="center" wrapText="1"/>
    </xf>
    <xf numFmtId="166" fontId="38" fillId="0" borderId="0" xfId="0" applyNumberFormat="1" applyFont="1" applyFill="1" applyAlignment="1">
      <alignment vertical="center"/>
    </xf>
    <xf numFmtId="172" fontId="38" fillId="0" borderId="0" xfId="59" applyNumberFormat="1" applyFont="1" applyFill="1" applyAlignment="1">
      <alignment vertical="center"/>
    </xf>
    <xf numFmtId="0" fontId="38" fillId="0" borderId="13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5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17" xfId="0" applyFont="1" applyFill="1" applyBorder="1" applyAlignment="1">
      <alignment vertical="center"/>
    </xf>
    <xf numFmtId="0" fontId="38" fillId="0" borderId="15" xfId="0" applyFont="1" applyFill="1" applyBorder="1" applyAlignment="1">
      <alignment vertical="center" wrapText="1"/>
    </xf>
    <xf numFmtId="0" fontId="38" fillId="0" borderId="17" xfId="0" applyFont="1" applyFill="1" applyBorder="1" applyAlignment="1">
      <alignment vertical="center" wrapText="1"/>
    </xf>
    <xf numFmtId="43" fontId="46" fillId="0" borderId="0" xfId="0" applyNumberFormat="1" applyFont="1" applyFill="1" applyBorder="1" applyAlignment="1">
      <alignment vertical="center"/>
    </xf>
    <xf numFmtId="0" fontId="38" fillId="0" borderId="36" xfId="0" applyFont="1" applyFill="1" applyBorder="1" applyAlignment="1">
      <alignment horizontal="left" vertical="center" indent="1"/>
    </xf>
    <xf numFmtId="0" fontId="38" fillId="0" borderId="37" xfId="0" applyFont="1" applyFill="1" applyBorder="1" applyAlignment="1">
      <alignment horizontal="left" vertical="center" indent="1"/>
    </xf>
    <xf numFmtId="0" fontId="38" fillId="0" borderId="0" xfId="0" applyFont="1" applyFill="1" applyBorder="1" applyAlignment="1">
      <alignment vertical="center"/>
    </xf>
    <xf numFmtId="0" fontId="38" fillId="0" borderId="38" xfId="0" applyFont="1" applyFill="1" applyBorder="1" applyAlignment="1">
      <alignment horizontal="left" vertical="center" indent="1"/>
    </xf>
    <xf numFmtId="0" fontId="43" fillId="24" borderId="0" xfId="56" applyFont="1" applyFill="1" applyAlignment="1">
      <alignment vertical="center"/>
    </xf>
    <xf numFmtId="0" fontId="43" fillId="24" borderId="0" xfId="56" applyFont="1" applyFill="1" applyAlignment="1">
      <alignment horizontal="center" vertical="center"/>
    </xf>
    <xf numFmtId="167" fontId="43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3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52" applyFont="1" applyFill="1" applyBorder="1" applyAlignment="1">
      <alignment vertical="center" wrapText="1"/>
    </xf>
    <xf numFmtId="0" fontId="43" fillId="0" borderId="0" xfId="52" applyFont="1" applyFill="1" applyBorder="1" applyAlignment="1">
      <alignment horizontal="center" vertical="center" wrapText="1"/>
    </xf>
    <xf numFmtId="164" fontId="43" fillId="0" borderId="0" xfId="47" applyFont="1" applyFill="1" applyBorder="1" applyAlignment="1">
      <alignment horizontal="right" vertical="center" wrapText="1"/>
    </xf>
    <xf numFmtId="164" fontId="43" fillId="24" borderId="0" xfId="47" applyFont="1" applyFill="1" applyBorder="1" applyAlignment="1">
      <alignment horizontal="right" vertical="center"/>
    </xf>
    <xf numFmtId="164" fontId="43" fillId="24" borderId="0" xfId="47" applyNumberFormat="1" applyFont="1" applyFill="1" applyBorder="1" applyAlignment="1">
      <alignment horizontal="right" vertical="center"/>
    </xf>
    <xf numFmtId="170" fontId="43" fillId="24" borderId="0" xfId="47" applyNumberFormat="1" applyFont="1" applyFill="1" applyBorder="1" applyAlignment="1">
      <alignment horizontal="right" vertical="center"/>
    </xf>
    <xf numFmtId="164" fontId="43" fillId="24" borderId="14" xfId="47" applyNumberFormat="1" applyFont="1" applyFill="1" applyBorder="1" applyAlignment="1">
      <alignment horizontal="right" vertical="center"/>
    </xf>
    <xf numFmtId="0" fontId="43" fillId="24" borderId="0" xfId="56" applyFont="1" applyFill="1" applyBorder="1" applyAlignment="1">
      <alignment vertical="center"/>
    </xf>
    <xf numFmtId="0" fontId="43" fillId="0" borderId="0" xfId="52" applyFont="1" applyFill="1" applyBorder="1" applyAlignment="1">
      <alignment horizontal="right" vertical="center" wrapText="1"/>
    </xf>
    <xf numFmtId="0" fontId="43" fillId="24" borderId="0" xfId="56" applyFont="1" applyFill="1" applyBorder="1" applyAlignment="1">
      <alignment horizontal="right" vertical="center"/>
    </xf>
    <xf numFmtId="0" fontId="43" fillId="24" borderId="14" xfId="56" applyFont="1" applyFill="1" applyBorder="1" applyAlignment="1">
      <alignment horizontal="right" vertical="center"/>
    </xf>
    <xf numFmtId="0" fontId="43" fillId="24" borderId="0" xfId="56" applyFont="1" applyFill="1" applyAlignment="1">
      <alignment horizontal="right" vertical="center"/>
    </xf>
    <xf numFmtId="0" fontId="43" fillId="0" borderId="27" xfId="52" applyFont="1" applyFill="1" applyBorder="1" applyAlignment="1">
      <alignment vertical="center" wrapText="1"/>
    </xf>
    <xf numFmtId="165" fontId="43" fillId="0" borderId="27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29" xfId="47" applyNumberFormat="1" applyFont="1" applyFill="1" applyBorder="1" applyAlignment="1">
      <alignment horizontal="right" vertical="center"/>
    </xf>
    <xf numFmtId="165" fontId="43" fillId="0" borderId="27" xfId="47" applyNumberFormat="1" applyFont="1" applyFill="1" applyBorder="1" applyAlignment="1">
      <alignment horizontal="right" vertical="center" wrapText="1"/>
    </xf>
    <xf numFmtId="164" fontId="43" fillId="24" borderId="27" xfId="47" applyFont="1" applyFill="1" applyBorder="1" applyAlignment="1">
      <alignment horizontal="left" vertical="center"/>
    </xf>
    <xf numFmtId="0" fontId="43" fillId="0" borderId="60" xfId="52" applyFont="1" applyFill="1" applyBorder="1" applyAlignment="1">
      <alignment vertical="center" wrapText="1"/>
    </xf>
    <xf numFmtId="0" fontId="45" fillId="0" borderId="32" xfId="52" applyNumberFormat="1" applyFont="1" applyFill="1" applyBorder="1" applyAlignment="1" applyProtection="1">
      <alignment vertical="center"/>
    </xf>
    <xf numFmtId="0" fontId="43" fillId="0" borderId="32" xfId="52" applyFont="1" applyBorder="1" applyAlignment="1">
      <alignment horizontal="center" vertical="center"/>
    </xf>
    <xf numFmtId="165" fontId="43" fillId="0" borderId="32" xfId="52" applyNumberFormat="1" applyFont="1" applyBorder="1" applyAlignment="1">
      <alignment horizontal="right" vertical="center"/>
    </xf>
    <xf numFmtId="165" fontId="43" fillId="24" borderId="32" xfId="56" applyNumberFormat="1" applyFont="1" applyFill="1" applyBorder="1" applyAlignment="1">
      <alignment horizontal="right" vertical="center"/>
    </xf>
    <xf numFmtId="0" fontId="43" fillId="0" borderId="63" xfId="52" applyFont="1" applyFill="1" applyBorder="1" applyAlignment="1">
      <alignment vertical="center" wrapText="1"/>
    </xf>
    <xf numFmtId="165" fontId="43" fillId="0" borderId="63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64" xfId="47" applyNumberFormat="1" applyFont="1" applyFill="1" applyBorder="1" applyAlignment="1">
      <alignment horizontal="right" vertical="center"/>
    </xf>
    <xf numFmtId="0" fontId="44" fillId="0" borderId="32" xfId="52" applyFont="1" applyFill="1" applyBorder="1" applyAlignment="1">
      <alignment vertical="center" wrapText="1"/>
    </xf>
    <xf numFmtId="0" fontId="45" fillId="0" borderId="32" xfId="52" applyFont="1" applyFill="1" applyBorder="1" applyAlignment="1">
      <alignment horizontal="center" vertical="center" wrapText="1"/>
    </xf>
    <xf numFmtId="165" fontId="45" fillId="0" borderId="32" xfId="47" applyNumberFormat="1" applyFont="1" applyFill="1" applyBorder="1" applyAlignment="1">
      <alignment horizontal="right" vertical="center" wrapText="1"/>
    </xf>
    <xf numFmtId="165" fontId="45" fillId="0" borderId="32" xfId="47" applyNumberFormat="1" applyFont="1" applyFill="1" applyBorder="1" applyAlignment="1" applyProtection="1">
      <alignment horizontal="right" vertical="center" wrapText="1"/>
      <protection locked="0"/>
    </xf>
    <xf numFmtId="165" fontId="45" fillId="24" borderId="32" xfId="47" applyNumberFormat="1" applyFont="1" applyFill="1" applyBorder="1" applyAlignment="1">
      <alignment horizontal="right" vertical="center"/>
    </xf>
    <xf numFmtId="165" fontId="43" fillId="24" borderId="32" xfId="47" applyNumberFormat="1" applyFont="1" applyFill="1" applyBorder="1" applyAlignment="1">
      <alignment horizontal="right" vertical="center"/>
    </xf>
    <xf numFmtId="165" fontId="43" fillId="24" borderId="21" xfId="47" applyNumberFormat="1" applyFont="1" applyFill="1" applyBorder="1" applyAlignment="1">
      <alignment horizontal="right" vertical="center"/>
    </xf>
    <xf numFmtId="0" fontId="44" fillId="0" borderId="32" xfId="52" applyNumberFormat="1" applyFont="1" applyFill="1" applyBorder="1" applyAlignment="1" applyProtection="1">
      <alignment horizontal="center" vertical="center" wrapText="1"/>
    </xf>
    <xf numFmtId="165" fontId="50" fillId="0" borderId="32" xfId="47" applyNumberFormat="1" applyFont="1" applyFill="1" applyBorder="1" applyAlignment="1" applyProtection="1">
      <alignment horizontal="right" vertical="center" wrapText="1"/>
    </xf>
    <xf numFmtId="165" fontId="43" fillId="0" borderId="32" xfId="47" applyNumberFormat="1" applyFont="1" applyFill="1" applyBorder="1" applyAlignment="1">
      <alignment horizontal="right" vertical="center" wrapText="1"/>
    </xf>
    <xf numFmtId="0" fontId="43" fillId="0" borderId="65" xfId="52" applyFont="1" applyFill="1" applyBorder="1" applyAlignment="1">
      <alignment horizontal="center" vertical="center" wrapText="1"/>
    </xf>
    <xf numFmtId="0" fontId="43" fillId="0" borderId="44" xfId="52" applyFont="1" applyFill="1" applyBorder="1" applyAlignment="1">
      <alignment horizontal="center" vertical="center" wrapText="1"/>
    </xf>
    <xf numFmtId="0" fontId="43" fillId="0" borderId="66" xfId="52" applyFont="1" applyFill="1" applyBorder="1" applyAlignment="1">
      <alignment horizontal="center" vertical="center" wrapText="1"/>
    </xf>
    <xf numFmtId="165" fontId="43" fillId="24" borderId="53" xfId="47" applyNumberFormat="1" applyFont="1" applyFill="1" applyBorder="1" applyAlignment="1">
      <alignment horizontal="right" vertical="center"/>
    </xf>
    <xf numFmtId="165" fontId="43" fillId="0" borderId="57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25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26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58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29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62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64" xfId="47" applyNumberFormat="1" applyFont="1" applyFill="1" applyBorder="1" applyAlignment="1" applyProtection="1">
      <alignment horizontal="right" vertical="center" wrapText="1"/>
      <protection locked="0"/>
    </xf>
    <xf numFmtId="165" fontId="45" fillId="0" borderId="19" xfId="47" applyNumberFormat="1" applyFont="1" applyFill="1" applyBorder="1" applyAlignment="1">
      <alignment horizontal="right" vertical="center" wrapText="1"/>
    </xf>
    <xf numFmtId="165" fontId="45" fillId="0" borderId="21" xfId="47" applyNumberFormat="1" applyFont="1" applyFill="1" applyBorder="1" applyAlignment="1">
      <alignment horizontal="right" vertical="center" wrapText="1"/>
    </xf>
    <xf numFmtId="165" fontId="43" fillId="24" borderId="44" xfId="47" applyNumberFormat="1" applyFont="1" applyFill="1" applyBorder="1" applyAlignment="1">
      <alignment horizontal="right" vertical="center"/>
    </xf>
    <xf numFmtId="165" fontId="43" fillId="24" borderId="57" xfId="47" applyNumberFormat="1" applyFont="1" applyFill="1" applyBorder="1" applyAlignment="1">
      <alignment horizontal="right" vertical="center"/>
    </xf>
    <xf numFmtId="165" fontId="43" fillId="24" borderId="26" xfId="47" applyNumberFormat="1" applyFont="1" applyFill="1" applyBorder="1" applyAlignment="1">
      <alignment horizontal="right" vertical="center"/>
    </xf>
    <xf numFmtId="0" fontId="43" fillId="0" borderId="32" xfId="52" applyFont="1" applyFill="1" applyBorder="1" applyAlignment="1">
      <alignment horizontal="center" vertical="center" wrapText="1"/>
    </xf>
    <xf numFmtId="165" fontId="43" fillId="0" borderId="32" xfId="47" applyNumberFormat="1" applyFont="1" applyFill="1" applyBorder="1" applyAlignment="1" applyProtection="1">
      <alignment horizontal="right" vertical="center" wrapText="1"/>
      <protection locked="0"/>
    </xf>
    <xf numFmtId="165" fontId="45" fillId="24" borderId="21" xfId="47" applyNumberFormat="1" applyFont="1" applyFill="1" applyBorder="1" applyAlignment="1">
      <alignment horizontal="right" vertical="center"/>
    </xf>
    <xf numFmtId="0" fontId="45" fillId="24" borderId="0" xfId="56" applyFont="1" applyFill="1" applyAlignment="1">
      <alignment vertical="center"/>
    </xf>
    <xf numFmtId="165" fontId="43" fillId="0" borderId="63" xfId="47" applyNumberFormat="1" applyFont="1" applyFill="1" applyBorder="1" applyAlignment="1">
      <alignment horizontal="right" vertical="center" wrapText="1"/>
    </xf>
    <xf numFmtId="165" fontId="43" fillId="0" borderId="57" xfId="47" applyNumberFormat="1" applyFont="1" applyFill="1" applyBorder="1" applyAlignment="1">
      <alignment horizontal="right" vertical="center" wrapText="1"/>
    </xf>
    <xf numFmtId="165" fontId="43" fillId="0" borderId="26" xfId="47" applyNumberFormat="1" applyFont="1" applyFill="1" applyBorder="1" applyAlignment="1">
      <alignment horizontal="right" vertical="center" wrapText="1"/>
    </xf>
    <xf numFmtId="165" fontId="43" fillId="0" borderId="58" xfId="47" applyNumberFormat="1" applyFont="1" applyFill="1" applyBorder="1" applyAlignment="1">
      <alignment horizontal="right" vertical="center" wrapText="1"/>
    </xf>
    <xf numFmtId="165" fontId="43" fillId="0" borderId="29" xfId="47" applyNumberFormat="1" applyFont="1" applyFill="1" applyBorder="1" applyAlignment="1">
      <alignment horizontal="right" vertical="center" wrapText="1"/>
    </xf>
    <xf numFmtId="165" fontId="43" fillId="0" borderId="62" xfId="47" applyNumberFormat="1" applyFont="1" applyFill="1" applyBorder="1" applyAlignment="1">
      <alignment horizontal="right" vertical="center" wrapText="1"/>
    </xf>
    <xf numFmtId="165" fontId="43" fillId="0" borderId="64" xfId="47" applyNumberFormat="1" applyFont="1" applyFill="1" applyBorder="1" applyAlignment="1">
      <alignment horizontal="right" vertical="center" wrapText="1"/>
    </xf>
    <xf numFmtId="0" fontId="43" fillId="0" borderId="68" xfId="52" applyFont="1" applyFill="1" applyBorder="1" applyAlignment="1">
      <alignment vertical="center" wrapText="1"/>
    </xf>
    <xf numFmtId="165" fontId="43" fillId="0" borderId="68" xfId="47" applyNumberFormat="1" applyFont="1" applyFill="1" applyBorder="1" applyAlignment="1" applyProtection="1">
      <alignment horizontal="right" vertical="center" wrapText="1"/>
      <protection locked="0"/>
    </xf>
    <xf numFmtId="0" fontId="43" fillId="0" borderId="70" xfId="52" applyFont="1" applyFill="1" applyBorder="1" applyAlignment="1">
      <alignment horizontal="center" vertical="center" wrapText="1"/>
    </xf>
    <xf numFmtId="165" fontId="43" fillId="0" borderId="71" xfId="47" applyNumberFormat="1" applyFont="1" applyFill="1" applyBorder="1" applyAlignment="1">
      <alignment horizontal="right" vertical="center" wrapText="1"/>
    </xf>
    <xf numFmtId="165" fontId="43" fillId="0" borderId="72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73" xfId="47" applyNumberFormat="1" applyFont="1" applyFill="1" applyBorder="1" applyAlignment="1">
      <alignment horizontal="right" vertical="center" wrapText="1"/>
    </xf>
    <xf numFmtId="165" fontId="43" fillId="24" borderId="73" xfId="47" applyNumberFormat="1" applyFont="1" applyFill="1" applyBorder="1" applyAlignment="1">
      <alignment horizontal="right" vertical="center"/>
    </xf>
    <xf numFmtId="0" fontId="43" fillId="24" borderId="13" xfId="56" applyFont="1" applyFill="1" applyBorder="1" applyAlignment="1">
      <alignment horizontal="center" vertical="center"/>
    </xf>
    <xf numFmtId="168" fontId="43" fillId="0" borderId="19" xfId="52" applyNumberFormat="1" applyFont="1" applyFill="1" applyBorder="1" applyAlignment="1" applyProtection="1">
      <alignment horizontal="center" vertical="center" wrapText="1"/>
      <protection locked="0"/>
    </xf>
    <xf numFmtId="165" fontId="45" fillId="0" borderId="32" xfId="0" applyNumberFormat="1" applyFont="1" applyFill="1" applyBorder="1" applyAlignment="1" applyProtection="1">
      <alignment vertical="center" wrapText="1"/>
    </xf>
    <xf numFmtId="165" fontId="43" fillId="0" borderId="32" xfId="0" applyNumberFormat="1" applyFont="1" applyFill="1" applyBorder="1" applyAlignment="1" applyProtection="1">
      <alignment horizontal="right" vertical="center"/>
    </xf>
    <xf numFmtId="165" fontId="43" fillId="24" borderId="69" xfId="47" applyNumberFormat="1" applyFont="1" applyFill="1" applyBorder="1" applyAlignment="1">
      <alignment horizontal="right" vertical="center"/>
    </xf>
    <xf numFmtId="0" fontId="43" fillId="0" borderId="19" xfId="0" applyNumberFormat="1" applyFont="1" applyFill="1" applyBorder="1" applyAlignment="1" applyProtection="1">
      <alignment horizontal="center" vertical="center"/>
    </xf>
    <xf numFmtId="165" fontId="43" fillId="0" borderId="71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73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25" xfId="47" applyNumberFormat="1" applyFont="1" applyFill="1" applyBorder="1" applyAlignment="1">
      <alignment horizontal="right" vertical="center" wrapText="1"/>
    </xf>
    <xf numFmtId="165" fontId="43" fillId="0" borderId="72" xfId="47" applyNumberFormat="1" applyFont="1" applyFill="1" applyBorder="1" applyAlignment="1">
      <alignment horizontal="right" vertical="center" wrapText="1"/>
    </xf>
    <xf numFmtId="0" fontId="45" fillId="0" borderId="32" xfId="52" applyFont="1" applyFill="1" applyBorder="1" applyAlignment="1">
      <alignment vertical="center" wrapText="1"/>
    </xf>
    <xf numFmtId="165" fontId="43" fillId="0" borderId="67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69" xfId="47" applyNumberFormat="1" applyFont="1" applyFill="1" applyBorder="1" applyAlignment="1" applyProtection="1">
      <alignment horizontal="right" vertical="center" wrapText="1"/>
      <protection locked="0"/>
    </xf>
    <xf numFmtId="0" fontId="45" fillId="25" borderId="24" xfId="52" applyFont="1" applyFill="1" applyBorder="1" applyAlignment="1">
      <alignment horizontal="center" vertical="center"/>
    </xf>
    <xf numFmtId="0" fontId="51" fillId="0" borderId="0" xfId="0" applyFont="1"/>
    <xf numFmtId="0" fontId="52" fillId="0" borderId="0" xfId="0" applyFont="1"/>
    <xf numFmtId="0" fontId="48" fillId="0" borderId="0" xfId="0" applyFont="1"/>
    <xf numFmtId="0" fontId="48" fillId="0" borderId="13" xfId="0" applyFont="1" applyBorder="1"/>
    <xf numFmtId="0" fontId="48" fillId="0" borderId="14" xfId="0" applyFont="1" applyBorder="1"/>
    <xf numFmtId="0" fontId="48" fillId="0" borderId="15" xfId="0" applyFont="1" applyBorder="1"/>
    <xf numFmtId="0" fontId="48" fillId="0" borderId="17" xfId="0" applyFont="1" applyBorder="1"/>
    <xf numFmtId="0" fontId="42" fillId="0" borderId="13" xfId="0" applyFont="1" applyBorder="1" applyAlignment="1"/>
    <xf numFmtId="0" fontId="48" fillId="0" borderId="54" xfId="0" applyFont="1" applyBorder="1"/>
    <xf numFmtId="0" fontId="48" fillId="0" borderId="55" xfId="0" applyFont="1" applyBorder="1"/>
    <xf numFmtId="0" fontId="48" fillId="0" borderId="56" xfId="0" applyFont="1" applyBorder="1"/>
    <xf numFmtId="0" fontId="48" fillId="0" borderId="35" xfId="0" applyFont="1" applyBorder="1" applyAlignment="1">
      <alignment horizontal="center"/>
    </xf>
    <xf numFmtId="0" fontId="42" fillId="0" borderId="20" xfId="0" applyFont="1" applyBorder="1"/>
    <xf numFmtId="0" fontId="42" fillId="0" borderId="22" xfId="0" applyFont="1" applyBorder="1"/>
    <xf numFmtId="165" fontId="48" fillId="0" borderId="33" xfId="0" applyNumberFormat="1" applyFont="1" applyBorder="1"/>
    <xf numFmtId="165" fontId="48" fillId="0" borderId="25" xfId="0" applyNumberFormat="1" applyFont="1" applyBorder="1"/>
    <xf numFmtId="165" fontId="48" fillId="0" borderId="46" xfId="0" applyNumberFormat="1" applyFont="1" applyBorder="1"/>
    <xf numFmtId="165" fontId="48" fillId="0" borderId="23" xfId="0" applyNumberFormat="1" applyFont="1" applyBorder="1"/>
    <xf numFmtId="165" fontId="48" fillId="0" borderId="27" xfId="0" applyNumberFormat="1" applyFont="1" applyBorder="1"/>
    <xf numFmtId="165" fontId="48" fillId="0" borderId="44" xfId="0" applyNumberFormat="1" applyFont="1" applyBorder="1"/>
    <xf numFmtId="165" fontId="48" fillId="0" borderId="52" xfId="0" applyNumberFormat="1" applyFont="1" applyBorder="1"/>
    <xf numFmtId="165" fontId="48" fillId="0" borderId="63" xfId="0" applyNumberFormat="1" applyFont="1" applyBorder="1"/>
    <xf numFmtId="165" fontId="48" fillId="0" borderId="66" xfId="0" applyNumberFormat="1" applyFont="1" applyBorder="1"/>
    <xf numFmtId="165" fontId="42" fillId="0" borderId="33" xfId="0" applyNumberFormat="1" applyFont="1" applyBorder="1"/>
    <xf numFmtId="165" fontId="42" fillId="0" borderId="25" xfId="0" applyNumberFormat="1" applyFont="1" applyBorder="1"/>
    <xf numFmtId="165" fontId="42" fillId="0" borderId="46" xfId="0" applyNumberFormat="1" applyFont="1" applyBorder="1"/>
    <xf numFmtId="0" fontId="48" fillId="0" borderId="11" xfId="0" applyFont="1" applyBorder="1"/>
    <xf numFmtId="0" fontId="48" fillId="0" borderId="12" xfId="0" applyFont="1" applyBorder="1"/>
    <xf numFmtId="0" fontId="48" fillId="0" borderId="0" xfId="0" applyFont="1" applyBorder="1"/>
    <xf numFmtId="0" fontId="42" fillId="0" borderId="10" xfId="0" applyFont="1" applyBorder="1"/>
    <xf numFmtId="0" fontId="48" fillId="0" borderId="0" xfId="0" applyFont="1" applyBorder="1" applyAlignment="1">
      <alignment horizontal="left"/>
    </xf>
    <xf numFmtId="0" fontId="48" fillId="0" borderId="0" xfId="0" applyFont="1" applyBorder="1" applyAlignment="1"/>
    <xf numFmtId="0" fontId="42" fillId="0" borderId="15" xfId="0" applyFont="1" applyBorder="1" applyAlignment="1"/>
    <xf numFmtId="0" fontId="48" fillId="0" borderId="16" xfId="0" applyFont="1" applyBorder="1" applyAlignment="1"/>
    <xf numFmtId="176" fontId="48" fillId="0" borderId="57" xfId="0" applyNumberFormat="1" applyFont="1" applyBorder="1" applyAlignment="1">
      <alignment horizontal="center"/>
    </xf>
    <xf numFmtId="176" fontId="48" fillId="0" borderId="26" xfId="0" applyNumberFormat="1" applyFont="1" applyBorder="1" applyAlignment="1">
      <alignment horizontal="center"/>
    </xf>
    <xf numFmtId="176" fontId="48" fillId="0" borderId="58" xfId="0" applyNumberFormat="1" applyFont="1" applyBorder="1" applyAlignment="1">
      <alignment horizontal="center"/>
    </xf>
    <xf numFmtId="176" fontId="48" fillId="0" borderId="29" xfId="0" applyNumberFormat="1" applyFont="1" applyBorder="1" applyAlignment="1">
      <alignment horizontal="center"/>
    </xf>
    <xf numFmtId="176" fontId="48" fillId="0" borderId="62" xfId="0" applyNumberFormat="1" applyFont="1" applyBorder="1" applyAlignment="1">
      <alignment horizontal="center"/>
    </xf>
    <xf numFmtId="176" fontId="48" fillId="0" borderId="64" xfId="0" applyNumberFormat="1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0" borderId="51" xfId="0" applyFont="1" applyBorder="1" applyAlignment="1">
      <alignment horizontal="center"/>
    </xf>
    <xf numFmtId="0" fontId="48" fillId="0" borderId="0" xfId="141" applyFont="1" applyAlignment="1">
      <alignment vertical="center"/>
    </xf>
    <xf numFmtId="0" fontId="48" fillId="0" borderId="0" xfId="141" applyFont="1" applyBorder="1" applyAlignment="1">
      <alignment vertical="center"/>
    </xf>
    <xf numFmtId="0" fontId="42" fillId="0" borderId="0" xfId="141" applyFont="1" applyFill="1" applyBorder="1" applyAlignment="1">
      <alignment horizontal="left" vertical="center" wrapText="1"/>
    </xf>
    <xf numFmtId="180" fontId="48" fillId="0" borderId="0" xfId="145" applyFont="1" applyFill="1" applyBorder="1" applyAlignment="1">
      <alignment horizontal="centerContinuous" vertical="center"/>
    </xf>
    <xf numFmtId="0" fontId="48" fillId="0" borderId="0" xfId="141" applyFont="1" applyBorder="1" applyAlignment="1">
      <alignment horizontal="centerContinuous" vertical="center"/>
    </xf>
    <xf numFmtId="0" fontId="42" fillId="0" borderId="0" xfId="141" applyFont="1" applyFill="1" applyBorder="1" applyAlignment="1">
      <alignment horizontal="center" vertical="center"/>
    </xf>
    <xf numFmtId="0" fontId="42" fillId="0" borderId="0" xfId="141" applyFont="1" applyBorder="1" applyAlignment="1">
      <alignment vertical="center"/>
    </xf>
    <xf numFmtId="178" fontId="48" fillId="0" borderId="55" xfId="141" applyNumberFormat="1" applyFont="1" applyBorder="1" applyAlignment="1">
      <alignment horizontal="center" vertical="center"/>
    </xf>
    <xf numFmtId="0" fontId="42" fillId="0" borderId="0" xfId="141" applyFont="1" applyFill="1" applyBorder="1" applyAlignment="1">
      <alignment horizontal="left" vertical="center"/>
    </xf>
    <xf numFmtId="0" fontId="42" fillId="0" borderId="0" xfId="141" applyFont="1" applyFill="1" applyBorder="1" applyAlignment="1">
      <alignment vertical="center"/>
    </xf>
    <xf numFmtId="0" fontId="42" fillId="0" borderId="0" xfId="141" applyFont="1" applyFill="1" applyBorder="1" applyAlignment="1">
      <alignment horizontal="centerContinuous" vertical="center"/>
    </xf>
    <xf numFmtId="0" fontId="42" fillId="0" borderId="13" xfId="141" applyFont="1" applyFill="1" applyBorder="1" applyAlignment="1">
      <alignment horizontal="left" vertical="center"/>
    </xf>
    <xf numFmtId="0" fontId="42" fillId="0" borderId="14" xfId="141" applyFont="1" applyFill="1" applyBorder="1" applyAlignment="1">
      <alignment horizontal="left" vertical="center" wrapText="1"/>
    </xf>
    <xf numFmtId="0" fontId="42" fillId="0" borderId="13" xfId="141" applyFont="1" applyFill="1" applyBorder="1" applyAlignment="1">
      <alignment horizontal="center" vertical="center"/>
    </xf>
    <xf numFmtId="0" fontId="48" fillId="0" borderId="14" xfId="141" applyFont="1" applyBorder="1" applyAlignment="1">
      <alignment vertical="center"/>
    </xf>
    <xf numFmtId="0" fontId="42" fillId="0" borderId="13" xfId="141" applyFont="1" applyFill="1" applyBorder="1" applyAlignment="1">
      <alignment vertical="center"/>
    </xf>
    <xf numFmtId="0" fontId="42" fillId="0" borderId="15" xfId="141" applyFont="1" applyFill="1" applyBorder="1" applyAlignment="1">
      <alignment vertical="center"/>
    </xf>
    <xf numFmtId="0" fontId="48" fillId="0" borderId="16" xfId="141" applyFont="1" applyBorder="1" applyAlignment="1">
      <alignment horizontal="centerContinuous" vertical="center"/>
    </xf>
    <xf numFmtId="0" fontId="48" fillId="0" borderId="16" xfId="141" applyFont="1" applyBorder="1" applyAlignment="1">
      <alignment vertical="center"/>
    </xf>
    <xf numFmtId="0" fontId="42" fillId="0" borderId="16" xfId="141" applyFont="1" applyFill="1" applyBorder="1" applyAlignment="1">
      <alignment horizontal="center" vertical="center"/>
    </xf>
    <xf numFmtId="0" fontId="48" fillId="0" borderId="13" xfId="141" applyFont="1" applyBorder="1" applyAlignment="1">
      <alignment vertical="center"/>
    </xf>
    <xf numFmtId="0" fontId="42" fillId="0" borderId="13" xfId="141" applyFont="1" applyBorder="1" applyAlignment="1">
      <alignment horizontal="right" vertical="center"/>
    </xf>
    <xf numFmtId="0" fontId="42" fillId="0" borderId="19" xfId="141" applyFont="1" applyBorder="1" applyAlignment="1">
      <alignment horizontal="left" vertical="center"/>
    </xf>
    <xf numFmtId="0" fontId="42" fillId="0" borderId="13" xfId="141" applyFont="1" applyBorder="1" applyAlignment="1">
      <alignment vertical="center"/>
    </xf>
    <xf numFmtId="0" fontId="42" fillId="0" borderId="14" xfId="141" applyFont="1" applyBorder="1" applyAlignment="1">
      <alignment vertical="center"/>
    </xf>
    <xf numFmtId="0" fontId="48" fillId="0" borderId="10" xfId="141" applyFont="1" applyBorder="1" applyAlignment="1">
      <alignment vertical="center"/>
    </xf>
    <xf numFmtId="178" fontId="48" fillId="0" borderId="27" xfId="141" applyNumberFormat="1" applyFont="1" applyBorder="1" applyAlignment="1" applyProtection="1">
      <alignment horizontal="right" vertical="center"/>
    </xf>
    <xf numFmtId="0" fontId="48" fillId="0" borderId="0" xfId="141" applyFont="1" applyBorder="1" applyAlignment="1">
      <alignment horizontal="center" vertical="center"/>
    </xf>
    <xf numFmtId="0" fontId="48" fillId="0" borderId="0" xfId="141" applyFont="1" applyFill="1" applyBorder="1" applyAlignment="1">
      <alignment horizontal="center" vertical="center"/>
    </xf>
    <xf numFmtId="0" fontId="9" fillId="0" borderId="0" xfId="631"/>
    <xf numFmtId="0" fontId="57" fillId="0" borderId="0" xfId="631" applyFont="1" applyBorder="1"/>
    <xf numFmtId="0" fontId="60" fillId="0" borderId="0" xfId="631" applyFont="1"/>
    <xf numFmtId="0" fontId="61" fillId="0" borderId="0" xfId="631" applyFont="1"/>
    <xf numFmtId="0" fontId="9" fillId="0" borderId="0" xfId="631" applyFont="1"/>
    <xf numFmtId="0" fontId="62" fillId="0" borderId="0" xfId="631" applyFont="1"/>
    <xf numFmtId="4" fontId="62" fillId="0" borderId="0" xfId="631" applyNumberFormat="1" applyFont="1"/>
    <xf numFmtId="4" fontId="9" fillId="0" borderId="0" xfId="631" applyNumberFormat="1"/>
    <xf numFmtId="0" fontId="63" fillId="0" borderId="0" xfId="141" applyFont="1" applyBorder="1" applyAlignment="1">
      <alignment vertical="center"/>
    </xf>
    <xf numFmtId="0" fontId="47" fillId="0" borderId="0" xfId="141" applyFont="1" applyBorder="1" applyAlignment="1">
      <alignment horizontal="right" vertical="center"/>
    </xf>
    <xf numFmtId="4" fontId="59" fillId="0" borderId="0" xfId="631" applyNumberFormat="1" applyFont="1" applyBorder="1"/>
    <xf numFmtId="0" fontId="61" fillId="0" borderId="14" xfId="631" applyFont="1" applyBorder="1"/>
    <xf numFmtId="0" fontId="58" fillId="0" borderId="10" xfId="631" applyFont="1" applyBorder="1"/>
    <xf numFmtId="0" fontId="58" fillId="0" borderId="13" xfId="631" applyFont="1" applyBorder="1"/>
    <xf numFmtId="0" fontId="47" fillId="0" borderId="14" xfId="141" applyFont="1" applyBorder="1" applyAlignment="1">
      <alignment horizontal="center" vertical="center"/>
    </xf>
    <xf numFmtId="0" fontId="57" fillId="0" borderId="14" xfId="631" applyFont="1" applyBorder="1"/>
    <xf numFmtId="4" fontId="57" fillId="0" borderId="0" xfId="631" applyNumberFormat="1" applyFont="1" applyBorder="1"/>
    <xf numFmtId="0" fontId="59" fillId="0" borderId="0" xfId="631" applyFont="1" applyBorder="1"/>
    <xf numFmtId="0" fontId="59" fillId="0" borderId="14" xfId="631" applyFont="1" applyBorder="1"/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0" fontId="9" fillId="0" borderId="16" xfId="631" applyFont="1" applyBorder="1"/>
    <xf numFmtId="0" fontId="59" fillId="0" borderId="16" xfId="631" applyFont="1" applyBorder="1" applyAlignment="1">
      <alignment horizontal="center"/>
    </xf>
    <xf numFmtId="0" fontId="9" fillId="0" borderId="17" xfId="631" applyFont="1" applyBorder="1"/>
    <xf numFmtId="0" fontId="59" fillId="0" borderId="0" xfId="631" applyFont="1" applyBorder="1" applyAlignment="1"/>
    <xf numFmtId="17" fontId="57" fillId="0" borderId="61" xfId="631" applyNumberFormat="1" applyFont="1" applyBorder="1" applyAlignment="1">
      <alignment horizontal="center" vertical="center"/>
    </xf>
    <xf numFmtId="0" fontId="64" fillId="0" borderId="10" xfId="53" applyFont="1" applyBorder="1" applyAlignment="1">
      <alignment horizontal="left" vertical="center"/>
    </xf>
    <xf numFmtId="0" fontId="60" fillId="0" borderId="16" xfId="631" applyFont="1" applyBorder="1"/>
    <xf numFmtId="166" fontId="57" fillId="0" borderId="0" xfId="631" applyNumberFormat="1" applyFont="1" applyBorder="1" applyAlignment="1">
      <alignment horizontal="center"/>
    </xf>
    <xf numFmtId="0" fontId="48" fillId="0" borderId="0" xfId="633" applyFont="1" applyAlignment="1">
      <alignment vertical="center"/>
    </xf>
    <xf numFmtId="0" fontId="48" fillId="0" borderId="0" xfId="633" applyFont="1" applyBorder="1" applyAlignment="1">
      <alignment vertical="center"/>
    </xf>
    <xf numFmtId="0" fontId="55" fillId="0" borderId="0" xfId="633" applyFont="1" applyBorder="1" applyAlignment="1">
      <alignment horizontal="center" vertical="center"/>
    </xf>
    <xf numFmtId="0" fontId="42" fillId="0" borderId="0" xfId="633" applyFont="1" applyBorder="1" applyAlignment="1">
      <alignment horizontal="right" vertical="center"/>
    </xf>
    <xf numFmtId="4" fontId="48" fillId="0" borderId="0" xfId="633" applyNumberFormat="1" applyFont="1" applyAlignment="1">
      <alignment vertical="center"/>
    </xf>
    <xf numFmtId="4" fontId="48" fillId="0" borderId="55" xfId="633" applyNumberFormat="1" applyFont="1" applyFill="1" applyBorder="1" applyAlignment="1">
      <alignment horizontal="right" vertical="center"/>
    </xf>
    <xf numFmtId="4" fontId="48" fillId="0" borderId="55" xfId="141" applyNumberFormat="1" applyFont="1" applyFill="1" applyBorder="1" applyAlignment="1">
      <alignment horizontal="right" vertical="center"/>
    </xf>
    <xf numFmtId="178" fontId="48" fillId="0" borderId="55" xfId="633" applyNumberFormat="1" applyFont="1" applyBorder="1" applyAlignment="1">
      <alignment horizontal="center" vertical="center"/>
    </xf>
    <xf numFmtId="178" fontId="48" fillId="0" borderId="56" xfId="633" applyNumberFormat="1" applyFont="1" applyBorder="1" applyAlignment="1">
      <alignment horizontal="center" vertical="center"/>
    </xf>
    <xf numFmtId="0" fontId="42" fillId="0" borderId="0" xfId="633" applyFont="1" applyFill="1" applyBorder="1" applyAlignment="1">
      <alignment vertical="center"/>
    </xf>
    <xf numFmtId="4" fontId="42" fillId="0" borderId="0" xfId="633" applyNumberFormat="1" applyFont="1" applyFill="1" applyBorder="1" applyAlignment="1">
      <alignment vertical="center"/>
    </xf>
    <xf numFmtId="0" fontId="48" fillId="0" borderId="0" xfId="633" applyFont="1" applyFill="1" applyBorder="1" applyAlignment="1">
      <alignment vertical="center"/>
    </xf>
    <xf numFmtId="0" fontId="42" fillId="0" borderId="0" xfId="633" applyFont="1" applyFill="1" applyBorder="1" applyAlignment="1">
      <alignment horizontal="left" vertical="center" indent="2"/>
    </xf>
    <xf numFmtId="0" fontId="42" fillId="0" borderId="0" xfId="633" applyFont="1" applyFill="1" applyBorder="1" applyAlignment="1">
      <alignment horizontal="left" vertical="center"/>
    </xf>
    <xf numFmtId="180" fontId="48" fillId="0" borderId="0" xfId="145" applyFont="1" applyFill="1" applyBorder="1" applyAlignment="1">
      <alignment vertical="center"/>
    </xf>
    <xf numFmtId="0" fontId="42" fillId="0" borderId="0" xfId="633" applyFont="1" applyBorder="1" applyAlignment="1">
      <alignment vertical="center"/>
    </xf>
    <xf numFmtId="0" fontId="42" fillId="0" borderId="0" xfId="633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 wrapText="1"/>
    </xf>
    <xf numFmtId="43" fontId="42" fillId="0" borderId="0" xfId="633" applyNumberFormat="1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/>
    </xf>
    <xf numFmtId="0" fontId="56" fillId="0" borderId="0" xfId="633" applyFont="1" applyFill="1" applyBorder="1" applyAlignment="1">
      <alignment vertical="center"/>
    </xf>
    <xf numFmtId="0" fontId="48" fillId="0" borderId="0" xfId="633" applyFont="1" applyBorder="1" applyAlignment="1">
      <alignment horizontal="centerContinuous" vertical="center"/>
    </xf>
    <xf numFmtId="0" fontId="56" fillId="0" borderId="0" xfId="633" applyFont="1" applyFill="1" applyBorder="1" applyAlignment="1">
      <alignment horizontal="center" vertical="center"/>
    </xf>
    <xf numFmtId="0" fontId="42" fillId="0" borderId="16" xfId="633" applyFont="1" applyBorder="1" applyAlignment="1">
      <alignment vertical="center"/>
    </xf>
    <xf numFmtId="0" fontId="48" fillId="0" borderId="11" xfId="633" applyFont="1" applyBorder="1" applyAlignment="1">
      <alignment vertical="center"/>
    </xf>
    <xf numFmtId="0" fontId="48" fillId="0" borderId="13" xfId="633" applyFont="1" applyBorder="1" applyAlignment="1">
      <alignment vertical="center"/>
    </xf>
    <xf numFmtId="0" fontId="42" fillId="0" borderId="13" xfId="633" applyFont="1" applyBorder="1" applyAlignment="1">
      <alignment horizontal="right" vertical="center"/>
    </xf>
    <xf numFmtId="0" fontId="42" fillId="0" borderId="14" xfId="633" applyFont="1" applyBorder="1" applyAlignment="1">
      <alignment vertical="center"/>
    </xf>
    <xf numFmtId="0" fontId="42" fillId="0" borderId="14" xfId="633" applyFont="1" applyBorder="1" applyAlignment="1">
      <alignment horizontal="center" vertical="center"/>
    </xf>
    <xf numFmtId="0" fontId="48" fillId="0" borderId="24" xfId="633" applyFont="1" applyBorder="1" applyAlignment="1">
      <alignment vertical="center"/>
    </xf>
    <xf numFmtId="0" fontId="42" fillId="0" borderId="24" xfId="633" applyFont="1" applyBorder="1" applyAlignment="1">
      <alignment horizontal="center" vertical="center"/>
    </xf>
    <xf numFmtId="4" fontId="42" fillId="0" borderId="16" xfId="633" applyNumberFormat="1" applyFont="1" applyBorder="1" applyAlignment="1">
      <alignment vertical="center"/>
    </xf>
    <xf numFmtId="0" fontId="42" fillId="0" borderId="10" xfId="633" applyFont="1" applyFill="1" applyBorder="1" applyAlignment="1">
      <alignment horizontal="center" vertical="center"/>
    </xf>
    <xf numFmtId="0" fontId="42" fillId="0" borderId="11" xfId="633" applyFont="1" applyFill="1" applyBorder="1" applyAlignment="1">
      <alignment horizontal="center" vertical="center"/>
    </xf>
    <xf numFmtId="0" fontId="42" fillId="0" borderId="11" xfId="633" applyFont="1" applyFill="1" applyBorder="1" applyAlignment="1">
      <alignment vertical="center"/>
    </xf>
    <xf numFmtId="0" fontId="42" fillId="0" borderId="12" xfId="633" applyFont="1" applyFill="1" applyBorder="1" applyAlignment="1">
      <alignment vertical="center"/>
    </xf>
    <xf numFmtId="0" fontId="42" fillId="0" borderId="13" xfId="633" applyFont="1" applyFill="1" applyBorder="1" applyAlignment="1">
      <alignment horizontal="left" vertical="center" indent="2"/>
    </xf>
    <xf numFmtId="0" fontId="42" fillId="0" borderId="14" xfId="633" applyFont="1" applyFill="1" applyBorder="1" applyAlignment="1">
      <alignment horizontal="left" vertical="center" wrapText="1"/>
    </xf>
    <xf numFmtId="0" fontId="42" fillId="0" borderId="13" xfId="633" applyFont="1" applyFill="1" applyBorder="1" applyAlignment="1">
      <alignment horizontal="left" vertical="center"/>
    </xf>
    <xf numFmtId="0" fontId="42" fillId="0" borderId="13" xfId="633" applyFont="1" applyFill="1" applyBorder="1" applyAlignment="1">
      <alignment horizontal="center" vertical="center"/>
    </xf>
    <xf numFmtId="0" fontId="42" fillId="0" borderId="14" xfId="633" applyFont="1" applyFill="1" applyBorder="1" applyAlignment="1">
      <alignment vertical="center"/>
    </xf>
    <xf numFmtId="0" fontId="56" fillId="0" borderId="13" xfId="633" applyFont="1" applyFill="1" applyBorder="1" applyAlignment="1">
      <alignment vertical="center"/>
    </xf>
    <xf numFmtId="0" fontId="42" fillId="0" borderId="14" xfId="633" applyFont="1" applyFill="1" applyBorder="1" applyAlignment="1">
      <alignment horizontal="center" vertical="center"/>
    </xf>
    <xf numFmtId="0" fontId="42" fillId="0" borderId="13" xfId="633" applyFont="1" applyFill="1" applyBorder="1" applyAlignment="1">
      <alignment vertical="center"/>
    </xf>
    <xf numFmtId="0" fontId="48" fillId="0" borderId="16" xfId="633" applyFont="1" applyBorder="1" applyAlignment="1">
      <alignment vertical="center"/>
    </xf>
    <xf numFmtId="0" fontId="42" fillId="0" borderId="17" xfId="633" applyFont="1" applyFill="1" applyBorder="1" applyAlignment="1">
      <alignment horizontal="center" vertical="center"/>
    </xf>
    <xf numFmtId="0" fontId="48" fillId="0" borderId="58" xfId="633" applyFont="1" applyBorder="1" applyAlignment="1">
      <alignment horizontal="center" vertical="center" wrapText="1"/>
    </xf>
    <xf numFmtId="0" fontId="48" fillId="0" borderId="58" xfId="141" applyFont="1" applyBorder="1" applyAlignment="1">
      <alignment horizontal="center" vertical="center" wrapText="1"/>
    </xf>
    <xf numFmtId="0" fontId="48" fillId="0" borderId="64" xfId="141" applyFont="1" applyBorder="1" applyAlignment="1">
      <alignment horizontal="center" vertical="center" wrapText="1"/>
    </xf>
    <xf numFmtId="0" fontId="48" fillId="0" borderId="62" xfId="141" applyFont="1" applyBorder="1" applyAlignment="1">
      <alignment horizontal="center" vertical="center" wrapText="1"/>
    </xf>
    <xf numFmtId="0" fontId="42" fillId="0" borderId="15" xfId="633" applyFont="1" applyBorder="1" applyAlignment="1">
      <alignment vertical="center"/>
    </xf>
    <xf numFmtId="0" fontId="42" fillId="0" borderId="17" xfId="633" applyFont="1" applyBorder="1" applyAlignment="1">
      <alignment vertical="center"/>
    </xf>
    <xf numFmtId="179" fontId="48" fillId="0" borderId="55" xfId="633" applyNumberFormat="1" applyFont="1" applyBorder="1" applyAlignment="1">
      <alignment vertical="center" wrapText="1"/>
    </xf>
    <xf numFmtId="179" fontId="48" fillId="0" borderId="55" xfId="633" applyNumberFormat="1" applyFont="1" applyBorder="1" applyAlignment="1">
      <alignment vertical="center"/>
    </xf>
    <xf numFmtId="179" fontId="48" fillId="0" borderId="55" xfId="633" applyNumberFormat="1" applyFont="1" applyFill="1" applyBorder="1" applyAlignment="1">
      <alignment vertical="center"/>
    </xf>
    <xf numFmtId="179" fontId="48" fillId="0" borderId="56" xfId="633" applyNumberFormat="1" applyFont="1" applyBorder="1" applyAlignment="1">
      <alignment vertical="center"/>
    </xf>
    <xf numFmtId="0" fontId="48" fillId="0" borderId="14" xfId="633" applyFont="1" applyBorder="1" applyAlignment="1">
      <alignment vertical="center"/>
    </xf>
    <xf numFmtId="178" fontId="48" fillId="0" borderId="45" xfId="633" applyNumberFormat="1" applyFont="1" applyBorder="1" applyAlignment="1" applyProtection="1">
      <alignment horizontal="right" vertical="center"/>
    </xf>
    <xf numFmtId="178" fontId="48" fillId="0" borderId="45" xfId="141" applyNumberFormat="1" applyFont="1" applyBorder="1" applyAlignment="1" applyProtection="1">
      <alignment horizontal="right" vertical="center"/>
    </xf>
    <xf numFmtId="178" fontId="48" fillId="0" borderId="57" xfId="633" applyNumberFormat="1" applyFont="1" applyBorder="1" applyAlignment="1" applyProtection="1">
      <alignment horizontal="right" vertical="center"/>
    </xf>
    <xf numFmtId="178" fontId="48" fillId="0" borderId="25" xfId="633" applyNumberFormat="1" applyFont="1" applyFill="1" applyBorder="1" applyAlignment="1" applyProtection="1">
      <alignment horizontal="right" vertical="center"/>
    </xf>
    <xf numFmtId="178" fontId="48" fillId="0" borderId="26" xfId="633" applyNumberFormat="1" applyFont="1" applyBorder="1" applyAlignment="1" applyProtection="1">
      <alignment horizontal="right" vertical="center"/>
    </xf>
    <xf numFmtId="178" fontId="48" fillId="0" borderId="58" xfId="141" applyNumberFormat="1" applyFont="1" applyBorder="1" applyAlignment="1" applyProtection="1">
      <alignment horizontal="right" vertical="center"/>
    </xf>
    <xf numFmtId="178" fontId="48" fillId="0" borderId="29" xfId="141" applyNumberFormat="1" applyFont="1" applyBorder="1" applyAlignment="1" applyProtection="1">
      <alignment horizontal="right" vertical="center"/>
    </xf>
    <xf numFmtId="178" fontId="48" fillId="0" borderId="27" xfId="141" applyNumberFormat="1" applyFont="1" applyFill="1" applyBorder="1" applyAlignment="1" applyProtection="1">
      <alignment horizontal="right" vertical="center"/>
    </xf>
    <xf numFmtId="178" fontId="48" fillId="0" borderId="27" xfId="141" applyNumberFormat="1" applyFont="1" applyBorder="1" applyAlignment="1" applyProtection="1">
      <alignment horizontal="left" vertical="center"/>
    </xf>
    <xf numFmtId="178" fontId="48" fillId="0" borderId="63" xfId="141" applyNumberFormat="1" applyFont="1" applyBorder="1" applyAlignment="1" applyProtection="1">
      <alignment horizontal="left" vertical="center"/>
    </xf>
    <xf numFmtId="0" fontId="59" fillId="0" borderId="38" xfId="631" applyFont="1" applyBorder="1" applyAlignment="1">
      <alignment horizontal="center" vertical="center"/>
    </xf>
    <xf numFmtId="0" fontId="59" fillId="0" borderId="31" xfId="631" applyFont="1" applyBorder="1" applyAlignment="1">
      <alignment horizontal="center" vertical="center"/>
    </xf>
    <xf numFmtId="0" fontId="59" fillId="0" borderId="50" xfId="631" applyFont="1" applyBorder="1" applyAlignment="1">
      <alignment horizontal="center" vertical="center"/>
    </xf>
    <xf numFmtId="179" fontId="48" fillId="0" borderId="18" xfId="633" applyNumberFormat="1" applyFont="1" applyBorder="1" applyAlignment="1">
      <alignment vertical="center"/>
    </xf>
    <xf numFmtId="178" fontId="42" fillId="0" borderId="41" xfId="141" applyNumberFormat="1" applyFont="1" applyBorder="1" applyAlignment="1" applyProtection="1">
      <alignment horizontal="right" vertical="center"/>
    </xf>
    <xf numFmtId="178" fontId="42" fillId="0" borderId="42" xfId="141" applyNumberFormat="1" applyFont="1" applyBorder="1" applyAlignment="1" applyProtection="1">
      <alignment horizontal="left" vertical="center"/>
    </xf>
    <xf numFmtId="178" fontId="42" fillId="0" borderId="43" xfId="141" applyNumberFormat="1" applyFont="1" applyBorder="1" applyAlignment="1" applyProtection="1">
      <alignment horizontal="right" vertical="center"/>
    </xf>
    <xf numFmtId="178" fontId="42" fillId="0" borderId="21" xfId="141" applyNumberFormat="1" applyFont="1" applyBorder="1" applyAlignment="1" applyProtection="1">
      <alignment horizontal="right" vertical="center"/>
    </xf>
    <xf numFmtId="0" fontId="45" fillId="0" borderId="17" xfId="139" applyFont="1" applyBorder="1" applyAlignment="1">
      <alignment horizontal="center" vertical="center" wrapText="1"/>
    </xf>
    <xf numFmtId="0" fontId="45" fillId="0" borderId="15" xfId="139" applyFont="1" applyBorder="1" applyAlignment="1">
      <alignment horizontal="center" vertical="center" wrapText="1"/>
    </xf>
    <xf numFmtId="0" fontId="45" fillId="0" borderId="30" xfId="139" applyFont="1" applyBorder="1" applyAlignment="1">
      <alignment horizontal="center" vertical="center" wrapText="1"/>
    </xf>
    <xf numFmtId="0" fontId="41" fillId="0" borderId="15" xfId="139" applyFont="1" applyBorder="1" applyAlignment="1">
      <alignment horizontal="center" vertical="center" wrapText="1" shrinkToFit="1"/>
    </xf>
    <xf numFmtId="0" fontId="41" fillId="0" borderId="31" xfId="139" applyFont="1" applyBorder="1" applyAlignment="1">
      <alignment horizontal="center" vertical="center"/>
    </xf>
    <xf numFmtId="0" fontId="43" fillId="0" borderId="10" xfId="52" applyFont="1" applyFill="1" applyBorder="1" applyAlignment="1">
      <alignment horizontal="center" vertical="center" wrapText="1"/>
    </xf>
    <xf numFmtId="0" fontId="43" fillId="0" borderId="19" xfId="52" applyNumberFormat="1" applyFont="1" applyFill="1" applyBorder="1" applyAlignment="1" applyProtection="1">
      <alignment horizontal="center" vertical="center"/>
    </xf>
    <xf numFmtId="167" fontId="43" fillId="0" borderId="19" xfId="52" applyNumberFormat="1" applyFont="1" applyFill="1" applyBorder="1" applyAlignment="1" applyProtection="1">
      <alignment horizontal="center" vertical="center" wrapText="1"/>
      <protection locked="0"/>
    </xf>
    <xf numFmtId="167" fontId="35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35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35" fillId="0" borderId="62" xfId="140" applyNumberFormat="1" applyFont="1" applyFill="1" applyBorder="1" applyAlignment="1" applyProtection="1">
      <alignment horizontal="center" vertical="center" wrapText="1"/>
      <protection locked="0"/>
    </xf>
    <xf numFmtId="168" fontId="35" fillId="0" borderId="58" xfId="140" applyNumberFormat="1" applyFont="1" applyFill="1" applyBorder="1" applyAlignment="1" applyProtection="1">
      <alignment horizontal="center" vertical="center" wrapText="1"/>
      <protection locked="0"/>
    </xf>
    <xf numFmtId="168" fontId="35" fillId="0" borderId="62" xfId="140" applyNumberFormat="1" applyFont="1" applyFill="1" applyBorder="1" applyAlignment="1" applyProtection="1">
      <alignment horizontal="center" vertical="center" wrapText="1"/>
      <protection locked="0"/>
    </xf>
    <xf numFmtId="167" fontId="35" fillId="0" borderId="67" xfId="140" applyNumberFormat="1" applyFont="1" applyFill="1" applyBorder="1" applyAlignment="1" applyProtection="1">
      <alignment horizontal="center" vertical="center" wrapText="1"/>
      <protection locked="0"/>
    </xf>
    <xf numFmtId="167" fontId="35" fillId="24" borderId="58" xfId="140" applyNumberFormat="1" applyFont="1" applyFill="1" applyBorder="1" applyAlignment="1">
      <alignment horizontal="center" vertical="center"/>
    </xf>
    <xf numFmtId="168" fontId="35" fillId="0" borderId="67" xfId="140" applyNumberFormat="1" applyFont="1" applyFill="1" applyBorder="1" applyAlignment="1" applyProtection="1">
      <alignment horizontal="center" vertical="center" wrapText="1"/>
      <protection locked="0"/>
    </xf>
    <xf numFmtId="0" fontId="45" fillId="25" borderId="78" xfId="56" applyFont="1" applyFill="1" applyBorder="1" applyAlignment="1">
      <alignment horizontal="center" vertical="center"/>
    </xf>
    <xf numFmtId="0" fontId="45" fillId="25" borderId="31" xfId="52" applyFont="1" applyFill="1" applyBorder="1" applyAlignment="1">
      <alignment horizontal="center" vertical="center" wrapText="1"/>
    </xf>
    <xf numFmtId="0" fontId="45" fillId="25" borderId="30" xfId="52" applyFont="1" applyFill="1" applyBorder="1" applyAlignment="1">
      <alignment horizontal="center" vertical="center" wrapText="1"/>
    </xf>
    <xf numFmtId="0" fontId="45" fillId="25" borderId="50" xfId="52" applyFont="1" applyFill="1" applyBorder="1" applyAlignment="1">
      <alignment horizontal="center" vertical="center" wrapText="1"/>
    </xf>
    <xf numFmtId="0" fontId="43" fillId="24" borderId="15" xfId="56" applyFont="1" applyFill="1" applyBorder="1" applyAlignment="1">
      <alignment horizontal="center" vertical="center"/>
    </xf>
    <xf numFmtId="0" fontId="43" fillId="24" borderId="16" xfId="56" applyFont="1" applyFill="1" applyBorder="1" applyAlignment="1">
      <alignment horizontal="right" vertical="center"/>
    </xf>
    <xf numFmtId="0" fontId="43" fillId="24" borderId="17" xfId="56" applyFont="1" applyFill="1" applyBorder="1" applyAlignment="1">
      <alignment horizontal="right" vertical="center"/>
    </xf>
    <xf numFmtId="166" fontId="57" fillId="0" borderId="0" xfId="631" applyNumberFormat="1" applyFont="1" applyBorder="1"/>
    <xf numFmtId="0" fontId="57" fillId="0" borderId="0" xfId="631" applyFont="1" applyBorder="1" applyAlignment="1"/>
    <xf numFmtId="4" fontId="38" fillId="0" borderId="0" xfId="0" applyNumberFormat="1" applyFont="1" applyFill="1" applyAlignment="1">
      <alignment vertical="center"/>
    </xf>
    <xf numFmtId="0" fontId="43" fillId="0" borderId="27" xfId="52" applyFont="1" applyFill="1" applyBorder="1" applyAlignment="1">
      <alignment vertical="center"/>
    </xf>
    <xf numFmtId="43" fontId="51" fillId="0" borderId="0" xfId="0" applyNumberFormat="1" applyFont="1"/>
    <xf numFmtId="0" fontId="43" fillId="0" borderId="15" xfId="0" applyFont="1" applyBorder="1" applyAlignment="1">
      <alignment horizontal="center"/>
    </xf>
    <xf numFmtId="0" fontId="43" fillId="0" borderId="15" xfId="0" applyFont="1" applyBorder="1" applyAlignment="1"/>
    <xf numFmtId="0" fontId="43" fillId="0" borderId="16" xfId="0" applyFont="1" applyBorder="1" applyAlignment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67" fillId="0" borderId="16" xfId="0" applyFont="1" applyFill="1" applyBorder="1" applyAlignment="1"/>
    <xf numFmtId="0" fontId="45" fillId="25" borderId="40" xfId="52" applyFont="1" applyFill="1" applyBorder="1" applyAlignment="1">
      <alignment horizontal="center" vertical="center" wrapText="1"/>
    </xf>
    <xf numFmtId="165" fontId="43" fillId="24" borderId="39" xfId="47" applyNumberFormat="1" applyFont="1" applyFill="1" applyBorder="1" applyAlignment="1">
      <alignment horizontal="right" vertical="center"/>
    </xf>
    <xf numFmtId="165" fontId="43" fillId="24" borderId="34" xfId="47" applyNumberFormat="1" applyFont="1" applyFill="1" applyBorder="1" applyAlignment="1">
      <alignment horizontal="right" vertical="center"/>
    </xf>
    <xf numFmtId="165" fontId="43" fillId="24" borderId="92" xfId="47" applyNumberFormat="1" applyFont="1" applyFill="1" applyBorder="1" applyAlignment="1">
      <alignment horizontal="right" vertical="center"/>
    </xf>
    <xf numFmtId="165" fontId="45" fillId="24" borderId="39" xfId="47" applyNumberFormat="1" applyFont="1" applyFill="1" applyBorder="1" applyAlignment="1">
      <alignment horizontal="right" vertical="center"/>
    </xf>
    <xf numFmtId="165" fontId="45" fillId="24" borderId="92" xfId="47" applyNumberFormat="1" applyFont="1" applyFill="1" applyBorder="1" applyAlignment="1">
      <alignment horizontal="right" vertical="center"/>
    </xf>
    <xf numFmtId="165" fontId="45" fillId="24" borderId="11" xfId="47" applyNumberFormat="1" applyFont="1" applyFill="1" applyBorder="1" applyAlignment="1">
      <alignment horizontal="right" vertical="center"/>
    </xf>
    <xf numFmtId="165" fontId="43" fillId="0" borderId="39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34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92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11" xfId="47" applyNumberFormat="1" applyFont="1" applyFill="1" applyBorder="1" applyAlignment="1">
      <alignment horizontal="right" vertical="center"/>
    </xf>
    <xf numFmtId="165" fontId="43" fillId="24" borderId="0" xfId="47" applyNumberFormat="1" applyFont="1" applyFill="1" applyBorder="1" applyAlignment="1">
      <alignment horizontal="right" vertical="center"/>
    </xf>
    <xf numFmtId="165" fontId="69" fillId="24" borderId="32" xfId="47" applyNumberFormat="1" applyFont="1" applyFill="1" applyBorder="1" applyAlignment="1">
      <alignment horizontal="right" vertical="center"/>
    </xf>
    <xf numFmtId="0" fontId="45" fillId="25" borderId="16" xfId="56" applyFont="1" applyFill="1" applyBorder="1" applyAlignment="1">
      <alignment horizontal="center" vertical="center"/>
    </xf>
    <xf numFmtId="0" fontId="68" fillId="0" borderId="0" xfId="0" applyFont="1" applyFill="1" applyBorder="1"/>
    <xf numFmtId="0" fontId="68" fillId="0" borderId="14" xfId="0" applyFont="1" applyFill="1" applyBorder="1"/>
    <xf numFmtId="0" fontId="44" fillId="0" borderId="42" xfId="52" applyFont="1" applyFill="1" applyBorder="1" applyAlignment="1">
      <alignment vertical="center" wrapText="1"/>
    </xf>
    <xf numFmtId="165" fontId="45" fillId="24" borderId="49" xfId="47" applyNumberFormat="1" applyFont="1" applyFill="1" applyBorder="1" applyAlignment="1">
      <alignment horizontal="right" vertical="center"/>
    </xf>
    <xf numFmtId="165" fontId="45" fillId="24" borderId="43" xfId="47" applyNumberFormat="1" applyFont="1" applyFill="1" applyBorder="1" applyAlignment="1">
      <alignment horizontal="right" vertical="center"/>
    </xf>
    <xf numFmtId="165" fontId="43" fillId="0" borderId="19" xfId="47" applyNumberFormat="1" applyFont="1" applyFill="1" applyBorder="1" applyAlignment="1">
      <alignment horizontal="right" vertical="center" wrapText="1"/>
    </xf>
    <xf numFmtId="183" fontId="45" fillId="24" borderId="42" xfId="47" applyNumberFormat="1" applyFont="1" applyFill="1" applyBorder="1" applyAlignment="1">
      <alignment horizontal="right" vertical="center"/>
    </xf>
    <xf numFmtId="164" fontId="48" fillId="0" borderId="0" xfId="0" applyNumberFormat="1" applyFont="1"/>
    <xf numFmtId="165" fontId="0" fillId="0" borderId="0" xfId="0" applyNumberFormat="1"/>
    <xf numFmtId="0" fontId="0" fillId="0" borderId="10" xfId="0" applyBorder="1"/>
    <xf numFmtId="0" fontId="0" fillId="0" borderId="93" xfId="0" applyBorder="1"/>
    <xf numFmtId="0" fontId="0" fillId="0" borderId="94" xfId="0" applyBorder="1"/>
    <xf numFmtId="0" fontId="0" fillId="0" borderId="13" xfId="0" applyBorder="1"/>
    <xf numFmtId="0" fontId="0" fillId="0" borderId="15" xfId="0" applyBorder="1"/>
    <xf numFmtId="0" fontId="38" fillId="0" borderId="13" xfId="0" applyFont="1" applyFill="1" applyBorder="1" applyAlignment="1">
      <alignment vertical="center"/>
    </xf>
    <xf numFmtId="0" fontId="38" fillId="0" borderId="14" xfId="0" applyFont="1" applyFill="1" applyBorder="1" applyAlignment="1">
      <alignment vertical="center"/>
    </xf>
    <xf numFmtId="43" fontId="38" fillId="0" borderId="30" xfId="46" applyFont="1" applyFill="1" applyBorder="1" applyAlignment="1">
      <alignment vertical="center"/>
    </xf>
    <xf numFmtId="0" fontId="38" fillId="0" borderId="23" xfId="0" applyFont="1" applyFill="1" applyBorder="1" applyAlignment="1">
      <alignment horizontal="left" vertical="center" indent="3"/>
    </xf>
    <xf numFmtId="0" fontId="38" fillId="0" borderId="34" xfId="0" applyFont="1" applyFill="1" applyBorder="1" applyAlignment="1">
      <alignment horizontal="left" vertical="center" indent="3"/>
    </xf>
    <xf numFmtId="0" fontId="39" fillId="0" borderId="93" xfId="0" applyFont="1" applyFill="1" applyBorder="1" applyAlignment="1">
      <alignment horizontal="center" vertical="center"/>
    </xf>
    <xf numFmtId="0" fontId="39" fillId="0" borderId="94" xfId="0" applyFont="1" applyFill="1" applyBorder="1" applyAlignment="1">
      <alignment horizontal="center" vertical="center"/>
    </xf>
    <xf numFmtId="0" fontId="37" fillId="24" borderId="94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vertical="center"/>
    </xf>
    <xf numFmtId="0" fontId="42" fillId="0" borderId="0" xfId="0" applyFont="1" applyFill="1" applyBorder="1" applyAlignment="1" applyProtection="1">
      <alignment vertical="center"/>
    </xf>
    <xf numFmtId="0" fontId="42" fillId="0" borderId="14" xfId="0" applyFont="1" applyFill="1" applyBorder="1" applyAlignment="1" applyProtection="1">
      <alignment vertical="center"/>
    </xf>
    <xf numFmtId="0" fontId="48" fillId="0" borderId="0" xfId="0" applyFont="1" applyFill="1" applyAlignment="1">
      <alignment vertical="center"/>
    </xf>
    <xf numFmtId="0" fontId="46" fillId="24" borderId="0" xfId="0" applyFont="1" applyFill="1" applyBorder="1" applyAlignment="1">
      <alignment horizontal="center" vertical="center"/>
    </xf>
    <xf numFmtId="0" fontId="42" fillId="24" borderId="13" xfId="0" applyFont="1" applyFill="1" applyBorder="1" applyAlignment="1">
      <alignment horizontal="left" vertical="center" indent="1"/>
    </xf>
    <xf numFmtId="0" fontId="39" fillId="0" borderId="13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/>
    </xf>
    <xf numFmtId="0" fontId="42" fillId="24" borderId="10" xfId="0" applyFont="1" applyFill="1" applyBorder="1" applyAlignment="1">
      <alignment horizontal="left" vertical="center" indent="1"/>
    </xf>
    <xf numFmtId="0" fontId="42" fillId="24" borderId="93" xfId="0" applyFont="1" applyFill="1" applyBorder="1" applyAlignment="1">
      <alignment horizontal="center" vertical="center"/>
    </xf>
    <xf numFmtId="0" fontId="48" fillId="0" borderId="93" xfId="0" applyFont="1" applyFill="1" applyBorder="1" applyAlignment="1">
      <alignment vertical="center"/>
    </xf>
    <xf numFmtId="0" fontId="48" fillId="0" borderId="94" xfId="0" applyFont="1" applyFill="1" applyBorder="1" applyAlignment="1">
      <alignment vertical="center"/>
    </xf>
    <xf numFmtId="0" fontId="48" fillId="0" borderId="14" xfId="0" applyFont="1" applyFill="1" applyBorder="1" applyAlignment="1">
      <alignment vertical="center"/>
    </xf>
    <xf numFmtId="0" fontId="42" fillId="0" borderId="13" xfId="0" applyFont="1" applyFill="1" applyBorder="1" applyAlignment="1">
      <alignment horizontal="left" vertical="center" indent="1"/>
    </xf>
    <xf numFmtId="0" fontId="46" fillId="0" borderId="14" xfId="0" applyFont="1" applyFill="1" applyBorder="1" applyAlignment="1">
      <alignment vertical="center"/>
    </xf>
    <xf numFmtId="0" fontId="42" fillId="0" borderId="15" xfId="0" applyFont="1" applyFill="1" applyBorder="1" applyAlignment="1">
      <alignment horizontal="left" vertical="center" indent="1"/>
    </xf>
    <xf numFmtId="0" fontId="46" fillId="0" borderId="16" xfId="0" applyFont="1" applyFill="1" applyBorder="1" applyAlignment="1">
      <alignment horizontal="center" vertical="center"/>
    </xf>
    <xf numFmtId="0" fontId="46" fillId="0" borderId="17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vertical="center"/>
    </xf>
    <xf numFmtId="0" fontId="42" fillId="0" borderId="94" xfId="0" applyFont="1" applyFill="1" applyBorder="1" applyAlignment="1" applyProtection="1">
      <alignment vertical="center"/>
    </xf>
    <xf numFmtId="0" fontId="48" fillId="0" borderId="13" xfId="0" applyFont="1" applyFill="1" applyBorder="1" applyAlignment="1">
      <alignment vertical="center"/>
    </xf>
    <xf numFmtId="0" fontId="46" fillId="0" borderId="13" xfId="0" applyFont="1" applyFill="1" applyBorder="1" applyAlignment="1">
      <alignment vertical="center"/>
    </xf>
    <xf numFmtId="0" fontId="46" fillId="0" borderId="15" xfId="0" applyFont="1" applyFill="1" applyBorder="1" applyAlignment="1">
      <alignment horizontal="center" vertical="center"/>
    </xf>
    <xf numFmtId="0" fontId="38" fillId="0" borderId="94" xfId="0" applyFont="1" applyFill="1" applyBorder="1" applyAlignment="1">
      <alignment vertical="center"/>
    </xf>
    <xf numFmtId="0" fontId="42" fillId="0" borderId="16" xfId="0" applyFont="1" applyFill="1" applyBorder="1" applyAlignment="1">
      <alignment horizontal="left" vertical="center"/>
    </xf>
    <xf numFmtId="0" fontId="48" fillId="0" borderId="16" xfId="0" applyFont="1" applyFill="1" applyBorder="1" applyAlignment="1">
      <alignment horizontal="left" vertical="center"/>
    </xf>
    <xf numFmtId="0" fontId="38" fillId="0" borderId="35" xfId="0" applyFont="1" applyFill="1" applyBorder="1" applyAlignment="1">
      <alignment vertical="center"/>
    </xf>
    <xf numFmtId="0" fontId="38" fillId="0" borderId="33" xfId="0" applyFont="1" applyFill="1" applyBorder="1" applyAlignment="1">
      <alignment vertical="center"/>
    </xf>
    <xf numFmtId="0" fontId="38" fillId="0" borderId="35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vertical="center"/>
    </xf>
    <xf numFmtId="0" fontId="38" fillId="0" borderId="28" xfId="0" applyFont="1" applyFill="1" applyBorder="1" applyAlignment="1">
      <alignment horizontal="center" vertical="center"/>
    </xf>
    <xf numFmtId="0" fontId="38" fillId="0" borderId="34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vertical="center"/>
    </xf>
    <xf numFmtId="0" fontId="38" fillId="0" borderId="39" xfId="0" applyFont="1" applyFill="1" applyBorder="1" applyAlignment="1">
      <alignment vertical="center"/>
    </xf>
    <xf numFmtId="0" fontId="43" fillId="0" borderId="28" xfId="0" applyFont="1" applyFill="1" applyBorder="1" applyAlignment="1">
      <alignment horizontal="center" vertical="center"/>
    </xf>
    <xf numFmtId="0" fontId="38" fillId="0" borderId="34" xfId="0" applyFont="1" applyFill="1" applyBorder="1" applyAlignment="1">
      <alignment vertical="center"/>
    </xf>
    <xf numFmtId="0" fontId="43" fillId="0" borderId="34" xfId="0" applyFont="1" applyFill="1" applyBorder="1" applyAlignment="1">
      <alignment horizontal="left" vertical="center" indent="3"/>
    </xf>
    <xf numFmtId="0" fontId="43" fillId="0" borderId="23" xfId="0" applyFont="1" applyFill="1" applyBorder="1" applyAlignment="1">
      <alignment horizontal="left" vertical="center" indent="3"/>
    </xf>
    <xf numFmtId="0" fontId="38" fillId="0" borderId="34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 indent="1"/>
    </xf>
    <xf numFmtId="0" fontId="38" fillId="0" borderId="0" xfId="0" applyFont="1" applyFill="1" applyBorder="1" applyAlignment="1">
      <alignment horizontal="left" vertical="center" indent="1"/>
    </xf>
    <xf numFmtId="0" fontId="41" fillId="0" borderId="0" xfId="0" applyFont="1" applyFill="1" applyBorder="1" applyAlignment="1">
      <alignment vertical="center"/>
    </xf>
    <xf numFmtId="0" fontId="38" fillId="0" borderId="27" xfId="0" applyFont="1" applyFill="1" applyBorder="1" applyAlignment="1">
      <alignment vertical="center"/>
    </xf>
    <xf numFmtId="43" fontId="38" fillId="0" borderId="27" xfId="46" applyFont="1" applyFill="1" applyBorder="1" applyAlignment="1">
      <alignment vertical="center"/>
    </xf>
    <xf numFmtId="0" fontId="41" fillId="0" borderId="10" xfId="0" applyFont="1" applyFill="1" applyBorder="1" applyAlignment="1">
      <alignment vertical="center"/>
    </xf>
    <xf numFmtId="0" fontId="43" fillId="0" borderId="93" xfId="0" applyFont="1" applyFill="1" applyBorder="1" applyAlignment="1">
      <alignment vertical="center"/>
    </xf>
    <xf numFmtId="0" fontId="38" fillId="0" borderId="3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 wrapText="1"/>
    </xf>
    <xf numFmtId="0" fontId="38" fillId="0" borderId="13" xfId="0" applyFont="1" applyBorder="1" applyAlignment="1">
      <alignment horizontal="left" vertical="center" indent="1"/>
    </xf>
    <xf numFmtId="43" fontId="38" fillId="0" borderId="25" xfId="46" applyFont="1" applyFill="1" applyBorder="1" applyAlignment="1">
      <alignment vertical="center"/>
    </xf>
    <xf numFmtId="0" fontId="41" fillId="0" borderId="93" xfId="0" applyFont="1" applyFill="1" applyBorder="1" applyAlignment="1">
      <alignment vertical="center"/>
    </xf>
    <xf numFmtId="0" fontId="41" fillId="0" borderId="94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166" fontId="38" fillId="0" borderId="0" xfId="0" applyNumberFormat="1" applyFont="1" applyFill="1" applyAlignment="1">
      <alignment horizontal="left" vertical="center" indent="1"/>
    </xf>
    <xf numFmtId="0" fontId="45" fillId="0" borderId="0" xfId="0" applyFont="1" applyFill="1" applyBorder="1" applyAlignment="1">
      <alignment vertical="center"/>
    </xf>
    <xf numFmtId="0" fontId="38" fillId="0" borderId="93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 indent="1"/>
    </xf>
    <xf numFmtId="0" fontId="38" fillId="0" borderId="0" xfId="0" applyFont="1" applyBorder="1" applyAlignment="1">
      <alignment vertical="center"/>
    </xf>
    <xf numFmtId="165" fontId="43" fillId="24" borderId="0" xfId="56" applyNumberFormat="1" applyFont="1" applyFill="1" applyAlignment="1">
      <alignment horizontal="right" vertical="center"/>
    </xf>
    <xf numFmtId="173" fontId="38" fillId="0" borderId="69" xfId="0" applyNumberFormat="1" applyFont="1" applyFill="1" applyBorder="1" applyAlignment="1" applyProtection="1">
      <alignment vertical="center"/>
    </xf>
    <xf numFmtId="173" fontId="38" fillId="0" borderId="78" xfId="0" applyNumberFormat="1" applyFont="1" applyFill="1" applyBorder="1" applyAlignment="1" applyProtection="1">
      <alignment vertical="center"/>
    </xf>
    <xf numFmtId="4" fontId="38" fillId="0" borderId="27" xfId="0" applyNumberFormat="1" applyFont="1" applyFill="1" applyBorder="1" applyAlignment="1" applyProtection="1">
      <alignment vertical="center"/>
    </xf>
    <xf numFmtId="4" fontId="38" fillId="0" borderId="27" xfId="0" applyNumberFormat="1" applyFont="1" applyFill="1" applyBorder="1" applyAlignment="1">
      <alignment vertical="center"/>
    </xf>
    <xf numFmtId="4" fontId="38" fillId="0" borderId="63" xfId="0" applyNumberFormat="1" applyFont="1" applyFill="1" applyBorder="1" applyAlignment="1">
      <alignment vertical="center"/>
    </xf>
    <xf numFmtId="4" fontId="38" fillId="0" borderId="63" xfId="46" applyNumberFormat="1" applyFont="1" applyFill="1" applyBorder="1" applyAlignment="1">
      <alignment vertical="center"/>
    </xf>
    <xf numFmtId="0" fontId="38" fillId="0" borderId="38" xfId="0" applyFont="1" applyFill="1" applyBorder="1" applyAlignment="1">
      <alignment horizontal="center" vertical="center"/>
    </xf>
    <xf numFmtId="0" fontId="38" fillId="0" borderId="38" xfId="0" applyFont="1" applyFill="1" applyBorder="1" applyAlignment="1">
      <alignment vertical="center"/>
    </xf>
    <xf numFmtId="0" fontId="66" fillId="0" borderId="38" xfId="0" applyFont="1" applyFill="1" applyBorder="1" applyAlignment="1">
      <alignment horizontal="left" vertical="center" indent="1"/>
    </xf>
    <xf numFmtId="0" fontId="66" fillId="0" borderId="37" xfId="0" applyFont="1" applyFill="1" applyBorder="1" applyAlignment="1">
      <alignment horizontal="left" vertical="center" indent="1"/>
    </xf>
    <xf numFmtId="0" fontId="74" fillId="0" borderId="0" xfId="857" applyFont="1" applyAlignment="1">
      <alignment vertical="center"/>
    </xf>
    <xf numFmtId="186" fontId="38" fillId="0" borderId="0" xfId="0" applyNumberFormat="1" applyFont="1" applyFill="1" applyAlignment="1">
      <alignment vertical="center"/>
    </xf>
    <xf numFmtId="185" fontId="38" fillId="0" borderId="0" xfId="0" applyNumberFormat="1" applyFont="1" applyFill="1" applyAlignment="1">
      <alignment vertical="center"/>
    </xf>
    <xf numFmtId="165" fontId="43" fillId="0" borderId="35" xfId="47" applyNumberFormat="1" applyFont="1" applyFill="1" applyBorder="1" applyAlignment="1">
      <alignment horizontal="right" vertical="center" wrapText="1"/>
    </xf>
    <xf numFmtId="165" fontId="43" fillId="0" borderId="28" xfId="47" applyNumberFormat="1" applyFont="1" applyFill="1" applyBorder="1" applyAlignment="1">
      <alignment horizontal="right" vertical="center" wrapText="1"/>
    </xf>
    <xf numFmtId="165" fontId="43" fillId="0" borderId="51" xfId="47" applyNumberFormat="1" applyFont="1" applyFill="1" applyBorder="1" applyAlignment="1">
      <alignment horizontal="right" vertical="center" wrapText="1"/>
    </xf>
    <xf numFmtId="165" fontId="43" fillId="0" borderId="50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31" xfId="47" applyNumberFormat="1" applyFont="1" applyFill="1" applyBorder="1" applyAlignment="1">
      <alignment horizontal="right" vertical="center" wrapText="1"/>
    </xf>
    <xf numFmtId="43" fontId="38" fillId="0" borderId="30" xfId="46" applyNumberFormat="1" applyFont="1" applyFill="1" applyBorder="1" applyAlignment="1">
      <alignment vertical="center"/>
    </xf>
    <xf numFmtId="0" fontId="43" fillId="0" borderId="0" xfId="0" applyFont="1"/>
    <xf numFmtId="184" fontId="43" fillId="0" borderId="0" xfId="0" applyNumberFormat="1" applyFont="1"/>
    <xf numFmtId="167" fontId="43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43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43" fillId="0" borderId="62" xfId="140" applyNumberFormat="1" applyFont="1" applyFill="1" applyBorder="1" applyAlignment="1" applyProtection="1">
      <alignment horizontal="center" vertical="center" wrapText="1"/>
      <protection locked="0"/>
    </xf>
    <xf numFmtId="4" fontId="38" fillId="0" borderId="27" xfId="59" applyNumberFormat="1" applyFont="1" applyFill="1" applyBorder="1" applyAlignment="1">
      <alignment vertical="center"/>
    </xf>
    <xf numFmtId="167" fontId="43" fillId="0" borderId="0" xfId="52" applyNumberFormat="1" applyFont="1" applyFill="1" applyBorder="1" applyAlignment="1" applyProtection="1">
      <alignment horizontal="center" vertical="center" wrapText="1"/>
      <protection locked="0"/>
    </xf>
    <xf numFmtId="0" fontId="45" fillId="0" borderId="0" xfId="52" applyFont="1" applyFill="1" applyBorder="1" applyAlignment="1">
      <alignment vertical="center" wrapText="1"/>
    </xf>
    <xf numFmtId="0" fontId="45" fillId="0" borderId="0" xfId="52" applyFont="1" applyFill="1" applyBorder="1" applyAlignment="1">
      <alignment horizontal="center" vertical="center" wrapText="1"/>
    </xf>
    <xf numFmtId="165" fontId="45" fillId="0" borderId="0" xfId="47" applyNumberFormat="1" applyFont="1" applyFill="1" applyBorder="1" applyAlignment="1">
      <alignment horizontal="right" vertical="center" wrapText="1"/>
    </xf>
    <xf numFmtId="165" fontId="45" fillId="0" borderId="0" xfId="47" applyNumberFormat="1" applyFont="1" applyFill="1" applyBorder="1" applyAlignment="1" applyProtection="1">
      <alignment horizontal="right" vertical="center" wrapText="1"/>
      <protection locked="0"/>
    </xf>
    <xf numFmtId="165" fontId="45" fillId="24" borderId="0" xfId="47" applyNumberFormat="1" applyFont="1" applyFill="1" applyBorder="1" applyAlignment="1">
      <alignment horizontal="right" vertical="center"/>
    </xf>
    <xf numFmtId="167" fontId="43" fillId="0" borderId="93" xfId="52" applyNumberFormat="1" applyFont="1" applyFill="1" applyBorder="1" applyAlignment="1" applyProtection="1">
      <alignment horizontal="center" vertical="center" wrapText="1"/>
      <protection locked="0"/>
    </xf>
    <xf numFmtId="0" fontId="45" fillId="0" borderId="93" xfId="52" applyFont="1" applyFill="1" applyBorder="1" applyAlignment="1">
      <alignment vertical="center" wrapText="1"/>
    </xf>
    <xf numFmtId="0" fontId="45" fillId="0" borderId="93" xfId="52" applyFont="1" applyFill="1" applyBorder="1" applyAlignment="1">
      <alignment horizontal="center" vertical="center" wrapText="1"/>
    </xf>
    <xf numFmtId="165" fontId="45" fillId="0" borderId="93" xfId="47" applyNumberFormat="1" applyFont="1" applyFill="1" applyBorder="1" applyAlignment="1">
      <alignment horizontal="right" vertical="center" wrapText="1"/>
    </xf>
    <xf numFmtId="165" fontId="45" fillId="0" borderId="93" xfId="47" applyNumberFormat="1" applyFont="1" applyFill="1" applyBorder="1" applyAlignment="1" applyProtection="1">
      <alignment horizontal="right" vertical="center" wrapText="1"/>
      <protection locked="0"/>
    </xf>
    <xf numFmtId="165" fontId="45" fillId="24" borderId="93" xfId="47" applyNumberFormat="1" applyFont="1" applyFill="1" applyBorder="1" applyAlignment="1">
      <alignment horizontal="right" vertical="center"/>
    </xf>
    <xf numFmtId="165" fontId="45" fillId="0" borderId="42" xfId="47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52" applyFont="1" applyFill="1" applyBorder="1" applyAlignment="1">
      <alignment horizontal="center" vertical="center"/>
    </xf>
    <xf numFmtId="165" fontId="45" fillId="0" borderId="108" xfId="47" applyNumberFormat="1" applyFont="1" applyFill="1" applyBorder="1" applyAlignment="1">
      <alignment horizontal="center" vertical="center" wrapText="1"/>
    </xf>
    <xf numFmtId="165" fontId="45" fillId="0" borderId="109" xfId="47" applyNumberFormat="1" applyFont="1" applyFill="1" applyBorder="1" applyAlignment="1">
      <alignment horizontal="center" vertical="center" wrapText="1"/>
    </xf>
    <xf numFmtId="188" fontId="43" fillId="0" borderId="112" xfId="47" applyNumberFormat="1" applyFont="1" applyFill="1" applyBorder="1" applyAlignment="1">
      <alignment horizontal="right" vertical="center" wrapText="1"/>
    </xf>
    <xf numFmtId="188" fontId="43" fillId="0" borderId="25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13" xfId="47" applyNumberFormat="1" applyFont="1" applyFill="1" applyBorder="1" applyAlignment="1">
      <alignment horizontal="right" vertical="center" wrapText="1"/>
    </xf>
    <xf numFmtId="188" fontId="43" fillId="24" borderId="114" xfId="47" applyNumberFormat="1" applyFont="1" applyFill="1" applyBorder="1" applyAlignment="1">
      <alignment horizontal="right" vertical="center"/>
    </xf>
    <xf numFmtId="188" fontId="43" fillId="0" borderId="116" xfId="47" applyNumberFormat="1" applyFont="1" applyFill="1" applyBorder="1" applyAlignment="1">
      <alignment horizontal="right" vertical="center" wrapText="1"/>
    </xf>
    <xf numFmtId="188" fontId="43" fillId="0" borderId="63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17" xfId="47" applyNumberFormat="1" applyFont="1" applyFill="1" applyBorder="1" applyAlignment="1">
      <alignment horizontal="right" vertical="center" wrapText="1"/>
    </xf>
    <xf numFmtId="188" fontId="43" fillId="24" borderId="103" xfId="47" applyNumberFormat="1" applyFont="1" applyFill="1" applyBorder="1" applyAlignment="1">
      <alignment horizontal="right" vertical="center"/>
    </xf>
    <xf numFmtId="188" fontId="45" fillId="0" borderId="108" xfId="0" applyNumberFormat="1" applyFont="1" applyBorder="1" applyAlignment="1">
      <alignment horizontal="right" vertical="center"/>
    </xf>
    <xf numFmtId="188" fontId="45" fillId="0" borderId="42" xfId="0" applyNumberFormat="1" applyFont="1" applyBorder="1" applyAlignment="1">
      <alignment horizontal="right" vertical="center"/>
    </xf>
    <xf numFmtId="188" fontId="45" fillId="0" borderId="109" xfId="0" applyNumberFormat="1" applyFont="1" applyBorder="1" applyAlignment="1">
      <alignment horizontal="right" vertical="center"/>
    </xf>
    <xf numFmtId="188" fontId="45" fillId="24" borderId="118" xfId="47" applyNumberFormat="1" applyFont="1" applyFill="1" applyBorder="1" applyAlignment="1">
      <alignment horizontal="right" vertical="center"/>
    </xf>
    <xf numFmtId="188" fontId="43" fillId="0" borderId="85" xfId="47" applyNumberFormat="1" applyFont="1" applyFill="1" applyBorder="1" applyAlignment="1">
      <alignment horizontal="right" vertical="center" wrapText="1"/>
    </xf>
    <xf numFmtId="188" fontId="43" fillId="0" borderId="32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86" xfId="47" applyNumberFormat="1" applyFont="1" applyFill="1" applyBorder="1" applyAlignment="1">
      <alignment horizontal="right" vertical="center" wrapText="1"/>
    </xf>
    <xf numFmtId="188" fontId="52" fillId="24" borderId="119" xfId="47" applyNumberFormat="1" applyFont="1" applyFill="1" applyBorder="1" applyAlignment="1">
      <alignment horizontal="right" vertical="center"/>
    </xf>
    <xf numFmtId="188" fontId="43" fillId="0" borderId="121" xfId="47" applyNumberFormat="1" applyFont="1" applyFill="1" applyBorder="1" applyAlignment="1">
      <alignment horizontal="right" vertical="center" wrapText="1"/>
    </xf>
    <xf numFmtId="188" fontId="43" fillId="0" borderId="60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22" xfId="47" applyNumberFormat="1" applyFont="1" applyFill="1" applyBorder="1" applyAlignment="1">
      <alignment horizontal="right" vertical="center" wrapText="1"/>
    </xf>
    <xf numFmtId="188" fontId="45" fillId="24" borderId="123" xfId="47" applyNumberFormat="1" applyFont="1" applyFill="1" applyBorder="1" applyAlignment="1">
      <alignment horizontal="right" vertical="center"/>
    </xf>
    <xf numFmtId="188" fontId="43" fillId="24" borderId="127" xfId="47" applyNumberFormat="1" applyFont="1" applyFill="1" applyBorder="1" applyAlignment="1">
      <alignment horizontal="right" vertical="center"/>
    </xf>
    <xf numFmtId="4" fontId="43" fillId="0" borderId="125" xfId="47" applyNumberFormat="1" applyFont="1" applyFill="1" applyBorder="1" applyAlignment="1">
      <alignment horizontal="right" vertical="center" wrapText="1"/>
    </xf>
    <xf numFmtId="4" fontId="43" fillId="0" borderId="27" xfId="47" applyNumberFormat="1" applyFont="1" applyFill="1" applyBorder="1" applyAlignment="1" applyProtection="1">
      <alignment horizontal="right" vertical="center" wrapText="1"/>
      <protection locked="0"/>
    </xf>
    <xf numFmtId="4" fontId="43" fillId="0" borderId="126" xfId="47" applyNumberFormat="1" applyFont="1" applyFill="1" applyBorder="1" applyAlignment="1">
      <alignment horizontal="right" vertical="center" wrapText="1"/>
    </xf>
    <xf numFmtId="4" fontId="43" fillId="24" borderId="128" xfId="47" applyNumberFormat="1" applyFont="1" applyFill="1" applyBorder="1" applyAlignment="1">
      <alignment horizontal="right" vertical="center"/>
    </xf>
    <xf numFmtId="188" fontId="44" fillId="0" borderId="129" xfId="47" applyNumberFormat="1" applyFont="1" applyFill="1" applyBorder="1" applyAlignment="1">
      <alignment horizontal="right" vertical="center" wrapText="1"/>
    </xf>
    <xf numFmtId="188" fontId="44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4" fillId="0" borderId="130" xfId="47" applyNumberFormat="1" applyFont="1" applyFill="1" applyBorder="1" applyAlignment="1">
      <alignment horizontal="right" vertical="center" wrapText="1"/>
    </xf>
    <xf numFmtId="188" fontId="44" fillId="0" borderId="103" xfId="47" applyNumberFormat="1" applyFont="1" applyFill="1" applyBorder="1" applyAlignment="1">
      <alignment horizontal="right" vertical="center" wrapText="1"/>
    </xf>
    <xf numFmtId="188" fontId="43" fillId="0" borderId="119" xfId="47" applyNumberFormat="1" applyFont="1" applyFill="1" applyBorder="1" applyAlignment="1">
      <alignment horizontal="right" vertical="center" wrapText="1"/>
    </xf>
    <xf numFmtId="188" fontId="43" fillId="0" borderId="129" xfId="47" applyNumberFormat="1" applyFont="1" applyFill="1" applyBorder="1" applyAlignment="1">
      <alignment horizontal="right" vertical="center" wrapText="1"/>
    </xf>
    <xf numFmtId="188" fontId="43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30" xfId="47" applyNumberFormat="1" applyFont="1" applyFill="1" applyBorder="1" applyAlignment="1">
      <alignment horizontal="right" vertical="center" wrapText="1"/>
    </xf>
    <xf numFmtId="188" fontId="43" fillId="0" borderId="103" xfId="47" applyNumberFormat="1" applyFont="1" applyFill="1" applyBorder="1" applyAlignment="1">
      <alignment horizontal="right" vertical="center" wrapText="1"/>
    </xf>
    <xf numFmtId="188" fontId="43" fillId="0" borderId="127" xfId="47" applyNumberFormat="1" applyFont="1" applyFill="1" applyBorder="1" applyAlignment="1">
      <alignment horizontal="right" vertical="center" wrapText="1"/>
    </xf>
    <xf numFmtId="4" fontId="45" fillId="0" borderId="108" xfId="47" applyNumberFormat="1" applyFont="1" applyFill="1" applyBorder="1" applyAlignment="1">
      <alignment horizontal="right" vertical="center" wrapText="1"/>
    </xf>
    <xf numFmtId="4" fontId="45" fillId="0" borderId="42" xfId="47" applyNumberFormat="1" applyFont="1" applyFill="1" applyBorder="1" applyAlignment="1" applyProtection="1">
      <alignment horizontal="right" vertical="center" wrapText="1"/>
      <protection locked="0"/>
    </xf>
    <xf numFmtId="4" fontId="45" fillId="0" borderId="109" xfId="47" applyNumberFormat="1" applyFont="1" applyFill="1" applyBorder="1" applyAlignment="1">
      <alignment horizontal="right" vertical="center" wrapText="1"/>
    </xf>
    <xf numFmtId="4" fontId="45" fillId="0" borderId="119" xfId="47" applyNumberFormat="1" applyFont="1" applyFill="1" applyBorder="1" applyAlignment="1">
      <alignment horizontal="right" vertical="center" wrapText="1"/>
    </xf>
    <xf numFmtId="0" fontId="43" fillId="0" borderId="85" xfId="52" applyFont="1" applyFill="1" applyBorder="1" applyAlignment="1">
      <alignment horizontal="center" vertical="center" wrapText="1"/>
    </xf>
    <xf numFmtId="188" fontId="45" fillId="0" borderId="133" xfId="47" applyNumberFormat="1" applyFont="1" applyFill="1" applyBorder="1" applyAlignment="1">
      <alignment horizontal="right" vertical="center" wrapText="1"/>
    </xf>
    <xf numFmtId="188" fontId="45" fillId="0" borderId="134" xfId="47" applyNumberFormat="1" applyFont="1" applyFill="1" applyBorder="1" applyAlignment="1">
      <alignment horizontal="right" vertical="center" wrapText="1"/>
    </xf>
    <xf numFmtId="188" fontId="45" fillId="0" borderId="135" xfId="47" applyNumberFormat="1" applyFont="1" applyFill="1" applyBorder="1" applyAlignment="1">
      <alignment horizontal="right" vertical="center" wrapText="1"/>
    </xf>
    <xf numFmtId="188" fontId="45" fillId="0" borderId="104" xfId="47" applyNumberFormat="1" applyFont="1" applyFill="1" applyBorder="1" applyAlignment="1">
      <alignment horizontal="right" vertical="center" wrapText="1"/>
    </xf>
    <xf numFmtId="188" fontId="43" fillId="0" borderId="125" xfId="47" applyNumberFormat="1" applyFont="1" applyFill="1" applyBorder="1" applyAlignment="1">
      <alignment horizontal="right" vertical="center" wrapText="1"/>
    </xf>
    <xf numFmtId="188" fontId="43" fillId="0" borderId="27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26" xfId="47" applyNumberFormat="1" applyFont="1" applyFill="1" applyBorder="1" applyAlignment="1">
      <alignment horizontal="right" vertical="center" wrapText="1"/>
    </xf>
    <xf numFmtId="0" fontId="48" fillId="0" borderId="93" xfId="141" applyFont="1" applyBorder="1" applyAlignment="1">
      <alignment vertical="center"/>
    </xf>
    <xf numFmtId="17" fontId="48" fillId="0" borderId="28" xfId="141" applyNumberFormat="1" applyFont="1" applyBorder="1" applyAlignment="1">
      <alignment horizontal="center" vertical="center" wrapText="1"/>
    </xf>
    <xf numFmtId="0" fontId="42" fillId="0" borderId="50" xfId="141" applyFont="1" applyBorder="1" applyAlignment="1">
      <alignment horizontal="center" vertical="center"/>
    </xf>
    <xf numFmtId="0" fontId="42" fillId="0" borderId="31" xfId="141" applyFont="1" applyFill="1" applyBorder="1" applyAlignment="1">
      <alignment horizontal="center" vertical="center"/>
    </xf>
    <xf numFmtId="17" fontId="42" fillId="0" borderId="32" xfId="141" applyNumberFormat="1" applyFont="1" applyBorder="1" applyAlignment="1">
      <alignment horizontal="center" vertical="center" wrapText="1"/>
    </xf>
    <xf numFmtId="0" fontId="48" fillId="0" borderId="94" xfId="141" applyFont="1" applyBorder="1" applyAlignment="1">
      <alignment vertical="center"/>
    </xf>
    <xf numFmtId="0" fontId="48" fillId="0" borderId="17" xfId="141" applyFont="1" applyBorder="1" applyAlignment="1">
      <alignment vertical="center"/>
    </xf>
    <xf numFmtId="189" fontId="48" fillId="0" borderId="0" xfId="633" applyNumberFormat="1" applyFont="1" applyAlignment="1">
      <alignment vertical="center"/>
    </xf>
    <xf numFmtId="164" fontId="0" fillId="0" borderId="0" xfId="0" applyNumberFormat="1"/>
    <xf numFmtId="190" fontId="0" fillId="0" borderId="0" xfId="0" applyNumberFormat="1"/>
    <xf numFmtId="0" fontId="0" fillId="0" borderId="0" xfId="0" applyAlignment="1">
      <alignment horizontal="right"/>
    </xf>
    <xf numFmtId="191" fontId="38" fillId="0" borderId="0" xfId="0" applyNumberFormat="1" applyFont="1" applyFill="1" applyAlignment="1">
      <alignment vertical="center"/>
    </xf>
    <xf numFmtId="192" fontId="38" fillId="0" borderId="0" xfId="0" applyNumberFormat="1" applyFont="1" applyFill="1" applyAlignment="1">
      <alignment vertical="center"/>
    </xf>
    <xf numFmtId="193" fontId="45" fillId="24" borderId="0" xfId="47" applyNumberFormat="1" applyFont="1" applyFill="1" applyBorder="1" applyAlignment="1">
      <alignment horizontal="right" vertical="center"/>
    </xf>
    <xf numFmtId="165" fontId="45" fillId="24" borderId="114" xfId="47" applyNumberFormat="1" applyFont="1" applyFill="1" applyBorder="1" applyAlignment="1">
      <alignment horizontal="right" vertical="center"/>
    </xf>
    <xf numFmtId="165" fontId="45" fillId="24" borderId="136" xfId="47" applyNumberFormat="1" applyFont="1" applyFill="1" applyBorder="1" applyAlignment="1">
      <alignment horizontal="right" vertical="center"/>
    </xf>
    <xf numFmtId="165" fontId="43" fillId="24" borderId="89" xfId="47" applyNumberFormat="1" applyFont="1" applyFill="1" applyBorder="1" applyAlignment="1">
      <alignment horizontal="left" vertical="center"/>
    </xf>
    <xf numFmtId="165" fontId="43" fillId="24" borderId="139" xfId="47" applyNumberFormat="1" applyFont="1" applyFill="1" applyBorder="1" applyAlignment="1">
      <alignment horizontal="left" vertical="center"/>
    </xf>
    <xf numFmtId="165" fontId="43" fillId="24" borderId="140" xfId="47" applyNumberFormat="1" applyFont="1" applyFill="1" applyBorder="1" applyAlignment="1">
      <alignment horizontal="right" vertical="center"/>
    </xf>
    <xf numFmtId="165" fontId="43" fillId="24" borderId="141" xfId="47" applyNumberFormat="1" applyFont="1" applyFill="1" applyBorder="1" applyAlignment="1">
      <alignment horizontal="right" vertical="center"/>
    </xf>
    <xf numFmtId="165" fontId="45" fillId="24" borderId="143" xfId="47" applyNumberFormat="1" applyFont="1" applyFill="1" applyBorder="1" applyAlignment="1">
      <alignment horizontal="right" vertical="center"/>
    </xf>
    <xf numFmtId="193" fontId="45" fillId="24" borderId="137" xfId="47" applyNumberFormat="1" applyFont="1" applyFill="1" applyBorder="1" applyAlignment="1">
      <alignment horizontal="right" vertical="center"/>
    </xf>
    <xf numFmtId="193" fontId="45" fillId="24" borderId="18" xfId="47" applyNumberFormat="1" applyFont="1" applyFill="1" applyBorder="1" applyAlignment="1">
      <alignment horizontal="right" vertical="center"/>
    </xf>
    <xf numFmtId="193" fontId="45" fillId="24" borderId="138" xfId="47" applyNumberFormat="1" applyFont="1" applyFill="1" applyBorder="1" applyAlignment="1">
      <alignment horizontal="right" vertical="center"/>
    </xf>
    <xf numFmtId="193" fontId="43" fillId="0" borderId="0" xfId="0" applyNumberFormat="1" applyFont="1"/>
    <xf numFmtId="165" fontId="43" fillId="0" borderId="59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122" xfId="47" applyNumberFormat="1" applyFont="1" applyFill="1" applyBorder="1" applyAlignment="1">
      <alignment horizontal="right" vertical="center" wrapText="1"/>
    </xf>
    <xf numFmtId="165" fontId="43" fillId="0" borderId="0" xfId="0" applyNumberFormat="1" applyFont="1"/>
    <xf numFmtId="165" fontId="43" fillId="0" borderId="112" xfId="47" applyNumberFormat="1" applyFont="1" applyFill="1" applyBorder="1" applyAlignment="1">
      <alignment horizontal="center" vertical="center" wrapText="1"/>
    </xf>
    <xf numFmtId="165" fontId="43" fillId="0" borderId="25" xfId="0" applyNumberFormat="1" applyFont="1" applyBorder="1"/>
    <xf numFmtId="165" fontId="43" fillId="0" borderId="113" xfId="0" applyNumberFormat="1" applyFont="1" applyBorder="1"/>
    <xf numFmtId="165" fontId="43" fillId="0" borderId="125" xfId="47" applyNumberFormat="1" applyFont="1" applyFill="1" applyBorder="1" applyAlignment="1">
      <alignment horizontal="center" vertical="center" wrapText="1"/>
    </xf>
    <xf numFmtId="165" fontId="43" fillId="0" borderId="126" xfId="47" applyNumberFormat="1" applyFont="1" applyFill="1" applyBorder="1" applyAlignment="1">
      <alignment horizontal="right" vertical="center" wrapText="1"/>
    </xf>
    <xf numFmtId="165" fontId="45" fillId="24" borderId="128" xfId="47" applyNumberFormat="1" applyFont="1" applyFill="1" applyBorder="1" applyAlignment="1">
      <alignment horizontal="right" vertical="center"/>
    </xf>
    <xf numFmtId="165" fontId="43" fillId="0" borderId="142" xfId="47" applyNumberFormat="1" applyFont="1" applyFill="1" applyBorder="1" applyAlignment="1">
      <alignment horizontal="center" vertical="center" wrapText="1"/>
    </xf>
    <xf numFmtId="165" fontId="43" fillId="0" borderId="121" xfId="47" applyNumberFormat="1" applyFont="1" applyFill="1" applyBorder="1" applyAlignment="1">
      <alignment horizontal="center" vertical="center" wrapText="1"/>
    </xf>
    <xf numFmtId="165" fontId="43" fillId="0" borderId="60" xfId="0" applyNumberFormat="1" applyFont="1" applyBorder="1"/>
    <xf numFmtId="165" fontId="43" fillId="0" borderId="122" xfId="0" applyNumberFormat="1" applyFont="1" applyBorder="1"/>
    <xf numFmtId="165" fontId="45" fillId="24" borderId="123" xfId="47" applyNumberFormat="1" applyFont="1" applyFill="1" applyBorder="1" applyAlignment="1">
      <alignment horizontal="right" vertical="center"/>
    </xf>
    <xf numFmtId="165" fontId="43" fillId="0" borderId="145" xfId="47" applyNumberFormat="1" applyFont="1" applyFill="1" applyBorder="1" applyAlignment="1">
      <alignment horizontal="center" vertical="center" wrapText="1"/>
    </xf>
    <xf numFmtId="165" fontId="43" fillId="0" borderId="30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146" xfId="47" applyNumberFormat="1" applyFont="1" applyFill="1" applyBorder="1" applyAlignment="1">
      <alignment horizontal="right" vertical="center" wrapText="1"/>
    </xf>
    <xf numFmtId="165" fontId="45" fillId="24" borderId="144" xfId="47" applyNumberFormat="1" applyFont="1" applyFill="1" applyBorder="1" applyAlignment="1">
      <alignment horizontal="right" vertical="center"/>
    </xf>
    <xf numFmtId="165" fontId="43" fillId="0" borderId="147" xfId="0" applyNumberFormat="1" applyFont="1" applyBorder="1"/>
    <xf numFmtId="178" fontId="48" fillId="0" borderId="62" xfId="141" applyNumberFormat="1" applyFont="1" applyBorder="1" applyAlignment="1" applyProtection="1">
      <alignment horizontal="left" vertical="center"/>
    </xf>
    <xf numFmtId="178" fontId="48" fillId="0" borderId="58" xfId="633" applyNumberFormat="1" applyFont="1" applyFill="1" applyBorder="1" applyAlignment="1" applyProtection="1">
      <alignment horizontal="right" vertical="center"/>
    </xf>
    <xf numFmtId="4" fontId="48" fillId="0" borderId="58" xfId="141" applyNumberFormat="1" applyFont="1" applyBorder="1" applyAlignment="1" applyProtection="1">
      <alignment horizontal="right" vertical="center"/>
    </xf>
    <xf numFmtId="4" fontId="43" fillId="0" borderId="0" xfId="47" applyNumberFormat="1" applyFont="1" applyFill="1" applyBorder="1" applyAlignment="1">
      <alignment horizontal="right" vertical="center" wrapText="1"/>
    </xf>
    <xf numFmtId="4" fontId="43" fillId="0" borderId="0" xfId="47" applyNumberFormat="1" applyFont="1" applyFill="1" applyBorder="1" applyAlignment="1" applyProtection="1">
      <alignment horizontal="right" vertical="center" wrapText="1"/>
      <protection locked="0"/>
    </xf>
    <xf numFmtId="193" fontId="45" fillId="0" borderId="81" xfId="0" applyNumberFormat="1" applyFont="1" applyBorder="1"/>
    <xf numFmtId="4" fontId="45" fillId="0" borderId="116" xfId="47" applyNumberFormat="1" applyFont="1" applyFill="1" applyBorder="1" applyAlignment="1">
      <alignment horizontal="right" vertical="center" wrapText="1"/>
    </xf>
    <xf numFmtId="4" fontId="45" fillId="0" borderId="63" xfId="47" applyNumberFormat="1" applyFont="1" applyFill="1" applyBorder="1" applyAlignment="1">
      <alignment horizontal="right" vertical="center" wrapText="1"/>
    </xf>
    <xf numFmtId="4" fontId="45" fillId="0" borderId="117" xfId="47" applyNumberFormat="1" applyFont="1" applyFill="1" applyBorder="1" applyAlignment="1">
      <alignment horizontal="right" vertical="center" wrapText="1"/>
    </xf>
    <xf numFmtId="194" fontId="43" fillId="0" borderId="0" xfId="0" applyNumberFormat="1" applyFont="1"/>
    <xf numFmtId="4" fontId="43" fillId="0" borderId="149" xfId="47" applyNumberFormat="1" applyFont="1" applyFill="1" applyBorder="1" applyAlignment="1">
      <alignment horizontal="right" vertical="center" wrapText="1"/>
    </xf>
    <xf numFmtId="4" fontId="43" fillId="0" borderId="72" xfId="47" applyNumberFormat="1" applyFont="1" applyFill="1" applyBorder="1" applyAlignment="1" applyProtection="1">
      <alignment horizontal="right" vertical="center" wrapText="1"/>
      <protection locked="0"/>
    </xf>
    <xf numFmtId="4" fontId="43" fillId="0" borderId="150" xfId="47" applyNumberFormat="1" applyFont="1" applyFill="1" applyBorder="1" applyAlignment="1">
      <alignment horizontal="right" vertical="center" wrapText="1"/>
    </xf>
    <xf numFmtId="4" fontId="43" fillId="0" borderId="142" xfId="47" applyNumberFormat="1" applyFont="1" applyFill="1" applyBorder="1" applyAlignment="1">
      <alignment horizontal="right" vertical="center" wrapText="1"/>
    </xf>
    <xf numFmtId="4" fontId="43" fillId="0" borderId="148" xfId="47" applyNumberFormat="1" applyFont="1" applyFill="1" applyBorder="1" applyAlignment="1" applyProtection="1">
      <alignment horizontal="right" vertical="center" wrapText="1"/>
      <protection locked="0"/>
    </xf>
    <xf numFmtId="4" fontId="43" fillId="0" borderId="141" xfId="47" applyNumberFormat="1" applyFont="1" applyFill="1" applyBorder="1" applyAlignment="1">
      <alignment horizontal="right" vertical="center" wrapText="1"/>
    </xf>
    <xf numFmtId="188" fontId="43" fillId="0" borderId="0" xfId="0" applyNumberFormat="1" applyFont="1"/>
    <xf numFmtId="195" fontId="38" fillId="0" borderId="0" xfId="0" applyNumberFormat="1" applyFont="1" applyFill="1" applyAlignment="1">
      <alignment vertical="center"/>
    </xf>
    <xf numFmtId="196" fontId="38" fillId="0" borderId="0" xfId="0" applyNumberFormat="1" applyFont="1" applyFill="1" applyAlignment="1">
      <alignment vertical="center"/>
    </xf>
    <xf numFmtId="197" fontId="38" fillId="0" borderId="0" xfId="0" applyNumberFormat="1" applyFont="1" applyFill="1" applyAlignment="1">
      <alignment vertical="center"/>
    </xf>
    <xf numFmtId="0" fontId="76" fillId="0" borderId="0" xfId="0" applyFont="1" applyFill="1" applyBorder="1" applyAlignment="1">
      <alignment vertical="center"/>
    </xf>
    <xf numFmtId="188" fontId="77" fillId="27" borderId="0" xfId="859" applyNumberFormat="1" applyFont="1" applyFill="1" applyAlignment="1">
      <alignment vertical="center"/>
    </xf>
    <xf numFmtId="0" fontId="43" fillId="0" borderId="0" xfId="859" applyFont="1" applyAlignment="1">
      <alignment vertical="center"/>
    </xf>
    <xf numFmtId="0" fontId="24" fillId="0" borderId="0" xfId="859"/>
    <xf numFmtId="0" fontId="24" fillId="0" borderId="0" xfId="859" applyFill="1"/>
    <xf numFmtId="0" fontId="48" fillId="0" borderId="0" xfId="859" applyFont="1" applyAlignment="1">
      <alignment vertical="center"/>
    </xf>
    <xf numFmtId="0" fontId="78" fillId="0" borderId="0" xfId="859" applyFont="1" applyAlignment="1">
      <alignment vertical="center"/>
    </xf>
    <xf numFmtId="0" fontId="43" fillId="0" borderId="0" xfId="859" applyFont="1" applyAlignment="1">
      <alignment horizontal="center" vertical="center"/>
    </xf>
    <xf numFmtId="0" fontId="79" fillId="0" borderId="0" xfId="859" applyFont="1" applyAlignment="1">
      <alignment vertical="center"/>
    </xf>
    <xf numFmtId="198" fontId="48" fillId="0" borderId="0" xfId="859" applyNumberFormat="1" applyFont="1" applyAlignment="1">
      <alignment vertical="center"/>
    </xf>
    <xf numFmtId="0" fontId="48" fillId="0" borderId="152" xfId="859" applyFont="1" applyBorder="1" applyAlignment="1" applyProtection="1">
      <alignment vertical="center"/>
    </xf>
    <xf numFmtId="0" fontId="48" fillId="0" borderId="152" xfId="859" applyFont="1" applyBorder="1" applyAlignment="1">
      <alignment vertical="center"/>
    </xf>
    <xf numFmtId="0" fontId="48" fillId="0" borderId="155" xfId="859" applyFont="1" applyBorder="1" applyAlignment="1">
      <alignment vertical="center"/>
    </xf>
    <xf numFmtId="0" fontId="48" fillId="0" borderId="156" xfId="859" applyFont="1" applyBorder="1" applyAlignment="1">
      <alignment vertical="center"/>
    </xf>
    <xf numFmtId="0" fontId="48" fillId="0" borderId="157" xfId="859" applyFont="1" applyBorder="1" applyAlignment="1">
      <alignment horizontal="center" vertical="center"/>
    </xf>
    <xf numFmtId="0" fontId="79" fillId="0" borderId="155" xfId="859" applyFont="1" applyBorder="1" applyAlignment="1">
      <alignment vertical="center"/>
    </xf>
    <xf numFmtId="0" fontId="79" fillId="0" borderId="156" xfId="859" applyFont="1" applyBorder="1" applyAlignment="1">
      <alignment vertical="center"/>
    </xf>
    <xf numFmtId="0" fontId="79" fillId="0" borderId="157" xfId="859" applyFont="1" applyBorder="1" applyAlignment="1">
      <alignment horizontal="center" vertical="center"/>
    </xf>
    <xf numFmtId="0" fontId="80" fillId="0" borderId="155" xfId="859" applyFont="1" applyBorder="1" applyAlignment="1">
      <alignment vertical="center"/>
    </xf>
    <xf numFmtId="0" fontId="80" fillId="0" borderId="156" xfId="859" applyFont="1" applyBorder="1" applyAlignment="1">
      <alignment vertical="center"/>
    </xf>
    <xf numFmtId="0" fontId="80" fillId="0" borderId="157" xfId="859" applyFont="1" applyBorder="1" applyAlignment="1">
      <alignment horizontal="center" vertical="center"/>
    </xf>
    <xf numFmtId="0" fontId="78" fillId="0" borderId="155" xfId="859" applyFont="1" applyBorder="1" applyAlignment="1">
      <alignment vertical="center"/>
    </xf>
    <xf numFmtId="0" fontId="78" fillId="0" borderId="156" xfId="859" applyFont="1" applyBorder="1" applyAlignment="1">
      <alignment vertical="center"/>
    </xf>
    <xf numFmtId="0" fontId="78" fillId="0" borderId="157" xfId="859" applyFont="1" applyBorder="1" applyAlignment="1">
      <alignment horizontal="center" vertical="center"/>
    </xf>
    <xf numFmtId="0" fontId="81" fillId="0" borderId="155" xfId="859" applyFont="1" applyBorder="1" applyAlignment="1">
      <alignment vertical="center"/>
    </xf>
    <xf numFmtId="0" fontId="81" fillId="0" borderId="156" xfId="859" applyFont="1" applyBorder="1" applyAlignment="1">
      <alignment vertical="center"/>
    </xf>
    <xf numFmtId="0" fontId="81" fillId="0" borderId="157" xfId="859" applyFont="1" applyBorder="1" applyAlignment="1">
      <alignment horizontal="center" vertical="center"/>
    </xf>
    <xf numFmtId="0" fontId="48" fillId="0" borderId="0" xfId="859" quotePrefix="1" applyFont="1" applyAlignment="1">
      <alignment vertical="center"/>
    </xf>
    <xf numFmtId="0" fontId="48" fillId="0" borderId="158" xfId="859" applyFont="1" applyBorder="1" applyAlignment="1">
      <alignment vertical="center"/>
    </xf>
    <xf numFmtId="0" fontId="48" fillId="0" borderId="159" xfId="859" applyFont="1" applyBorder="1" applyAlignment="1">
      <alignment vertical="center"/>
    </xf>
    <xf numFmtId="0" fontId="48" fillId="0" borderId="160" xfId="859" applyFont="1" applyBorder="1" applyAlignment="1">
      <alignment horizontal="center" vertical="center"/>
    </xf>
    <xf numFmtId="0" fontId="79" fillId="0" borderId="158" xfId="859" applyFont="1" applyBorder="1" applyAlignment="1">
      <alignment vertical="center"/>
    </xf>
    <xf numFmtId="0" fontId="79" fillId="0" borderId="159" xfId="859" applyFont="1" applyBorder="1" applyAlignment="1">
      <alignment vertical="center"/>
    </xf>
    <xf numFmtId="0" fontId="79" fillId="0" borderId="160" xfId="859" applyFont="1" applyBorder="1" applyAlignment="1">
      <alignment horizontal="center" vertical="center"/>
    </xf>
    <xf numFmtId="0" fontId="80" fillId="0" borderId="158" xfId="859" applyFont="1" applyBorder="1" applyAlignment="1">
      <alignment vertical="center"/>
    </xf>
    <xf numFmtId="0" fontId="80" fillId="0" borderId="159" xfId="859" applyFont="1" applyBorder="1" applyAlignment="1">
      <alignment vertical="center"/>
    </xf>
    <xf numFmtId="0" fontId="80" fillId="0" borderId="160" xfId="859" applyFont="1" applyBorder="1" applyAlignment="1">
      <alignment horizontal="center" vertical="center"/>
    </xf>
    <xf numFmtId="0" fontId="78" fillId="0" borderId="158" xfId="859" applyFont="1" applyBorder="1" applyAlignment="1">
      <alignment vertical="center"/>
    </xf>
    <xf numFmtId="0" fontId="78" fillId="0" borderId="159" xfId="859" applyFont="1" applyBorder="1" applyAlignment="1">
      <alignment vertical="center"/>
    </xf>
    <xf numFmtId="0" fontId="78" fillId="0" borderId="160" xfId="859" applyFont="1" applyBorder="1" applyAlignment="1">
      <alignment horizontal="center" vertical="center"/>
    </xf>
    <xf numFmtId="0" fontId="81" fillId="0" borderId="158" xfId="859" applyFont="1" applyBorder="1" applyAlignment="1">
      <alignment vertical="center"/>
    </xf>
    <xf numFmtId="0" fontId="81" fillId="0" borderId="159" xfId="859" applyFont="1" applyBorder="1" applyAlignment="1">
      <alignment vertical="center"/>
    </xf>
    <xf numFmtId="0" fontId="81" fillId="0" borderId="160" xfId="859" applyFont="1" applyBorder="1" applyAlignment="1">
      <alignment horizontal="center" vertical="center"/>
    </xf>
    <xf numFmtId="0" fontId="80" fillId="0" borderId="0" xfId="859" applyFont="1" applyAlignment="1">
      <alignment vertical="center"/>
    </xf>
    <xf numFmtId="0" fontId="38" fillId="0" borderId="14" xfId="0" applyFont="1" applyFill="1" applyBorder="1" applyAlignment="1">
      <alignment horizontal="justify" vertical="center" wrapText="1"/>
    </xf>
    <xf numFmtId="0" fontId="42" fillId="0" borderId="16" xfId="0" applyFont="1" applyBorder="1" applyAlignment="1">
      <alignment horizontal="right"/>
    </xf>
    <xf numFmtId="0" fontId="7" fillId="0" borderId="0" xfId="631" applyFont="1"/>
    <xf numFmtId="199" fontId="38" fillId="0" borderId="0" xfId="0" applyNumberFormat="1" applyFont="1" applyFill="1" applyAlignment="1">
      <alignment horizontal="left" vertical="center" indent="1"/>
    </xf>
    <xf numFmtId="199" fontId="43" fillId="24" borderId="0" xfId="56" applyNumberFormat="1" applyFont="1" applyFill="1" applyAlignment="1">
      <alignment horizontal="right" vertical="center"/>
    </xf>
    <xf numFmtId="43" fontId="43" fillId="24" borderId="0" xfId="56" applyNumberFormat="1" applyFont="1" applyFill="1" applyAlignment="1">
      <alignment horizontal="right" vertical="center"/>
    </xf>
    <xf numFmtId="2" fontId="43" fillId="24" borderId="0" xfId="56" applyNumberFormat="1" applyFont="1" applyFill="1" applyAlignment="1">
      <alignment horizontal="right" vertical="center"/>
    </xf>
    <xf numFmtId="0" fontId="59" fillId="0" borderId="48" xfId="631" applyFont="1" applyBorder="1" applyAlignment="1">
      <alignment horizontal="center" vertical="center"/>
    </xf>
    <xf numFmtId="0" fontId="63" fillId="0" borderId="13" xfId="141" applyFont="1" applyBorder="1" applyAlignment="1">
      <alignment horizontal="center" vertical="center"/>
    </xf>
    <xf numFmtId="0" fontId="47" fillId="0" borderId="13" xfId="141" applyFont="1" applyBorder="1" applyAlignment="1">
      <alignment horizontal="center" vertical="center"/>
    </xf>
    <xf numFmtId="0" fontId="59" fillId="0" borderId="50" xfId="631" applyFont="1" applyBorder="1" applyAlignment="1">
      <alignment horizontal="center" vertical="center" wrapText="1"/>
    </xf>
    <xf numFmtId="0" fontId="57" fillId="0" borderId="13" xfId="631" applyFont="1" applyBorder="1" applyAlignment="1">
      <alignment horizontal="center"/>
    </xf>
    <xf numFmtId="0" fontId="62" fillId="0" borderId="0" xfId="631" applyFont="1" applyAlignment="1">
      <alignment horizontal="center"/>
    </xf>
    <xf numFmtId="0" fontId="59" fillId="0" borderId="13" xfId="631" applyFont="1" applyBorder="1" applyAlignment="1">
      <alignment horizontal="left"/>
    </xf>
    <xf numFmtId="0" fontId="59" fillId="0" borderId="0" xfId="631" applyFont="1" applyBorder="1" applyAlignment="1">
      <alignment horizontal="right"/>
    </xf>
    <xf numFmtId="4" fontId="59" fillId="0" borderId="0" xfId="631" applyNumberFormat="1" applyFont="1" applyBorder="1" applyAlignment="1">
      <alignment horizontal="left"/>
    </xf>
    <xf numFmtId="0" fontId="47" fillId="0" borderId="14" xfId="141" applyFont="1" applyBorder="1" applyAlignment="1">
      <alignment horizontal="center" wrapText="1"/>
    </xf>
    <xf numFmtId="0" fontId="43" fillId="0" borderId="16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14" xfId="0" applyFont="1" applyFill="1" applyBorder="1" applyAlignment="1">
      <alignment vertical="center"/>
    </xf>
    <xf numFmtId="0" fontId="61" fillId="0" borderId="0" xfId="631" applyFont="1" applyBorder="1"/>
    <xf numFmtId="0" fontId="42" fillId="0" borderId="94" xfId="141" applyFont="1" applyBorder="1" applyAlignment="1">
      <alignment horizontal="center" vertical="center" wrapText="1"/>
    </xf>
    <xf numFmtId="0" fontId="59" fillId="0" borderId="36" xfId="631" applyFont="1" applyBorder="1" applyAlignment="1">
      <alignment horizontal="center" vertical="center"/>
    </xf>
    <xf numFmtId="0" fontId="59" fillId="0" borderId="37" xfId="631" applyFont="1" applyBorder="1" applyAlignment="1">
      <alignment horizontal="center" vertical="center"/>
    </xf>
    <xf numFmtId="0" fontId="59" fillId="0" borderId="30" xfId="631" applyFont="1" applyBorder="1" applyAlignment="1">
      <alignment horizontal="center" vertical="center"/>
    </xf>
    <xf numFmtId="0" fontId="58" fillId="0" borderId="93" xfId="631" applyFont="1" applyBorder="1"/>
    <xf numFmtId="0" fontId="58" fillId="0" borderId="0" xfId="631" applyFont="1" applyBorder="1"/>
    <xf numFmtId="0" fontId="57" fillId="0" borderId="16" xfId="631" applyFont="1" applyBorder="1"/>
    <xf numFmtId="0" fontId="63" fillId="0" borderId="94" xfId="141" applyFont="1" applyBorder="1" applyAlignment="1">
      <alignment vertical="center"/>
    </xf>
    <xf numFmtId="0" fontId="9" fillId="0" borderId="0" xfId="631" applyFont="1" applyBorder="1"/>
    <xf numFmtId="0" fontId="60" fillId="0" borderId="0" xfId="631" applyFont="1" applyBorder="1"/>
    <xf numFmtId="0" fontId="47" fillId="0" borderId="0" xfId="141" applyFont="1" applyBorder="1" applyAlignment="1">
      <alignment horizontal="center" vertical="center"/>
    </xf>
    <xf numFmtId="0" fontId="47" fillId="0" borderId="13" xfId="141" applyFont="1" applyBorder="1" applyAlignment="1">
      <alignment wrapText="1"/>
    </xf>
    <xf numFmtId="0" fontId="47" fillId="0" borderId="0" xfId="141" applyFont="1" applyBorder="1" applyAlignment="1">
      <alignment wrapText="1"/>
    </xf>
    <xf numFmtId="0" fontId="63" fillId="0" borderId="93" xfId="141" applyFont="1" applyBorder="1" applyAlignment="1">
      <alignment vertical="center"/>
    </xf>
    <xf numFmtId="0" fontId="43" fillId="0" borderId="93" xfId="52" applyFont="1" applyFill="1" applyBorder="1" applyAlignment="1">
      <alignment vertical="center" wrapText="1"/>
    </xf>
    <xf numFmtId="165" fontId="43" fillId="0" borderId="93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94" xfId="47" applyNumberFormat="1" applyFont="1" applyFill="1" applyBorder="1" applyAlignment="1">
      <alignment horizontal="right" vertical="center"/>
    </xf>
    <xf numFmtId="0" fontId="64" fillId="0" borderId="94" xfId="53" applyFont="1" applyBorder="1" applyAlignment="1">
      <alignment vertical="center"/>
    </xf>
    <xf numFmtId="0" fontId="65" fillId="0" borderId="14" xfId="0" applyFont="1" applyFill="1" applyBorder="1" applyAlignment="1" applyProtection="1">
      <alignment horizontal="center" vertical="center"/>
    </xf>
    <xf numFmtId="0" fontId="65" fillId="0" borderId="13" xfId="0" applyFont="1" applyFill="1" applyBorder="1" applyAlignment="1" applyProtection="1">
      <alignment horizontal="center" vertical="center"/>
    </xf>
    <xf numFmtId="0" fontId="38" fillId="0" borderId="13" xfId="0" applyFont="1" applyFill="1" applyBorder="1" applyAlignment="1" applyProtection="1">
      <alignment horizontal="center" vertical="center"/>
    </xf>
    <xf numFmtId="0" fontId="38" fillId="0" borderId="25" xfId="0" applyFont="1" applyFill="1" applyBorder="1" applyAlignment="1">
      <alignment vertical="center"/>
    </xf>
    <xf numFmtId="0" fontId="43" fillId="0" borderId="10" xfId="0" applyFont="1" applyBorder="1" applyAlignment="1">
      <alignment horizontal="center"/>
    </xf>
    <xf numFmtId="0" fontId="45" fillId="0" borderId="93" xfId="0" applyFont="1" applyBorder="1" applyAlignment="1">
      <alignment horizontal="center"/>
    </xf>
    <xf numFmtId="0" fontId="43" fillId="0" borderId="93" xfId="0" applyFont="1" applyBorder="1" applyAlignment="1">
      <alignment horizontal="center"/>
    </xf>
    <xf numFmtId="0" fontId="43" fillId="0" borderId="94" xfId="0" applyFont="1" applyBorder="1" applyAlignment="1">
      <alignment horizontal="center"/>
    </xf>
    <xf numFmtId="0" fontId="43" fillId="0" borderId="0" xfId="0" applyFont="1" applyBorder="1" applyAlignment="1"/>
    <xf numFmtId="0" fontId="72" fillId="0" borderId="0" xfId="0" applyFont="1" applyAlignment="1">
      <alignment horizontal="center" vertical="center" wrapText="1"/>
    </xf>
    <xf numFmtId="0" fontId="72" fillId="0" borderId="55" xfId="0" applyFont="1" applyBorder="1" applyAlignment="1">
      <alignment horizontal="center" vertical="center" wrapText="1"/>
    </xf>
    <xf numFmtId="0" fontId="72" fillId="0" borderId="0" xfId="633" applyFont="1" applyAlignment="1">
      <alignment vertical="center"/>
    </xf>
    <xf numFmtId="0" fontId="72" fillId="0" borderId="14" xfId="633" applyFont="1" applyBorder="1" applyAlignment="1">
      <alignment vertical="center"/>
    </xf>
    <xf numFmtId="0" fontId="72" fillId="0" borderId="0" xfId="633" applyFont="1" applyBorder="1" applyAlignment="1">
      <alignment vertical="center"/>
    </xf>
    <xf numFmtId="0" fontId="40" fillId="0" borderId="0" xfId="633" applyFont="1" applyBorder="1" applyAlignment="1">
      <alignment vertical="center"/>
    </xf>
    <xf numFmtId="0" fontId="40" fillId="0" borderId="16" xfId="633" applyFont="1" applyBorder="1" applyAlignment="1">
      <alignment vertical="center"/>
    </xf>
    <xf numFmtId="0" fontId="40" fillId="0" borderId="93" xfId="633" applyFont="1" applyBorder="1" applyAlignment="1">
      <alignment vertical="center"/>
    </xf>
    <xf numFmtId="4" fontId="40" fillId="0" borderId="93" xfId="633" applyNumberFormat="1" applyFont="1" applyBorder="1" applyAlignment="1">
      <alignment vertical="center"/>
    </xf>
    <xf numFmtId="4" fontId="40" fillId="0" borderId="16" xfId="633" applyNumberFormat="1" applyFont="1" applyBorder="1" applyAlignment="1">
      <alignment vertical="center"/>
    </xf>
    <xf numFmtId="4" fontId="72" fillId="0" borderId="0" xfId="633" applyNumberFormat="1" applyFont="1" applyAlignment="1">
      <alignment vertical="center"/>
    </xf>
    <xf numFmtId="178" fontId="72" fillId="0" borderId="55" xfId="633" applyNumberFormat="1" applyFont="1" applyBorder="1" applyAlignment="1" applyProtection="1">
      <alignment horizontal="right" vertical="center"/>
    </xf>
    <xf numFmtId="4" fontId="72" fillId="0" borderId="28" xfId="141" applyNumberFormat="1" applyFont="1" applyBorder="1" applyAlignment="1" applyProtection="1">
      <alignment horizontal="right" vertical="center"/>
    </xf>
    <xf numFmtId="0" fontId="40" fillId="0" borderId="93" xfId="633" applyFont="1" applyFill="1" applyBorder="1" applyAlignment="1">
      <alignment horizontal="center" vertical="center"/>
    </xf>
    <xf numFmtId="0" fontId="40" fillId="0" borderId="0" xfId="633" applyFont="1" applyFill="1" applyBorder="1" applyAlignment="1">
      <alignment vertical="center"/>
    </xf>
    <xf numFmtId="4" fontId="40" fillId="0" borderId="0" xfId="633" applyNumberFormat="1" applyFont="1" applyFill="1" applyBorder="1" applyAlignment="1">
      <alignment vertical="center"/>
    </xf>
    <xf numFmtId="0" fontId="72" fillId="0" borderId="0" xfId="633" applyFont="1" applyFill="1" applyBorder="1" applyAlignment="1">
      <alignment vertical="center"/>
    </xf>
    <xf numFmtId="0" fontId="40" fillId="0" borderId="0" xfId="633" applyFont="1" applyFill="1" applyBorder="1" applyAlignment="1">
      <alignment horizontal="left" vertical="center"/>
    </xf>
    <xf numFmtId="0" fontId="40" fillId="0" borderId="0" xfId="633" applyFont="1" applyFill="1" applyBorder="1" applyAlignment="1">
      <alignment horizontal="left" vertical="center" wrapText="1"/>
    </xf>
    <xf numFmtId="0" fontId="40" fillId="0" borderId="0" xfId="633" applyFont="1" applyFill="1" applyBorder="1" applyAlignment="1">
      <alignment horizontal="center" vertical="center"/>
    </xf>
    <xf numFmtId="180" fontId="72" fillId="0" borderId="0" xfId="145" applyFont="1" applyFill="1" applyBorder="1" applyAlignment="1">
      <alignment horizontal="centerContinuous" vertical="center"/>
    </xf>
    <xf numFmtId="0" fontId="84" fillId="0" borderId="0" xfId="633" applyFont="1" applyFill="1" applyBorder="1" applyAlignment="1">
      <alignment horizontal="center" vertical="center"/>
    </xf>
    <xf numFmtId="0" fontId="40" fillId="0" borderId="79" xfId="633" applyFont="1" applyBorder="1" applyAlignment="1"/>
    <xf numFmtId="0" fontId="40" fillId="0" borderId="165" xfId="633" applyFont="1" applyBorder="1" applyAlignment="1"/>
    <xf numFmtId="0" fontId="40" fillId="0" borderId="80" xfId="633" applyFont="1" applyBorder="1" applyAlignment="1"/>
    <xf numFmtId="0" fontId="40" fillId="0" borderId="166" xfId="633" applyFont="1" applyBorder="1" applyAlignment="1">
      <alignment horizontal="center" vertical="center"/>
    </xf>
    <xf numFmtId="0" fontId="72" fillId="0" borderId="81" xfId="633" applyFont="1" applyBorder="1" applyAlignment="1">
      <alignment vertical="center"/>
    </xf>
    <xf numFmtId="0" fontId="72" fillId="0" borderId="88" xfId="633" applyFont="1" applyBorder="1" applyAlignment="1">
      <alignment vertical="center"/>
    </xf>
    <xf numFmtId="0" fontId="40" fillId="0" borderId="88" xfId="633" applyFont="1" applyBorder="1" applyAlignment="1">
      <alignment horizontal="center" vertical="center"/>
    </xf>
    <xf numFmtId="0" fontId="40" fillId="0" borderId="84" xfId="633" applyFont="1" applyBorder="1" applyAlignment="1">
      <alignment vertical="center"/>
    </xf>
    <xf numFmtId="0" fontId="40" fillId="0" borderId="83" xfId="633" applyFont="1" applyBorder="1" applyAlignment="1">
      <alignment vertical="center"/>
    </xf>
    <xf numFmtId="0" fontId="40" fillId="0" borderId="137" xfId="633" applyFont="1" applyBorder="1" applyAlignment="1">
      <alignment horizontal="center" vertical="center"/>
    </xf>
    <xf numFmtId="0" fontId="72" fillId="0" borderId="90" xfId="633" applyFont="1" applyBorder="1" applyAlignment="1">
      <alignment horizontal="center" vertical="center" wrapText="1"/>
    </xf>
    <xf numFmtId="0" fontId="72" fillId="0" borderId="90" xfId="141" applyFont="1" applyBorder="1" applyAlignment="1">
      <alignment horizontal="center" vertical="center" wrapText="1"/>
    </xf>
    <xf numFmtId="0" fontId="40" fillId="0" borderId="168" xfId="633" applyFont="1" applyFill="1" applyBorder="1" applyAlignment="1">
      <alignment horizontal="center" vertical="center"/>
    </xf>
    <xf numFmtId="0" fontId="40" fillId="0" borderId="93" xfId="633" applyFont="1" applyFill="1" applyBorder="1" applyAlignment="1">
      <alignment vertical="center"/>
    </xf>
    <xf numFmtId="0" fontId="40" fillId="0" borderId="84" xfId="633" applyFont="1" applyFill="1" applyBorder="1" applyAlignment="1">
      <alignment vertical="center"/>
    </xf>
    <xf numFmtId="0" fontId="40" fillId="0" borderId="98" xfId="633" applyFont="1" applyFill="1" applyBorder="1" applyAlignment="1">
      <alignment horizontal="left" vertical="center" wrapText="1"/>
    </xf>
    <xf numFmtId="0" fontId="40" fillId="0" borderId="81" xfId="633" applyFont="1" applyFill="1" applyBorder="1" applyAlignment="1">
      <alignment horizontal="left" vertical="center"/>
    </xf>
    <xf numFmtId="0" fontId="40" fillId="0" borderId="81" xfId="633" applyFont="1" applyFill="1" applyBorder="1" applyAlignment="1">
      <alignment horizontal="center" vertical="center"/>
    </xf>
    <xf numFmtId="0" fontId="40" fillId="0" borderId="98" xfId="633" applyFont="1" applyFill="1" applyBorder="1" applyAlignment="1">
      <alignment vertical="center"/>
    </xf>
    <xf numFmtId="0" fontId="40" fillId="0" borderId="98" xfId="633" applyFont="1" applyFill="1" applyBorder="1" applyAlignment="1">
      <alignment horizontal="center" vertical="center"/>
    </xf>
    <xf numFmtId="17" fontId="6" fillId="0" borderId="34" xfId="631" applyNumberFormat="1" applyFont="1" applyBorder="1" applyAlignment="1">
      <alignment horizontal="center" vertical="center"/>
    </xf>
    <xf numFmtId="0" fontId="72" fillId="0" borderId="101" xfId="633" applyFont="1" applyBorder="1" applyAlignment="1">
      <alignment vertical="center"/>
    </xf>
    <xf numFmtId="0" fontId="40" fillId="0" borderId="81" xfId="633" applyFont="1" applyFill="1" applyBorder="1" applyAlignment="1">
      <alignment vertical="center"/>
    </xf>
    <xf numFmtId="180" fontId="40" fillId="0" borderId="0" xfId="145" applyFont="1" applyFill="1" applyBorder="1" applyAlignment="1">
      <alignment horizontal="centerContinuous" vertical="center"/>
    </xf>
    <xf numFmtId="0" fontId="72" fillId="0" borderId="100" xfId="633" applyFont="1" applyBorder="1" applyAlignment="1">
      <alignment vertical="center"/>
    </xf>
    <xf numFmtId="0" fontId="72" fillId="0" borderId="0" xfId="857" applyFont="1" applyAlignment="1">
      <alignment vertical="center"/>
    </xf>
    <xf numFmtId="4" fontId="72" fillId="0" borderId="0" xfId="857" applyNumberFormat="1" applyFont="1" applyAlignment="1">
      <alignment vertical="center"/>
    </xf>
    <xf numFmtId="49" fontId="72" fillId="0" borderId="50" xfId="857" applyNumberFormat="1" applyFont="1" applyBorder="1" applyAlignment="1" applyProtection="1">
      <alignment horizontal="center" vertical="center"/>
    </xf>
    <xf numFmtId="0" fontId="72" fillId="0" borderId="48" xfId="857" applyFont="1" applyBorder="1" applyAlignment="1">
      <alignment horizontal="center" vertical="center" wrapText="1"/>
    </xf>
    <xf numFmtId="4" fontId="72" fillId="0" borderId="74" xfId="857" applyNumberFormat="1" applyFont="1" applyBorder="1" applyAlignment="1">
      <alignment horizontal="center" vertical="center"/>
    </xf>
    <xf numFmtId="4" fontId="72" fillId="0" borderId="36" xfId="857" applyNumberFormat="1" applyFont="1" applyBorder="1" applyAlignment="1">
      <alignment horizontal="center" vertical="center"/>
    </xf>
    <xf numFmtId="4" fontId="72" fillId="0" borderId="50" xfId="857" applyNumberFormat="1" applyFont="1" applyBorder="1" applyAlignment="1" applyProtection="1">
      <alignment horizontal="right" vertical="center"/>
    </xf>
    <xf numFmtId="4" fontId="72" fillId="0" borderId="48" xfId="857" applyNumberFormat="1" applyFont="1" applyBorder="1" applyAlignment="1" applyProtection="1">
      <alignment horizontal="right" vertical="center" indent="1"/>
    </xf>
    <xf numFmtId="182" fontId="72" fillId="0" borderId="50" xfId="857" applyNumberFormat="1" applyFont="1" applyBorder="1" applyAlignment="1" applyProtection="1">
      <alignment horizontal="center" vertical="center"/>
    </xf>
    <xf numFmtId="182" fontId="72" fillId="0" borderId="48" xfId="857" applyNumberFormat="1" applyFont="1" applyBorder="1" applyAlignment="1" applyProtection="1">
      <alignment horizontal="center" vertical="center"/>
    </xf>
    <xf numFmtId="0" fontId="72" fillId="0" borderId="0" xfId="857" applyFont="1" applyBorder="1" applyAlignment="1">
      <alignment horizontal="center" vertical="center" wrapText="1"/>
    </xf>
    <xf numFmtId="49" fontId="72" fillId="0" borderId="0" xfId="857" applyNumberFormat="1" applyFont="1" applyBorder="1" applyAlignment="1" applyProtection="1">
      <alignment horizontal="center" vertical="center"/>
    </xf>
    <xf numFmtId="182" fontId="72" fillId="0" borderId="0" xfId="857" applyNumberFormat="1" applyFont="1" applyBorder="1" applyAlignment="1" applyProtection="1">
      <alignment horizontal="center" vertical="center"/>
    </xf>
    <xf numFmtId="0" fontId="72" fillId="0" borderId="0" xfId="857" applyFont="1" applyBorder="1" applyAlignment="1">
      <alignment vertical="center"/>
    </xf>
    <xf numFmtId="0" fontId="72" fillId="24" borderId="0" xfId="858" applyFont="1" applyFill="1" applyBorder="1" applyAlignment="1">
      <alignment vertical="center"/>
    </xf>
    <xf numFmtId="0" fontId="72" fillId="24" borderId="0" xfId="858" applyFont="1" applyFill="1" applyBorder="1" applyAlignment="1">
      <alignment horizontal="right" vertical="center"/>
    </xf>
    <xf numFmtId="14" fontId="72" fillId="0" borderId="0" xfId="857" applyNumberFormat="1" applyFont="1" applyBorder="1" applyAlignment="1">
      <alignment vertical="center"/>
    </xf>
    <xf numFmtId="2" fontId="72" fillId="0" borderId="0" xfId="857" applyNumberFormat="1" applyFont="1" applyBorder="1" applyAlignment="1">
      <alignment vertical="center"/>
    </xf>
    <xf numFmtId="0" fontId="85" fillId="0" borderId="0" xfId="857" applyFont="1" applyAlignment="1">
      <alignment vertical="center"/>
    </xf>
    <xf numFmtId="0" fontId="85" fillId="0" borderId="0" xfId="857" applyFont="1" applyBorder="1" applyAlignment="1">
      <alignment vertical="center"/>
    </xf>
    <xf numFmtId="0" fontId="85" fillId="24" borderId="0" xfId="858" applyFont="1" applyFill="1" applyBorder="1" applyAlignment="1">
      <alignment horizontal="right" vertical="center"/>
    </xf>
    <xf numFmtId="4" fontId="72" fillId="0" borderId="0" xfId="857" applyNumberFormat="1" applyFont="1" applyBorder="1" applyAlignment="1">
      <alignment horizontal="center" vertical="center"/>
    </xf>
    <xf numFmtId="4" fontId="72" fillId="0" borderId="0" xfId="857" applyNumberFormat="1" applyFont="1" applyBorder="1" applyAlignment="1" applyProtection="1">
      <alignment horizontal="right" vertical="center"/>
    </xf>
    <xf numFmtId="4" fontId="72" fillId="0" borderId="0" xfId="857" applyNumberFormat="1" applyFont="1" applyBorder="1" applyAlignment="1" applyProtection="1">
      <alignment horizontal="right" vertical="center" indent="1"/>
    </xf>
    <xf numFmtId="4" fontId="72" fillId="0" borderId="0" xfId="857" applyNumberFormat="1" applyFont="1" applyBorder="1" applyAlignment="1">
      <alignment horizontal="left" vertical="center"/>
    </xf>
    <xf numFmtId="182" fontId="72" fillId="0" borderId="0" xfId="857" applyNumberFormat="1" applyFont="1" applyBorder="1" applyAlignment="1" applyProtection="1">
      <alignment horizontal="left" vertical="center"/>
    </xf>
    <xf numFmtId="182" fontId="6" fillId="0" borderId="28" xfId="631" applyNumberFormat="1" applyFont="1" applyBorder="1" applyAlignment="1">
      <alignment horizontal="center" vertical="center"/>
    </xf>
    <xf numFmtId="182" fontId="6" fillId="0" borderId="45" xfId="631" applyNumberFormat="1" applyFont="1" applyBorder="1" applyAlignment="1">
      <alignment horizontal="center" vertical="center"/>
    </xf>
    <xf numFmtId="165" fontId="43" fillId="24" borderId="93" xfId="47" applyNumberFormat="1" applyFont="1" applyFill="1" applyBorder="1" applyAlignment="1" applyProtection="1">
      <alignment horizontal="right" vertical="center"/>
      <protection locked="0"/>
    </xf>
    <xf numFmtId="0" fontId="47" fillId="0" borderId="14" xfId="631" applyFont="1" applyBorder="1"/>
    <xf numFmtId="0" fontId="40" fillId="0" borderId="80" xfId="633" applyFont="1" applyBorder="1" applyAlignment="1">
      <alignment vertical="center"/>
    </xf>
    <xf numFmtId="0" fontId="42" fillId="0" borderId="11" xfId="633" applyFont="1" applyBorder="1" applyAlignment="1">
      <alignment vertical="center"/>
    </xf>
    <xf numFmtId="165" fontId="43" fillId="24" borderId="19" xfId="47" applyNumberFormat="1" applyFont="1" applyFill="1" applyBorder="1" applyAlignment="1" applyProtection="1">
      <alignment horizontal="right" vertical="center"/>
      <protection locked="0"/>
    </xf>
    <xf numFmtId="165" fontId="43" fillId="24" borderId="19" xfId="47" applyNumberFormat="1" applyFont="1" applyFill="1" applyBorder="1" applyAlignment="1">
      <alignment horizontal="right" vertical="center"/>
    </xf>
    <xf numFmtId="179" fontId="72" fillId="0" borderId="169" xfId="633" applyNumberFormat="1" applyFont="1" applyBorder="1" applyAlignment="1">
      <alignment horizontal="center" vertical="center" wrapText="1"/>
    </xf>
    <xf numFmtId="0" fontId="72" fillId="0" borderId="13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2" fillId="0" borderId="14" xfId="0" applyFont="1" applyBorder="1" applyAlignment="1">
      <alignment horizontal="center" vertical="center" wrapText="1"/>
    </xf>
    <xf numFmtId="0" fontId="72" fillId="0" borderId="15" xfId="0" applyFont="1" applyBorder="1" applyAlignment="1">
      <alignment horizontal="center" vertical="center" wrapText="1"/>
    </xf>
    <xf numFmtId="43" fontId="9" fillId="0" borderId="0" xfId="631" applyNumberFormat="1" applyFont="1"/>
    <xf numFmtId="166" fontId="9" fillId="0" borderId="0" xfId="631" applyNumberFormat="1" applyFont="1"/>
    <xf numFmtId="166" fontId="62" fillId="0" borderId="0" xfId="631" applyNumberFormat="1" applyFont="1"/>
    <xf numFmtId="43" fontId="62" fillId="0" borderId="0" xfId="631" applyNumberFormat="1" applyFont="1"/>
    <xf numFmtId="0" fontId="72" fillId="0" borderId="170" xfId="141" applyFont="1" applyBorder="1" applyAlignment="1">
      <alignment horizontal="center" vertical="center" wrapText="1"/>
    </xf>
    <xf numFmtId="182" fontId="6" fillId="0" borderId="51" xfId="631" applyNumberFormat="1" applyFont="1" applyBorder="1" applyAlignment="1">
      <alignment horizontal="center" vertical="center"/>
    </xf>
    <xf numFmtId="17" fontId="6" fillId="0" borderId="92" xfId="631" applyNumberFormat="1" applyFont="1" applyBorder="1" applyAlignment="1">
      <alignment horizontal="center" vertical="center"/>
    </xf>
    <xf numFmtId="182" fontId="6" fillId="0" borderId="163" xfId="631" applyNumberFormat="1" applyFont="1" applyBorder="1" applyAlignment="1">
      <alignment horizontal="center" vertical="center"/>
    </xf>
    <xf numFmtId="178" fontId="72" fillId="0" borderId="56" xfId="633" applyNumberFormat="1" applyFont="1" applyBorder="1" applyAlignment="1" applyProtection="1">
      <alignment horizontal="right" vertical="center"/>
    </xf>
    <xf numFmtId="4" fontId="72" fillId="0" borderId="51" xfId="141" applyNumberFormat="1" applyFont="1" applyBorder="1" applyAlignment="1" applyProtection="1">
      <alignment horizontal="right" vertical="center"/>
    </xf>
    <xf numFmtId="179" fontId="72" fillId="0" borderId="91" xfId="633" applyNumberFormat="1" applyFont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left" vertical="center" indent="1"/>
    </xf>
    <xf numFmtId="0" fontId="38" fillId="0" borderId="34" xfId="0" applyFont="1" applyFill="1" applyBorder="1" applyAlignment="1">
      <alignment horizontal="left" vertical="center" indent="1"/>
    </xf>
    <xf numFmtId="0" fontId="38" fillId="0" borderId="23" xfId="0" applyFont="1" applyFill="1" applyBorder="1" applyAlignment="1">
      <alignment horizontal="left" vertical="center" indent="1"/>
    </xf>
    <xf numFmtId="0" fontId="73" fillId="0" borderId="14" xfId="0" applyFont="1" applyFill="1" applyBorder="1" applyAlignment="1">
      <alignment horizontal="center" vertical="center"/>
    </xf>
    <xf numFmtId="0" fontId="38" fillId="0" borderId="10" xfId="0" applyFont="1" applyFill="1" applyBorder="1" applyAlignment="1">
      <alignment vertical="center"/>
    </xf>
    <xf numFmtId="0" fontId="38" fillId="0" borderId="93" xfId="0" applyFont="1" applyFill="1" applyBorder="1" applyAlignment="1">
      <alignment vertical="center"/>
    </xf>
    <xf numFmtId="179" fontId="72" fillId="0" borderId="91" xfId="633" applyNumberFormat="1" applyFont="1" applyBorder="1" applyAlignment="1">
      <alignment horizontal="center" vertical="center"/>
    </xf>
    <xf numFmtId="179" fontId="72" fillId="0" borderId="91" xfId="633" applyNumberFormat="1" applyFont="1" applyFill="1" applyBorder="1" applyAlignment="1">
      <alignment horizontal="center" vertical="center"/>
    </xf>
    <xf numFmtId="179" fontId="72" fillId="0" borderId="171" xfId="633" applyNumberFormat="1" applyFont="1" applyBorder="1" applyAlignment="1">
      <alignment horizontal="center" vertical="center"/>
    </xf>
    <xf numFmtId="166" fontId="9" fillId="0" borderId="0" xfId="631" applyNumberFormat="1"/>
    <xf numFmtId="0" fontId="42" fillId="0" borderId="13" xfId="141" applyFont="1" applyBorder="1" applyAlignment="1">
      <alignment vertical="center" wrapText="1"/>
    </xf>
    <xf numFmtId="0" fontId="42" fillId="0" borderId="14" xfId="141" applyFont="1" applyBorder="1" applyAlignment="1">
      <alignment vertical="center" wrapText="1"/>
    </xf>
    <xf numFmtId="0" fontId="48" fillId="0" borderId="10" xfId="141" applyFont="1" applyFill="1" applyBorder="1" applyAlignment="1">
      <alignment horizontal="left" vertical="center"/>
    </xf>
    <xf numFmtId="0" fontId="42" fillId="0" borderId="93" xfId="141" applyFont="1" applyFill="1" applyBorder="1" applyAlignment="1">
      <alignment horizontal="left" vertical="center"/>
    </xf>
    <xf numFmtId="0" fontId="48" fillId="0" borderId="32" xfId="141" applyFont="1" applyBorder="1" applyAlignment="1">
      <alignment vertical="center"/>
    </xf>
    <xf numFmtId="0" fontId="48" fillId="0" borderId="15" xfId="141" applyFont="1" applyBorder="1" applyAlignment="1">
      <alignment vertical="center"/>
    </xf>
    <xf numFmtId="14" fontId="48" fillId="0" borderId="0" xfId="141" applyNumberFormat="1" applyFont="1" applyAlignment="1">
      <alignment vertical="center"/>
    </xf>
    <xf numFmtId="2" fontId="48" fillId="0" borderId="0" xfId="141" applyNumberFormat="1" applyFont="1" applyAlignment="1">
      <alignment vertical="center"/>
    </xf>
    <xf numFmtId="183" fontId="43" fillId="24" borderId="0" xfId="56" applyNumberFormat="1" applyFont="1" applyFill="1" applyAlignment="1">
      <alignment horizontal="right" vertical="center"/>
    </xf>
    <xf numFmtId="190" fontId="43" fillId="24" borderId="0" xfId="56" applyNumberFormat="1" applyFont="1" applyFill="1" applyAlignment="1">
      <alignment horizontal="right" vertical="center"/>
    </xf>
    <xf numFmtId="200" fontId="43" fillId="24" borderId="0" xfId="56" applyNumberFormat="1" applyFont="1" applyFill="1" applyAlignment="1">
      <alignment horizontal="right" vertical="center"/>
    </xf>
    <xf numFmtId="2" fontId="62" fillId="0" borderId="0" xfId="631" applyNumberFormat="1" applyFont="1"/>
    <xf numFmtId="17" fontId="5" fillId="0" borderId="34" xfId="631" applyNumberFormat="1" applyFont="1" applyBorder="1" applyAlignment="1">
      <alignment horizontal="center" vertical="center"/>
    </xf>
    <xf numFmtId="17" fontId="4" fillId="0" borderId="34" xfId="631" applyNumberFormat="1" applyFont="1" applyBorder="1" applyAlignment="1">
      <alignment horizontal="center" vertical="center"/>
    </xf>
    <xf numFmtId="201" fontId="38" fillId="0" borderId="0" xfId="59" applyNumberFormat="1" applyFont="1" applyFill="1" applyAlignment="1">
      <alignment vertical="center"/>
    </xf>
    <xf numFmtId="189" fontId="38" fillId="0" borderId="0" xfId="59" applyNumberFormat="1" applyFont="1" applyFill="1" applyAlignment="1">
      <alignment vertical="center"/>
    </xf>
    <xf numFmtId="2" fontId="38" fillId="0" borderId="0" xfId="0" applyNumberFormat="1" applyFont="1" applyFill="1" applyAlignment="1">
      <alignment vertical="center"/>
    </xf>
    <xf numFmtId="179" fontId="48" fillId="0" borderId="55" xfId="633" applyNumberFormat="1" applyFont="1" applyBorder="1" applyAlignment="1">
      <alignment horizontal="center" vertical="center" wrapText="1"/>
    </xf>
    <xf numFmtId="43" fontId="43" fillId="24" borderId="0" xfId="56" applyNumberFormat="1" applyFont="1" applyFill="1" applyAlignment="1">
      <alignment vertical="center"/>
    </xf>
    <xf numFmtId="17" fontId="3" fillId="0" borderId="34" xfId="631" applyNumberFormat="1" applyFont="1" applyBorder="1" applyAlignment="1">
      <alignment horizontal="center" vertical="center"/>
    </xf>
    <xf numFmtId="0" fontId="76" fillId="0" borderId="0" xfId="0" applyFont="1" applyFill="1" applyAlignment="1">
      <alignment vertical="center"/>
    </xf>
    <xf numFmtId="0" fontId="42" fillId="0" borderId="0" xfId="141" applyFont="1" applyBorder="1" applyAlignment="1">
      <alignment vertical="center" wrapText="1"/>
    </xf>
    <xf numFmtId="0" fontId="42" fillId="0" borderId="40" xfId="14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right" vertical="center"/>
    </xf>
    <xf numFmtId="177" fontId="42" fillId="24" borderId="32" xfId="142" applyNumberFormat="1" applyFont="1" applyFill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48" fillId="0" borderId="14" xfId="141" applyFont="1" applyFill="1" applyBorder="1" applyAlignment="1">
      <alignment vertical="center"/>
    </xf>
    <xf numFmtId="0" fontId="42" fillId="0" borderId="14" xfId="141" applyFont="1" applyFill="1" applyBorder="1" applyAlignment="1">
      <alignment horizontal="center" vertical="center"/>
    </xf>
    <xf numFmtId="0" fontId="42" fillId="0" borderId="17" xfId="141" applyFont="1" applyFill="1" applyBorder="1" applyAlignment="1">
      <alignment horizontal="center" vertical="center"/>
    </xf>
    <xf numFmtId="165" fontId="43" fillId="0" borderId="23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33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3" fillId="0" borderId="44" xfId="52" applyFont="1" applyFill="1" applyBorder="1" applyAlignment="1">
      <alignment vertical="center" wrapText="1"/>
    </xf>
    <xf numFmtId="0" fontId="43" fillId="0" borderId="35" xfId="52" applyFont="1" applyFill="1" applyBorder="1" applyAlignment="1">
      <alignment horizontal="center" vertical="center" wrapText="1"/>
    </xf>
    <xf numFmtId="165" fontId="43" fillId="0" borderId="94" xfId="47" applyNumberFormat="1" applyFont="1" applyFill="1" applyBorder="1" applyAlignment="1">
      <alignment horizontal="right" vertical="center" wrapText="1"/>
    </xf>
    <xf numFmtId="0" fontId="43" fillId="0" borderId="28" xfId="52" applyFont="1" applyFill="1" applyBorder="1" applyAlignment="1">
      <alignment horizontal="center" vertical="center" wrapText="1"/>
    </xf>
    <xf numFmtId="0" fontId="43" fillId="0" borderId="65" xfId="52" applyFont="1" applyFill="1" applyBorder="1" applyAlignment="1">
      <alignment vertical="center" wrapText="1"/>
    </xf>
    <xf numFmtId="0" fontId="43" fillId="0" borderId="66" xfId="52" applyFont="1" applyFill="1" applyBorder="1" applyAlignment="1">
      <alignment vertical="center" wrapText="1"/>
    </xf>
    <xf numFmtId="0" fontId="43" fillId="0" borderId="51" xfId="52" applyFont="1" applyFill="1" applyBorder="1" applyAlignment="1">
      <alignment horizontal="center" vertical="center" wrapText="1"/>
    </xf>
    <xf numFmtId="0" fontId="43" fillId="0" borderId="44" xfId="52" applyFont="1" applyFill="1" applyBorder="1" applyAlignment="1">
      <alignment vertical="center"/>
    </xf>
    <xf numFmtId="0" fontId="38" fillId="0" borderId="0" xfId="0" applyFont="1" applyFill="1" applyBorder="1" applyAlignment="1">
      <alignment horizontal="center" vertical="center"/>
    </xf>
    <xf numFmtId="0" fontId="43" fillId="0" borderId="16" xfId="0" applyFont="1" applyFill="1" applyBorder="1" applyAlignment="1">
      <alignment horizontal="center" vertical="center"/>
    </xf>
    <xf numFmtId="164" fontId="43" fillId="24" borderId="0" xfId="47" applyFont="1" applyFill="1" applyBorder="1" applyAlignment="1">
      <alignment horizontal="center" vertical="center"/>
    </xf>
    <xf numFmtId="0" fontId="43" fillId="0" borderId="15" xfId="0" applyFont="1" applyBorder="1" applyAlignment="1">
      <alignment horizontal="center"/>
    </xf>
    <xf numFmtId="0" fontId="43" fillId="0" borderId="17" xfId="0" applyFont="1" applyBorder="1" applyAlignment="1">
      <alignment horizontal="center"/>
    </xf>
    <xf numFmtId="0" fontId="43" fillId="24" borderId="0" xfId="56" applyFont="1" applyFill="1" applyBorder="1" applyAlignment="1">
      <alignment horizontal="center" vertical="center"/>
    </xf>
    <xf numFmtId="4" fontId="42" fillId="0" borderId="16" xfId="633" applyNumberFormat="1" applyFont="1" applyBorder="1" applyAlignment="1">
      <alignment horizontal="left" vertical="center"/>
    </xf>
    <xf numFmtId="0" fontId="24" fillId="0" borderId="0" xfId="0" applyFont="1"/>
    <xf numFmtId="10" fontId="48" fillId="0" borderId="62" xfId="59" applyNumberFormat="1" applyFont="1" applyBorder="1" applyAlignment="1" applyProtection="1">
      <alignment horizontal="center" vertical="center"/>
    </xf>
    <xf numFmtId="0" fontId="40" fillId="0" borderId="82" xfId="0" applyFont="1" applyBorder="1" applyAlignment="1">
      <alignment horizontal="right"/>
    </xf>
    <xf numFmtId="0" fontId="40" fillId="0" borderId="168" xfId="0" applyFont="1" applyBorder="1" applyAlignment="1">
      <alignment horizontal="right"/>
    </xf>
    <xf numFmtId="0" fontId="72" fillId="0" borderId="93" xfId="633" applyFont="1" applyBorder="1" applyAlignment="1">
      <alignment vertical="center"/>
    </xf>
    <xf numFmtId="0" fontId="72" fillId="0" borderId="16" xfId="633" applyFont="1" applyBorder="1" applyAlignment="1">
      <alignment vertical="center"/>
    </xf>
    <xf numFmtId="0" fontId="43" fillId="0" borderId="93" xfId="0" applyFont="1" applyBorder="1" applyAlignment="1">
      <alignment horizontal="right"/>
    </xf>
    <xf numFmtId="0" fontId="45" fillId="0" borderId="93" xfId="0" applyFont="1" applyBorder="1" applyAlignment="1">
      <alignment horizontal="left"/>
    </xf>
    <xf numFmtId="43" fontId="45" fillId="24" borderId="0" xfId="56" applyNumberFormat="1" applyFont="1" applyFill="1" applyAlignment="1">
      <alignment vertical="center"/>
    </xf>
    <xf numFmtId="10" fontId="43" fillId="24" borderId="53" xfId="59" applyNumberFormat="1" applyFont="1" applyFill="1" applyBorder="1" applyAlignment="1">
      <alignment horizontal="right" vertical="center"/>
    </xf>
    <xf numFmtId="43" fontId="43" fillId="24" borderId="0" xfId="56" applyNumberFormat="1" applyFont="1" applyFill="1" applyBorder="1" applyAlignment="1">
      <alignment vertical="center"/>
    </xf>
    <xf numFmtId="0" fontId="43" fillId="0" borderId="57" xfId="52" applyFont="1" applyFill="1" applyBorder="1" applyAlignment="1">
      <alignment horizontal="center" vertical="center" wrapText="1"/>
    </xf>
    <xf numFmtId="10" fontId="43" fillId="24" borderId="77" xfId="59" applyNumberFormat="1" applyFont="1" applyFill="1" applyBorder="1" applyAlignment="1">
      <alignment horizontal="right" vertical="center"/>
    </xf>
    <xf numFmtId="0" fontId="45" fillId="0" borderId="94" xfId="52" applyFont="1" applyFill="1" applyBorder="1" applyAlignment="1">
      <alignment vertical="center" wrapText="1"/>
    </xf>
    <xf numFmtId="0" fontId="45" fillId="24" borderId="16" xfId="56" applyFont="1" applyFill="1" applyBorder="1" applyAlignment="1">
      <alignment vertical="center"/>
    </xf>
    <xf numFmtId="0" fontId="72" fillId="24" borderId="0" xfId="858" applyFont="1" applyFill="1" applyBorder="1" applyAlignment="1">
      <alignment horizontal="center" vertical="center"/>
    </xf>
    <xf numFmtId="0" fontId="24" fillId="0" borderId="79" xfId="863" applyBorder="1"/>
    <xf numFmtId="0" fontId="24" fillId="0" borderId="80" xfId="863" applyBorder="1"/>
    <xf numFmtId="0" fontId="24" fillId="0" borderId="97" xfId="863" applyBorder="1"/>
    <xf numFmtId="0" fontId="24" fillId="0" borderId="0" xfId="863"/>
    <xf numFmtId="0" fontId="24" fillId="0" borderId="81" xfId="863" applyBorder="1"/>
    <xf numFmtId="0" fontId="24" fillId="0" borderId="0" xfId="863" applyBorder="1"/>
    <xf numFmtId="0" fontId="24" fillId="0" borderId="98" xfId="863" applyBorder="1"/>
    <xf numFmtId="0" fontId="24" fillId="0" borderId="99" xfId="863" applyBorder="1"/>
    <xf numFmtId="0" fontId="24" fillId="0" borderId="101" xfId="863" applyBorder="1"/>
    <xf numFmtId="0" fontId="24" fillId="0" borderId="100" xfId="863" applyBorder="1"/>
    <xf numFmtId="0" fontId="24" fillId="0" borderId="0" xfId="863" applyBorder="1" applyAlignment="1"/>
    <xf numFmtId="0" fontId="24" fillId="0" borderId="81" xfId="863" applyBorder="1" applyAlignment="1"/>
    <xf numFmtId="0" fontId="24" fillId="0" borderId="98" xfId="863" applyBorder="1" applyAlignment="1"/>
    <xf numFmtId="0" fontId="24" fillId="0" borderId="0" xfId="863" applyBorder="1" applyAlignment="1">
      <alignment horizontal="right"/>
    </xf>
    <xf numFmtId="0" fontId="24" fillId="0" borderId="0" xfId="863" applyFont="1" applyBorder="1" applyAlignment="1"/>
    <xf numFmtId="0" fontId="92" fillId="0" borderId="0" xfId="863" applyFont="1" applyFill="1" applyBorder="1" applyAlignment="1">
      <alignment horizontal="left"/>
    </xf>
    <xf numFmtId="0" fontId="92" fillId="0" borderId="81" xfId="863" applyFont="1" applyFill="1" applyBorder="1" applyAlignment="1"/>
    <xf numFmtId="0" fontId="92" fillId="0" borderId="0" xfId="863" applyFont="1" applyFill="1" applyBorder="1" applyAlignment="1"/>
    <xf numFmtId="49" fontId="90" fillId="0" borderId="81" xfId="863" applyNumberFormat="1" applyFont="1" applyFill="1" applyBorder="1" applyAlignment="1"/>
    <xf numFmtId="17" fontId="90" fillId="0" borderId="0" xfId="863" applyNumberFormat="1" applyFont="1" applyFill="1" applyBorder="1" applyAlignment="1"/>
    <xf numFmtId="17" fontId="90" fillId="0" borderId="98" xfId="863" applyNumberFormat="1" applyFont="1" applyFill="1" applyBorder="1" applyAlignment="1"/>
    <xf numFmtId="0" fontId="95" fillId="0" borderId="101" xfId="863" applyFont="1" applyBorder="1"/>
    <xf numFmtId="0" fontId="24" fillId="0" borderId="101" xfId="863" applyFont="1" applyBorder="1"/>
    <xf numFmtId="0" fontId="93" fillId="0" borderId="81" xfId="863" applyFont="1" applyFill="1" applyBorder="1" applyAlignment="1"/>
    <xf numFmtId="0" fontId="93" fillId="0" borderId="0" xfId="863" applyFont="1" applyFill="1" applyBorder="1" applyAlignment="1"/>
    <xf numFmtId="0" fontId="70" fillId="0" borderId="0" xfId="863" applyFont="1" applyBorder="1" applyAlignment="1">
      <alignment horizontal="right"/>
    </xf>
    <xf numFmtId="0" fontId="94" fillId="0" borderId="0" xfId="863" applyFont="1" applyBorder="1" applyAlignment="1"/>
    <xf numFmtId="0" fontId="90" fillId="0" borderId="81" xfId="863" applyFont="1" applyBorder="1" applyAlignment="1">
      <alignment horizontal="center"/>
    </xf>
    <xf numFmtId="0" fontId="90" fillId="0" borderId="0" xfId="863" applyFont="1" applyBorder="1" applyAlignment="1">
      <alignment horizontal="center"/>
    </xf>
    <xf numFmtId="0" fontId="90" fillId="0" borderId="98" xfId="863" applyFont="1" applyBorder="1" applyAlignment="1">
      <alignment horizontal="center"/>
    </xf>
    <xf numFmtId="0" fontId="91" fillId="0" borderId="0" xfId="863" applyFont="1" applyBorder="1"/>
    <xf numFmtId="0" fontId="92" fillId="0" borderId="0" xfId="863" applyFont="1" applyFill="1" applyBorder="1" applyAlignment="1">
      <alignment horizontal="center" vertical="center"/>
    </xf>
    <xf numFmtId="0" fontId="24" fillId="0" borderId="0" xfId="864"/>
    <xf numFmtId="0" fontId="24" fillId="0" borderId="0" xfId="864" applyAlignment="1">
      <alignment horizontal="left"/>
    </xf>
    <xf numFmtId="0" fontId="24" fillId="0" borderId="0" xfId="864" applyFont="1"/>
    <xf numFmtId="0" fontId="24" fillId="0" borderId="81" xfId="864" applyFont="1" applyBorder="1" applyAlignment="1"/>
    <xf numFmtId="0" fontId="24" fillId="0" borderId="0" xfId="864" applyFont="1" applyBorder="1" applyAlignment="1"/>
    <xf numFmtId="0" fontId="24" fillId="0" borderId="138" xfId="864" applyBorder="1" applyAlignment="1">
      <alignment horizontal="center"/>
    </xf>
    <xf numFmtId="0" fontId="24" fillId="0" borderId="81" xfId="864" applyFont="1" applyBorder="1"/>
    <xf numFmtId="0" fontId="24" fillId="0" borderId="0" xfId="864" applyFont="1" applyBorder="1"/>
    <xf numFmtId="0" fontId="24" fillId="0" borderId="98" xfId="864" applyFont="1" applyBorder="1"/>
    <xf numFmtId="0" fontId="24" fillId="0" borderId="99" xfId="864" applyFont="1" applyBorder="1"/>
    <xf numFmtId="0" fontId="24" fillId="0" borderId="101" xfId="864" applyFont="1" applyBorder="1"/>
    <xf numFmtId="0" fontId="24" fillId="0" borderId="100" xfId="864" applyFont="1" applyBorder="1"/>
    <xf numFmtId="203" fontId="24" fillId="0" borderId="0" xfId="864" applyNumberFormat="1" applyFont="1"/>
    <xf numFmtId="0" fontId="24" fillId="0" borderId="181" xfId="864" applyFont="1" applyBorder="1" applyAlignment="1">
      <alignment vertical="center"/>
    </xf>
    <xf numFmtId="0" fontId="24" fillId="0" borderId="172" xfId="864" applyFont="1" applyBorder="1"/>
    <xf numFmtId="0" fontId="24" fillId="0" borderId="86" xfId="864" applyFont="1" applyBorder="1"/>
    <xf numFmtId="0" fontId="70" fillId="0" borderId="86" xfId="864" applyFont="1" applyBorder="1"/>
    <xf numFmtId="0" fontId="70" fillId="0" borderId="0" xfId="864" applyFont="1" applyAlignment="1">
      <alignment wrapText="1"/>
    </xf>
    <xf numFmtId="0" fontId="70" fillId="0" borderId="0" xfId="864" applyFont="1"/>
    <xf numFmtId="0" fontId="24" fillId="0" borderId="182" xfId="864" applyFont="1" applyBorder="1"/>
    <xf numFmtId="0" fontId="89" fillId="0" borderId="0" xfId="864" applyFont="1"/>
    <xf numFmtId="0" fontId="97" fillId="0" borderId="18" xfId="864" applyFont="1" applyBorder="1" applyAlignment="1">
      <alignment horizontal="center"/>
    </xf>
    <xf numFmtId="0" fontId="89" fillId="0" borderId="54" xfId="864" applyFont="1" applyBorder="1" applyAlignment="1">
      <alignment vertical="center"/>
    </xf>
    <xf numFmtId="0" fontId="89" fillId="0" borderId="184" xfId="864" applyFont="1" applyBorder="1" applyAlignment="1">
      <alignment vertical="center"/>
    </xf>
    <xf numFmtId="0" fontId="89" fillId="0" borderId="55" xfId="864" applyFont="1" applyBorder="1" applyAlignment="1">
      <alignment vertical="center"/>
    </xf>
    <xf numFmtId="0" fontId="89" fillId="0" borderId="91" xfId="864" applyFont="1" applyBorder="1" applyAlignment="1">
      <alignment vertical="center"/>
    </xf>
    <xf numFmtId="0" fontId="89" fillId="0" borderId="74" xfId="864" applyFont="1" applyBorder="1" applyAlignment="1">
      <alignment vertical="center"/>
    </xf>
    <xf numFmtId="0" fontId="89" fillId="0" borderId="161" xfId="864" applyFont="1" applyBorder="1" applyAlignment="1">
      <alignment vertical="center"/>
    </xf>
    <xf numFmtId="0" fontId="89" fillId="0" borderId="187" xfId="864" applyFont="1" applyBorder="1" applyAlignment="1">
      <alignment vertical="center"/>
    </xf>
    <xf numFmtId="0" fontId="89" fillId="0" borderId="188" xfId="864" applyFont="1" applyBorder="1" applyAlignment="1">
      <alignment vertical="center"/>
    </xf>
    <xf numFmtId="49" fontId="24" fillId="0" borderId="0" xfId="864" applyNumberFormat="1" applyFont="1"/>
    <xf numFmtId="49" fontId="38" fillId="0" borderId="0" xfId="0" applyNumberFormat="1" applyFont="1" applyFill="1" applyAlignment="1">
      <alignment vertical="center"/>
    </xf>
    <xf numFmtId="0" fontId="1" fillId="0" borderId="0" xfId="866" applyAlignment="1">
      <alignment horizontal="right"/>
    </xf>
    <xf numFmtId="0" fontId="1" fillId="0" borderId="0" xfId="866"/>
    <xf numFmtId="0" fontId="24" fillId="0" borderId="173" xfId="864" applyBorder="1" applyAlignment="1">
      <alignment horizontal="right"/>
    </xf>
    <xf numFmtId="0" fontId="24" fillId="0" borderId="174" xfId="864" applyBorder="1" applyAlignment="1">
      <alignment horizontal="right"/>
    </xf>
    <xf numFmtId="0" fontId="24" fillId="0" borderId="174" xfId="864" applyBorder="1"/>
    <xf numFmtId="0" fontId="24" fillId="0" borderId="175" xfId="864" applyBorder="1"/>
    <xf numFmtId="0" fontId="24" fillId="0" borderId="176" xfId="864" applyBorder="1" applyAlignment="1">
      <alignment horizontal="center" vertical="center"/>
    </xf>
    <xf numFmtId="0" fontId="24" fillId="0" borderId="0" xfId="864" applyBorder="1" applyAlignment="1">
      <alignment horizontal="center" vertical="center"/>
    </xf>
    <xf numFmtId="0" fontId="24" fillId="0" borderId="177" xfId="864" applyBorder="1" applyAlignment="1">
      <alignment horizontal="center" vertical="center"/>
    </xf>
    <xf numFmtId="0" fontId="24" fillId="0" borderId="176" xfId="864" applyBorder="1" applyAlignment="1">
      <alignment horizontal="right"/>
    </xf>
    <xf numFmtId="0" fontId="24" fillId="0" borderId="0" xfId="864" applyBorder="1" applyAlignment="1">
      <alignment horizontal="right"/>
    </xf>
    <xf numFmtId="0" fontId="102" fillId="0" borderId="0" xfId="864" applyFont="1" applyBorder="1" applyAlignment="1">
      <alignment horizontal="left"/>
    </xf>
    <xf numFmtId="0" fontId="102" fillId="0" borderId="0" xfId="864" applyFont="1" applyBorder="1"/>
    <xf numFmtId="0" fontId="24" fillId="0" borderId="0" xfId="864" applyBorder="1"/>
    <xf numFmtId="0" fontId="68" fillId="0" borderId="0" xfId="864" applyFont="1" applyBorder="1"/>
    <xf numFmtId="0" fontId="68" fillId="0" borderId="177" xfId="864" applyFont="1" applyBorder="1"/>
    <xf numFmtId="0" fontId="24" fillId="0" borderId="0" xfId="864" applyFont="1" applyBorder="1" applyAlignment="1">
      <alignment horizontal="left"/>
    </xf>
    <xf numFmtId="0" fontId="68" fillId="0" borderId="0" xfId="864" applyFont="1" applyBorder="1" applyAlignment="1"/>
    <xf numFmtId="0" fontId="68" fillId="0" borderId="177" xfId="864" applyFont="1" applyBorder="1" applyAlignment="1"/>
    <xf numFmtId="0" fontId="103" fillId="0" borderId="176" xfId="864" applyFont="1" applyBorder="1" applyAlignment="1">
      <alignment horizontal="right"/>
    </xf>
    <xf numFmtId="2" fontId="24" fillId="0" borderId="0" xfId="864" applyNumberFormat="1" applyBorder="1" applyAlignment="1">
      <alignment horizontal="right"/>
    </xf>
    <xf numFmtId="0" fontId="99" fillId="0" borderId="0" xfId="864" applyFont="1" applyBorder="1" applyAlignment="1">
      <alignment horizontal="left"/>
    </xf>
    <xf numFmtId="0" fontId="1" fillId="0" borderId="0" xfId="866" applyBorder="1"/>
    <xf numFmtId="0" fontId="103" fillId="0" borderId="0" xfId="864" applyFont="1" applyBorder="1" applyAlignment="1">
      <alignment horizontal="right"/>
    </xf>
    <xf numFmtId="0" fontId="24" fillId="0" borderId="178" xfId="864" applyBorder="1" applyAlignment="1">
      <alignment horizontal="right"/>
    </xf>
    <xf numFmtId="0" fontId="24" fillId="0" borderId="179" xfId="864" applyBorder="1" applyAlignment="1">
      <alignment horizontal="right"/>
    </xf>
    <xf numFmtId="0" fontId="24" fillId="0" borderId="179" xfId="864" applyFont="1" applyBorder="1" applyAlignment="1">
      <alignment horizontal="left"/>
    </xf>
    <xf numFmtId="0" fontId="24" fillId="0" borderId="179" xfId="864" applyBorder="1" applyAlignment="1"/>
    <xf numFmtId="0" fontId="24" fillId="0" borderId="180" xfId="864" applyBorder="1" applyAlignment="1"/>
    <xf numFmtId="0" fontId="24" fillId="0" borderId="177" xfId="864" applyBorder="1"/>
    <xf numFmtId="0" fontId="24" fillId="0" borderId="0" xfId="864" applyBorder="1" applyAlignment="1">
      <alignment horizontal="left"/>
    </xf>
    <xf numFmtId="0" fontId="24" fillId="0" borderId="0" xfId="864" applyBorder="1" applyAlignment="1"/>
    <xf numFmtId="0" fontId="24" fillId="0" borderId="177" xfId="864" applyBorder="1" applyAlignment="1"/>
    <xf numFmtId="0" fontId="105" fillId="0" borderId="0" xfId="0" applyFont="1" applyFill="1" applyAlignment="1">
      <alignment horizontal="center"/>
    </xf>
    <xf numFmtId="0" fontId="105" fillId="28" borderId="0" xfId="0" applyFont="1" applyFill="1" applyAlignment="1">
      <alignment horizontal="center"/>
    </xf>
    <xf numFmtId="0" fontId="105" fillId="28" borderId="0" xfId="0" applyFont="1" applyFill="1"/>
    <xf numFmtId="0" fontId="105" fillId="0" borderId="0" xfId="0" applyFont="1" applyAlignment="1">
      <alignment horizontal="center"/>
    </xf>
    <xf numFmtId="0" fontId="105" fillId="0" borderId="0" xfId="0" applyFont="1"/>
    <xf numFmtId="165" fontId="43" fillId="24" borderId="192" xfId="56" applyNumberFormat="1" applyFont="1" applyFill="1" applyBorder="1" applyAlignment="1">
      <alignment horizontal="right" vertical="center"/>
    </xf>
    <xf numFmtId="165" fontId="43" fillId="24" borderId="192" xfId="47" applyNumberFormat="1" applyFont="1" applyFill="1" applyBorder="1" applyAlignment="1">
      <alignment horizontal="right" vertical="center"/>
    </xf>
    <xf numFmtId="165" fontId="43" fillId="0" borderId="192" xfId="47" applyNumberFormat="1" applyFont="1" applyFill="1" applyBorder="1" applyAlignment="1">
      <alignment horizontal="right" vertical="center" wrapText="1"/>
    </xf>
    <xf numFmtId="165" fontId="43" fillId="24" borderId="61" xfId="47" applyNumberFormat="1" applyFont="1" applyFill="1" applyBorder="1" applyAlignment="1">
      <alignment horizontal="right" vertical="center"/>
    </xf>
    <xf numFmtId="165" fontId="43" fillId="24" borderId="0" xfId="56" applyNumberFormat="1" applyFont="1" applyFill="1" applyAlignment="1">
      <alignment vertical="center"/>
    </xf>
    <xf numFmtId="0" fontId="43" fillId="0" borderId="0" xfId="0" applyFont="1" applyBorder="1" applyAlignment="1">
      <alignment horizontal="center"/>
    </xf>
    <xf numFmtId="0" fontId="45" fillId="26" borderId="0" xfId="56" applyFont="1" applyFill="1" applyBorder="1" applyAlignment="1">
      <alignment horizontal="center" vertical="center" wrapText="1"/>
    </xf>
    <xf numFmtId="10" fontId="45" fillId="24" borderId="0" xfId="59" applyNumberFormat="1" applyFont="1" applyFill="1" applyBorder="1" applyAlignment="1">
      <alignment horizontal="right" vertical="center"/>
    </xf>
    <xf numFmtId="2" fontId="43" fillId="24" borderId="0" xfId="59" applyNumberFormat="1" applyFont="1" applyFill="1" applyBorder="1" applyAlignment="1">
      <alignment horizontal="right" vertical="center"/>
    </xf>
    <xf numFmtId="0" fontId="45" fillId="0" borderId="192" xfId="52" applyNumberFormat="1" applyFont="1" applyFill="1" applyBorder="1" applyAlignment="1" applyProtection="1">
      <alignment vertical="center"/>
    </xf>
    <xf numFmtId="0" fontId="43" fillId="0" borderId="192" xfId="52" applyFont="1" applyBorder="1" applyAlignment="1">
      <alignment horizontal="center" vertical="center"/>
    </xf>
    <xf numFmtId="165" fontId="43" fillId="0" borderId="192" xfId="52" applyNumberFormat="1" applyFont="1" applyBorder="1" applyAlignment="1">
      <alignment horizontal="right" vertical="center"/>
    </xf>
    <xf numFmtId="165" fontId="43" fillId="24" borderId="192" xfId="56" applyNumberFormat="1" applyFont="1" applyFill="1" applyBorder="1" applyAlignment="1">
      <alignment horizontal="right" vertical="center" wrapText="1"/>
    </xf>
    <xf numFmtId="165" fontId="43" fillId="24" borderId="189" xfId="56" applyNumberFormat="1" applyFont="1" applyFill="1" applyBorder="1" applyAlignment="1">
      <alignment horizontal="right" vertical="center" wrapText="1"/>
    </xf>
    <xf numFmtId="0" fontId="44" fillId="0" borderId="192" xfId="52" applyNumberFormat="1" applyFont="1" applyFill="1" applyBorder="1" applyAlignment="1" applyProtection="1">
      <alignment horizontal="center" vertical="center" wrapText="1"/>
    </xf>
    <xf numFmtId="165" fontId="50" fillId="0" borderId="192" xfId="47" applyNumberFormat="1" applyFont="1" applyFill="1" applyBorder="1" applyAlignment="1" applyProtection="1">
      <alignment horizontal="right" vertical="center" wrapText="1"/>
    </xf>
    <xf numFmtId="165" fontId="43" fillId="24" borderId="192" xfId="47" applyNumberFormat="1" applyFont="1" applyFill="1" applyBorder="1" applyAlignment="1">
      <alignment horizontal="right" vertical="center" wrapText="1"/>
    </xf>
    <xf numFmtId="165" fontId="43" fillId="24" borderId="189" xfId="47" applyNumberFormat="1" applyFont="1" applyFill="1" applyBorder="1" applyAlignment="1">
      <alignment horizontal="right" vertical="center" wrapText="1"/>
    </xf>
    <xf numFmtId="0" fontId="43" fillId="0" borderId="192" xfId="52" applyFont="1" applyFill="1" applyBorder="1" applyAlignment="1">
      <alignment horizontal="center" vertical="center" wrapText="1"/>
    </xf>
    <xf numFmtId="165" fontId="43" fillId="0" borderId="192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189" xfId="47" applyNumberFormat="1" applyFont="1" applyFill="1" applyBorder="1" applyAlignment="1">
      <alignment horizontal="right" vertical="center"/>
    </xf>
    <xf numFmtId="165" fontId="45" fillId="0" borderId="192" xfId="0" applyNumberFormat="1" applyFont="1" applyFill="1" applyBorder="1" applyAlignment="1" applyProtection="1">
      <alignment vertical="center" wrapText="1"/>
    </xf>
    <xf numFmtId="165" fontId="43" fillId="24" borderId="189" xfId="47" applyNumberFormat="1" applyFont="1" applyFill="1" applyBorder="1" applyAlignment="1" applyProtection="1">
      <alignment horizontal="right" vertical="center"/>
      <protection locked="0"/>
    </xf>
    <xf numFmtId="165" fontId="43" fillId="24" borderId="192" xfId="47" applyNumberFormat="1" applyFont="1" applyFill="1" applyBorder="1" applyAlignment="1" applyProtection="1">
      <alignment horizontal="right" vertical="center"/>
      <protection locked="0"/>
    </xf>
    <xf numFmtId="0" fontId="89" fillId="0" borderId="0" xfId="863" applyFont="1" applyBorder="1" applyAlignment="1">
      <alignment horizontal="right" vertical="center"/>
    </xf>
    <xf numFmtId="17" fontId="97" fillId="0" borderId="0" xfId="863" applyNumberFormat="1" applyFont="1" applyFill="1" applyBorder="1" applyAlignment="1">
      <alignment vertical="center"/>
    </xf>
    <xf numFmtId="0" fontId="24" fillId="0" borderId="0" xfId="864" applyFont="1" applyBorder="1" applyAlignment="1">
      <alignment horizontal="right" vertical="center"/>
    </xf>
    <xf numFmtId="0" fontId="70" fillId="0" borderId="192" xfId="864" applyFont="1" applyBorder="1" applyAlignment="1">
      <alignment vertical="center"/>
    </xf>
    <xf numFmtId="0" fontId="70" fillId="0" borderId="192" xfId="864" applyFont="1" applyBorder="1"/>
    <xf numFmtId="0" fontId="48" fillId="24" borderId="0" xfId="56" applyFont="1" applyFill="1" applyAlignment="1">
      <alignment horizontal="left" vertical="center"/>
    </xf>
    <xf numFmtId="0" fontId="42" fillId="24" borderId="0" xfId="56" applyFont="1" applyFill="1" applyBorder="1" applyAlignment="1">
      <alignment horizontal="left" vertical="center"/>
    </xf>
    <xf numFmtId="0" fontId="42" fillId="24" borderId="0" xfId="56" applyFont="1" applyFill="1" applyBorder="1" applyAlignment="1">
      <alignment vertical="center"/>
    </xf>
    <xf numFmtId="0" fontId="43" fillId="0" borderId="164" xfId="52" applyFont="1" applyFill="1" applyBorder="1" applyAlignment="1">
      <alignment horizontal="center" vertical="center" wrapText="1"/>
    </xf>
    <xf numFmtId="165" fontId="43" fillId="0" borderId="60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53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59" xfId="47" applyNumberFormat="1" applyFont="1" applyFill="1" applyBorder="1" applyAlignment="1">
      <alignment horizontal="right" vertical="center"/>
    </xf>
    <xf numFmtId="165" fontId="43" fillId="24" borderId="198" xfId="47" applyNumberFormat="1" applyFont="1" applyFill="1" applyBorder="1" applyAlignment="1">
      <alignment horizontal="right" vertical="center"/>
    </xf>
    <xf numFmtId="165" fontId="43" fillId="24" borderId="66" xfId="47" applyNumberFormat="1" applyFont="1" applyFill="1" applyBorder="1" applyAlignment="1">
      <alignment horizontal="right" vertical="center"/>
    </xf>
    <xf numFmtId="165" fontId="43" fillId="24" borderId="67" xfId="47" applyNumberFormat="1" applyFont="1" applyFill="1" applyBorder="1" applyAlignment="1">
      <alignment horizontal="right" vertical="center"/>
    </xf>
    <xf numFmtId="10" fontId="43" fillId="24" borderId="198" xfId="59" applyNumberFormat="1" applyFont="1" applyFill="1" applyBorder="1" applyAlignment="1">
      <alignment horizontal="right" vertical="center"/>
    </xf>
    <xf numFmtId="10" fontId="43" fillId="24" borderId="14" xfId="59" applyNumberFormat="1" applyFont="1" applyFill="1" applyBorder="1" applyAlignment="1">
      <alignment horizontal="right" vertical="center"/>
    </xf>
    <xf numFmtId="0" fontId="43" fillId="0" borderId="58" xfId="52" applyFont="1" applyFill="1" applyBorder="1" applyAlignment="1">
      <alignment horizontal="center" vertical="center" wrapText="1"/>
    </xf>
    <xf numFmtId="10" fontId="43" fillId="24" borderId="41" xfId="59" applyNumberFormat="1" applyFont="1" applyFill="1" applyBorder="1" applyAlignment="1">
      <alignment horizontal="right" vertical="center"/>
    </xf>
    <xf numFmtId="49" fontId="45" fillId="0" borderId="19" xfId="52" applyNumberFormat="1" applyFont="1" applyFill="1" applyBorder="1" applyAlignment="1" applyProtection="1">
      <alignment horizontal="center" vertical="center"/>
    </xf>
    <xf numFmtId="49" fontId="43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5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3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4" fillId="0" borderId="0" xfId="863" applyNumberFormat="1"/>
    <xf numFmtId="0" fontId="107" fillId="0" borderId="174" xfId="863" applyFont="1" applyBorder="1"/>
    <xf numFmtId="0" fontId="107" fillId="0" borderId="0" xfId="863" applyFont="1" applyBorder="1"/>
    <xf numFmtId="0" fontId="108" fillId="0" borderId="0" xfId="863" applyFont="1" applyBorder="1"/>
    <xf numFmtId="0" fontId="108" fillId="0" borderId="0" xfId="863" applyFont="1" applyBorder="1" applyAlignment="1">
      <alignment vertical="center" wrapText="1"/>
    </xf>
    <xf numFmtId="0" fontId="107" fillId="0" borderId="179" xfId="863" applyFont="1" applyBorder="1"/>
    <xf numFmtId="0" fontId="112" fillId="0" borderId="0" xfId="863" applyFont="1" applyBorder="1" applyAlignment="1">
      <alignment horizontal="right" vertical="center"/>
    </xf>
    <xf numFmtId="0" fontId="112" fillId="0" borderId="0" xfId="863" applyFont="1" applyBorder="1" applyAlignment="1">
      <alignment horizontal="center" vertical="center"/>
    </xf>
    <xf numFmtId="49" fontId="45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44" fillId="30" borderId="192" xfId="52" applyFont="1" applyFill="1" applyBorder="1" applyAlignment="1">
      <alignment horizontal="right" vertical="center" wrapText="1"/>
    </xf>
    <xf numFmtId="0" fontId="45" fillId="30" borderId="19" xfId="52" applyFont="1" applyFill="1" applyBorder="1" applyAlignment="1">
      <alignment horizontal="center" vertical="center" wrapText="1"/>
    </xf>
    <xf numFmtId="165" fontId="45" fillId="30" borderId="192" xfId="47" applyNumberFormat="1" applyFont="1" applyFill="1" applyBorder="1" applyAlignment="1" applyProtection="1">
      <alignment horizontal="right" vertical="center" wrapText="1"/>
      <protection locked="0"/>
    </xf>
    <xf numFmtId="165" fontId="45" fillId="30" borderId="192" xfId="47" applyNumberFormat="1" applyFont="1" applyFill="1" applyBorder="1" applyAlignment="1">
      <alignment horizontal="right" vertical="center" wrapText="1"/>
    </xf>
    <xf numFmtId="165" fontId="45" fillId="30" borderId="189" xfId="47" applyNumberFormat="1" applyFont="1" applyFill="1" applyBorder="1" applyAlignment="1">
      <alignment horizontal="right" vertical="center" wrapText="1"/>
    </xf>
    <xf numFmtId="165" fontId="45" fillId="30" borderId="192" xfId="47" applyNumberFormat="1" applyFont="1" applyFill="1" applyBorder="1" applyAlignment="1">
      <alignment horizontal="right" vertical="center"/>
    </xf>
    <xf numFmtId="165" fontId="45" fillId="30" borderId="19" xfId="47" applyNumberFormat="1" applyFont="1" applyFill="1" applyBorder="1" applyAlignment="1">
      <alignment horizontal="right" vertical="center"/>
    </xf>
    <xf numFmtId="165" fontId="43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60" fillId="0" borderId="16" xfId="631" applyFont="1" applyBorder="1" applyAlignment="1">
      <alignment horizontal="center" vertical="top"/>
    </xf>
    <xf numFmtId="0" fontId="40" fillId="0" borderId="81" xfId="633" applyFont="1" applyBorder="1" applyAlignment="1"/>
    <xf numFmtId="0" fontId="40" fillId="0" borderId="14" xfId="633" applyFont="1" applyBorder="1" applyAlignment="1"/>
    <xf numFmtId="0" fontId="40" fillId="0" borderId="0" xfId="633" applyFont="1" applyBorder="1" applyAlignment="1"/>
    <xf numFmtId="0" fontId="72" fillId="0" borderId="54" xfId="0" applyFont="1" applyBorder="1" applyAlignment="1">
      <alignment horizontal="center" vertical="center" wrapText="1"/>
    </xf>
    <xf numFmtId="0" fontId="72" fillId="0" borderId="74" xfId="0" applyFont="1" applyBorder="1" applyAlignment="1">
      <alignment horizontal="center" vertical="center" wrapText="1"/>
    </xf>
    <xf numFmtId="0" fontId="40" fillId="0" borderId="0" xfId="141" applyFont="1" applyBorder="1" applyAlignment="1">
      <alignment horizontal="center" vertical="center"/>
    </xf>
    <xf numFmtId="17" fontId="48" fillId="0" borderId="54" xfId="141" applyNumberFormat="1" applyFont="1" applyBorder="1" applyAlignment="1">
      <alignment horizontal="center" vertical="center" wrapText="1"/>
    </xf>
    <xf numFmtId="17" fontId="48" fillId="0" borderId="55" xfId="141" applyNumberFormat="1" applyFont="1" applyBorder="1" applyAlignment="1">
      <alignment horizontal="center" vertical="center" wrapText="1"/>
    </xf>
    <xf numFmtId="0" fontId="42" fillId="0" borderId="16" xfId="141" applyFont="1" applyFill="1" applyBorder="1" applyAlignment="1">
      <alignment horizontal="center" vertical="top"/>
    </xf>
    <xf numFmtId="0" fontId="42" fillId="0" borderId="0" xfId="141" applyFont="1" applyFill="1" applyBorder="1" applyAlignment="1">
      <alignment horizontal="right" vertical="center"/>
    </xf>
    <xf numFmtId="43" fontId="48" fillId="0" borderId="57" xfId="46" applyFont="1" applyBorder="1" applyAlignment="1">
      <alignment vertical="center"/>
    </xf>
    <xf numFmtId="43" fontId="48" fillId="0" borderId="26" xfId="46" applyFont="1" applyFill="1" applyBorder="1" applyAlignment="1">
      <alignment horizontal="right" vertical="center"/>
    </xf>
    <xf numFmtId="43" fontId="48" fillId="0" borderId="58" xfId="46" applyFont="1" applyBorder="1" applyAlignment="1">
      <alignment vertical="center"/>
    </xf>
    <xf numFmtId="43" fontId="48" fillId="0" borderId="29" xfId="46" applyFont="1" applyFill="1" applyBorder="1" applyAlignment="1">
      <alignment horizontal="right" vertical="center"/>
    </xf>
    <xf numFmtId="43" fontId="48" fillId="0" borderId="50" xfId="46" applyFont="1" applyBorder="1" applyAlignment="1">
      <alignment vertical="center"/>
    </xf>
    <xf numFmtId="43" fontId="48" fillId="0" borderId="31" xfId="46" applyFont="1" applyFill="1" applyBorder="1" applyAlignment="1">
      <alignment horizontal="right" vertical="center"/>
    </xf>
    <xf numFmtId="43" fontId="48" fillId="0" borderId="0" xfId="46" applyFont="1" applyAlignment="1">
      <alignment vertical="center"/>
    </xf>
    <xf numFmtId="43" fontId="9" fillId="0" borderId="0" xfId="46" applyFont="1"/>
    <xf numFmtId="43" fontId="7" fillId="0" borderId="0" xfId="46" applyFont="1"/>
    <xf numFmtId="10" fontId="45" fillId="30" borderId="41" xfId="59" applyNumberFormat="1" applyFont="1" applyFill="1" applyBorder="1" applyAlignment="1">
      <alignment horizontal="right" vertical="center"/>
    </xf>
    <xf numFmtId="165" fontId="43" fillId="24" borderId="78" xfId="47" applyNumberFormat="1" applyFont="1" applyFill="1" applyBorder="1" applyAlignment="1">
      <alignment horizontal="right" vertical="center"/>
    </xf>
    <xf numFmtId="165" fontId="43" fillId="24" borderId="31" xfId="47" applyNumberFormat="1" applyFont="1" applyFill="1" applyBorder="1" applyAlignment="1">
      <alignment horizontal="right" vertical="center"/>
    </xf>
    <xf numFmtId="165" fontId="43" fillId="0" borderId="41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43" xfId="47" applyNumberFormat="1" applyFont="1" applyFill="1" applyBorder="1" applyAlignment="1">
      <alignment horizontal="right" vertical="center"/>
    </xf>
    <xf numFmtId="9" fontId="48" fillId="0" borderId="0" xfId="59" applyFont="1" applyAlignment="1">
      <alignment vertical="center"/>
    </xf>
    <xf numFmtId="167" fontId="113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114" fillId="30" borderId="192" xfId="52" applyFont="1" applyFill="1" applyBorder="1" applyAlignment="1">
      <alignment vertical="center" wrapText="1"/>
    </xf>
    <xf numFmtId="0" fontId="114" fillId="30" borderId="192" xfId="52" applyFont="1" applyFill="1" applyBorder="1" applyAlignment="1">
      <alignment horizontal="center" vertical="center" wrapText="1"/>
    </xf>
    <xf numFmtId="165" fontId="114" fillId="30" borderId="192" xfId="47" applyNumberFormat="1" applyFont="1" applyFill="1" applyBorder="1" applyAlignment="1" applyProtection="1">
      <alignment horizontal="right" vertical="center" wrapText="1"/>
      <protection locked="0"/>
    </xf>
    <xf numFmtId="165" fontId="114" fillId="30" borderId="192" xfId="47" applyNumberFormat="1" applyFont="1" applyFill="1" applyBorder="1" applyAlignment="1">
      <alignment horizontal="right" vertical="center" wrapText="1"/>
    </xf>
    <xf numFmtId="165" fontId="114" fillId="30" borderId="192" xfId="47" applyNumberFormat="1" applyFont="1" applyFill="1" applyBorder="1" applyAlignment="1" applyProtection="1">
      <alignment horizontal="right" vertical="center"/>
      <protection locked="0"/>
    </xf>
    <xf numFmtId="165" fontId="114" fillId="30" borderId="19" xfId="47" applyNumberFormat="1" applyFont="1" applyFill="1" applyBorder="1" applyAlignment="1" applyProtection="1">
      <alignment horizontal="right" vertical="center"/>
      <protection locked="0"/>
    </xf>
    <xf numFmtId="10" fontId="114" fillId="30" borderId="189" xfId="59" applyNumberFormat="1" applyFont="1" applyFill="1" applyBorder="1" applyAlignment="1">
      <alignment horizontal="right" vertical="center"/>
    </xf>
    <xf numFmtId="17" fontId="86" fillId="0" borderId="0" xfId="0" applyNumberFormat="1" applyFont="1" applyFill="1" applyBorder="1" applyAlignment="1">
      <alignment vertical="center"/>
    </xf>
    <xf numFmtId="0" fontId="38" fillId="24" borderId="0" xfId="56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right" vertical="center"/>
    </xf>
    <xf numFmtId="0" fontId="41" fillId="24" borderId="0" xfId="56" applyFont="1" applyFill="1" applyBorder="1" applyAlignment="1">
      <alignment horizontal="center" vertical="center"/>
    </xf>
    <xf numFmtId="0" fontId="41" fillId="24" borderId="16" xfId="56" applyFont="1" applyFill="1" applyBorder="1" applyAlignment="1">
      <alignment horizontal="center" vertical="center" wrapText="1"/>
    </xf>
    <xf numFmtId="0" fontId="38" fillId="24" borderId="16" xfId="56" applyFont="1" applyFill="1" applyBorder="1" applyAlignment="1">
      <alignment horizontal="center" vertical="center"/>
    </xf>
    <xf numFmtId="0" fontId="38" fillId="24" borderId="16" xfId="56" applyFont="1" applyFill="1" applyBorder="1" applyAlignment="1">
      <alignment horizontal="right" vertical="center"/>
    </xf>
    <xf numFmtId="10" fontId="48" fillId="0" borderId="58" xfId="59" applyNumberFormat="1" applyFont="1" applyBorder="1" applyAlignment="1">
      <alignment horizontal="right" vertical="center" indent="1"/>
    </xf>
    <xf numFmtId="10" fontId="48" fillId="0" borderId="29" xfId="59" applyNumberFormat="1" applyFont="1" applyFill="1" applyBorder="1" applyAlignment="1">
      <alignment horizontal="right" vertical="center" indent="1"/>
    </xf>
    <xf numFmtId="10" fontId="48" fillId="0" borderId="26" xfId="59" applyNumberFormat="1" applyFont="1" applyFill="1" applyBorder="1" applyAlignment="1">
      <alignment horizontal="right" vertical="center" indent="1"/>
    </xf>
    <xf numFmtId="43" fontId="48" fillId="0" borderId="58" xfId="46" applyFont="1" applyBorder="1" applyAlignment="1">
      <alignment horizontal="right" vertical="center" indent="1"/>
    </xf>
    <xf numFmtId="43" fontId="48" fillId="0" borderId="29" xfId="46" applyFont="1" applyFill="1" applyBorder="1" applyAlignment="1">
      <alignment horizontal="right" vertical="center" indent="1"/>
    </xf>
    <xf numFmtId="10" fontId="48" fillId="0" borderId="57" xfId="59" applyNumberFormat="1" applyFont="1" applyBorder="1" applyAlignment="1">
      <alignment horizontal="right" vertical="center" indent="1"/>
    </xf>
    <xf numFmtId="10" fontId="48" fillId="0" borderId="50" xfId="59" applyNumberFormat="1" applyFont="1" applyBorder="1" applyAlignment="1">
      <alignment horizontal="right" vertical="center" indent="1"/>
    </xf>
    <xf numFmtId="10" fontId="48" fillId="0" borderId="31" xfId="59" applyNumberFormat="1" applyFont="1" applyFill="1" applyBorder="1" applyAlignment="1">
      <alignment horizontal="right" vertical="center" indent="1"/>
    </xf>
    <xf numFmtId="0" fontId="40" fillId="0" borderId="0" xfId="857" applyFont="1" applyBorder="1" applyAlignment="1"/>
    <xf numFmtId="4" fontId="48" fillId="0" borderId="17" xfId="46" applyNumberFormat="1" applyFont="1" applyBorder="1" applyAlignment="1">
      <alignment horizontal="left" indent="1"/>
    </xf>
    <xf numFmtId="0" fontId="88" fillId="0" borderId="67" xfId="631" applyFont="1" applyBorder="1" applyAlignment="1">
      <alignment horizontal="center" vertical="center" wrapText="1"/>
    </xf>
    <xf numFmtId="0" fontId="88" fillId="0" borderId="63" xfId="631" applyFont="1" applyBorder="1" applyAlignment="1">
      <alignment horizontal="center" vertical="center"/>
    </xf>
    <xf numFmtId="0" fontId="41" fillId="0" borderId="20" xfId="633" applyFont="1" applyBorder="1" applyAlignment="1">
      <alignment horizontal="center" vertical="center"/>
    </xf>
    <xf numFmtId="0" fontId="42" fillId="0" borderId="16" xfId="633" applyFont="1" applyFill="1" applyBorder="1" applyAlignment="1">
      <alignment horizontal="center" vertical="top"/>
    </xf>
    <xf numFmtId="0" fontId="41" fillId="24" borderId="0" xfId="56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2" fillId="0" borderId="93" xfId="633" applyFont="1" applyFill="1" applyBorder="1" applyAlignment="1">
      <alignment horizontal="center" vertical="center"/>
    </xf>
    <xf numFmtId="0" fontId="41" fillId="0" borderId="22" xfId="633" applyFont="1" applyBorder="1" applyAlignment="1">
      <alignment horizontal="center" vertical="center" wrapText="1"/>
    </xf>
    <xf numFmtId="0" fontId="41" fillId="31" borderId="190" xfId="633" applyFont="1" applyFill="1" applyBorder="1" applyAlignment="1">
      <alignment horizontal="center" vertical="center" wrapText="1"/>
    </xf>
    <xf numFmtId="0" fontId="41" fillId="0" borderId="10" xfId="633" applyFont="1" applyBorder="1" applyAlignment="1"/>
    <xf numFmtId="0" fontId="42" fillId="0" borderId="13" xfId="633" applyFont="1" applyBorder="1" applyAlignment="1">
      <alignment vertical="center"/>
    </xf>
    <xf numFmtId="0" fontId="42" fillId="0" borderId="14" xfId="633" applyFont="1" applyBorder="1" applyAlignment="1">
      <alignment horizontal="right" vertical="center"/>
    </xf>
    <xf numFmtId="0" fontId="42" fillId="0" borderId="93" xfId="633" applyFont="1" applyBorder="1" applyAlignment="1">
      <alignment vertical="center"/>
    </xf>
    <xf numFmtId="0" fontId="48" fillId="0" borderId="94" xfId="633" applyFont="1" applyBorder="1" applyAlignment="1">
      <alignment vertical="center"/>
    </xf>
    <xf numFmtId="0" fontId="42" fillId="0" borderId="24" xfId="633" applyFont="1" applyBorder="1" applyAlignment="1">
      <alignment wrapText="1"/>
    </xf>
    <xf numFmtId="0" fontId="41" fillId="0" borderId="22" xfId="633" applyFont="1" applyBorder="1" applyAlignment="1">
      <alignment horizontal="center" wrapText="1"/>
    </xf>
    <xf numFmtId="0" fontId="47" fillId="0" borderId="0" xfId="633" applyFont="1" applyBorder="1" applyAlignment="1">
      <alignment horizontal="center" vertical="top"/>
    </xf>
    <xf numFmtId="0" fontId="42" fillId="0" borderId="13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1" fillId="0" borderId="13" xfId="0" applyFont="1" applyFill="1" applyBorder="1" applyAlignment="1" applyProtection="1">
      <alignment vertical="center"/>
    </xf>
    <xf numFmtId="0" fontId="41" fillId="0" borderId="14" xfId="0" applyFont="1" applyFill="1" applyBorder="1" applyAlignment="1" applyProtection="1">
      <alignment vertical="center"/>
    </xf>
    <xf numFmtId="0" fontId="38" fillId="0" borderId="28" xfId="0" applyFont="1" applyFill="1" applyBorder="1" applyAlignment="1">
      <alignment horizontal="left" vertical="center" indent="1"/>
    </xf>
    <xf numFmtId="0" fontId="38" fillId="0" borderId="34" xfId="0" applyFont="1" applyFill="1" applyBorder="1" applyAlignment="1">
      <alignment horizontal="left" vertical="center" indent="1"/>
    </xf>
    <xf numFmtId="0" fontId="38" fillId="0" borderId="23" xfId="0" applyFont="1" applyFill="1" applyBorder="1" applyAlignment="1">
      <alignment horizontal="left" vertical="center" indent="1"/>
    </xf>
    <xf numFmtId="0" fontId="115" fillId="0" borderId="176" xfId="0" applyFont="1" applyBorder="1" applyAlignment="1">
      <alignment horizontal="left"/>
    </xf>
    <xf numFmtId="0" fontId="116" fillId="0" borderId="0" xfId="0" applyFont="1" applyAlignment="1">
      <alignment horizontal="left"/>
    </xf>
    <xf numFmtId="0" fontId="70" fillId="0" borderId="0" xfId="0" applyFont="1"/>
    <xf numFmtId="0" fontId="70" fillId="0" borderId="0" xfId="0" applyFont="1" applyAlignment="1">
      <alignment horizontal="right"/>
    </xf>
    <xf numFmtId="0" fontId="42" fillId="0" borderId="93" xfId="0" applyFont="1" applyFill="1" applyBorder="1" applyAlignment="1">
      <alignment horizontal="right" vertical="center"/>
    </xf>
    <xf numFmtId="0" fontId="117" fillId="0" borderId="59" xfId="631" applyFont="1" applyBorder="1" applyAlignment="1">
      <alignment horizontal="center" vertical="center" wrapText="1"/>
    </xf>
    <xf numFmtId="2" fontId="72" fillId="0" borderId="28" xfId="46" applyNumberFormat="1" applyFont="1" applyBorder="1" applyAlignment="1" applyProtection="1">
      <alignment horizontal="right" vertical="center" indent="1"/>
    </xf>
    <xf numFmtId="2" fontId="40" fillId="0" borderId="190" xfId="141" applyNumberFormat="1" applyFont="1" applyBorder="1" applyAlignment="1" applyProtection="1">
      <alignment horizontal="right" vertical="center"/>
    </xf>
    <xf numFmtId="15" fontId="72" fillId="0" borderId="54" xfId="0" applyNumberFormat="1" applyFont="1" applyBorder="1" applyAlignment="1">
      <alignment horizontal="center" vertical="center" wrapText="1"/>
    </xf>
    <xf numFmtId="15" fontId="72" fillId="0" borderId="55" xfId="0" applyNumberFormat="1" applyFont="1" applyBorder="1" applyAlignment="1">
      <alignment horizontal="center" vertical="center" wrapText="1"/>
    </xf>
    <xf numFmtId="15" fontId="72" fillId="0" borderId="74" xfId="0" applyNumberFormat="1" applyFont="1" applyBorder="1" applyAlignment="1">
      <alignment horizontal="center" vertical="center" wrapText="1"/>
    </xf>
    <xf numFmtId="43" fontId="42" fillId="0" borderId="0" xfId="46" applyFont="1" applyAlignment="1">
      <alignment vertical="center"/>
    </xf>
    <xf numFmtId="49" fontId="72" fillId="0" borderId="57" xfId="857" applyNumberFormat="1" applyFont="1" applyBorder="1" applyAlignment="1" applyProtection="1">
      <alignment horizontal="center" vertical="center"/>
    </xf>
    <xf numFmtId="0" fontId="48" fillId="0" borderId="47" xfId="857" applyFont="1" applyBorder="1" applyAlignment="1">
      <alignment horizontal="center" vertical="center" wrapText="1"/>
    </xf>
    <xf numFmtId="4" fontId="72" fillId="0" borderId="54" xfId="857" applyNumberFormat="1" applyFont="1" applyBorder="1" applyAlignment="1">
      <alignment horizontal="center" vertical="center"/>
    </xf>
    <xf numFmtId="4" fontId="72" fillId="0" borderId="35" xfId="857" applyNumberFormat="1" applyFont="1" applyBorder="1" applyAlignment="1">
      <alignment horizontal="center" vertical="center"/>
    </xf>
    <xf numFmtId="4" fontId="72" fillId="0" borderId="57" xfId="857" applyNumberFormat="1" applyFont="1" applyBorder="1" applyAlignment="1" applyProtection="1">
      <alignment horizontal="right" vertical="center"/>
    </xf>
    <xf numFmtId="4" fontId="72" fillId="0" borderId="47" xfId="857" applyNumberFormat="1" applyFont="1" applyBorder="1" applyAlignment="1" applyProtection="1">
      <alignment horizontal="right" vertical="center" indent="1"/>
    </xf>
    <xf numFmtId="15" fontId="72" fillId="0" borderId="57" xfId="857" applyNumberFormat="1" applyFont="1" applyBorder="1" applyAlignment="1" applyProtection="1">
      <alignment horizontal="center" vertical="center"/>
    </xf>
    <xf numFmtId="15" fontId="72" fillId="0" borderId="26" xfId="857" applyNumberFormat="1" applyFont="1" applyBorder="1" applyAlignment="1" applyProtection="1">
      <alignment horizontal="center" vertical="center"/>
    </xf>
    <xf numFmtId="0" fontId="119" fillId="24" borderId="0" xfId="56" applyFont="1" applyFill="1" applyAlignment="1">
      <alignment horizontal="left" vertical="center"/>
    </xf>
    <xf numFmtId="0" fontId="119" fillId="24" borderId="0" xfId="56" applyFont="1" applyFill="1" applyBorder="1" applyAlignment="1">
      <alignment horizontal="left" vertical="center"/>
    </xf>
    <xf numFmtId="0" fontId="42" fillId="30" borderId="189" xfId="857" applyFont="1" applyFill="1" applyBorder="1" applyAlignment="1">
      <alignment horizontal="center" vertical="center" wrapText="1"/>
    </xf>
    <xf numFmtId="0" fontId="42" fillId="30" borderId="190" xfId="857" applyFont="1" applyFill="1" applyBorder="1" applyAlignment="1">
      <alignment horizontal="center" vertical="center"/>
    </xf>
    <xf numFmtId="0" fontId="40" fillId="32" borderId="192" xfId="857" applyFont="1" applyFill="1" applyBorder="1" applyAlignment="1">
      <alignment vertical="center" wrapText="1"/>
    </xf>
    <xf numFmtId="0" fontId="40" fillId="32" borderId="192" xfId="857" applyFont="1" applyFill="1" applyBorder="1" applyAlignment="1">
      <alignment horizontal="left" vertical="center" indent="1"/>
    </xf>
    <xf numFmtId="4" fontId="40" fillId="32" borderId="192" xfId="857" applyNumberFormat="1" applyFont="1" applyFill="1" applyBorder="1" applyAlignment="1">
      <alignment vertical="center" wrapText="1"/>
    </xf>
    <xf numFmtId="4" fontId="40" fillId="32" borderId="192" xfId="857" applyNumberFormat="1" applyFont="1" applyFill="1" applyBorder="1" applyAlignment="1" applyProtection="1">
      <alignment horizontal="right" vertical="center" indent="1"/>
    </xf>
    <xf numFmtId="182" fontId="72" fillId="32" borderId="192" xfId="857" applyNumberFormat="1" applyFont="1" applyFill="1" applyBorder="1" applyAlignment="1" applyProtection="1">
      <alignment horizontal="center" vertical="center"/>
    </xf>
    <xf numFmtId="0" fontId="48" fillId="24" borderId="0" xfId="858" applyFont="1" applyFill="1" applyBorder="1" applyAlignment="1">
      <alignment horizontal="right" vertical="center"/>
    </xf>
    <xf numFmtId="0" fontId="48" fillId="0" borderId="0" xfId="857" applyFont="1" applyBorder="1" applyAlignment="1">
      <alignment vertical="center"/>
    </xf>
    <xf numFmtId="0" fontId="121" fillId="0" borderId="10" xfId="53" applyFont="1" applyBorder="1" applyAlignment="1">
      <alignment vertical="center"/>
    </xf>
    <xf numFmtId="0" fontId="41" fillId="0" borderId="0" xfId="0" applyFont="1" applyFill="1" applyBorder="1" applyAlignment="1">
      <alignment horizontal="right" vertical="center"/>
    </xf>
    <xf numFmtId="204" fontId="48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Alignment="1">
      <alignment horizontal="center"/>
    </xf>
    <xf numFmtId="49" fontId="116" fillId="0" borderId="0" xfId="0" applyNumberFormat="1" applyFont="1" applyAlignment="1">
      <alignment horizontal="center"/>
    </xf>
    <xf numFmtId="14" fontId="48" fillId="0" borderId="0" xfId="0" applyNumberFormat="1" applyFont="1" applyFill="1" applyBorder="1" applyAlignment="1" applyProtection="1">
      <alignment vertical="center"/>
    </xf>
    <xf numFmtId="49" fontId="0" fillId="0" borderId="0" xfId="0" applyNumberFormat="1"/>
    <xf numFmtId="0" fontId="0" fillId="32" borderId="0" xfId="0" applyFill="1"/>
    <xf numFmtId="49" fontId="122" fillId="32" borderId="0" xfId="0" applyNumberFormat="1" applyFont="1" applyFill="1" applyAlignment="1">
      <alignment horizontal="center"/>
    </xf>
    <xf numFmtId="0" fontId="68" fillId="32" borderId="0" xfId="0" applyFont="1" applyFill="1"/>
    <xf numFmtId="49" fontId="68" fillId="32" borderId="0" xfId="0" applyNumberFormat="1" applyFont="1" applyFill="1"/>
    <xf numFmtId="0" fontId="42" fillId="0" borderId="93" xfId="0" applyFont="1" applyFill="1" applyBorder="1" applyAlignment="1">
      <alignment horizontal="left" vertical="center"/>
    </xf>
    <xf numFmtId="0" fontId="38" fillId="0" borderId="0" xfId="0" applyNumberFormat="1" applyFont="1" applyFill="1" applyBorder="1" applyAlignment="1">
      <alignment horizontal="left" vertical="center"/>
    </xf>
    <xf numFmtId="49" fontId="48" fillId="0" borderId="0" xfId="0" applyNumberFormat="1" applyFont="1" applyFill="1" applyAlignment="1">
      <alignment vertical="center"/>
    </xf>
    <xf numFmtId="2" fontId="45" fillId="24" borderId="0" xfId="59" applyNumberFormat="1" applyFont="1" applyFill="1" applyBorder="1" applyAlignment="1">
      <alignment horizontal="right" vertical="center"/>
    </xf>
    <xf numFmtId="165" fontId="43" fillId="24" borderId="93" xfId="47" applyNumberFormat="1" applyFont="1" applyFill="1" applyBorder="1" applyAlignment="1">
      <alignment horizontal="right" vertical="center"/>
    </xf>
    <xf numFmtId="10" fontId="43" fillId="24" borderId="42" xfId="59" applyNumberFormat="1" applyFont="1" applyFill="1" applyBorder="1" applyAlignment="1">
      <alignment horizontal="right" vertical="center"/>
    </xf>
    <xf numFmtId="10" fontId="45" fillId="30" borderId="42" xfId="59" applyNumberFormat="1" applyFont="1" applyFill="1" applyBorder="1" applyAlignment="1">
      <alignment horizontal="right" vertical="center"/>
    </xf>
    <xf numFmtId="10" fontId="114" fillId="30" borderId="42" xfId="59" applyNumberFormat="1" applyFont="1" applyFill="1" applyBorder="1" applyAlignment="1">
      <alignment horizontal="right" vertical="center"/>
    </xf>
    <xf numFmtId="10" fontId="43" fillId="24" borderId="43" xfId="59" applyNumberFormat="1" applyFont="1" applyFill="1" applyBorder="1" applyAlignment="1">
      <alignment horizontal="right" vertical="center"/>
    </xf>
    <xf numFmtId="10" fontId="45" fillId="30" borderId="43" xfId="59" applyNumberFormat="1" applyFont="1" applyFill="1" applyBorder="1" applyAlignment="1">
      <alignment horizontal="right" vertical="center"/>
    </xf>
    <xf numFmtId="10" fontId="114" fillId="30" borderId="41" xfId="59" applyNumberFormat="1" applyFont="1" applyFill="1" applyBorder="1" applyAlignment="1">
      <alignment horizontal="right" vertical="center"/>
    </xf>
    <xf numFmtId="165" fontId="114" fillId="30" borderId="189" xfId="47" applyNumberFormat="1" applyFont="1" applyFill="1" applyBorder="1" applyAlignment="1">
      <alignment horizontal="right" vertical="center" wrapText="1"/>
    </xf>
    <xf numFmtId="0" fontId="40" fillId="0" borderId="0" xfId="633" applyFont="1" applyBorder="1" applyAlignment="1">
      <alignment horizontal="center" vertical="center"/>
    </xf>
    <xf numFmtId="17" fontId="117" fillId="0" borderId="61" xfId="631" applyNumberFormat="1" applyFont="1" applyBorder="1" applyAlignment="1">
      <alignment horizontal="center" vertical="center"/>
    </xf>
    <xf numFmtId="166" fontId="117" fillId="0" borderId="59" xfId="631" applyNumberFormat="1" applyFont="1" applyBorder="1" applyAlignment="1">
      <alignment horizontal="center" vertical="center"/>
    </xf>
    <xf numFmtId="166" fontId="117" fillId="0" borderId="76" xfId="631" applyNumberFormat="1" applyFont="1" applyBorder="1" applyAlignment="1">
      <alignment horizontal="center" vertical="center"/>
    </xf>
    <xf numFmtId="166" fontId="117" fillId="0" borderId="60" xfId="631" applyNumberFormat="1" applyFont="1" applyBorder="1" applyAlignment="1">
      <alignment horizontal="center" vertical="center"/>
    </xf>
    <xf numFmtId="166" fontId="117" fillId="0" borderId="77" xfId="631" applyNumberFormat="1" applyFont="1" applyBorder="1" applyAlignment="1">
      <alignment horizontal="center" vertical="center"/>
    </xf>
    <xf numFmtId="166" fontId="117" fillId="0" borderId="53" xfId="631" applyNumberFormat="1" applyFont="1" applyBorder="1" applyAlignment="1">
      <alignment horizontal="center" vertical="center"/>
    </xf>
    <xf numFmtId="166" fontId="117" fillId="0" borderId="57" xfId="631" applyNumberFormat="1" applyFont="1" applyBorder="1" applyAlignment="1">
      <alignment horizontal="center" vertical="center"/>
    </xf>
    <xf numFmtId="166" fontId="117" fillId="0" borderId="57" xfId="631" applyNumberFormat="1" applyFont="1" applyFill="1" applyBorder="1" applyAlignment="1">
      <alignment vertical="center"/>
    </xf>
    <xf numFmtId="10" fontId="117" fillId="0" borderId="29" xfId="59" applyNumberFormat="1" applyFont="1" applyFill="1" applyBorder="1" applyAlignment="1">
      <alignment vertical="center"/>
    </xf>
    <xf numFmtId="0" fontId="117" fillId="0" borderId="58" xfId="631" applyFont="1" applyBorder="1" applyAlignment="1">
      <alignment horizontal="center" vertical="center"/>
    </xf>
    <xf numFmtId="166" fontId="48" fillId="0" borderId="58" xfId="631" applyNumberFormat="1" applyFont="1" applyFill="1" applyBorder="1" applyAlignment="1">
      <alignment vertical="center"/>
    </xf>
    <xf numFmtId="10" fontId="48" fillId="0" borderId="34" xfId="59" applyNumberFormat="1" applyFont="1" applyFill="1" applyBorder="1" applyAlignment="1">
      <alignment vertical="center"/>
    </xf>
    <xf numFmtId="166" fontId="117" fillId="0" borderId="58" xfId="631" applyNumberFormat="1" applyFont="1" applyFill="1" applyBorder="1" applyAlignment="1">
      <alignment vertical="center"/>
    </xf>
    <xf numFmtId="166" fontId="117" fillId="0" borderId="27" xfId="631" applyNumberFormat="1" applyFont="1" applyFill="1" applyBorder="1" applyAlignment="1">
      <alignment vertical="center"/>
    </xf>
    <xf numFmtId="166" fontId="117" fillId="0" borderId="34" xfId="631" applyNumberFormat="1" applyFont="1" applyFill="1" applyBorder="1" applyAlignment="1">
      <alignment vertical="center"/>
    </xf>
    <xf numFmtId="10" fontId="117" fillId="0" borderId="45" xfId="59" applyNumberFormat="1" applyFont="1" applyFill="1" applyBorder="1" applyAlignment="1">
      <alignment vertical="center"/>
    </xf>
    <xf numFmtId="166" fontId="117" fillId="0" borderId="23" xfId="631" applyNumberFormat="1" applyFont="1" applyFill="1" applyBorder="1" applyAlignment="1">
      <alignment vertical="center"/>
    </xf>
    <xf numFmtId="166" fontId="117" fillId="0" borderId="45" xfId="631" applyNumberFormat="1" applyFont="1" applyFill="1" applyBorder="1" applyAlignment="1">
      <alignment vertical="center"/>
    </xf>
    <xf numFmtId="4" fontId="88" fillId="0" borderId="162" xfId="631" applyNumberFormat="1" applyFont="1" applyBorder="1" applyAlignment="1">
      <alignment vertical="center"/>
    </xf>
    <xf numFmtId="10" fontId="88" fillId="0" borderId="43" xfId="59" applyNumberFormat="1" applyFont="1" applyBorder="1" applyAlignment="1">
      <alignment vertical="center"/>
    </xf>
    <xf numFmtId="4" fontId="88" fillId="0" borderId="42" xfId="631" applyNumberFormat="1" applyFont="1" applyBorder="1" applyAlignment="1">
      <alignment vertical="center"/>
    </xf>
    <xf numFmtId="43" fontId="88" fillId="0" borderId="42" xfId="46" applyFont="1" applyBorder="1" applyAlignment="1">
      <alignment vertical="center"/>
    </xf>
    <xf numFmtId="43" fontId="88" fillId="0" borderId="43" xfId="46" applyFont="1" applyBorder="1" applyAlignment="1">
      <alignment vertical="center"/>
    </xf>
    <xf numFmtId="43" fontId="88" fillId="0" borderId="162" xfId="46" applyFont="1" applyBorder="1" applyAlignment="1">
      <alignment vertical="center"/>
    </xf>
    <xf numFmtId="0" fontId="48" fillId="0" borderId="0" xfId="633" applyFont="1" applyFill="1" applyBorder="1" applyAlignment="1">
      <alignment horizontal="center" vertical="center"/>
    </xf>
    <xf numFmtId="0" fontId="59" fillId="0" borderId="15" xfId="631" applyFont="1" applyBorder="1" applyAlignment="1">
      <alignment wrapText="1"/>
    </xf>
    <xf numFmtId="0" fontId="38" fillId="24" borderId="16" xfId="56" applyFont="1" applyFill="1" applyBorder="1" applyAlignment="1">
      <alignment horizontal="right" vertical="top"/>
    </xf>
    <xf numFmtId="0" fontId="43" fillId="24" borderId="16" xfId="56" applyFont="1" applyFill="1" applyBorder="1" applyAlignment="1">
      <alignment vertical="top"/>
    </xf>
    <xf numFmtId="0" fontId="43" fillId="24" borderId="16" xfId="56" applyFont="1" applyFill="1" applyBorder="1" applyAlignment="1">
      <alignment horizontal="right" vertical="top"/>
    </xf>
    <xf numFmtId="15" fontId="48" fillId="0" borderId="0" xfId="141" applyNumberFormat="1" applyFont="1" applyAlignment="1">
      <alignment vertical="center"/>
    </xf>
    <xf numFmtId="0" fontId="42" fillId="0" borderId="13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7" fillId="0" borderId="10" xfId="0" applyFont="1" applyBorder="1" applyAlignment="1">
      <alignment vertical="center" wrapText="1"/>
    </xf>
    <xf numFmtId="0" fontId="47" fillId="0" borderId="94" xfId="0" applyFont="1" applyBorder="1" applyAlignment="1">
      <alignment vertical="center" wrapText="1"/>
    </xf>
    <xf numFmtId="0" fontId="72" fillId="0" borderId="17" xfId="0" applyFont="1" applyBorder="1" applyAlignment="1">
      <alignment horizontal="center" vertical="center" wrapText="1"/>
    </xf>
    <xf numFmtId="0" fontId="47" fillId="0" borderId="20" xfId="0" applyFont="1" applyBorder="1" applyAlignment="1">
      <alignment vertical="center" wrapText="1"/>
    </xf>
    <xf numFmtId="0" fontId="72" fillId="0" borderId="24" xfId="0" applyFont="1" applyBorder="1" applyAlignment="1">
      <alignment horizontal="center" vertical="center" wrapText="1"/>
    </xf>
    <xf numFmtId="0" fontId="47" fillId="0" borderId="13" xfId="0" applyFont="1" applyBorder="1" applyAlignment="1">
      <alignment vertical="center" wrapText="1"/>
    </xf>
    <xf numFmtId="0" fontId="47" fillId="0" borderId="14" xfId="0" applyFont="1" applyBorder="1" applyAlignment="1">
      <alignment vertical="center" wrapText="1"/>
    </xf>
    <xf numFmtId="0" fontId="47" fillId="0" borderId="24" xfId="0" applyFont="1" applyBorder="1" applyAlignment="1">
      <alignment vertical="center" wrapText="1"/>
    </xf>
    <xf numFmtId="0" fontId="38" fillId="0" borderId="22" xfId="0" applyFont="1" applyBorder="1" applyAlignment="1">
      <alignment horizontal="center" vertical="center" wrapText="1"/>
    </xf>
    <xf numFmtId="0" fontId="72" fillId="0" borderId="55" xfId="0" applyFont="1" applyBorder="1" applyAlignment="1">
      <alignment horizontal="left" vertical="center" wrapText="1" indent="1"/>
    </xf>
    <xf numFmtId="0" fontId="72" fillId="0" borderId="74" xfId="0" applyFont="1" applyBorder="1" applyAlignment="1">
      <alignment horizontal="left" vertical="center" wrapText="1" indent="1"/>
    </xf>
    <xf numFmtId="0" fontId="72" fillId="0" borderId="54" xfId="0" applyFont="1" applyBorder="1" applyAlignment="1">
      <alignment horizontal="left" vertical="center" wrapText="1" indent="1"/>
    </xf>
    <xf numFmtId="0" fontId="40" fillId="30" borderId="18" xfId="0" applyFont="1" applyFill="1" applyBorder="1" applyAlignment="1">
      <alignment horizontal="center" vertical="center" wrapText="1"/>
    </xf>
    <xf numFmtId="0" fontId="47" fillId="0" borderId="93" xfId="0" applyFont="1" applyBorder="1" applyAlignment="1">
      <alignment vertical="center" wrapText="1"/>
    </xf>
    <xf numFmtId="0" fontId="72" fillId="0" borderId="16" xfId="0" applyFont="1" applyBorder="1" applyAlignment="1">
      <alignment horizontal="center" vertical="center" wrapText="1"/>
    </xf>
    <xf numFmtId="49" fontId="116" fillId="0" borderId="0" xfId="0" applyNumberFormat="1" applyFont="1" applyAlignment="1">
      <alignment horizontal="left"/>
    </xf>
    <xf numFmtId="166" fontId="117" fillId="0" borderId="29" xfId="631" applyNumberFormat="1" applyFont="1" applyFill="1" applyBorder="1" applyAlignment="1">
      <alignment vertical="center"/>
    </xf>
    <xf numFmtId="166" fontId="48" fillId="0" borderId="23" xfId="631" applyNumberFormat="1" applyFont="1" applyFill="1" applyBorder="1" applyAlignment="1">
      <alignment vertical="center"/>
    </xf>
    <xf numFmtId="166" fontId="48" fillId="0" borderId="45" xfId="631" applyNumberFormat="1" applyFont="1" applyFill="1" applyBorder="1" applyAlignment="1">
      <alignment vertical="center"/>
    </xf>
    <xf numFmtId="17" fontId="117" fillId="0" borderId="29" xfId="631" applyNumberFormat="1" applyFont="1" applyBorder="1" applyAlignment="1">
      <alignment horizontal="center" vertical="center"/>
    </xf>
    <xf numFmtId="166" fontId="117" fillId="0" borderId="50" xfId="631" applyNumberFormat="1" applyFont="1" applyFill="1" applyBorder="1" applyAlignment="1">
      <alignment vertical="center"/>
    </xf>
    <xf numFmtId="166" fontId="117" fillId="0" borderId="30" xfId="631" applyNumberFormat="1" applyFont="1" applyFill="1" applyBorder="1" applyAlignment="1">
      <alignment vertical="center"/>
    </xf>
    <xf numFmtId="166" fontId="117" fillId="0" borderId="31" xfId="631" applyNumberFormat="1" applyFont="1" applyFill="1" applyBorder="1" applyAlignment="1">
      <alignment vertical="center"/>
    </xf>
    <xf numFmtId="0" fontId="40" fillId="0" borderId="190" xfId="633" applyFont="1" applyBorder="1" applyAlignment="1">
      <alignment horizontal="center" vertical="center" wrapText="1"/>
    </xf>
    <xf numFmtId="0" fontId="40" fillId="0" borderId="138" xfId="633" applyFont="1" applyBorder="1" applyAlignment="1">
      <alignment horizontal="center" vertical="center"/>
    </xf>
    <xf numFmtId="2" fontId="72" fillId="0" borderId="194" xfId="46" applyNumberFormat="1" applyFont="1" applyBorder="1" applyAlignment="1" applyProtection="1">
      <alignment horizontal="right" vertical="center" indent="1"/>
    </xf>
    <xf numFmtId="0" fontId="72" fillId="0" borderId="191" xfId="141" applyFont="1" applyBorder="1" applyAlignment="1">
      <alignment horizontal="center" vertical="center" wrapText="1"/>
    </xf>
    <xf numFmtId="182" fontId="6" fillId="0" borderId="192" xfId="631" applyNumberFormat="1" applyFont="1" applyBorder="1" applyAlignment="1">
      <alignment horizontal="center" vertical="center"/>
    </xf>
    <xf numFmtId="17" fontId="6" fillId="0" borderId="192" xfId="631" applyNumberFormat="1" applyFont="1" applyBorder="1" applyAlignment="1">
      <alignment horizontal="center" vertical="center"/>
    </xf>
    <xf numFmtId="182" fontId="59" fillId="0" borderId="192" xfId="631" applyNumberFormat="1" applyFont="1" applyBorder="1" applyAlignment="1">
      <alignment horizontal="right" vertical="center"/>
    </xf>
    <xf numFmtId="2" fontId="40" fillId="0" borderId="190" xfId="633" applyNumberFormat="1" applyFont="1" applyBorder="1" applyAlignment="1" applyProtection="1">
      <alignment horizontal="right" vertical="center"/>
    </xf>
    <xf numFmtId="179" fontId="72" fillId="0" borderId="193" xfId="633" applyNumberFormat="1" applyFont="1" applyBorder="1" applyAlignment="1">
      <alignment vertical="center"/>
    </xf>
    <xf numFmtId="0" fontId="40" fillId="0" borderId="99" xfId="633" applyFont="1" applyBorder="1" applyAlignment="1">
      <alignment vertical="center" wrapText="1"/>
    </xf>
    <xf numFmtId="0" fontId="42" fillId="0" borderId="167" xfId="633" applyFont="1" applyBorder="1" applyAlignment="1">
      <alignment horizontal="center" vertical="center" wrapText="1"/>
    </xf>
    <xf numFmtId="0" fontId="72" fillId="0" borderId="81" xfId="633" applyFont="1" applyFill="1" applyBorder="1" applyAlignment="1">
      <alignment vertical="center"/>
    </xf>
    <xf numFmtId="0" fontId="40" fillId="0" borderId="101" xfId="633" applyFont="1" applyBorder="1" applyAlignment="1">
      <alignment horizontal="center" vertical="top"/>
    </xf>
    <xf numFmtId="0" fontId="38" fillId="0" borderId="28" xfId="0" applyFont="1" applyFill="1" applyBorder="1" applyAlignment="1">
      <alignment horizontal="left" vertical="center" indent="1"/>
    </xf>
    <xf numFmtId="0" fontId="48" fillId="0" borderId="55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49" fontId="72" fillId="0" borderId="58" xfId="857" applyNumberFormat="1" applyFont="1" applyBorder="1" applyAlignment="1" applyProtection="1">
      <alignment horizontal="center" vertical="center"/>
    </xf>
    <xf numFmtId="0" fontId="48" fillId="0" borderId="45" xfId="857" applyFont="1" applyBorder="1" applyAlignment="1">
      <alignment horizontal="center" vertical="center" wrapText="1"/>
    </xf>
    <xf numFmtId="4" fontId="72" fillId="0" borderId="55" xfId="857" applyNumberFormat="1" applyFont="1" applyBorder="1" applyAlignment="1">
      <alignment horizontal="center" vertical="center"/>
    </xf>
    <xf numFmtId="4" fontId="72" fillId="0" borderId="28" xfId="857" applyNumberFormat="1" applyFont="1" applyBorder="1" applyAlignment="1">
      <alignment horizontal="center" vertical="center"/>
    </xf>
    <xf numFmtId="4" fontId="72" fillId="0" borderId="58" xfId="857" applyNumberFormat="1" applyFont="1" applyBorder="1" applyAlignment="1" applyProtection="1">
      <alignment horizontal="right" vertical="center"/>
    </xf>
    <xf numFmtId="4" fontId="72" fillId="0" borderId="45" xfId="857" applyNumberFormat="1" applyFont="1" applyBorder="1" applyAlignment="1" applyProtection="1">
      <alignment horizontal="right" vertical="center" indent="1"/>
    </xf>
    <xf numFmtId="15" fontId="72" fillId="0" borderId="58" xfId="857" applyNumberFormat="1" applyFont="1" applyBorder="1" applyAlignment="1" applyProtection="1">
      <alignment horizontal="center" vertical="center"/>
    </xf>
    <xf numFmtId="15" fontId="72" fillId="0" borderId="29" xfId="857" applyNumberFormat="1" applyFont="1" applyBorder="1" applyAlignment="1" applyProtection="1">
      <alignment horizontal="center" vertical="center"/>
    </xf>
    <xf numFmtId="0" fontId="45" fillId="0" borderId="15" xfId="0" applyFont="1" applyBorder="1" applyAlignment="1"/>
    <xf numFmtId="0" fontId="45" fillId="0" borderId="16" xfId="0" applyFont="1" applyBorder="1" applyAlignment="1"/>
    <xf numFmtId="0" fontId="45" fillId="0" borderId="17" xfId="0" applyFont="1" applyBorder="1" applyAlignment="1"/>
    <xf numFmtId="0" fontId="43" fillId="0" borderId="13" xfId="0" applyFont="1" applyBorder="1" applyAlignment="1"/>
    <xf numFmtId="0" fontId="43" fillId="0" borderId="14" xfId="0" applyFont="1" applyBorder="1" applyAlignment="1"/>
    <xf numFmtId="0" fontId="38" fillId="0" borderId="0" xfId="0" applyFont="1" applyBorder="1" applyAlignment="1">
      <alignment horizontal="center"/>
    </xf>
    <xf numFmtId="10" fontId="42" fillId="0" borderId="37" xfId="59" applyNumberFormat="1" applyFont="1" applyBorder="1"/>
    <xf numFmtId="10" fontId="42" fillId="0" borderId="30" xfId="59" applyNumberFormat="1" applyFont="1" applyBorder="1"/>
    <xf numFmtId="10" fontId="42" fillId="0" borderId="40" xfId="59" applyNumberFormat="1" applyFont="1" applyBorder="1"/>
    <xf numFmtId="43" fontId="48" fillId="0" borderId="58" xfId="46" applyNumberFormat="1" applyFont="1" applyBorder="1" applyAlignment="1">
      <alignment vertical="center"/>
    </xf>
    <xf numFmtId="0" fontId="43" fillId="0" borderId="13" xfId="52" applyFont="1" applyFill="1" applyBorder="1" applyAlignment="1">
      <alignment horizontal="center" vertical="center" wrapText="1"/>
    </xf>
    <xf numFmtId="0" fontId="45" fillId="0" borderId="14" xfId="52" applyFont="1" applyFill="1" applyBorder="1" applyAlignment="1">
      <alignment vertical="center" wrapText="1"/>
    </xf>
    <xf numFmtId="0" fontId="45" fillId="0" borderId="13" xfId="52" applyFont="1" applyFill="1" applyBorder="1" applyAlignment="1">
      <alignment horizontal="center" vertical="center" wrapText="1"/>
    </xf>
    <xf numFmtId="0" fontId="45" fillId="0" borderId="14" xfId="52" applyFont="1" applyFill="1" applyBorder="1" applyAlignment="1">
      <alignment horizontal="center" vertical="center" wrapText="1"/>
    </xf>
    <xf numFmtId="0" fontId="38" fillId="0" borderId="14" xfId="0" applyFont="1" applyBorder="1" applyAlignment="1">
      <alignment horizontal="left" vertical="center" indent="7"/>
    </xf>
    <xf numFmtId="0" fontId="106" fillId="29" borderId="190" xfId="56" applyFont="1" applyFill="1" applyBorder="1" applyAlignment="1">
      <alignment horizontal="center" vertical="center" wrapText="1"/>
    </xf>
    <xf numFmtId="0" fontId="106" fillId="29" borderId="190" xfId="56" applyFont="1" applyFill="1" applyBorder="1" applyAlignment="1">
      <alignment horizontal="center" vertical="center"/>
    </xf>
    <xf numFmtId="0" fontId="106" fillId="29" borderId="190" xfId="52" applyFont="1" applyFill="1" applyBorder="1" applyAlignment="1">
      <alignment horizontal="center" vertical="center" wrapText="1"/>
    </xf>
    <xf numFmtId="0" fontId="106" fillId="29" borderId="190" xfId="52" applyFont="1" applyFill="1" applyBorder="1" applyAlignment="1">
      <alignment horizontal="center" vertical="center"/>
    </xf>
    <xf numFmtId="0" fontId="41" fillId="24" borderId="0" xfId="56" applyFont="1" applyFill="1" applyBorder="1" applyAlignment="1">
      <alignment horizontal="center" vertical="center"/>
    </xf>
    <xf numFmtId="0" fontId="41" fillId="24" borderId="16" xfId="56" applyFont="1" applyFill="1" applyBorder="1" applyAlignment="1">
      <alignment horizontal="center" vertical="top"/>
    </xf>
    <xf numFmtId="0" fontId="38" fillId="24" borderId="0" xfId="56" applyFont="1" applyFill="1" applyBorder="1" applyAlignment="1">
      <alignment horizontal="center" vertical="center"/>
    </xf>
    <xf numFmtId="164" fontId="43" fillId="24" borderId="0" xfId="47" applyFont="1" applyFill="1" applyBorder="1" applyAlignment="1">
      <alignment horizontal="center" vertical="center"/>
    </xf>
    <xf numFmtId="49" fontId="98" fillId="0" borderId="0" xfId="863" applyNumberFormat="1" applyFont="1" applyFill="1" applyBorder="1" applyAlignment="1">
      <alignment horizontal="left" vertical="center" wrapText="1"/>
    </xf>
    <xf numFmtId="0" fontId="106" fillId="29" borderId="19" xfId="56" applyFont="1" applyFill="1" applyBorder="1" applyAlignment="1">
      <alignment horizontal="center" vertical="center" wrapText="1"/>
    </xf>
    <xf numFmtId="10" fontId="43" fillId="24" borderId="49" xfId="59" applyNumberFormat="1" applyFont="1" applyFill="1" applyBorder="1" applyAlignment="1">
      <alignment horizontal="right" vertical="center"/>
    </xf>
    <xf numFmtId="10" fontId="45" fillId="30" borderId="49" xfId="59" applyNumberFormat="1" applyFont="1" applyFill="1" applyBorder="1" applyAlignment="1">
      <alignment horizontal="right" vertical="center"/>
    </xf>
    <xf numFmtId="10" fontId="43" fillId="24" borderId="76" xfId="59" applyNumberFormat="1" applyFont="1" applyFill="1" applyBorder="1" applyAlignment="1">
      <alignment horizontal="right" vertical="center"/>
    </xf>
    <xf numFmtId="10" fontId="43" fillId="24" borderId="0" xfId="59" applyNumberFormat="1" applyFont="1" applyFill="1" applyBorder="1" applyAlignment="1">
      <alignment horizontal="right" vertical="center"/>
    </xf>
    <xf numFmtId="10" fontId="114" fillId="30" borderId="192" xfId="59" applyNumberFormat="1" applyFont="1" applyFill="1" applyBorder="1" applyAlignment="1">
      <alignment horizontal="right" vertical="center"/>
    </xf>
    <xf numFmtId="0" fontId="42" fillId="33" borderId="199" xfId="56" applyFont="1" applyFill="1" applyBorder="1" applyAlignment="1">
      <alignment horizontal="center" vertical="center"/>
    </xf>
    <xf numFmtId="0" fontId="42" fillId="33" borderId="200" xfId="56" applyFont="1" applyFill="1" applyBorder="1" applyAlignment="1">
      <alignment horizontal="center" vertical="center"/>
    </xf>
    <xf numFmtId="0" fontId="42" fillId="33" borderId="201" xfId="56" applyFont="1" applyFill="1" applyBorder="1" applyAlignment="1">
      <alignment horizontal="center" vertical="center"/>
    </xf>
    <xf numFmtId="17" fontId="42" fillId="24" borderId="116" xfId="56" applyNumberFormat="1" applyFont="1" applyFill="1" applyBorder="1" applyAlignment="1">
      <alignment horizontal="center" vertical="center"/>
    </xf>
    <xf numFmtId="10" fontId="42" fillId="24" borderId="117" xfId="59" applyNumberFormat="1" applyFont="1" applyFill="1" applyBorder="1" applyAlignment="1">
      <alignment horizontal="center" vertical="center"/>
    </xf>
    <xf numFmtId="0" fontId="70" fillId="33" borderId="199" xfId="56" applyFont="1" applyFill="1" applyBorder="1" applyAlignment="1">
      <alignment horizontal="center" vertical="center"/>
    </xf>
    <xf numFmtId="0" fontId="70" fillId="33" borderId="200" xfId="56" applyFont="1" applyFill="1" applyBorder="1" applyAlignment="1">
      <alignment horizontal="center" vertical="center"/>
    </xf>
    <xf numFmtId="0" fontId="70" fillId="33" borderId="201" xfId="56" applyFont="1" applyFill="1" applyBorder="1" applyAlignment="1">
      <alignment horizontal="center" vertical="center"/>
    </xf>
    <xf numFmtId="10" fontId="70" fillId="24" borderId="117" xfId="59" applyNumberFormat="1" applyFont="1" applyFill="1" applyBorder="1" applyAlignment="1">
      <alignment horizontal="center" vertical="center"/>
    </xf>
    <xf numFmtId="43" fontId="123" fillId="30" borderId="125" xfId="46" applyFont="1" applyFill="1" applyBorder="1" applyAlignment="1">
      <alignment horizontal="right" vertical="center" wrapText="1"/>
    </xf>
    <xf numFmtId="43" fontId="123" fillId="30" borderId="27" xfId="46" applyFont="1" applyFill="1" applyBorder="1" applyAlignment="1">
      <alignment horizontal="right" vertical="center"/>
    </xf>
    <xf numFmtId="10" fontId="123" fillId="30" borderId="126" xfId="59" applyNumberFormat="1" applyFont="1" applyFill="1" applyBorder="1" applyAlignment="1">
      <alignment horizontal="right" vertical="center" wrapText="1"/>
    </xf>
    <xf numFmtId="43" fontId="35" fillId="24" borderId="121" xfId="46" applyFont="1" applyFill="1" applyBorder="1" applyAlignment="1">
      <alignment vertical="center"/>
    </xf>
    <xf numFmtId="43" fontId="35" fillId="24" borderId="60" xfId="46" applyFont="1" applyFill="1" applyBorder="1" applyAlignment="1">
      <alignment vertical="center"/>
    </xf>
    <xf numFmtId="10" fontId="35" fillId="24" borderId="122" xfId="59" applyNumberFormat="1" applyFont="1" applyFill="1" applyBorder="1" applyAlignment="1">
      <alignment vertical="center"/>
    </xf>
    <xf numFmtId="43" fontId="35" fillId="24" borderId="125" xfId="46" applyFont="1" applyFill="1" applyBorder="1" applyAlignment="1">
      <alignment vertical="center"/>
    </xf>
    <xf numFmtId="43" fontId="35" fillId="24" borderId="27" xfId="46" applyFont="1" applyFill="1" applyBorder="1" applyAlignment="1">
      <alignment vertical="center"/>
    </xf>
    <xf numFmtId="10" fontId="35" fillId="24" borderId="126" xfId="59" applyNumberFormat="1" applyFont="1" applyFill="1" applyBorder="1" applyAlignment="1">
      <alignment vertical="center"/>
    </xf>
    <xf numFmtId="43" fontId="124" fillId="34" borderId="63" xfId="46" applyFont="1" applyFill="1" applyBorder="1" applyAlignment="1">
      <alignment horizontal="center" vertical="center"/>
    </xf>
    <xf numFmtId="43" fontId="35" fillId="24" borderId="142" xfId="46" applyFont="1" applyFill="1" applyBorder="1" applyAlignment="1">
      <alignment vertical="center"/>
    </xf>
    <xf numFmtId="43" fontId="35" fillId="24" borderId="148" xfId="46" applyFont="1" applyFill="1" applyBorder="1" applyAlignment="1">
      <alignment vertical="center"/>
    </xf>
    <xf numFmtId="10" fontId="35" fillId="24" borderId="141" xfId="59" applyNumberFormat="1" applyFont="1" applyFill="1" applyBorder="1" applyAlignment="1">
      <alignment vertical="center"/>
    </xf>
    <xf numFmtId="17" fontId="45" fillId="24" borderId="116" xfId="56" applyNumberFormat="1" applyFont="1" applyFill="1" applyBorder="1" applyAlignment="1">
      <alignment horizontal="center" vertical="center" wrapText="1"/>
    </xf>
    <xf numFmtId="0" fontId="48" fillId="0" borderId="55" xfId="0" applyFont="1" applyBorder="1" applyAlignment="1">
      <alignment horizontal="center" vertical="center"/>
    </xf>
    <xf numFmtId="10" fontId="9" fillId="0" borderId="0" xfId="59" applyNumberFormat="1" applyFont="1"/>
    <xf numFmtId="10" fontId="48" fillId="0" borderId="0" xfId="59" applyNumberFormat="1" applyFont="1" applyAlignment="1">
      <alignment vertical="center"/>
    </xf>
    <xf numFmtId="165" fontId="43" fillId="0" borderId="57" xfId="47" applyNumberFormat="1" applyFont="1" applyFill="1" applyBorder="1" applyAlignment="1" applyProtection="1">
      <alignment horizontal="right" vertical="center" wrapText="1"/>
    </xf>
    <xf numFmtId="165" fontId="43" fillId="0" borderId="62" xfId="47" applyNumberFormat="1" applyFont="1" applyFill="1" applyBorder="1" applyAlignment="1" applyProtection="1">
      <alignment horizontal="right" vertical="center" wrapText="1"/>
    </xf>
    <xf numFmtId="165" fontId="43" fillId="0" borderId="58" xfId="47" applyNumberFormat="1" applyFont="1" applyFill="1" applyBorder="1" applyAlignment="1" applyProtection="1">
      <alignment horizontal="right" vertical="center" wrapText="1"/>
    </xf>
    <xf numFmtId="165" fontId="43" fillId="0" borderId="50" xfId="47" applyNumberFormat="1" applyFont="1" applyFill="1" applyBorder="1" applyAlignment="1" applyProtection="1">
      <alignment horizontal="right" vertical="center" wrapText="1"/>
    </xf>
    <xf numFmtId="49" fontId="98" fillId="0" borderId="0" xfId="863" applyNumberFormat="1" applyFont="1" applyFill="1" applyBorder="1" applyAlignment="1">
      <alignment vertical="center" wrapText="1"/>
    </xf>
    <xf numFmtId="49" fontId="98" fillId="0" borderId="0" xfId="863" applyNumberFormat="1" applyFont="1" applyFill="1" applyBorder="1" applyAlignment="1">
      <alignment horizontal="right" vertical="center"/>
    </xf>
    <xf numFmtId="0" fontId="70" fillId="0" borderId="0" xfId="863" applyFont="1" applyBorder="1" applyAlignment="1">
      <alignment horizontal="right" vertical="top"/>
    </xf>
    <xf numFmtId="17" fontId="70" fillId="0" borderId="0" xfId="863" applyNumberFormat="1" applyFont="1" applyFill="1" applyBorder="1" applyAlignment="1">
      <alignment horizontal="right" vertical="center"/>
    </xf>
    <xf numFmtId="17" fontId="89" fillId="0" borderId="0" xfId="863" applyNumberFormat="1" applyFont="1" applyFill="1" applyBorder="1" applyAlignment="1">
      <alignment vertical="center"/>
    </xf>
    <xf numFmtId="0" fontId="24" fillId="0" borderId="0" xfId="863" applyFont="1"/>
    <xf numFmtId="0" fontId="24" fillId="0" borderId="0" xfId="863" applyFont="1" applyBorder="1"/>
    <xf numFmtId="0" fontId="38" fillId="0" borderId="13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8" fillId="24" borderId="0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center"/>
    </xf>
    <xf numFmtId="202" fontId="70" fillId="0" borderId="81" xfId="864" applyNumberFormat="1" applyFont="1" applyBorder="1" applyAlignment="1">
      <alignment horizontal="left" vertical="center"/>
    </xf>
    <xf numFmtId="202" fontId="70" fillId="0" borderId="0" xfId="864" applyNumberFormat="1" applyFont="1" applyBorder="1" applyAlignment="1">
      <alignment horizontal="left" vertical="center"/>
    </xf>
    <xf numFmtId="49" fontId="42" fillId="0" borderId="0" xfId="864" applyNumberFormat="1" applyFont="1" applyBorder="1" applyAlignment="1">
      <alignment horizontal="left" vertical="center"/>
    </xf>
    <xf numFmtId="0" fontId="42" fillId="0" borderId="0" xfId="864" applyNumberFormat="1" applyFont="1" applyBorder="1" applyAlignment="1">
      <alignment horizontal="left" vertical="center"/>
    </xf>
    <xf numFmtId="0" fontId="42" fillId="0" borderId="98" xfId="864" applyNumberFormat="1" applyFont="1" applyBorder="1" applyAlignment="1">
      <alignment horizontal="left" vertical="center"/>
    </xf>
    <xf numFmtId="183" fontId="43" fillId="24" borderId="26" xfId="47" applyNumberFormat="1" applyFont="1" applyFill="1" applyBorder="1" applyAlignment="1">
      <alignment horizontal="right" vertical="center"/>
    </xf>
    <xf numFmtId="10" fontId="48" fillId="0" borderId="0" xfId="59" applyNumberFormat="1" applyFont="1" applyAlignment="1">
      <alignment horizontal="left" vertical="center"/>
    </xf>
    <xf numFmtId="0" fontId="125" fillId="0" borderId="0" xfId="864" applyFont="1" applyBorder="1" applyAlignment="1">
      <alignment horizontal="left"/>
    </xf>
    <xf numFmtId="0" fontId="95" fillId="0" borderId="0" xfId="864" applyFont="1" applyBorder="1" applyAlignment="1">
      <alignment horizontal="left"/>
    </xf>
    <xf numFmtId="0" fontId="128" fillId="0" borderId="0" xfId="863" applyFont="1" applyBorder="1" applyAlignment="1">
      <alignment horizontal="right" vertical="center"/>
    </xf>
    <xf numFmtId="0" fontId="128" fillId="0" borderId="0" xfId="863" applyFont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0" fontId="38" fillId="0" borderId="14" xfId="0" applyFont="1" applyFill="1" applyBorder="1" applyAlignment="1">
      <alignment horizontal="right" vertical="center"/>
    </xf>
    <xf numFmtId="0" fontId="43" fillId="0" borderId="13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43" fontId="43" fillId="24" borderId="0" xfId="46" applyFont="1" applyFill="1" applyAlignment="1">
      <alignment vertical="center"/>
    </xf>
    <xf numFmtId="164" fontId="45" fillId="0" borderId="0" xfId="0" applyNumberFormat="1" applyFont="1" applyBorder="1" applyAlignment="1">
      <alignment horizontal="center"/>
    </xf>
    <xf numFmtId="0" fontId="129" fillId="35" borderId="28" xfId="0" applyFont="1" applyFill="1" applyBorder="1" applyAlignment="1">
      <alignment vertical="center"/>
    </xf>
    <xf numFmtId="0" fontId="41" fillId="24" borderId="0" xfId="56" applyFont="1" applyFill="1" applyBorder="1" applyAlignment="1">
      <alignment horizontal="center" vertical="center" wrapText="1"/>
    </xf>
    <xf numFmtId="0" fontId="38" fillId="24" borderId="0" xfId="56" applyFont="1" applyFill="1" applyBorder="1" applyAlignment="1">
      <alignment horizontal="right" vertical="top"/>
    </xf>
    <xf numFmtId="0" fontId="43" fillId="24" borderId="0" xfId="56" applyFont="1" applyFill="1" applyBorder="1" applyAlignment="1">
      <alignment vertical="top"/>
    </xf>
    <xf numFmtId="0" fontId="41" fillId="24" borderId="0" xfId="56" applyFont="1" applyFill="1" applyBorder="1" applyAlignment="1">
      <alignment horizontal="center" vertical="top"/>
    </xf>
    <xf numFmtId="0" fontId="43" fillId="24" borderId="0" xfId="56" applyFont="1" applyFill="1" applyBorder="1" applyAlignment="1">
      <alignment horizontal="right" vertical="top"/>
    </xf>
    <xf numFmtId="0" fontId="43" fillId="24" borderId="16" xfId="56" applyFont="1" applyFill="1" applyBorder="1" applyAlignment="1">
      <alignment vertical="center"/>
    </xf>
    <xf numFmtId="0" fontId="43" fillId="24" borderId="16" xfId="56" applyFont="1" applyFill="1" applyBorder="1" applyAlignment="1">
      <alignment horizontal="center" vertical="center"/>
    </xf>
    <xf numFmtId="49" fontId="43" fillId="0" borderId="59" xfId="140" applyNumberFormat="1" applyFont="1" applyFill="1" applyBorder="1" applyAlignment="1" applyProtection="1">
      <alignment horizontal="center" vertical="center" wrapText="1"/>
      <protection locked="0"/>
    </xf>
    <xf numFmtId="0" fontId="43" fillId="0" borderId="59" xfId="52" applyFont="1" applyFill="1" applyBorder="1" applyAlignment="1">
      <alignment horizontal="center" vertical="center" wrapText="1"/>
    </xf>
    <xf numFmtId="165" fontId="43" fillId="0" borderId="60" xfId="47" applyNumberFormat="1" applyFont="1" applyFill="1" applyBorder="1" applyAlignment="1">
      <alignment horizontal="right" vertical="center" wrapText="1"/>
    </xf>
    <xf numFmtId="165" fontId="43" fillId="0" borderId="61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65" xfId="47" applyNumberFormat="1" applyFont="1" applyFill="1" applyBorder="1" applyAlignment="1">
      <alignment horizontal="right" vertical="center"/>
    </xf>
    <xf numFmtId="49" fontId="43" fillId="0" borderId="50" xfId="140" applyNumberFormat="1" applyFont="1" applyFill="1" applyBorder="1" applyAlignment="1" applyProtection="1">
      <alignment horizontal="center" vertical="center" wrapText="1"/>
      <protection locked="0"/>
    </xf>
    <xf numFmtId="0" fontId="43" fillId="0" borderId="40" xfId="52" applyFont="1" applyFill="1" applyBorder="1" applyAlignment="1">
      <alignment vertical="center" wrapText="1"/>
    </xf>
    <xf numFmtId="0" fontId="43" fillId="0" borderId="50" xfId="52" applyFont="1" applyFill="1" applyBorder="1" applyAlignment="1">
      <alignment horizontal="center" vertical="center" wrapText="1"/>
    </xf>
    <xf numFmtId="165" fontId="43" fillId="0" borderId="30" xfId="47" applyNumberFormat="1" applyFont="1" applyFill="1" applyBorder="1" applyAlignment="1">
      <alignment horizontal="right" vertical="center" wrapText="1"/>
    </xf>
    <xf numFmtId="165" fontId="43" fillId="0" borderId="31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37" xfId="47" applyNumberFormat="1" applyFont="1" applyFill="1" applyBorder="1" applyAlignment="1">
      <alignment horizontal="right" vertical="center"/>
    </xf>
    <xf numFmtId="165" fontId="43" fillId="24" borderId="40" xfId="47" applyNumberFormat="1" applyFont="1" applyFill="1" applyBorder="1" applyAlignment="1">
      <alignment horizontal="right" vertical="center"/>
    </xf>
    <xf numFmtId="10" fontId="43" fillId="24" borderId="37" xfId="59" applyNumberFormat="1" applyFont="1" applyFill="1" applyBorder="1" applyAlignment="1">
      <alignment horizontal="right" vertical="center"/>
    </xf>
    <xf numFmtId="10" fontId="43" fillId="24" borderId="48" xfId="59" applyNumberFormat="1" applyFont="1" applyFill="1" applyBorder="1" applyAlignment="1">
      <alignment horizontal="right" vertical="center"/>
    </xf>
    <xf numFmtId="0" fontId="40" fillId="0" borderId="93" xfId="140" applyFont="1" applyBorder="1" applyAlignment="1">
      <alignment vertical="center"/>
    </xf>
    <xf numFmtId="0" fontId="40" fillId="0" borderId="94" xfId="140" applyFont="1" applyBorder="1" applyAlignment="1">
      <alignment vertical="center"/>
    </xf>
    <xf numFmtId="0" fontId="40" fillId="0" borderId="14" xfId="140" applyFont="1" applyBorder="1" applyAlignment="1">
      <alignment vertical="center"/>
    </xf>
    <xf numFmtId="0" fontId="40" fillId="0" borderId="10" xfId="857" applyFont="1" applyBorder="1" applyAlignment="1"/>
    <xf numFmtId="0" fontId="72" fillId="0" borderId="13" xfId="857" applyFont="1" applyBorder="1" applyAlignment="1">
      <alignment vertical="center"/>
    </xf>
    <xf numFmtId="0" fontId="40" fillId="0" borderId="13" xfId="857" applyFont="1" applyBorder="1" applyAlignment="1">
      <alignment horizontal="right" vertical="center" indent="11"/>
    </xf>
    <xf numFmtId="0" fontId="41" fillId="0" borderId="15" xfId="857" applyFont="1" applyBorder="1" applyAlignment="1">
      <alignment horizontal="center" vertical="center"/>
    </xf>
    <xf numFmtId="0" fontId="40" fillId="0" borderId="0" xfId="140" applyFont="1" applyBorder="1" applyAlignment="1">
      <alignment vertical="center"/>
    </xf>
    <xf numFmtId="0" fontId="40" fillId="0" borderId="10" xfId="140" applyFont="1" applyBorder="1" applyAlignment="1">
      <alignment vertical="center"/>
    </xf>
    <xf numFmtId="0" fontId="42" fillId="32" borderId="19" xfId="857" applyFont="1" applyFill="1" applyBorder="1" applyAlignment="1">
      <alignment horizontal="left" vertical="center" indent="1"/>
    </xf>
    <xf numFmtId="179" fontId="72" fillId="32" borderId="189" xfId="857" applyNumberFormat="1" applyFont="1" applyFill="1" applyBorder="1" applyAlignment="1">
      <alignment vertical="center"/>
    </xf>
    <xf numFmtId="0" fontId="48" fillId="0" borderId="54" xfId="857" applyFont="1" applyBorder="1" applyAlignment="1">
      <alignment horizontal="center" vertical="center" wrapText="1"/>
    </xf>
    <xf numFmtId="179" fontId="72" fillId="0" borderId="54" xfId="857" applyNumberFormat="1" applyFont="1" applyBorder="1" applyAlignment="1">
      <alignment horizontal="center" vertical="center" wrapText="1"/>
    </xf>
    <xf numFmtId="0" fontId="48" fillId="0" borderId="55" xfId="857" applyFont="1" applyBorder="1" applyAlignment="1">
      <alignment horizontal="center" vertical="center" wrapText="1"/>
    </xf>
    <xf numFmtId="4" fontId="72" fillId="0" borderId="45" xfId="857" applyNumberFormat="1" applyFont="1" applyBorder="1" applyAlignment="1" applyProtection="1">
      <alignment horizontal="center" vertical="center" wrapText="1"/>
    </xf>
    <xf numFmtId="179" fontId="72" fillId="0" borderId="55" xfId="857" applyNumberFormat="1" applyFont="1" applyBorder="1" applyAlignment="1">
      <alignment horizontal="center" vertical="center"/>
    </xf>
    <xf numFmtId="49" fontId="38" fillId="0" borderId="74" xfId="857" applyNumberFormat="1" applyFont="1" applyBorder="1" applyAlignment="1">
      <alignment horizontal="left" vertical="center" wrapText="1"/>
    </xf>
    <xf numFmtId="179" fontId="72" fillId="0" borderId="74" xfId="857" applyNumberFormat="1" applyFont="1" applyBorder="1" applyAlignment="1">
      <alignment horizontal="center" vertical="center"/>
    </xf>
    <xf numFmtId="0" fontId="72" fillId="0" borderId="13" xfId="857" applyFont="1" applyBorder="1" applyAlignment="1">
      <alignment horizontal="left" vertical="center" wrapText="1"/>
    </xf>
    <xf numFmtId="179" fontId="72" fillId="0" borderId="14" xfId="857" applyNumberFormat="1" applyFont="1" applyBorder="1" applyAlignment="1">
      <alignment vertical="center" wrapText="1"/>
    </xf>
    <xf numFmtId="0" fontId="72" fillId="0" borderId="13" xfId="857" applyFont="1" applyBorder="1" applyAlignment="1">
      <alignment horizontal="center" vertical="center" wrapText="1"/>
    </xf>
    <xf numFmtId="0" fontId="72" fillId="0" borderId="14" xfId="857" applyFont="1" applyBorder="1" applyAlignment="1">
      <alignment vertical="center"/>
    </xf>
    <xf numFmtId="0" fontId="72" fillId="24" borderId="13" xfId="858" applyFont="1" applyFill="1" applyBorder="1" applyAlignment="1">
      <alignment horizontal="center" vertical="center"/>
    </xf>
    <xf numFmtId="0" fontId="72" fillId="24" borderId="14" xfId="858" applyFont="1" applyFill="1" applyBorder="1" applyAlignment="1">
      <alignment horizontal="right" vertical="center"/>
    </xf>
    <xf numFmtId="0" fontId="48" fillId="24" borderId="14" xfId="858" applyFont="1" applyFill="1" applyBorder="1" applyAlignment="1">
      <alignment horizontal="right" vertical="center"/>
    </xf>
    <xf numFmtId="0" fontId="42" fillId="24" borderId="0" xfId="858" applyFont="1" applyFill="1" applyBorder="1" applyAlignment="1">
      <alignment horizontal="center" vertical="top"/>
    </xf>
    <xf numFmtId="0" fontId="48" fillId="24" borderId="0" xfId="858" applyFont="1" applyFill="1" applyBorder="1" applyAlignment="1">
      <alignment horizontal="right" vertical="top"/>
    </xf>
    <xf numFmtId="0" fontId="48" fillId="0" borderId="0" xfId="857" applyFont="1" applyBorder="1" applyAlignment="1">
      <alignment vertical="top"/>
    </xf>
    <xf numFmtId="0" fontId="72" fillId="0" borderId="15" xfId="857" applyFont="1" applyBorder="1" applyAlignment="1">
      <alignment vertical="center"/>
    </xf>
    <xf numFmtId="0" fontId="72" fillId="0" borderId="16" xfId="857" applyFont="1" applyBorder="1" applyAlignment="1">
      <alignment vertical="center"/>
    </xf>
    <xf numFmtId="0" fontId="72" fillId="0" borderId="17" xfId="857" applyFont="1" applyBorder="1" applyAlignment="1">
      <alignment vertical="center"/>
    </xf>
    <xf numFmtId="0" fontId="72" fillId="0" borderId="13" xfId="857" applyFont="1" applyBorder="1" applyAlignment="1">
      <alignment horizontal="right"/>
    </xf>
    <xf numFmtId="0" fontId="40" fillId="0" borderId="14" xfId="857" applyFont="1" applyBorder="1" applyAlignment="1"/>
    <xf numFmtId="207" fontId="48" fillId="0" borderId="0" xfId="46" applyNumberFormat="1" applyFont="1" applyAlignment="1">
      <alignment vertical="center"/>
    </xf>
    <xf numFmtId="17" fontId="38" fillId="0" borderId="55" xfId="141" applyNumberFormat="1" applyFont="1" applyBorder="1" applyAlignment="1">
      <alignment horizontal="center" vertical="center" wrapText="1"/>
    </xf>
    <xf numFmtId="17" fontId="131" fillId="0" borderId="14" xfId="141" applyNumberFormat="1" applyFont="1" applyBorder="1" applyAlignment="1">
      <alignment horizontal="center" vertical="center" wrapText="1"/>
    </xf>
    <xf numFmtId="0" fontId="45" fillId="35" borderId="190" xfId="52" applyFont="1" applyFill="1" applyBorder="1" applyAlignment="1">
      <alignment horizontal="center" vertical="center"/>
    </xf>
    <xf numFmtId="0" fontId="45" fillId="35" borderId="190" xfId="52" applyFont="1" applyFill="1" applyBorder="1" applyAlignment="1">
      <alignment horizontal="center" vertical="center" wrapText="1"/>
    </xf>
    <xf numFmtId="0" fontId="45" fillId="35" borderId="190" xfId="56" applyFont="1" applyFill="1" applyBorder="1" applyAlignment="1">
      <alignment horizontal="center" vertical="center"/>
    </xf>
    <xf numFmtId="0" fontId="45" fillId="35" borderId="190" xfId="56" applyFont="1" applyFill="1" applyBorder="1" applyAlignment="1">
      <alignment horizontal="center" vertical="center" wrapText="1"/>
    </xf>
    <xf numFmtId="0" fontId="24" fillId="0" borderId="107" xfId="864" applyFont="1" applyBorder="1"/>
    <xf numFmtId="0" fontId="48" fillId="0" borderId="35" xfId="0" applyFont="1" applyBorder="1" applyAlignment="1">
      <alignment horizontal="center" vertical="center"/>
    </xf>
    <xf numFmtId="176" fontId="48" fillId="0" borderId="57" xfId="0" applyNumberFormat="1" applyFont="1" applyBorder="1" applyAlignment="1">
      <alignment horizontal="center" vertical="center"/>
    </xf>
    <xf numFmtId="176" fontId="48" fillId="0" borderId="26" xfId="0" applyNumberFormat="1" applyFont="1" applyBorder="1" applyAlignment="1">
      <alignment horizontal="center" vertical="center"/>
    </xf>
    <xf numFmtId="165" fontId="48" fillId="0" borderId="33" xfId="0" applyNumberFormat="1" applyFont="1" applyBorder="1" applyAlignment="1">
      <alignment horizontal="center" vertical="center"/>
    </xf>
    <xf numFmtId="165" fontId="48" fillId="0" borderId="25" xfId="0" applyNumberFormat="1" applyFont="1" applyBorder="1" applyAlignment="1">
      <alignment horizontal="center" vertical="center"/>
    </xf>
    <xf numFmtId="165" fontId="48" fillId="0" borderId="46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55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center" vertical="center"/>
    </xf>
    <xf numFmtId="176" fontId="48" fillId="0" borderId="58" xfId="0" applyNumberFormat="1" applyFont="1" applyBorder="1" applyAlignment="1">
      <alignment horizontal="center" vertical="center"/>
    </xf>
    <xf numFmtId="176" fontId="48" fillId="0" borderId="29" xfId="0" applyNumberFormat="1" applyFont="1" applyBorder="1" applyAlignment="1">
      <alignment horizontal="center" vertical="center"/>
    </xf>
    <xf numFmtId="165" fontId="48" fillId="0" borderId="23" xfId="0" applyNumberFormat="1" applyFont="1" applyBorder="1" applyAlignment="1">
      <alignment vertical="center"/>
    </xf>
    <xf numFmtId="165" fontId="48" fillId="0" borderId="27" xfId="0" applyNumberFormat="1" applyFont="1" applyBorder="1" applyAlignment="1">
      <alignment vertical="center"/>
    </xf>
    <xf numFmtId="165" fontId="48" fillId="0" borderId="44" xfId="0" applyNumberFormat="1" applyFont="1" applyBorder="1" applyAlignment="1">
      <alignment vertical="center"/>
    </xf>
    <xf numFmtId="165" fontId="48" fillId="0" borderId="23" xfId="0" applyNumberFormat="1" applyFont="1" applyBorder="1" applyAlignment="1">
      <alignment horizontal="center" vertical="center"/>
    </xf>
    <xf numFmtId="165" fontId="48" fillId="0" borderId="27" xfId="0" applyNumberFormat="1" applyFont="1" applyBorder="1" applyAlignment="1">
      <alignment horizontal="center" vertical="center"/>
    </xf>
    <xf numFmtId="165" fontId="48" fillId="0" borderId="44" xfId="0" applyNumberFormat="1" applyFont="1" applyBorder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0" fontId="48" fillId="0" borderId="0" xfId="0" applyFont="1" applyAlignment="1">
      <alignment horizontal="right"/>
    </xf>
    <xf numFmtId="10" fontId="42" fillId="0" borderId="41" xfId="59" applyNumberFormat="1" applyFont="1" applyBorder="1" applyAlignment="1" applyProtection="1">
      <alignment horizontal="right" vertical="center"/>
    </xf>
    <xf numFmtId="0" fontId="70" fillId="0" borderId="85" xfId="864" applyFont="1" applyBorder="1" applyAlignment="1">
      <alignment vertical="center"/>
    </xf>
    <xf numFmtId="0" fontId="70" fillId="0" borderId="131" xfId="864" applyFont="1" applyBorder="1" applyAlignment="1">
      <alignment vertical="center"/>
    </xf>
    <xf numFmtId="0" fontId="70" fillId="0" borderId="197" xfId="864" applyFont="1" applyBorder="1"/>
    <xf numFmtId="43" fontId="38" fillId="0" borderId="25" xfId="46" applyNumberFormat="1" applyFont="1" applyFill="1" applyBorder="1" applyAlignment="1">
      <alignment vertical="center"/>
    </xf>
    <xf numFmtId="43" fontId="38" fillId="0" borderId="27" xfId="46" applyNumberFormat="1" applyFont="1" applyFill="1" applyBorder="1" applyAlignment="1">
      <alignment vertical="center"/>
    </xf>
    <xf numFmtId="0" fontId="48" fillId="0" borderId="153" xfId="859" applyFont="1" applyBorder="1" applyAlignment="1">
      <alignment horizontal="center" vertical="center"/>
    </xf>
    <xf numFmtId="0" fontId="48" fillId="0" borderId="154" xfId="859" applyFont="1" applyBorder="1" applyAlignment="1">
      <alignment horizontal="center" vertical="center"/>
    </xf>
    <xf numFmtId="0" fontId="24" fillId="0" borderId="179" xfId="864" applyFont="1" applyBorder="1" applyAlignment="1">
      <alignment horizontal="left"/>
    </xf>
    <xf numFmtId="0" fontId="24" fillId="0" borderId="180" xfId="864" applyFont="1" applyBorder="1" applyAlignment="1">
      <alignment horizontal="left"/>
    </xf>
    <xf numFmtId="0" fontId="104" fillId="0" borderId="0" xfId="863" applyFont="1" applyBorder="1" applyAlignment="1">
      <alignment horizontal="center" vertical="center"/>
    </xf>
    <xf numFmtId="0" fontId="90" fillId="0" borderId="176" xfId="864" applyFont="1" applyBorder="1" applyAlignment="1">
      <alignment horizontal="center"/>
    </xf>
    <xf numFmtId="0" fontId="90" fillId="0" borderId="0" xfId="864" applyFont="1" applyBorder="1" applyAlignment="1">
      <alignment horizontal="center"/>
    </xf>
    <xf numFmtId="0" fontId="90" fillId="0" borderId="177" xfId="864" applyFont="1" applyBorder="1" applyAlignment="1">
      <alignment horizontal="center"/>
    </xf>
    <xf numFmtId="0" fontId="24" fillId="0" borderId="0" xfId="864" applyBorder="1" applyAlignment="1">
      <alignment horizontal="left"/>
    </xf>
    <xf numFmtId="0" fontId="95" fillId="0" borderId="176" xfId="864" applyFont="1" applyBorder="1" applyAlignment="1">
      <alignment horizontal="center" vertical="center"/>
    </xf>
    <xf numFmtId="0" fontId="95" fillId="0" borderId="0" xfId="864" applyFont="1" applyBorder="1" applyAlignment="1">
      <alignment horizontal="center" vertical="center"/>
    </xf>
    <xf numFmtId="0" fontId="95" fillId="0" borderId="177" xfId="864" applyFont="1" applyBorder="1" applyAlignment="1">
      <alignment horizontal="center" vertical="center"/>
    </xf>
    <xf numFmtId="0" fontId="102" fillId="0" borderId="0" xfId="864" applyFont="1" applyBorder="1" applyAlignment="1">
      <alignment horizontal="left"/>
    </xf>
    <xf numFmtId="0" fontId="102" fillId="0" borderId="177" xfId="864" applyFont="1" applyBorder="1" applyAlignment="1">
      <alignment horizontal="left"/>
    </xf>
    <xf numFmtId="0" fontId="102" fillId="0" borderId="0" xfId="864" applyFont="1" applyBorder="1" applyAlignment="1">
      <alignment horizontal="left" wrapText="1"/>
    </xf>
    <xf numFmtId="0" fontId="102" fillId="0" borderId="177" xfId="864" applyFont="1" applyBorder="1" applyAlignment="1">
      <alignment horizontal="left" wrapText="1"/>
    </xf>
    <xf numFmtId="0" fontId="101" fillId="0" borderId="81" xfId="863" applyFont="1" applyBorder="1" applyAlignment="1">
      <alignment horizontal="center"/>
    </xf>
    <xf numFmtId="0" fontId="101" fillId="0" borderId="0" xfId="863" applyFont="1" applyBorder="1" applyAlignment="1">
      <alignment horizontal="center"/>
    </xf>
    <xf numFmtId="0" fontId="101" fillId="0" borderId="98" xfId="863" applyFont="1" applyBorder="1" applyAlignment="1">
      <alignment horizontal="center"/>
    </xf>
    <xf numFmtId="0" fontId="100" fillId="0" borderId="81" xfId="863" applyFont="1" applyBorder="1" applyAlignment="1">
      <alignment horizontal="center"/>
    </xf>
    <xf numFmtId="0" fontId="100" fillId="0" borderId="0" xfId="863" applyFont="1" applyBorder="1" applyAlignment="1">
      <alignment horizontal="center"/>
    </xf>
    <xf numFmtId="0" fontId="100" fillId="0" borderId="98" xfId="863" applyFont="1" applyBorder="1" applyAlignment="1">
      <alignment horizontal="center"/>
    </xf>
    <xf numFmtId="0" fontId="96" fillId="0" borderId="0" xfId="863" applyFont="1" applyBorder="1" applyAlignment="1">
      <alignment horizontal="center"/>
    </xf>
    <xf numFmtId="0" fontId="35" fillId="0" borderId="0" xfId="863" applyFont="1" applyBorder="1" applyAlignment="1">
      <alignment horizontal="left" vertical="center" wrapText="1"/>
    </xf>
    <xf numFmtId="0" fontId="35" fillId="0" borderId="98" xfId="863" applyFont="1" applyBorder="1" applyAlignment="1">
      <alignment horizontal="left" vertical="center" wrapText="1"/>
    </xf>
    <xf numFmtId="0" fontId="24" fillId="0" borderId="81" xfId="863" applyBorder="1" applyAlignment="1">
      <alignment horizontal="center"/>
    </xf>
    <xf numFmtId="0" fontId="24" fillId="0" borderId="0" xfId="863" applyBorder="1" applyAlignment="1">
      <alignment horizontal="center"/>
    </xf>
    <xf numFmtId="0" fontId="24" fillId="0" borderId="98" xfId="863" applyBorder="1" applyAlignment="1">
      <alignment horizontal="center"/>
    </xf>
    <xf numFmtId="0" fontId="90" fillId="0" borderId="81" xfId="863" applyFont="1" applyBorder="1" applyAlignment="1">
      <alignment horizontal="center" vertical="center" wrapText="1"/>
    </xf>
    <xf numFmtId="0" fontId="90" fillId="0" borderId="0" xfId="863" applyFont="1" applyBorder="1" applyAlignment="1">
      <alignment horizontal="center" vertical="center" wrapText="1"/>
    </xf>
    <xf numFmtId="0" fontId="90" fillId="0" borderId="98" xfId="863" applyFont="1" applyBorder="1" applyAlignment="1">
      <alignment horizontal="center" vertical="center" wrapText="1"/>
    </xf>
    <xf numFmtId="0" fontId="92" fillId="0" borderId="0" xfId="863" applyFont="1" applyFill="1" applyBorder="1" applyAlignment="1">
      <alignment horizontal="center" vertical="center"/>
    </xf>
    <xf numFmtId="0" fontId="99" fillId="0" borderId="81" xfId="863" applyFont="1" applyBorder="1" applyAlignment="1">
      <alignment horizontal="center" vertical="center"/>
    </xf>
    <xf numFmtId="0" fontId="99" fillId="0" borderId="0" xfId="863" applyFont="1" applyBorder="1" applyAlignment="1">
      <alignment horizontal="center" vertical="center"/>
    </xf>
    <xf numFmtId="0" fontId="99" fillId="0" borderId="98" xfId="863" applyFont="1" applyBorder="1" applyAlignment="1">
      <alignment horizontal="center" vertical="center"/>
    </xf>
    <xf numFmtId="49" fontId="134" fillId="0" borderId="0" xfId="863" applyNumberFormat="1" applyFont="1" applyFill="1" applyBorder="1" applyAlignment="1">
      <alignment horizontal="center" vertical="center" wrapText="1"/>
    </xf>
    <xf numFmtId="49" fontId="134" fillId="0" borderId="98" xfId="863" applyNumberFormat="1" applyFont="1" applyFill="1" applyBorder="1" applyAlignment="1">
      <alignment horizontal="center" vertical="center" wrapText="1"/>
    </xf>
    <xf numFmtId="17" fontId="89" fillId="0" borderId="0" xfId="863" applyNumberFormat="1" applyFont="1" applyFill="1" applyBorder="1" applyAlignment="1">
      <alignment horizontal="left" vertical="center" wrapText="1"/>
    </xf>
    <xf numFmtId="0" fontId="111" fillId="0" borderId="0" xfId="863" applyFont="1" applyBorder="1" applyAlignment="1">
      <alignment horizontal="center" vertical="center"/>
    </xf>
    <xf numFmtId="0" fontId="112" fillId="0" borderId="0" xfId="863" applyFont="1" applyBorder="1" applyAlignment="1">
      <alignment horizontal="left" vertical="center" wrapText="1"/>
    </xf>
    <xf numFmtId="0" fontId="110" fillId="0" borderId="0" xfId="863" applyFont="1" applyBorder="1" applyAlignment="1">
      <alignment horizontal="center" vertical="center"/>
    </xf>
    <xf numFmtId="0" fontId="109" fillId="0" borderId="0" xfId="863" applyFont="1" applyBorder="1" applyAlignment="1">
      <alignment horizontal="center" vertical="center"/>
    </xf>
    <xf numFmtId="0" fontId="128" fillId="0" borderId="0" xfId="863" applyFont="1" applyBorder="1" applyAlignment="1">
      <alignment horizontal="left" vertical="center" wrapText="1"/>
    </xf>
    <xf numFmtId="0" fontId="127" fillId="0" borderId="0" xfId="863" applyFont="1" applyBorder="1" applyAlignment="1">
      <alignment horizontal="center" vertical="center" wrapText="1"/>
    </xf>
    <xf numFmtId="0" fontId="108" fillId="0" borderId="0" xfId="863" applyFont="1" applyBorder="1" applyAlignment="1">
      <alignment horizontal="center" vertical="center" wrapText="1"/>
    </xf>
    <xf numFmtId="0" fontId="126" fillId="0" borderId="0" xfId="863" applyFont="1" applyBorder="1" applyAlignment="1">
      <alignment horizontal="center" vertical="center" wrapText="1"/>
    </xf>
    <xf numFmtId="0" fontId="109" fillId="0" borderId="0" xfId="863" applyFont="1" applyBorder="1" applyAlignment="1">
      <alignment horizontal="center" vertical="center" wrapText="1"/>
    </xf>
    <xf numFmtId="0" fontId="89" fillId="0" borderId="183" xfId="864" applyFont="1" applyBorder="1" applyAlignment="1">
      <alignment horizontal="center" vertical="center"/>
    </xf>
    <xf numFmtId="0" fontId="89" fillId="0" borderId="87" xfId="864" applyFont="1" applyBorder="1" applyAlignment="1">
      <alignment horizontal="center" vertical="center"/>
    </xf>
    <xf numFmtId="0" fontId="89" fillId="0" borderId="96" xfId="864" applyFont="1" applyBorder="1" applyAlignment="1">
      <alignment horizontal="center" vertical="center"/>
    </xf>
    <xf numFmtId="0" fontId="35" fillId="0" borderId="20" xfId="864" applyFont="1" applyBorder="1" applyAlignment="1">
      <alignment horizontal="center" vertical="center" wrapText="1"/>
    </xf>
    <xf numFmtId="0" fontId="35" fillId="0" borderId="24" xfId="864" applyFont="1" applyBorder="1" applyAlignment="1">
      <alignment horizontal="center" vertical="center" wrapText="1"/>
    </xf>
    <xf numFmtId="0" fontId="35" fillId="0" borderId="22" xfId="864" applyFont="1" applyBorder="1" applyAlignment="1">
      <alignment horizontal="center" vertical="center" wrapText="1"/>
    </xf>
    <xf numFmtId="0" fontId="89" fillId="0" borderId="20" xfId="864" applyFont="1" applyBorder="1" applyAlignment="1">
      <alignment horizontal="center" vertical="center"/>
    </xf>
    <xf numFmtId="0" fontId="89" fillId="0" borderId="24" xfId="864" applyFont="1" applyBorder="1" applyAlignment="1">
      <alignment horizontal="center" vertical="center"/>
    </xf>
    <xf numFmtId="0" fontId="89" fillId="0" borderId="22" xfId="864" applyFont="1" applyBorder="1" applyAlignment="1">
      <alignment horizontal="center" vertical="center"/>
    </xf>
    <xf numFmtId="0" fontId="89" fillId="0" borderId="185" xfId="864" applyFont="1" applyBorder="1" applyAlignment="1">
      <alignment horizontal="center" vertical="center"/>
    </xf>
    <xf numFmtId="0" fontId="35" fillId="0" borderId="186" xfId="864" applyFont="1" applyBorder="1" applyAlignment="1">
      <alignment horizontal="center" vertical="center" wrapText="1"/>
    </xf>
    <xf numFmtId="0" fontId="89" fillId="0" borderId="186" xfId="864" applyFont="1" applyBorder="1" applyAlignment="1">
      <alignment horizontal="center" vertical="center"/>
    </xf>
    <xf numFmtId="0" fontId="97" fillId="0" borderId="107" xfId="864" applyFont="1" applyBorder="1" applyAlignment="1">
      <alignment horizontal="center" vertical="center"/>
    </xf>
    <xf numFmtId="0" fontId="97" fillId="0" borderId="138" xfId="864" applyFont="1" applyBorder="1" applyAlignment="1">
      <alignment horizontal="center" vertical="center"/>
    </xf>
    <xf numFmtId="0" fontId="24" fillId="0" borderId="132" xfId="864" applyFont="1" applyBorder="1" applyAlignment="1">
      <alignment horizontal="left" vertical="center" wrapText="1"/>
    </xf>
    <xf numFmtId="0" fontId="24" fillId="0" borderId="196" xfId="864" applyFont="1" applyBorder="1" applyAlignment="1">
      <alignment horizontal="left" vertical="center" wrapText="1"/>
    </xf>
    <xf numFmtId="0" fontId="97" fillId="0" borderId="105" xfId="864" applyFont="1" applyBorder="1" applyAlignment="1">
      <alignment horizontal="center" vertical="center"/>
    </xf>
    <xf numFmtId="0" fontId="97" fillId="0" borderId="137" xfId="864" applyFont="1" applyBorder="1" applyAlignment="1">
      <alignment horizontal="center" vertical="center"/>
    </xf>
    <xf numFmtId="0" fontId="97" fillId="0" borderId="106" xfId="864" applyFont="1" applyBorder="1" applyAlignment="1">
      <alignment horizontal="center" vertical="center"/>
    </xf>
    <xf numFmtId="0" fontId="97" fillId="0" borderId="18" xfId="864" applyFont="1" applyBorder="1" applyAlignment="1">
      <alignment horizontal="center" vertical="center"/>
    </xf>
    <xf numFmtId="0" fontId="97" fillId="0" borderId="106" xfId="864" applyFont="1" applyBorder="1" applyAlignment="1">
      <alignment horizontal="center"/>
    </xf>
    <xf numFmtId="0" fontId="24" fillId="0" borderId="192" xfId="864" applyFont="1" applyBorder="1" applyAlignment="1">
      <alignment horizontal="left" vertical="center"/>
    </xf>
    <xf numFmtId="0" fontId="24" fillId="0" borderId="189" xfId="864" applyFont="1" applyBorder="1" applyAlignment="1">
      <alignment horizontal="left" vertical="center"/>
    </xf>
    <xf numFmtId="0" fontId="90" fillId="0" borderId="79" xfId="864" applyFont="1" applyBorder="1" applyAlignment="1">
      <alignment horizontal="center"/>
    </xf>
    <xf numFmtId="0" fontId="90" fillId="0" borderId="80" xfId="864" applyFont="1" applyBorder="1" applyAlignment="1">
      <alignment horizontal="center"/>
    </xf>
    <xf numFmtId="0" fontId="90" fillId="0" borderId="97" xfId="864" applyFont="1" applyBorder="1" applyAlignment="1">
      <alignment horizontal="center"/>
    </xf>
    <xf numFmtId="0" fontId="24" fillId="0" borderId="81" xfId="864" applyFont="1" applyBorder="1" applyAlignment="1">
      <alignment horizontal="center"/>
    </xf>
    <xf numFmtId="0" fontId="24" fillId="0" borderId="0" xfId="864" applyFont="1" applyBorder="1" applyAlignment="1">
      <alignment horizontal="center"/>
    </xf>
    <xf numFmtId="0" fontId="24" fillId="0" borderId="98" xfId="864" applyFont="1" applyBorder="1" applyAlignment="1">
      <alignment horizontal="center"/>
    </xf>
    <xf numFmtId="0" fontId="70" fillId="0" borderId="81" xfId="864" applyFont="1" applyBorder="1" applyAlignment="1">
      <alignment horizontal="left" vertical="center" wrapText="1"/>
    </xf>
    <xf numFmtId="0" fontId="70" fillId="0" borderId="0" xfId="864" applyFont="1" applyBorder="1" applyAlignment="1">
      <alignment horizontal="left" vertical="center" wrapText="1"/>
    </xf>
    <xf numFmtId="0" fontId="132" fillId="0" borderId="0" xfId="864" applyFont="1" applyBorder="1" applyAlignment="1">
      <alignment vertical="center" wrapText="1"/>
    </xf>
    <xf numFmtId="0" fontId="132" fillId="0" borderId="98" xfId="864" applyFont="1" applyBorder="1" applyAlignment="1">
      <alignment vertical="center" wrapText="1"/>
    </xf>
    <xf numFmtId="202" fontId="70" fillId="0" borderId="81" xfId="864" applyNumberFormat="1" applyFont="1" applyBorder="1" applyAlignment="1">
      <alignment horizontal="left" vertical="center"/>
    </xf>
    <xf numFmtId="202" fontId="70" fillId="0" borderId="0" xfId="864" applyNumberFormat="1" applyFont="1" applyBorder="1" applyAlignment="1">
      <alignment horizontal="left" vertical="center"/>
    </xf>
    <xf numFmtId="49" fontId="42" fillId="0" borderId="0" xfId="864" applyNumberFormat="1" applyFont="1" applyBorder="1" applyAlignment="1">
      <alignment horizontal="left" vertical="center"/>
    </xf>
    <xf numFmtId="0" fontId="42" fillId="0" borderId="0" xfId="864" applyNumberFormat="1" applyFont="1" applyBorder="1" applyAlignment="1">
      <alignment horizontal="left" vertical="center"/>
    </xf>
    <xf numFmtId="0" fontId="42" fillId="0" borderId="98" xfId="864" applyNumberFormat="1" applyFont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left" vertical="center" wrapText="1" indent="5"/>
    </xf>
    <xf numFmtId="0" fontId="38" fillId="0" borderId="23" xfId="0" applyFont="1" applyFill="1" applyBorder="1" applyAlignment="1">
      <alignment horizontal="left" vertical="center" wrapText="1" indent="5"/>
    </xf>
    <xf numFmtId="0" fontId="45" fillId="0" borderId="13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87" fillId="0" borderId="44" xfId="0" applyFont="1" applyFill="1" applyBorder="1" applyAlignment="1">
      <alignment horizontal="center" vertical="center"/>
    </xf>
    <xf numFmtId="0" fontId="87" fillId="0" borderId="23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 wrapText="1"/>
    </xf>
    <xf numFmtId="0" fontId="38" fillId="0" borderId="23" xfId="0" applyFont="1" applyFill="1" applyBorder="1" applyAlignment="1">
      <alignment horizontal="center" vertical="center" wrapText="1"/>
    </xf>
    <xf numFmtId="1" fontId="38" fillId="0" borderId="44" xfId="0" applyNumberFormat="1" applyFont="1" applyFill="1" applyBorder="1" applyAlignment="1">
      <alignment horizontal="center" vertical="center" wrapText="1"/>
    </xf>
    <xf numFmtId="1" fontId="38" fillId="0" borderId="23" xfId="0" applyNumberFormat="1" applyFont="1" applyFill="1" applyBorder="1" applyAlignment="1">
      <alignment horizontal="center" vertical="center" wrapText="1"/>
    </xf>
    <xf numFmtId="0" fontId="38" fillId="0" borderId="14" xfId="0" applyFont="1" applyFill="1" applyBorder="1" applyAlignment="1">
      <alignment horizontal="center" vertical="center"/>
    </xf>
    <xf numFmtId="0" fontId="73" fillId="0" borderId="13" xfId="0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0" fontId="38" fillId="0" borderId="58" xfId="0" applyFont="1" applyFill="1" applyBorder="1" applyAlignment="1">
      <alignment horizontal="left" vertical="center" indent="1"/>
    </xf>
    <xf numFmtId="0" fontId="38" fillId="0" borderId="27" xfId="0" applyFont="1" applyFill="1" applyBorder="1" applyAlignment="1">
      <alignment horizontal="left" vertical="center" indent="1"/>
    </xf>
    <xf numFmtId="0" fontId="38" fillId="0" borderId="35" xfId="0" applyFont="1" applyFill="1" applyBorder="1" applyAlignment="1">
      <alignment horizontal="left" vertical="center" indent="1"/>
    </xf>
    <xf numFmtId="0" fontId="38" fillId="0" borderId="39" xfId="0" applyFont="1" applyFill="1" applyBorder="1" applyAlignment="1">
      <alignment horizontal="left" vertical="center" indent="1"/>
    </xf>
    <xf numFmtId="0" fontId="38" fillId="0" borderId="33" xfId="0" applyFont="1" applyFill="1" applyBorder="1" applyAlignment="1">
      <alignment horizontal="left" vertical="center" indent="1"/>
    </xf>
    <xf numFmtId="205" fontId="38" fillId="0" borderId="25" xfId="0" applyNumberFormat="1" applyFont="1" applyFill="1" applyBorder="1" applyAlignment="1" applyProtection="1">
      <alignment horizontal="center" vertical="center"/>
    </xf>
    <xf numFmtId="205" fontId="38" fillId="0" borderId="46" xfId="0" applyNumberFormat="1" applyFont="1" applyFill="1" applyBorder="1" applyAlignment="1" applyProtection="1">
      <alignment horizontal="center" vertical="center"/>
    </xf>
    <xf numFmtId="0" fontId="38" fillId="0" borderId="28" xfId="0" applyFont="1" applyFill="1" applyBorder="1" applyAlignment="1">
      <alignment horizontal="left" vertical="center" indent="1"/>
    </xf>
    <xf numFmtId="0" fontId="38" fillId="0" borderId="34" xfId="0" applyFont="1" applyFill="1" applyBorder="1" applyAlignment="1">
      <alignment horizontal="left" vertical="center" indent="1"/>
    </xf>
    <xf numFmtId="0" fontId="38" fillId="0" borderId="23" xfId="0" applyFont="1" applyFill="1" applyBorder="1" applyAlignment="1">
      <alignment horizontal="left" vertical="center" indent="1"/>
    </xf>
    <xf numFmtId="205" fontId="38" fillId="0" borderId="60" xfId="0" applyNumberFormat="1" applyFont="1" applyFill="1" applyBorder="1" applyAlignment="1" applyProtection="1">
      <alignment horizontal="center" vertical="center"/>
    </xf>
    <xf numFmtId="205" fontId="38" fillId="0" borderId="65" xfId="0" applyNumberFormat="1" applyFont="1" applyFill="1" applyBorder="1" applyAlignment="1" applyProtection="1">
      <alignment horizontal="center" vertical="center"/>
    </xf>
    <xf numFmtId="0" fontId="86" fillId="24" borderId="15" xfId="0" applyFont="1" applyFill="1" applyBorder="1" applyAlignment="1">
      <alignment horizontal="center" vertical="center"/>
    </xf>
    <xf numFmtId="0" fontId="86" fillId="24" borderId="17" xfId="0" applyFont="1" applyFill="1" applyBorder="1" applyAlignment="1">
      <alignment horizontal="center" vertical="center"/>
    </xf>
    <xf numFmtId="0" fontId="90" fillId="0" borderId="10" xfId="140" applyFont="1" applyFill="1" applyBorder="1" applyAlignment="1" applyProtection="1">
      <alignment horizontal="center"/>
      <protection locked="0"/>
    </xf>
    <xf numFmtId="0" fontId="90" fillId="0" borderId="93" xfId="140" applyFont="1" applyFill="1" applyBorder="1" applyAlignment="1" applyProtection="1">
      <alignment horizontal="center"/>
      <protection locked="0"/>
    </xf>
    <xf numFmtId="0" fontId="90" fillId="0" borderId="94" xfId="140" applyFont="1" applyFill="1" applyBorder="1" applyAlignment="1" applyProtection="1">
      <alignment horizontal="center"/>
      <protection locked="0"/>
    </xf>
    <xf numFmtId="0" fontId="90" fillId="0" borderId="13" xfId="140" applyFont="1" applyFill="1" applyBorder="1" applyAlignment="1" applyProtection="1">
      <alignment horizontal="center"/>
      <protection locked="0"/>
    </xf>
    <xf numFmtId="0" fontId="90" fillId="0" borderId="0" xfId="140" applyFont="1" applyFill="1" applyBorder="1" applyAlignment="1" applyProtection="1">
      <alignment horizontal="center"/>
      <protection locked="0"/>
    </xf>
    <xf numFmtId="0" fontId="90" fillId="0" borderId="14" xfId="140" applyFont="1" applyFill="1" applyBorder="1" applyAlignment="1" applyProtection="1">
      <alignment horizontal="center"/>
      <protection locked="0"/>
    </xf>
    <xf numFmtId="0" fontId="41" fillId="0" borderId="72" xfId="0" applyFont="1" applyFill="1" applyBorder="1" applyAlignment="1">
      <alignment horizontal="center" vertical="center"/>
    </xf>
    <xf numFmtId="0" fontId="41" fillId="0" borderId="73" xfId="0" applyFont="1" applyFill="1" applyBorder="1" applyAlignment="1">
      <alignment horizontal="center" vertical="center"/>
    </xf>
    <xf numFmtId="178" fontId="48" fillId="0" borderId="44" xfId="46" applyNumberFormat="1" applyFont="1" applyFill="1" applyBorder="1" applyAlignment="1">
      <alignment horizontal="center" vertical="center"/>
    </xf>
    <xf numFmtId="178" fontId="48" fillId="0" borderId="45" xfId="46" applyNumberFormat="1" applyFont="1" applyFill="1" applyBorder="1" applyAlignment="1">
      <alignment horizontal="center" vertical="center"/>
    </xf>
    <xf numFmtId="178" fontId="48" fillId="0" borderId="27" xfId="46" applyNumberFormat="1" applyFont="1" applyFill="1" applyBorder="1" applyAlignment="1">
      <alignment horizontal="left" vertical="center"/>
    </xf>
    <xf numFmtId="178" fontId="48" fillId="0" borderId="29" xfId="46" applyNumberFormat="1" applyFont="1" applyFill="1" applyBorder="1" applyAlignment="1">
      <alignment horizontal="left" vertical="center"/>
    </xf>
    <xf numFmtId="178" fontId="48" fillId="0" borderId="27" xfId="46" applyNumberFormat="1" applyFont="1" applyFill="1" applyBorder="1" applyAlignment="1">
      <alignment horizontal="left" vertical="center" indent="3"/>
    </xf>
    <xf numFmtId="178" fontId="48" fillId="0" borderId="29" xfId="46" applyNumberFormat="1" applyFont="1" applyFill="1" applyBorder="1" applyAlignment="1">
      <alignment horizontal="left" vertical="center" indent="3"/>
    </xf>
    <xf numFmtId="178" fontId="48" fillId="0" borderId="30" xfId="46" applyNumberFormat="1" applyFont="1" applyFill="1" applyBorder="1" applyAlignment="1">
      <alignment horizontal="left" vertical="center"/>
    </xf>
    <xf numFmtId="178" fontId="48" fillId="0" borderId="31" xfId="46" applyNumberFormat="1" applyFont="1" applyFill="1" applyBorder="1" applyAlignment="1">
      <alignment horizontal="left" vertical="center"/>
    </xf>
    <xf numFmtId="178" fontId="48" fillId="0" borderId="46" xfId="46" applyNumberFormat="1" applyFont="1" applyFill="1" applyBorder="1" applyAlignment="1">
      <alignment horizontal="left" vertical="center"/>
    </xf>
    <xf numFmtId="178" fontId="48" fillId="0" borderId="47" xfId="46" applyNumberFormat="1" applyFont="1" applyFill="1" applyBorder="1" applyAlignment="1">
      <alignment horizontal="left" vertical="center"/>
    </xf>
    <xf numFmtId="0" fontId="38" fillId="0" borderId="15" xfId="0" applyFont="1" applyFill="1" applyBorder="1" applyAlignment="1" applyProtection="1">
      <alignment horizontal="center" vertical="center"/>
    </xf>
    <xf numFmtId="0" fontId="38" fillId="0" borderId="17" xfId="0" applyFont="1" applyFill="1" applyBorder="1" applyAlignment="1" applyProtection="1">
      <alignment horizontal="center" vertical="center"/>
    </xf>
    <xf numFmtId="0" fontId="120" fillId="0" borderId="13" xfId="0" applyFont="1" applyFill="1" applyBorder="1" applyAlignment="1">
      <alignment horizontal="center" vertical="center" wrapText="1"/>
    </xf>
    <xf numFmtId="0" fontId="120" fillId="0" borderId="0" xfId="0" applyFont="1" applyFill="1" applyBorder="1" applyAlignment="1">
      <alignment horizontal="center" vertical="center" wrapText="1"/>
    </xf>
    <xf numFmtId="0" fontId="120" fillId="0" borderId="14" xfId="0" applyFont="1" applyFill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93" xfId="0" applyFont="1" applyFill="1" applyBorder="1" applyAlignment="1">
      <alignment horizontal="center" vertical="center"/>
    </xf>
    <xf numFmtId="0" fontId="41" fillId="0" borderId="95" xfId="0" applyFont="1" applyFill="1" applyBorder="1" applyAlignment="1">
      <alignment horizontal="center" vertical="center"/>
    </xf>
    <xf numFmtId="0" fontId="39" fillId="24" borderId="13" xfId="0" applyFont="1" applyFill="1" applyBorder="1" applyAlignment="1">
      <alignment horizontal="center" vertical="center"/>
    </xf>
    <xf numFmtId="0" fontId="39" fillId="24" borderId="14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right" vertical="center"/>
    </xf>
    <xf numFmtId="0" fontId="41" fillId="0" borderId="37" xfId="0" applyFont="1" applyFill="1" applyBorder="1" applyAlignment="1">
      <alignment horizontal="right" vertical="center"/>
    </xf>
    <xf numFmtId="206" fontId="82" fillId="0" borderId="44" xfId="0" applyNumberFormat="1" applyFont="1" applyFill="1" applyBorder="1" applyAlignment="1" applyProtection="1">
      <alignment horizontal="center" vertical="center"/>
    </xf>
    <xf numFmtId="206" fontId="82" fillId="0" borderId="34" xfId="0" applyNumberFormat="1" applyFont="1" applyFill="1" applyBorder="1" applyAlignment="1" applyProtection="1">
      <alignment horizontal="center" vertical="center"/>
    </xf>
    <xf numFmtId="0" fontId="38" fillId="0" borderId="50" xfId="0" applyFont="1" applyFill="1" applyBorder="1" applyAlignment="1">
      <alignment horizontal="left" vertical="center" indent="1"/>
    </xf>
    <xf numFmtId="0" fontId="38" fillId="0" borderId="30" xfId="0" applyFont="1" applyFill="1" applyBorder="1" applyAlignment="1">
      <alignment horizontal="left" vertical="center" indent="1"/>
    </xf>
    <xf numFmtId="175" fontId="42" fillId="0" borderId="10" xfId="0" applyNumberFormat="1" applyFont="1" applyFill="1" applyBorder="1" applyAlignment="1" applyProtection="1">
      <alignment horizontal="center" vertical="center"/>
    </xf>
    <xf numFmtId="175" fontId="42" fillId="0" borderId="93" xfId="0" applyNumberFormat="1" applyFont="1" applyFill="1" applyBorder="1" applyAlignment="1" applyProtection="1">
      <alignment horizontal="center" vertical="center"/>
    </xf>
    <xf numFmtId="175" fontId="42" fillId="0" borderId="94" xfId="0" applyNumberFormat="1" applyFont="1" applyFill="1" applyBorder="1" applyAlignment="1" applyProtection="1">
      <alignment horizontal="center" vertical="center"/>
    </xf>
    <xf numFmtId="0" fontId="42" fillId="0" borderId="10" xfId="0" applyFont="1" applyFill="1" applyBorder="1" applyAlignment="1">
      <alignment horizontal="center" vertical="center" wrapText="1"/>
    </xf>
    <xf numFmtId="0" fontId="42" fillId="0" borderId="93" xfId="0" applyFont="1" applyFill="1" applyBorder="1" applyAlignment="1">
      <alignment horizontal="center" vertical="center" wrapText="1"/>
    </xf>
    <xf numFmtId="0" fontId="42" fillId="0" borderId="94" xfId="0" applyFont="1" applyFill="1" applyBorder="1" applyAlignment="1">
      <alignment horizontal="center" vertical="center" wrapText="1"/>
    </xf>
    <xf numFmtId="205" fontId="38" fillId="0" borderId="30" xfId="0" applyNumberFormat="1" applyFont="1" applyFill="1" applyBorder="1" applyAlignment="1" applyProtection="1">
      <alignment horizontal="center" vertical="center"/>
    </xf>
    <xf numFmtId="205" fontId="38" fillId="0" borderId="31" xfId="0" applyNumberFormat="1" applyFont="1" applyFill="1" applyBorder="1" applyAlignment="1" applyProtection="1">
      <alignment horizontal="center" vertical="center"/>
    </xf>
    <xf numFmtId="181" fontId="129" fillId="35" borderId="93" xfId="0" applyNumberFormat="1" applyFont="1" applyFill="1" applyBorder="1" applyAlignment="1">
      <alignment horizontal="center" vertical="center"/>
    </xf>
    <xf numFmtId="181" fontId="129" fillId="35" borderId="94" xfId="0" applyNumberFormat="1" applyFont="1" applyFill="1" applyBorder="1" applyAlignment="1">
      <alignment horizontal="center" vertical="center"/>
    </xf>
    <xf numFmtId="181" fontId="129" fillId="35" borderId="16" xfId="0" applyNumberFormat="1" applyFont="1" applyFill="1" applyBorder="1" applyAlignment="1">
      <alignment horizontal="center" vertical="center"/>
    </xf>
    <xf numFmtId="181" fontId="129" fillId="35" borderId="17" xfId="0" applyNumberFormat="1" applyFont="1" applyFill="1" applyBorder="1" applyAlignment="1">
      <alignment horizontal="center" vertical="center"/>
    </xf>
    <xf numFmtId="181" fontId="75" fillId="35" borderId="10" xfId="0" applyNumberFormat="1" applyFont="1" applyFill="1" applyBorder="1" applyAlignment="1">
      <alignment horizontal="center" vertical="center"/>
    </xf>
    <xf numFmtId="181" fontId="75" fillId="35" borderId="15" xfId="0" applyNumberFormat="1" applyFont="1" applyFill="1" applyBorder="1" applyAlignment="1">
      <alignment horizontal="center" vertical="center"/>
    </xf>
    <xf numFmtId="4" fontId="42" fillId="0" borderId="40" xfId="0" applyNumberFormat="1" applyFont="1" applyFill="1" applyBorder="1" applyAlignment="1">
      <alignment horizontal="right" vertical="center"/>
    </xf>
    <xf numFmtId="4" fontId="42" fillId="0" borderId="48" xfId="0" applyNumberFormat="1" applyFont="1" applyFill="1" applyBorder="1" applyAlignment="1">
      <alignment horizontal="right" vertical="center"/>
    </xf>
    <xf numFmtId="178" fontId="48" fillId="0" borderId="40" xfId="46" applyNumberFormat="1" applyFont="1" applyFill="1" applyBorder="1" applyAlignment="1">
      <alignment vertical="center"/>
    </xf>
    <xf numFmtId="178" fontId="48" fillId="0" borderId="48" xfId="46" applyNumberFormat="1" applyFont="1" applyFill="1" applyBorder="1" applyAlignment="1">
      <alignment vertical="center"/>
    </xf>
    <xf numFmtId="0" fontId="133" fillId="0" borderId="34" xfId="0" applyFont="1" applyFill="1" applyBorder="1" applyAlignment="1">
      <alignment horizontal="right" vertical="center"/>
    </xf>
    <xf numFmtId="0" fontId="133" fillId="0" borderId="23" xfId="0" applyFont="1" applyFill="1" applyBorder="1" applyAlignment="1">
      <alignment horizontal="right" vertical="center"/>
    </xf>
    <xf numFmtId="171" fontId="82" fillId="0" borderId="44" xfId="0" applyNumberFormat="1" applyFont="1" applyFill="1" applyBorder="1" applyAlignment="1" applyProtection="1">
      <alignment horizontal="center" vertical="center"/>
    </xf>
    <xf numFmtId="171" fontId="82" fillId="0" borderId="34" xfId="0" applyNumberFormat="1" applyFont="1" applyFill="1" applyBorder="1" applyAlignment="1" applyProtection="1">
      <alignment horizontal="center" vertical="center"/>
    </xf>
    <xf numFmtId="0" fontId="38" fillId="0" borderId="13" xfId="0" applyFont="1" applyFill="1" applyBorder="1" applyAlignment="1">
      <alignment horizontal="center" vertical="center"/>
    </xf>
    <xf numFmtId="187" fontId="41" fillId="0" borderId="0" xfId="0" applyNumberFormat="1" applyFont="1" applyFill="1" applyAlignment="1">
      <alignment horizontal="center" vertical="center"/>
    </xf>
    <xf numFmtId="0" fontId="71" fillId="0" borderId="0" xfId="0" applyFont="1" applyFill="1" applyAlignment="1">
      <alignment horizontal="center" vertical="center"/>
    </xf>
    <xf numFmtId="178" fontId="48" fillId="0" borderId="44" xfId="0" applyNumberFormat="1" applyFont="1" applyFill="1" applyBorder="1" applyAlignment="1">
      <alignment horizontal="center" vertical="center"/>
    </xf>
    <xf numFmtId="178" fontId="48" fillId="0" borderId="45" xfId="0" applyNumberFormat="1" applyFont="1" applyFill="1" applyBorder="1" applyAlignment="1">
      <alignment horizontal="center" vertical="center"/>
    </xf>
    <xf numFmtId="197" fontId="42" fillId="35" borderId="44" xfId="0" applyNumberFormat="1" applyFont="1" applyFill="1" applyBorder="1" applyAlignment="1">
      <alignment horizontal="center" vertical="center"/>
    </xf>
    <xf numFmtId="197" fontId="42" fillId="35" borderId="45" xfId="0" applyNumberFormat="1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43" fillId="0" borderId="16" xfId="0" applyFont="1" applyFill="1" applyBorder="1" applyAlignment="1">
      <alignment horizontal="center" vertical="center"/>
    </xf>
    <xf numFmtId="178" fontId="42" fillId="0" borderId="44" xfId="46" applyNumberFormat="1" applyFont="1" applyFill="1" applyBorder="1" applyAlignment="1">
      <alignment horizontal="center" vertical="center"/>
    </xf>
    <xf numFmtId="178" fontId="42" fillId="0" borderId="45" xfId="46" applyNumberFormat="1" applyFont="1" applyFill="1" applyBorder="1" applyAlignment="1">
      <alignment horizontal="center" vertical="center"/>
    </xf>
    <xf numFmtId="178" fontId="133" fillId="0" borderId="44" xfId="0" applyNumberFormat="1" applyFont="1" applyFill="1" applyBorder="1" applyAlignment="1">
      <alignment horizontal="center" vertical="center"/>
    </xf>
    <xf numFmtId="178" fontId="133" fillId="0" borderId="45" xfId="0" applyNumberFormat="1" applyFont="1" applyFill="1" applyBorder="1" applyAlignment="1">
      <alignment horizontal="center" vertical="center"/>
    </xf>
    <xf numFmtId="0" fontId="48" fillId="0" borderId="39" xfId="0" applyFont="1" applyFill="1" applyBorder="1" applyAlignment="1">
      <alignment horizontal="left" vertical="center"/>
    </xf>
    <xf numFmtId="0" fontId="48" fillId="0" borderId="33" xfId="0" applyFont="1" applyFill="1" applyBorder="1" applyAlignment="1">
      <alignment horizontal="left" vertical="center"/>
    </xf>
    <xf numFmtId="0" fontId="42" fillId="35" borderId="34" xfId="0" applyFont="1" applyFill="1" applyBorder="1" applyAlignment="1">
      <alignment horizontal="right" vertical="center"/>
    </xf>
    <xf numFmtId="0" fontId="42" fillId="35" borderId="23" xfId="0" applyFont="1" applyFill="1" applyBorder="1" applyAlignment="1">
      <alignment horizontal="right" vertical="center"/>
    </xf>
    <xf numFmtId="178" fontId="48" fillId="0" borderId="44" xfId="46" applyNumberFormat="1" applyFont="1" applyFill="1" applyBorder="1" applyAlignment="1">
      <alignment horizontal="right" vertical="center"/>
    </xf>
    <xf numFmtId="178" fontId="48" fillId="0" borderId="45" xfId="46" applyNumberFormat="1" applyFont="1" applyFill="1" applyBorder="1" applyAlignment="1">
      <alignment horizontal="right" vertical="center"/>
    </xf>
    <xf numFmtId="178" fontId="48" fillId="0" borderId="46" xfId="0" applyNumberFormat="1" applyFont="1" applyFill="1" applyBorder="1" applyAlignment="1">
      <alignment horizontal="center" vertical="center"/>
    </xf>
    <xf numFmtId="178" fontId="48" fillId="0" borderId="47" xfId="0" applyNumberFormat="1" applyFont="1" applyFill="1" applyBorder="1" applyAlignment="1">
      <alignment horizontal="center" vertical="center"/>
    </xf>
    <xf numFmtId="0" fontId="41" fillId="24" borderId="16" xfId="56" applyFont="1" applyFill="1" applyBorder="1" applyAlignment="1">
      <alignment horizontal="center" vertical="top"/>
    </xf>
    <xf numFmtId="0" fontId="106" fillId="29" borderId="190" xfId="56" applyFont="1" applyFill="1" applyBorder="1" applyAlignment="1">
      <alignment horizontal="center" vertical="center"/>
    </xf>
    <xf numFmtId="0" fontId="106" fillId="29" borderId="190" xfId="56" applyFont="1" applyFill="1" applyBorder="1" applyAlignment="1">
      <alignment horizontal="center" vertical="center" wrapText="1"/>
    </xf>
    <xf numFmtId="0" fontId="106" fillId="29" borderId="19" xfId="56" applyFont="1" applyFill="1" applyBorder="1" applyAlignment="1">
      <alignment horizontal="center" vertical="center" wrapText="1"/>
    </xf>
    <xf numFmtId="164" fontId="43" fillId="24" borderId="0" xfId="47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1" fillId="24" borderId="0" xfId="56" applyFont="1" applyFill="1" applyBorder="1" applyAlignment="1">
      <alignment horizontal="center" vertical="center"/>
    </xf>
    <xf numFmtId="1" fontId="106" fillId="29" borderId="190" xfId="52" applyNumberFormat="1" applyFont="1" applyFill="1" applyBorder="1" applyAlignment="1">
      <alignment horizontal="center" vertical="center"/>
    </xf>
    <xf numFmtId="0" fontId="106" fillId="29" borderId="190" xfId="52" applyFont="1" applyFill="1" applyBorder="1" applyAlignment="1">
      <alignment horizontal="center" vertical="center" wrapText="1"/>
    </xf>
    <xf numFmtId="0" fontId="106" fillId="29" borderId="190" xfId="52" applyFont="1" applyFill="1" applyBorder="1" applyAlignment="1">
      <alignment horizontal="center" vertical="center"/>
    </xf>
    <xf numFmtId="0" fontId="48" fillId="0" borderId="15" xfId="141" applyFont="1" applyBorder="1" applyAlignment="1">
      <alignment horizontal="center" wrapText="1"/>
    </xf>
    <xf numFmtId="0" fontId="48" fillId="0" borderId="16" xfId="141" applyFont="1" applyBorder="1" applyAlignment="1">
      <alignment horizontal="center" wrapText="1"/>
    </xf>
    <xf numFmtId="0" fontId="48" fillId="0" borderId="17" xfId="141" applyFont="1" applyBorder="1" applyAlignment="1">
      <alignment horizontal="center" wrapText="1"/>
    </xf>
    <xf numFmtId="0" fontId="88" fillId="0" borderId="10" xfId="631" applyFont="1" applyBorder="1" applyAlignment="1">
      <alignment horizontal="center" vertical="center" wrapText="1"/>
    </xf>
    <xf numFmtId="0" fontId="88" fillId="0" borderId="94" xfId="631" applyFont="1" applyBorder="1" applyAlignment="1">
      <alignment horizontal="center" vertical="center" wrapText="1"/>
    </xf>
    <xf numFmtId="0" fontId="88" fillId="0" borderId="13" xfId="631" applyFont="1" applyBorder="1" applyAlignment="1">
      <alignment horizontal="center" vertical="center" wrapText="1"/>
    </xf>
    <xf numFmtId="0" fontId="88" fillId="0" borderId="14" xfId="631" applyFont="1" applyBorder="1" applyAlignment="1">
      <alignment horizontal="center" vertical="center" wrapText="1"/>
    </xf>
    <xf numFmtId="0" fontId="88" fillId="0" borderId="164" xfId="631" applyFont="1" applyBorder="1" applyAlignment="1">
      <alignment horizontal="center" vertical="center" wrapText="1"/>
    </xf>
    <xf numFmtId="0" fontId="88" fillId="0" borderId="77" xfId="631" applyFont="1" applyBorder="1" applyAlignment="1">
      <alignment horizontal="center" vertical="center" wrapText="1"/>
    </xf>
    <xf numFmtId="0" fontId="88" fillId="0" borderId="0" xfId="631" applyFont="1" applyBorder="1" applyAlignment="1">
      <alignment horizontal="center" vertical="center" wrapText="1"/>
    </xf>
    <xf numFmtId="0" fontId="88" fillId="0" borderId="76" xfId="631" applyFont="1" applyBorder="1" applyAlignment="1">
      <alignment horizontal="center" vertical="center" wrapText="1"/>
    </xf>
    <xf numFmtId="0" fontId="88" fillId="0" borderId="93" xfId="631" applyFont="1" applyBorder="1" applyAlignment="1">
      <alignment horizontal="center" vertical="center" wrapText="1"/>
    </xf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0" fontId="59" fillId="0" borderId="16" xfId="631" applyFont="1" applyBorder="1" applyAlignment="1">
      <alignment horizontal="center" vertical="top" wrapText="1"/>
    </xf>
    <xf numFmtId="0" fontId="42" fillId="0" borderId="10" xfId="141" applyFont="1" applyBorder="1" applyAlignment="1">
      <alignment horizontal="center" vertical="center" wrapText="1"/>
    </xf>
    <xf numFmtId="0" fontId="42" fillId="0" borderId="93" xfId="141" applyFont="1" applyBorder="1" applyAlignment="1">
      <alignment horizontal="center" vertical="center" wrapText="1"/>
    </xf>
    <xf numFmtId="0" fontId="59" fillId="0" borderId="35" xfId="631" applyFont="1" applyBorder="1" applyAlignment="1">
      <alignment horizontal="center" vertical="center" wrapText="1"/>
    </xf>
    <xf numFmtId="0" fontId="59" fillId="0" borderId="39" xfId="631" applyFont="1" applyBorder="1" applyAlignment="1">
      <alignment horizontal="center" vertical="center" wrapText="1"/>
    </xf>
    <xf numFmtId="0" fontId="59" fillId="0" borderId="10" xfId="631" applyFont="1" applyBorder="1" applyAlignment="1">
      <alignment horizontal="center" vertical="center" wrapText="1"/>
    </xf>
    <xf numFmtId="0" fontId="59" fillId="0" borderId="94" xfId="631" applyFont="1" applyBorder="1" applyAlignment="1">
      <alignment horizontal="center" vertical="center" wrapText="1"/>
    </xf>
    <xf numFmtId="0" fontId="59" fillId="0" borderId="164" xfId="631" applyFont="1" applyBorder="1" applyAlignment="1">
      <alignment horizontal="center" vertical="center" wrapText="1"/>
    </xf>
    <xf numFmtId="0" fontId="59" fillId="0" borderId="77" xfId="631" applyFont="1" applyBorder="1" applyAlignment="1">
      <alignment horizontal="center" vertical="center" wrapText="1"/>
    </xf>
    <xf numFmtId="0" fontId="88" fillId="0" borderId="34" xfId="631" applyFont="1" applyBorder="1" applyAlignment="1">
      <alignment horizontal="center" vertical="center" wrapText="1"/>
    </xf>
    <xf numFmtId="0" fontId="48" fillId="0" borderId="15" xfId="141" applyFont="1" applyBorder="1" applyAlignment="1">
      <alignment horizontal="center" vertical="center"/>
    </xf>
    <xf numFmtId="0" fontId="48" fillId="0" borderId="16" xfId="141" applyFont="1" applyBorder="1" applyAlignment="1">
      <alignment horizontal="center" vertical="center"/>
    </xf>
    <xf numFmtId="0" fontId="48" fillId="0" borderId="17" xfId="141" applyFont="1" applyBorder="1" applyAlignment="1">
      <alignment horizontal="center" vertical="center"/>
    </xf>
    <xf numFmtId="0" fontId="40" fillId="0" borderId="13" xfId="141" applyFont="1" applyBorder="1" applyAlignment="1">
      <alignment horizontal="center" vertical="center" wrapText="1"/>
    </xf>
    <xf numFmtId="0" fontId="40" fillId="0" borderId="0" xfId="141" applyFont="1" applyBorder="1" applyAlignment="1">
      <alignment horizontal="center" vertical="center" wrapText="1"/>
    </xf>
    <xf numFmtId="0" fontId="40" fillId="0" borderId="14" xfId="141" applyFont="1" applyBorder="1" applyAlignment="1">
      <alignment horizontal="center" vertical="center" wrapText="1"/>
    </xf>
    <xf numFmtId="0" fontId="47" fillId="0" borderId="10" xfId="141" applyFont="1" applyBorder="1" applyAlignment="1">
      <alignment horizontal="center" vertical="center"/>
    </xf>
    <xf numFmtId="0" fontId="47" fillId="0" borderId="93" xfId="141" applyFont="1" applyBorder="1" applyAlignment="1">
      <alignment horizontal="center" vertical="center"/>
    </xf>
    <xf numFmtId="0" fontId="47" fillId="0" borderId="94" xfId="141" applyFont="1" applyBorder="1" applyAlignment="1">
      <alignment horizontal="center" vertical="center"/>
    </xf>
    <xf numFmtId="0" fontId="47" fillId="0" borderId="13" xfId="141" applyFont="1" applyBorder="1" applyAlignment="1">
      <alignment horizontal="center" vertical="center"/>
    </xf>
    <xf numFmtId="0" fontId="47" fillId="0" borderId="0" xfId="141" applyFont="1" applyBorder="1" applyAlignment="1">
      <alignment horizontal="center" vertical="center"/>
    </xf>
    <xf numFmtId="0" fontId="47" fillId="0" borderId="14" xfId="141" applyFont="1" applyBorder="1" applyAlignment="1">
      <alignment horizontal="center" vertical="center"/>
    </xf>
    <xf numFmtId="0" fontId="88" fillId="0" borderId="41" xfId="631" applyFont="1" applyBorder="1" applyAlignment="1">
      <alignment horizontal="center" vertical="center"/>
    </xf>
    <xf numFmtId="0" fontId="88" fillId="0" borderId="43" xfId="631" applyFont="1" applyBorder="1" applyAlignment="1">
      <alignment horizontal="center" vertical="center"/>
    </xf>
    <xf numFmtId="0" fontId="59" fillId="0" borderId="194" xfId="631" applyFont="1" applyBorder="1" applyAlignment="1">
      <alignment horizontal="center" vertical="center" wrapText="1"/>
    </xf>
    <xf numFmtId="0" fontId="59" fillId="0" borderId="59" xfId="631" applyFont="1" applyBorder="1" applyAlignment="1">
      <alignment horizontal="center" vertical="center" wrapText="1"/>
    </xf>
    <xf numFmtId="0" fontId="59" fillId="0" borderId="195" xfId="631" applyFont="1" applyBorder="1" applyAlignment="1">
      <alignment horizontal="center" vertical="center"/>
    </xf>
    <xf numFmtId="0" fontId="59" fillId="0" borderId="61" xfId="631" applyFont="1" applyBorder="1" applyAlignment="1">
      <alignment horizontal="center" vertical="center"/>
    </xf>
    <xf numFmtId="0" fontId="55" fillId="0" borderId="13" xfId="141" applyFont="1" applyBorder="1" applyAlignment="1">
      <alignment horizontal="center" vertical="center" wrapText="1"/>
    </xf>
    <xf numFmtId="0" fontId="55" fillId="0" borderId="0" xfId="141" applyFont="1" applyBorder="1" applyAlignment="1">
      <alignment horizontal="center" vertical="center" wrapText="1"/>
    </xf>
    <xf numFmtId="0" fontId="55" fillId="0" borderId="14" xfId="141" applyFont="1" applyBorder="1" applyAlignment="1">
      <alignment horizontal="center" vertical="center" wrapText="1"/>
    </xf>
    <xf numFmtId="0" fontId="55" fillId="0" borderId="15" xfId="141" applyFont="1" applyBorder="1" applyAlignment="1">
      <alignment horizontal="center" vertical="center" wrapText="1"/>
    </xf>
    <xf numFmtId="0" fontId="55" fillId="0" borderId="16" xfId="141" applyFont="1" applyBorder="1" applyAlignment="1">
      <alignment horizontal="center" vertical="center" wrapText="1"/>
    </xf>
    <xf numFmtId="0" fontId="55" fillId="0" borderId="17" xfId="141" applyFont="1" applyBorder="1" applyAlignment="1">
      <alignment horizontal="center" vertical="center" wrapText="1"/>
    </xf>
    <xf numFmtId="0" fontId="42" fillId="0" borderId="32" xfId="633" applyFont="1" applyBorder="1" applyAlignment="1">
      <alignment horizontal="right" vertical="center"/>
    </xf>
    <xf numFmtId="0" fontId="41" fillId="31" borderId="190" xfId="633" applyFont="1" applyFill="1" applyBorder="1" applyAlignment="1">
      <alignment horizontal="center" vertical="center" wrapText="1"/>
    </xf>
    <xf numFmtId="0" fontId="41" fillId="0" borderId="10" xfId="633" applyFont="1" applyBorder="1" applyAlignment="1">
      <alignment horizontal="center"/>
    </xf>
    <xf numFmtId="0" fontId="41" fillId="0" borderId="93" xfId="633" applyFont="1" applyBorder="1" applyAlignment="1">
      <alignment horizontal="center"/>
    </xf>
    <xf numFmtId="0" fontId="41" fillId="0" borderId="94" xfId="633" applyFont="1" applyBorder="1" applyAlignment="1">
      <alignment horizontal="center"/>
    </xf>
    <xf numFmtId="0" fontId="40" fillId="0" borderId="13" xfId="633" applyFont="1" applyBorder="1" applyAlignment="1">
      <alignment horizontal="center" vertical="center"/>
    </xf>
    <xf numFmtId="0" fontId="40" fillId="0" borderId="0" xfId="633" applyFont="1" applyBorder="1" applyAlignment="1">
      <alignment horizontal="center" vertical="center"/>
    </xf>
    <xf numFmtId="0" fontId="40" fillId="0" borderId="14" xfId="633" applyFont="1" applyBorder="1" applyAlignment="1">
      <alignment horizontal="center" vertical="center"/>
    </xf>
    <xf numFmtId="0" fontId="42" fillId="0" borderId="13" xfId="633" applyFont="1" applyBorder="1" applyAlignment="1">
      <alignment horizontal="center" vertical="center" wrapText="1"/>
    </xf>
    <xf numFmtId="0" fontId="42" fillId="0" borderId="0" xfId="633" applyFont="1" applyBorder="1" applyAlignment="1">
      <alignment horizontal="center" vertical="center" wrapText="1"/>
    </xf>
    <xf numFmtId="0" fontId="42" fillId="0" borderId="14" xfId="633" applyFont="1" applyBorder="1" applyAlignment="1">
      <alignment horizontal="center" vertical="center" wrapText="1"/>
    </xf>
    <xf numFmtId="0" fontId="41" fillId="31" borderId="190" xfId="633" applyFont="1" applyFill="1" applyBorder="1" applyAlignment="1">
      <alignment horizontal="center" vertical="center"/>
    </xf>
    <xf numFmtId="0" fontId="55" fillId="0" borderId="13" xfId="633" applyFont="1" applyBorder="1" applyAlignment="1">
      <alignment horizontal="center" vertical="center" wrapText="1"/>
    </xf>
    <xf numFmtId="0" fontId="55" fillId="0" borderId="0" xfId="633" applyFont="1" applyBorder="1" applyAlignment="1">
      <alignment horizontal="center" vertical="center" wrapText="1"/>
    </xf>
    <xf numFmtId="0" fontId="55" fillId="0" borderId="14" xfId="633" applyFont="1" applyBorder="1" applyAlignment="1">
      <alignment horizontal="center" vertical="center" wrapText="1"/>
    </xf>
    <xf numFmtId="0" fontId="55" fillId="0" borderId="15" xfId="633" applyFont="1" applyBorder="1" applyAlignment="1">
      <alignment horizontal="center" vertical="center" wrapText="1"/>
    </xf>
    <xf numFmtId="0" fontId="55" fillId="0" borderId="16" xfId="633" applyFont="1" applyBorder="1" applyAlignment="1">
      <alignment horizontal="center" vertical="center" wrapText="1"/>
    </xf>
    <xf numFmtId="0" fontId="55" fillId="0" borderId="17" xfId="633" applyFont="1" applyBorder="1" applyAlignment="1">
      <alignment horizontal="center" vertical="center" wrapText="1"/>
    </xf>
    <xf numFmtId="0" fontId="118" fillId="0" borderId="15" xfId="633" applyFont="1" applyBorder="1" applyAlignment="1">
      <alignment horizontal="center"/>
    </xf>
    <xf numFmtId="0" fontId="118" fillId="0" borderId="16" xfId="633" applyFont="1" applyBorder="1" applyAlignment="1">
      <alignment horizontal="center"/>
    </xf>
    <xf numFmtId="0" fontId="118" fillId="0" borderId="17" xfId="633" applyFont="1" applyBorder="1" applyAlignment="1">
      <alignment horizontal="center"/>
    </xf>
    <xf numFmtId="0" fontId="42" fillId="0" borderId="15" xfId="633" applyFont="1" applyFill="1" applyBorder="1" applyAlignment="1">
      <alignment horizontal="center" vertical="top" wrapText="1"/>
    </xf>
    <xf numFmtId="0" fontId="42" fillId="0" borderId="16" xfId="633" applyFont="1" applyFill="1" applyBorder="1" applyAlignment="1">
      <alignment horizontal="center" vertical="top" wrapText="1"/>
    </xf>
    <xf numFmtId="0" fontId="42" fillId="0" borderId="13" xfId="633" applyFont="1" applyFill="1" applyBorder="1" applyAlignment="1">
      <alignment horizontal="center" vertical="center"/>
    </xf>
    <xf numFmtId="0" fontId="42" fillId="0" borderId="0" xfId="633" applyFont="1" applyFill="1" applyBorder="1" applyAlignment="1">
      <alignment horizontal="center" vertical="center"/>
    </xf>
    <xf numFmtId="0" fontId="48" fillId="0" borderId="13" xfId="633" applyFont="1" applyFill="1" applyBorder="1" applyAlignment="1">
      <alignment horizontal="center" vertical="center"/>
    </xf>
    <xf numFmtId="0" fontId="48" fillId="0" borderId="0" xfId="633" applyFont="1" applyFill="1" applyBorder="1" applyAlignment="1">
      <alignment horizontal="center" vertical="center"/>
    </xf>
    <xf numFmtId="0" fontId="42" fillId="0" borderId="19" xfId="141" applyFont="1" applyBorder="1" applyAlignment="1">
      <alignment horizontal="right" vertical="center" wrapText="1"/>
    </xf>
    <xf numFmtId="0" fontId="42" fillId="0" borderId="192" xfId="141" applyFont="1" applyBorder="1" applyAlignment="1">
      <alignment horizontal="right" vertical="center" wrapText="1"/>
    </xf>
    <xf numFmtId="0" fontId="45" fillId="0" borderId="15" xfId="633" applyFont="1" applyFill="1" applyBorder="1" applyAlignment="1">
      <alignment horizontal="center" vertical="center" wrapText="1"/>
    </xf>
    <xf numFmtId="0" fontId="45" fillId="0" borderId="16" xfId="633" applyFont="1" applyFill="1" applyBorder="1" applyAlignment="1">
      <alignment horizontal="center" vertical="center" wrapText="1"/>
    </xf>
    <xf numFmtId="0" fontId="42" fillId="0" borderId="32" xfId="141" applyFont="1" applyBorder="1" applyAlignment="1">
      <alignment horizontal="right" vertical="center" wrapText="1"/>
    </xf>
    <xf numFmtId="0" fontId="41" fillId="0" borderId="11" xfId="633" applyFont="1" applyBorder="1" applyAlignment="1">
      <alignment horizontal="center"/>
    </xf>
    <xf numFmtId="0" fontId="41" fillId="0" borderId="12" xfId="633" applyFont="1" applyBorder="1" applyAlignment="1">
      <alignment horizontal="center"/>
    </xf>
    <xf numFmtId="0" fontId="42" fillId="0" borderId="13" xfId="633" applyFont="1" applyBorder="1" applyAlignment="1">
      <alignment horizontal="left" vertical="center"/>
    </xf>
    <xf numFmtId="0" fontId="42" fillId="0" borderId="0" xfId="633" applyFont="1" applyBorder="1" applyAlignment="1">
      <alignment horizontal="left" vertical="center"/>
    </xf>
    <xf numFmtId="0" fontId="42" fillId="0" borderId="14" xfId="633" applyFont="1" applyBorder="1" applyAlignment="1">
      <alignment horizontal="left" vertical="center"/>
    </xf>
    <xf numFmtId="0" fontId="45" fillId="0" borderId="15" xfId="633" applyFont="1" applyBorder="1" applyAlignment="1">
      <alignment horizontal="center" vertical="center"/>
    </xf>
    <xf numFmtId="0" fontId="45" fillId="0" borderId="16" xfId="633" applyFont="1" applyBorder="1" applyAlignment="1">
      <alignment horizontal="center" vertical="center"/>
    </xf>
    <xf numFmtId="0" fontId="45" fillId="0" borderId="17" xfId="633" applyFont="1" applyBorder="1" applyAlignment="1">
      <alignment horizontal="center" vertical="center"/>
    </xf>
    <xf numFmtId="0" fontId="40" fillId="0" borderId="192" xfId="633" applyFont="1" applyBorder="1" applyAlignment="1">
      <alignment horizontal="center" vertical="center"/>
    </xf>
    <xf numFmtId="0" fontId="40" fillId="0" borderId="189" xfId="633" applyFont="1" applyBorder="1" applyAlignment="1">
      <alignment horizontal="center" vertical="center"/>
    </xf>
    <xf numFmtId="0" fontId="42" fillId="0" borderId="82" xfId="633" applyFont="1" applyBorder="1" applyAlignment="1">
      <alignment horizontal="center" vertical="center"/>
    </xf>
    <xf numFmtId="0" fontId="42" fillId="0" borderId="17" xfId="633" applyFont="1" applyBorder="1" applyAlignment="1">
      <alignment horizontal="center" vertical="center"/>
    </xf>
    <xf numFmtId="49" fontId="3" fillId="0" borderId="35" xfId="631" applyNumberFormat="1" applyFont="1" applyBorder="1" applyAlignment="1">
      <alignment horizontal="center" vertical="center"/>
    </xf>
    <xf numFmtId="49" fontId="6" fillId="0" borderId="39" xfId="631" applyNumberFormat="1" applyFont="1" applyBorder="1" applyAlignment="1">
      <alignment horizontal="center" vertical="center"/>
    </xf>
    <xf numFmtId="49" fontId="6" fillId="0" borderId="47" xfId="631" applyNumberFormat="1" applyFont="1" applyBorder="1" applyAlignment="1">
      <alignment horizontal="center" vertical="center"/>
    </xf>
    <xf numFmtId="0" fontId="42" fillId="0" borderId="101" xfId="633" applyFont="1" applyBorder="1" applyAlignment="1">
      <alignment horizontal="center" vertical="center" wrapText="1"/>
    </xf>
    <xf numFmtId="0" fontId="40" fillId="0" borderId="0" xfId="633" applyFont="1" applyFill="1" applyBorder="1" applyAlignment="1">
      <alignment horizontal="center" vertical="center"/>
    </xf>
    <xf numFmtId="0" fontId="72" fillId="0" borderId="0" xfId="633" applyFont="1" applyFill="1" applyBorder="1" applyAlignment="1">
      <alignment horizontal="center" vertical="center"/>
    </xf>
    <xf numFmtId="0" fontId="40" fillId="0" borderId="13" xfId="633" applyFont="1" applyBorder="1" applyAlignment="1">
      <alignment horizontal="center" vertical="center" wrapText="1"/>
    </xf>
    <xf numFmtId="0" fontId="40" fillId="0" borderId="0" xfId="633" applyFont="1" applyBorder="1" applyAlignment="1">
      <alignment horizontal="center" vertical="center" wrapText="1"/>
    </xf>
    <xf numFmtId="0" fontId="40" fillId="0" borderId="14" xfId="633" applyFont="1" applyBorder="1" applyAlignment="1">
      <alignment horizontal="center" vertical="center" wrapText="1"/>
    </xf>
    <xf numFmtId="0" fontId="40" fillId="0" borderId="15" xfId="633" applyFont="1" applyBorder="1" applyAlignment="1">
      <alignment horizontal="center" vertical="center" wrapText="1"/>
    </xf>
    <xf numFmtId="0" fontId="40" fillId="0" borderId="16" xfId="633" applyFont="1" applyBorder="1" applyAlignment="1">
      <alignment horizontal="center" vertical="center" wrapText="1"/>
    </xf>
    <xf numFmtId="0" fontId="40" fillId="0" borderId="17" xfId="633" applyFont="1" applyBorder="1" applyAlignment="1">
      <alignment horizontal="center" vertical="center" wrapText="1"/>
    </xf>
    <xf numFmtId="1" fontId="42" fillId="35" borderId="190" xfId="52" applyNumberFormat="1" applyFont="1" applyFill="1" applyBorder="1" applyAlignment="1">
      <alignment horizontal="center" vertical="center" textRotation="90"/>
    </xf>
    <xf numFmtId="0" fontId="40" fillId="35" borderId="190" xfId="52" applyFont="1" applyFill="1" applyBorder="1" applyAlignment="1">
      <alignment horizontal="center" vertical="center" wrapText="1"/>
    </xf>
    <xf numFmtId="0" fontId="41" fillId="35" borderId="190" xfId="56" applyFont="1" applyFill="1" applyBorder="1" applyAlignment="1">
      <alignment horizontal="center" vertical="center"/>
    </xf>
    <xf numFmtId="0" fontId="41" fillId="35" borderId="190" xfId="52" applyFont="1" applyFill="1" applyBorder="1" applyAlignment="1">
      <alignment horizontal="center" vertical="center"/>
    </xf>
    <xf numFmtId="0" fontId="59" fillId="0" borderId="10" xfId="140" applyFont="1" applyFill="1" applyBorder="1" applyAlignment="1">
      <alignment horizontal="center" vertical="center" wrapText="1"/>
    </xf>
    <xf numFmtId="0" fontId="59" fillId="0" borderId="93" xfId="140" applyFont="1" applyFill="1" applyBorder="1" applyAlignment="1">
      <alignment horizontal="center" vertical="center" wrapText="1"/>
    </xf>
    <xf numFmtId="0" fontId="59" fillId="0" borderId="94" xfId="140" applyFont="1" applyFill="1" applyBorder="1" applyAlignment="1">
      <alignment horizontal="center" vertical="center" wrapText="1"/>
    </xf>
    <xf numFmtId="0" fontId="45" fillId="0" borderId="10" xfId="52" applyFont="1" applyFill="1" applyBorder="1" applyAlignment="1">
      <alignment horizontal="center" vertical="center" wrapText="1"/>
    </xf>
    <xf numFmtId="0" fontId="45" fillId="0" borderId="93" xfId="52" applyFont="1" applyFill="1" applyBorder="1" applyAlignment="1">
      <alignment horizontal="center" vertical="center" wrapText="1"/>
    </xf>
    <xf numFmtId="0" fontId="45" fillId="0" borderId="94" xfId="52" applyFont="1" applyFill="1" applyBorder="1" applyAlignment="1">
      <alignment horizontal="center" vertical="center" wrapText="1"/>
    </xf>
    <xf numFmtId="49" fontId="59" fillId="0" borderId="13" xfId="140" applyNumberFormat="1" applyFont="1" applyFill="1" applyBorder="1" applyAlignment="1">
      <alignment horizontal="center" vertical="center" wrapText="1"/>
    </xf>
    <xf numFmtId="0" fontId="59" fillId="0" borderId="0" xfId="140" applyFont="1" applyFill="1" applyBorder="1" applyAlignment="1">
      <alignment horizontal="center" vertical="center" wrapText="1"/>
    </xf>
    <xf numFmtId="0" fontId="59" fillId="0" borderId="14" xfId="140" applyFont="1" applyFill="1" applyBorder="1" applyAlignment="1">
      <alignment horizontal="center" vertical="center" wrapText="1"/>
    </xf>
    <xf numFmtId="0" fontId="41" fillId="35" borderId="190" xfId="56" applyFont="1" applyFill="1" applyBorder="1" applyAlignment="1">
      <alignment horizontal="center" vertical="center" wrapText="1"/>
    </xf>
    <xf numFmtId="0" fontId="41" fillId="24" borderId="0" xfId="56" applyFont="1" applyFill="1" applyBorder="1" applyAlignment="1">
      <alignment horizontal="center" vertical="top"/>
    </xf>
    <xf numFmtId="0" fontId="40" fillId="0" borderId="15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5" fillId="0" borderId="14" xfId="0" applyFont="1" applyBorder="1" applyAlignment="1">
      <alignment horizontal="center" vertical="center" wrapText="1"/>
    </xf>
    <xf numFmtId="0" fontId="38" fillId="24" borderId="14" xfId="56" applyFont="1" applyFill="1" applyBorder="1" applyAlignment="1">
      <alignment horizontal="center" vertical="center"/>
    </xf>
    <xf numFmtId="0" fontId="41" fillId="24" borderId="14" xfId="56" applyFont="1" applyFill="1" applyBorder="1" applyAlignment="1">
      <alignment horizontal="center" vertical="center"/>
    </xf>
    <xf numFmtId="0" fontId="41" fillId="24" borderId="17" xfId="56" applyFont="1" applyFill="1" applyBorder="1" applyAlignment="1">
      <alignment horizontal="center" vertical="top"/>
    </xf>
    <xf numFmtId="0" fontId="42" fillId="0" borderId="13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3" fillId="0" borderId="15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1" fillId="24" borderId="16" xfId="56" applyFont="1" applyFill="1" applyBorder="1" applyAlignment="1">
      <alignment horizontal="center" vertical="top" wrapText="1"/>
    </xf>
    <xf numFmtId="0" fontId="41" fillId="0" borderId="15" xfId="141" applyFont="1" applyBorder="1" applyAlignment="1">
      <alignment horizontal="center" vertical="center"/>
    </xf>
    <xf numFmtId="0" fontId="41" fillId="0" borderId="16" xfId="141" applyFont="1" applyBorder="1" applyAlignment="1">
      <alignment horizontal="center" vertical="center"/>
    </xf>
    <xf numFmtId="0" fontId="41" fillId="0" borderId="17" xfId="141" applyFont="1" applyBorder="1" applyAlignment="1">
      <alignment horizontal="center" vertical="center"/>
    </xf>
    <xf numFmtId="0" fontId="42" fillId="0" borderId="19" xfId="141" applyFont="1" applyBorder="1" applyAlignment="1">
      <alignment horizontal="center" vertical="center"/>
    </xf>
    <xf numFmtId="0" fontId="42" fillId="0" borderId="32" xfId="141" applyFont="1" applyBorder="1" applyAlignment="1">
      <alignment horizontal="center" vertical="center"/>
    </xf>
    <xf numFmtId="0" fontId="42" fillId="0" borderId="57" xfId="141" applyFont="1" applyBorder="1" applyAlignment="1">
      <alignment horizontal="center" vertical="center"/>
    </xf>
    <xf numFmtId="0" fontId="42" fillId="0" borderId="46" xfId="141" applyFont="1" applyBorder="1" applyAlignment="1">
      <alignment horizontal="center" vertical="center"/>
    </xf>
    <xf numFmtId="0" fontId="42" fillId="0" borderId="21" xfId="141" applyFont="1" applyBorder="1" applyAlignment="1">
      <alignment horizontal="center" vertical="center"/>
    </xf>
    <xf numFmtId="0" fontId="42" fillId="0" borderId="26" xfId="141" applyFont="1" applyBorder="1" applyAlignment="1">
      <alignment horizontal="center" vertical="center"/>
    </xf>
    <xf numFmtId="0" fontId="55" fillId="0" borderId="13" xfId="141" applyFont="1" applyBorder="1" applyAlignment="1">
      <alignment horizontal="center" vertical="center"/>
    </xf>
    <xf numFmtId="0" fontId="55" fillId="0" borderId="0" xfId="141" applyFont="1" applyBorder="1" applyAlignment="1">
      <alignment horizontal="center" vertical="center"/>
    </xf>
    <xf numFmtId="0" fontId="55" fillId="0" borderId="14" xfId="141" applyFont="1" applyBorder="1" applyAlignment="1">
      <alignment horizontal="center" vertical="center"/>
    </xf>
    <xf numFmtId="0" fontId="55" fillId="0" borderId="15" xfId="141" applyFont="1" applyBorder="1" applyAlignment="1">
      <alignment horizontal="center" vertical="center"/>
    </xf>
    <xf numFmtId="0" fontId="55" fillId="0" borderId="16" xfId="141" applyFont="1" applyBorder="1" applyAlignment="1">
      <alignment horizontal="center" vertical="center"/>
    </xf>
    <xf numFmtId="0" fontId="55" fillId="0" borderId="17" xfId="141" applyFont="1" applyBorder="1" applyAlignment="1">
      <alignment horizontal="center" vertical="center"/>
    </xf>
    <xf numFmtId="0" fontId="130" fillId="0" borderId="14" xfId="141" applyFont="1" applyFill="1" applyBorder="1" applyAlignment="1">
      <alignment horizontal="center" vertical="center"/>
    </xf>
    <xf numFmtId="0" fontId="45" fillId="0" borderId="16" xfId="141" applyFont="1" applyBorder="1" applyAlignment="1">
      <alignment horizontal="center" vertical="center" wrapText="1"/>
    </xf>
    <xf numFmtId="0" fontId="42" fillId="0" borderId="10" xfId="141" applyFont="1" applyBorder="1" applyAlignment="1">
      <alignment horizontal="center"/>
    </xf>
    <xf numFmtId="0" fontId="42" fillId="0" borderId="93" xfId="141" applyFont="1" applyBorder="1" applyAlignment="1">
      <alignment horizontal="center"/>
    </xf>
    <xf numFmtId="0" fontId="42" fillId="0" borderId="20" xfId="141" applyFont="1" applyFill="1" applyBorder="1" applyAlignment="1">
      <alignment horizontal="center" vertical="center"/>
    </xf>
    <xf numFmtId="0" fontId="42" fillId="0" borderId="24" xfId="141" applyFont="1" applyFill="1" applyBorder="1" applyAlignment="1">
      <alignment horizontal="center" vertical="center"/>
    </xf>
    <xf numFmtId="0" fontId="42" fillId="0" borderId="22" xfId="141" applyFont="1" applyFill="1" applyBorder="1" applyAlignment="1">
      <alignment horizontal="center" vertical="center"/>
    </xf>
    <xf numFmtId="177" fontId="42" fillId="24" borderId="32" xfId="142" applyNumberFormat="1" applyFont="1" applyFill="1" applyBorder="1" applyAlignment="1">
      <alignment horizontal="left" vertical="center"/>
    </xf>
    <xf numFmtId="0" fontId="42" fillId="0" borderId="13" xfId="141" applyFont="1" applyBorder="1" applyAlignment="1">
      <alignment horizontal="center" vertical="center" wrapText="1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41" fillId="0" borderId="16" xfId="140" applyFont="1" applyBorder="1" applyAlignment="1">
      <alignment horizontal="center" vertical="center"/>
    </xf>
    <xf numFmtId="0" fontId="41" fillId="0" borderId="17" xfId="140" applyFont="1" applyBorder="1" applyAlignment="1">
      <alignment horizontal="center" vertical="center"/>
    </xf>
    <xf numFmtId="0" fontId="40" fillId="0" borderId="15" xfId="140" applyFont="1" applyBorder="1" applyAlignment="1">
      <alignment horizontal="center" vertical="center"/>
    </xf>
    <xf numFmtId="0" fontId="40" fillId="0" borderId="16" xfId="140" applyFont="1" applyBorder="1" applyAlignment="1">
      <alignment horizontal="center" vertical="center"/>
    </xf>
    <xf numFmtId="0" fontId="40" fillId="0" borderId="17" xfId="140" applyFont="1" applyBorder="1" applyAlignment="1">
      <alignment horizontal="center" vertical="center"/>
    </xf>
    <xf numFmtId="0" fontId="42" fillId="30" borderId="192" xfId="857" applyFont="1" applyFill="1" applyBorder="1" applyAlignment="1">
      <alignment horizontal="center" vertical="center"/>
    </xf>
    <xf numFmtId="0" fontId="42" fillId="30" borderId="189" xfId="857" applyFont="1" applyFill="1" applyBorder="1" applyAlignment="1">
      <alignment horizontal="center" vertical="center"/>
    </xf>
    <xf numFmtId="0" fontId="42" fillId="30" borderId="94" xfId="857" applyFont="1" applyFill="1" applyBorder="1" applyAlignment="1">
      <alignment horizontal="center" vertical="center"/>
    </xf>
    <xf numFmtId="0" fontId="42" fillId="30" borderId="17" xfId="857" applyFont="1" applyFill="1" applyBorder="1" applyAlignment="1">
      <alignment horizontal="center" vertical="center"/>
    </xf>
    <xf numFmtId="0" fontId="42" fillId="30" borderId="20" xfId="857" applyFont="1" applyFill="1" applyBorder="1" applyAlignment="1">
      <alignment horizontal="center" vertical="center" wrapText="1"/>
    </xf>
    <xf numFmtId="0" fontId="42" fillId="30" borderId="22" xfId="857" applyFont="1" applyFill="1" applyBorder="1" applyAlignment="1">
      <alignment horizontal="center" vertical="center" wrapText="1"/>
    </xf>
    <xf numFmtId="0" fontId="55" fillId="0" borderId="13" xfId="140" applyFont="1" applyBorder="1" applyAlignment="1">
      <alignment horizontal="center" vertical="center"/>
    </xf>
    <xf numFmtId="0" fontId="55" fillId="0" borderId="0" xfId="140" applyFont="1" applyBorder="1" applyAlignment="1">
      <alignment horizontal="center" vertical="center"/>
    </xf>
    <xf numFmtId="0" fontId="55" fillId="0" borderId="14" xfId="140" applyFont="1" applyBorder="1" applyAlignment="1">
      <alignment horizontal="center" vertical="center"/>
    </xf>
    <xf numFmtId="0" fontId="40" fillId="0" borderId="13" xfId="140" applyFont="1" applyBorder="1" applyAlignment="1">
      <alignment horizontal="center" vertical="center"/>
    </xf>
    <xf numFmtId="0" fontId="40" fillId="0" borderId="0" xfId="140" applyFont="1" applyBorder="1" applyAlignment="1">
      <alignment horizontal="center" vertical="center"/>
    </xf>
    <xf numFmtId="0" fontId="40" fillId="0" borderId="14" xfId="140" applyFont="1" applyBorder="1" applyAlignment="1">
      <alignment horizontal="center" vertical="center"/>
    </xf>
    <xf numFmtId="0" fontId="48" fillId="24" borderId="13" xfId="858" applyFont="1" applyFill="1" applyBorder="1" applyAlignment="1">
      <alignment horizontal="center" vertical="center"/>
    </xf>
    <xf numFmtId="0" fontId="48" fillId="24" borderId="0" xfId="858" applyFont="1" applyFill="1" applyBorder="1" applyAlignment="1">
      <alignment horizontal="center" vertical="center"/>
    </xf>
    <xf numFmtId="0" fontId="42" fillId="24" borderId="13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center"/>
    </xf>
    <xf numFmtId="0" fontId="42" fillId="24" borderId="13" xfId="858" applyFont="1" applyFill="1" applyBorder="1" applyAlignment="1">
      <alignment horizontal="center" vertical="center" wrapText="1"/>
    </xf>
    <xf numFmtId="0" fontId="42" fillId="24" borderId="0" xfId="85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45" fillId="0" borderId="19" xfId="47" applyNumberFormat="1" applyFont="1" applyFill="1" applyBorder="1" applyAlignment="1">
      <alignment horizontal="center" vertical="center" wrapText="1"/>
    </xf>
    <xf numFmtId="165" fontId="45" fillId="0" borderId="21" xfId="47" applyNumberFormat="1" applyFont="1" applyFill="1" applyBorder="1" applyAlignment="1">
      <alignment horizontal="center" vertical="center" wrapText="1"/>
    </xf>
    <xf numFmtId="165" fontId="45" fillId="0" borderId="32" xfId="47" applyNumberFormat="1" applyFont="1" applyFill="1" applyBorder="1" applyAlignment="1">
      <alignment horizontal="center" vertical="center" wrapText="1"/>
    </xf>
    <xf numFmtId="165" fontId="45" fillId="0" borderId="105" xfId="47" applyNumberFormat="1" applyFont="1" applyFill="1" applyBorder="1" applyAlignment="1">
      <alignment horizontal="center" vertical="center" wrapText="1"/>
    </xf>
    <xf numFmtId="165" fontId="45" fillId="0" borderId="106" xfId="47" applyNumberFormat="1" applyFont="1" applyFill="1" applyBorder="1" applyAlignment="1">
      <alignment horizontal="center" vertical="center" wrapText="1"/>
    </xf>
    <xf numFmtId="165" fontId="45" fillId="0" borderId="107" xfId="47" applyNumberFormat="1" applyFont="1" applyFill="1" applyBorder="1" applyAlignment="1">
      <alignment horizontal="center" vertical="center" wrapText="1"/>
    </xf>
    <xf numFmtId="193" fontId="45" fillId="24" borderId="102" xfId="47" applyNumberFormat="1" applyFont="1" applyFill="1" applyBorder="1" applyAlignment="1">
      <alignment horizontal="center" vertical="center"/>
    </xf>
    <xf numFmtId="193" fontId="45" fillId="24" borderId="110" xfId="47" applyNumberFormat="1" applyFont="1" applyFill="1" applyBorder="1" applyAlignment="1">
      <alignment horizontal="center" vertical="center"/>
    </xf>
    <xf numFmtId="193" fontId="45" fillId="24" borderId="105" xfId="47" applyNumberFormat="1" applyFont="1" applyFill="1" applyBorder="1" applyAlignment="1">
      <alignment horizontal="center" vertical="center"/>
    </xf>
    <xf numFmtId="193" fontId="45" fillId="24" borderId="106" xfId="47" applyNumberFormat="1" applyFont="1" applyFill="1" applyBorder="1" applyAlignment="1">
      <alignment horizontal="center" vertical="center"/>
    </xf>
    <xf numFmtId="193" fontId="45" fillId="24" borderId="107" xfId="47" applyNumberFormat="1" applyFont="1" applyFill="1" applyBorder="1" applyAlignment="1">
      <alignment horizontal="center" vertical="center"/>
    </xf>
    <xf numFmtId="165" fontId="45" fillId="24" borderId="105" xfId="47" applyNumberFormat="1" applyFont="1" applyFill="1" applyBorder="1" applyAlignment="1">
      <alignment horizontal="center" vertical="center"/>
    </xf>
    <xf numFmtId="165" fontId="45" fillId="24" borderId="106" xfId="47" applyNumberFormat="1" applyFont="1" applyFill="1" applyBorder="1" applyAlignment="1">
      <alignment horizontal="center" vertical="center"/>
    </xf>
    <xf numFmtId="165" fontId="45" fillId="24" borderId="107" xfId="47" applyNumberFormat="1" applyFont="1" applyFill="1" applyBorder="1" applyAlignment="1">
      <alignment horizontal="center" vertical="center"/>
    </xf>
    <xf numFmtId="0" fontId="45" fillId="0" borderId="19" xfId="52" applyNumberFormat="1" applyFont="1" applyFill="1" applyBorder="1" applyAlignment="1" applyProtection="1">
      <alignment horizontal="center" vertical="center"/>
    </xf>
    <xf numFmtId="0" fontId="45" fillId="0" borderId="32" xfId="52" applyNumberFormat="1" applyFont="1" applyFill="1" applyBorder="1" applyAlignment="1" applyProtection="1">
      <alignment horizontal="center" vertical="center"/>
    </xf>
    <xf numFmtId="0" fontId="45" fillId="0" borderId="21" xfId="52" applyNumberFormat="1" applyFont="1" applyFill="1" applyBorder="1" applyAlignment="1" applyProtection="1">
      <alignment horizontal="center" vertical="center"/>
    </xf>
    <xf numFmtId="1" fontId="45" fillId="25" borderId="18" xfId="52" applyNumberFormat="1" applyFont="1" applyFill="1" applyBorder="1" applyAlignment="1">
      <alignment horizontal="center" vertical="center"/>
    </xf>
    <xf numFmtId="0" fontId="45" fillId="25" borderId="18" xfId="52" applyFont="1" applyFill="1" applyBorder="1" applyAlignment="1">
      <alignment horizontal="center" vertical="center" wrapText="1"/>
    </xf>
    <xf numFmtId="0" fontId="45" fillId="25" borderId="19" xfId="52" applyFont="1" applyFill="1" applyBorder="1" applyAlignment="1">
      <alignment horizontal="center" vertical="center"/>
    </xf>
    <xf numFmtId="0" fontId="45" fillId="25" borderId="11" xfId="52" applyFont="1" applyFill="1" applyBorder="1" applyAlignment="1">
      <alignment horizontal="center" vertical="center"/>
    </xf>
    <xf numFmtId="0" fontId="45" fillId="25" borderId="12" xfId="52" applyFont="1" applyFill="1" applyBorder="1" applyAlignment="1">
      <alignment horizontal="center" vertical="center"/>
    </xf>
    <xf numFmtId="0" fontId="45" fillId="25" borderId="54" xfId="56" applyFont="1" applyFill="1" applyBorder="1" applyAlignment="1">
      <alignment horizontal="center" vertical="center"/>
    </xf>
    <xf numFmtId="165" fontId="45" fillId="24" borderId="102" xfId="47" applyNumberFormat="1" applyFont="1" applyFill="1" applyBorder="1" applyAlignment="1">
      <alignment horizontal="center" vertical="center"/>
    </xf>
    <xf numFmtId="165" fontId="45" fillId="24" borderId="110" xfId="47" applyNumberFormat="1" applyFont="1" applyFill="1" applyBorder="1" applyAlignment="1">
      <alignment horizontal="center" vertical="center"/>
    </xf>
    <xf numFmtId="165" fontId="45" fillId="24" borderId="81" xfId="47" applyNumberFormat="1" applyFont="1" applyFill="1" applyBorder="1" applyAlignment="1">
      <alignment horizontal="center" vertical="center"/>
    </xf>
    <xf numFmtId="0" fontId="45" fillId="0" borderId="131" xfId="52" applyFont="1" applyFill="1" applyBorder="1" applyAlignment="1">
      <alignment horizontal="left" vertical="center"/>
    </xf>
    <xf numFmtId="0" fontId="45" fillId="0" borderId="132" xfId="52" applyFont="1" applyFill="1" applyBorder="1" applyAlignment="1">
      <alignment horizontal="left" vertical="center"/>
    </xf>
    <xf numFmtId="0" fontId="43" fillId="0" borderId="111" xfId="52" applyFont="1" applyFill="1" applyBorder="1" applyAlignment="1">
      <alignment horizontal="left" vertical="center" wrapText="1" indent="1"/>
    </xf>
    <xf numFmtId="0" fontId="43" fillId="0" borderId="39" xfId="52" applyFont="1" applyFill="1" applyBorder="1" applyAlignment="1">
      <alignment horizontal="left" vertical="center" wrapText="1" indent="1"/>
    </xf>
    <xf numFmtId="0" fontId="43" fillId="0" borderId="115" xfId="52" applyFont="1" applyFill="1" applyBorder="1" applyAlignment="1">
      <alignment horizontal="left" vertical="center" wrapText="1" indent="1"/>
    </xf>
    <xf numFmtId="0" fontId="43" fillId="0" borderId="92" xfId="52" applyFont="1" applyFill="1" applyBorder="1" applyAlignment="1">
      <alignment horizontal="left" vertical="center" wrapText="1" indent="1"/>
    </xf>
    <xf numFmtId="0" fontId="45" fillId="0" borderId="85" xfId="52" applyFont="1" applyFill="1" applyBorder="1" applyAlignment="1">
      <alignment horizontal="left" vertical="center" wrapText="1"/>
    </xf>
    <xf numFmtId="0" fontId="45" fillId="0" borderId="32" xfId="52" applyFont="1" applyFill="1" applyBorder="1" applyAlignment="1">
      <alignment horizontal="left" vertical="center" wrapText="1"/>
    </xf>
    <xf numFmtId="0" fontId="43" fillId="0" borderId="85" xfId="52" applyFont="1" applyFill="1" applyBorder="1" applyAlignment="1">
      <alignment horizontal="left" vertical="center" wrapText="1" indent="1"/>
    </xf>
    <xf numFmtId="0" fontId="43" fillId="0" borderId="32" xfId="52" applyFont="1" applyFill="1" applyBorder="1" applyAlignment="1">
      <alignment horizontal="left" vertical="center" wrapText="1" indent="1"/>
    </xf>
    <xf numFmtId="0" fontId="70" fillId="0" borderId="10" xfId="140" applyFont="1" applyFill="1" applyBorder="1" applyAlignment="1">
      <alignment horizontal="center" vertical="center" wrapText="1"/>
    </xf>
    <xf numFmtId="0" fontId="70" fillId="0" borderId="11" xfId="140" applyFont="1" applyFill="1" applyBorder="1" applyAlignment="1">
      <alignment horizontal="center" vertical="center" wrapText="1"/>
    </xf>
    <xf numFmtId="0" fontId="70" fillId="0" borderId="12" xfId="140" applyFont="1" applyFill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79" xfId="52" applyFont="1" applyFill="1" applyBorder="1" applyAlignment="1">
      <alignment horizontal="center" vertical="center" wrapText="1"/>
    </xf>
    <xf numFmtId="0" fontId="45" fillId="0" borderId="80" xfId="52" applyFont="1" applyFill="1" applyBorder="1" applyAlignment="1">
      <alignment horizontal="center" vertical="center" wrapText="1"/>
    </xf>
    <xf numFmtId="0" fontId="45" fillId="0" borderId="82" xfId="52" applyFont="1" applyFill="1" applyBorder="1" applyAlignment="1">
      <alignment horizontal="center" vertical="center" wrapText="1"/>
    </xf>
    <xf numFmtId="0" fontId="45" fillId="0" borderId="16" xfId="52" applyFont="1" applyFill="1" applyBorder="1" applyAlignment="1">
      <alignment horizontal="center" vertical="center" wrapText="1"/>
    </xf>
    <xf numFmtId="0" fontId="43" fillId="0" borderId="120" xfId="52" applyFont="1" applyFill="1" applyBorder="1" applyAlignment="1">
      <alignment horizontal="left" vertical="center" wrapText="1" indent="1"/>
    </xf>
    <xf numFmtId="0" fontId="43" fillId="0" borderId="76" xfId="52" applyFont="1" applyFill="1" applyBorder="1" applyAlignment="1">
      <alignment horizontal="left" vertical="center" wrapText="1" indent="1"/>
    </xf>
    <xf numFmtId="0" fontId="43" fillId="0" borderId="124" xfId="52" applyFont="1" applyFill="1" applyBorder="1" applyAlignment="1">
      <alignment horizontal="left" vertical="center" wrapText="1" indent="1"/>
    </xf>
    <xf numFmtId="0" fontId="43" fillId="0" borderId="34" xfId="52" applyFont="1" applyFill="1" applyBorder="1" applyAlignment="1">
      <alignment horizontal="left" vertical="center" wrapText="1" indent="1"/>
    </xf>
    <xf numFmtId="0" fontId="44" fillId="0" borderId="81" xfId="52" applyFont="1" applyFill="1" applyBorder="1" applyAlignment="1">
      <alignment horizontal="left" vertical="center" wrapText="1"/>
    </xf>
    <xf numFmtId="0" fontId="44" fillId="0" borderId="0" xfId="52" applyFont="1" applyFill="1" applyBorder="1" applyAlignment="1">
      <alignment horizontal="left" vertical="center" wrapText="1"/>
    </xf>
    <xf numFmtId="0" fontId="43" fillId="0" borderId="124" xfId="52" applyFont="1" applyFill="1" applyBorder="1" applyAlignment="1">
      <alignment horizontal="left" vertical="center" wrapText="1"/>
    </xf>
    <xf numFmtId="0" fontId="43" fillId="0" borderId="151" xfId="52" applyFont="1" applyFill="1" applyBorder="1" applyAlignment="1">
      <alignment horizontal="left" vertical="center" wrapText="1"/>
    </xf>
    <xf numFmtId="0" fontId="42" fillId="0" borderId="10" xfId="0" applyFont="1" applyBorder="1" applyAlignment="1">
      <alignment horizontal="center"/>
    </xf>
    <xf numFmtId="0" fontId="42" fillId="0" borderId="9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1" fillId="0" borderId="20" xfId="139" applyFont="1" applyBorder="1" applyAlignment="1">
      <alignment horizontal="center" vertical="center" wrapText="1" shrinkToFit="1"/>
    </xf>
    <xf numFmtId="0" fontId="41" fillId="0" borderId="22" xfId="139" applyFont="1" applyBorder="1" applyAlignment="1">
      <alignment horizontal="center" vertical="center" wrapText="1" shrinkToFit="1"/>
    </xf>
    <xf numFmtId="0" fontId="70" fillId="0" borderId="10" xfId="0" applyFont="1" applyBorder="1" applyAlignment="1">
      <alignment horizontal="center" wrapText="1"/>
    </xf>
    <xf numFmtId="0" fontId="70" fillId="0" borderId="93" xfId="0" applyFont="1" applyBorder="1" applyAlignment="1">
      <alignment horizontal="center" wrapText="1"/>
    </xf>
    <xf numFmtId="0" fontId="70" fillId="0" borderId="94" xfId="0" applyFont="1" applyBorder="1" applyAlignment="1">
      <alignment horizontal="center" wrapText="1"/>
    </xf>
    <xf numFmtId="0" fontId="70" fillId="0" borderId="13" xfId="0" applyFont="1" applyBorder="1" applyAlignment="1">
      <alignment horizontal="center" wrapText="1"/>
    </xf>
    <xf numFmtId="0" fontId="70" fillId="0" borderId="0" xfId="0" applyFont="1" applyBorder="1" applyAlignment="1">
      <alignment horizontal="center" wrapText="1"/>
    </xf>
    <xf numFmtId="0" fontId="70" fillId="0" borderId="14" xfId="0" applyFont="1" applyBorder="1" applyAlignment="1">
      <alignment horizontal="center" wrapText="1"/>
    </xf>
    <xf numFmtId="0" fontId="42" fillId="0" borderId="15" xfId="0" applyFont="1" applyBorder="1" applyAlignment="1">
      <alignment horizontal="center"/>
    </xf>
    <xf numFmtId="0" fontId="42" fillId="0" borderId="16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8" fillId="0" borderId="13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2" fillId="0" borderId="35" xfId="0" applyFont="1" applyBorder="1" applyAlignment="1">
      <alignment horizontal="center"/>
    </xf>
    <xf numFmtId="0" fontId="42" fillId="0" borderId="39" xfId="0" applyFont="1" applyBorder="1" applyAlignment="1">
      <alignment horizontal="center"/>
    </xf>
    <xf numFmtId="0" fontId="42" fillId="0" borderId="47" xfId="0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42" fillId="0" borderId="48" xfId="0" applyFont="1" applyBorder="1" applyAlignment="1">
      <alignment horizontal="center"/>
    </xf>
    <xf numFmtId="0" fontId="41" fillId="0" borderId="35" xfId="139" applyFont="1" applyBorder="1" applyAlignment="1">
      <alignment horizontal="center" vertical="center"/>
    </xf>
    <xf numFmtId="0" fontId="41" fillId="0" borderId="39" xfId="139" applyFont="1" applyBorder="1" applyAlignment="1">
      <alignment horizontal="center" vertical="center"/>
    </xf>
    <xf numFmtId="0" fontId="41" fillId="0" borderId="47" xfId="139" applyFont="1" applyBorder="1" applyAlignment="1">
      <alignment horizontal="center" vertical="center"/>
    </xf>
    <xf numFmtId="0" fontId="41" fillId="0" borderId="20" xfId="139" applyFont="1" applyBorder="1" applyAlignment="1">
      <alignment horizontal="center" vertical="center"/>
    </xf>
    <xf numFmtId="0" fontId="41" fillId="0" borderId="22" xfId="139" applyFont="1" applyBorder="1" applyAlignment="1">
      <alignment horizontal="center" vertical="center"/>
    </xf>
    <xf numFmtId="0" fontId="41" fillId="0" borderId="35" xfId="139" applyFont="1" applyBorder="1" applyAlignment="1">
      <alignment horizontal="center" vertical="center" wrapText="1" shrinkToFit="1"/>
    </xf>
    <xf numFmtId="0" fontId="41" fillId="0" borderId="47" xfId="139" applyFont="1" applyBorder="1" applyAlignment="1">
      <alignment horizontal="center" vertical="center" wrapText="1" shrinkToFit="1"/>
    </xf>
  </cellXfs>
  <cellStyles count="867">
    <cellStyle name="20% - Accent1" xfId="71"/>
    <cellStyle name="20% - Accent2" xfId="72"/>
    <cellStyle name="20% - Accent3" xfId="73"/>
    <cellStyle name="20% - Accent4" xfId="74"/>
    <cellStyle name="20% - Accent5" xfId="75"/>
    <cellStyle name="20% - Accent6" xfId="76"/>
    <cellStyle name="20% - Énfasis1" xfId="1" builtinId="30" customBuiltin="1"/>
    <cellStyle name="20% - Énfasis1 10" xfId="147"/>
    <cellStyle name="20% - Énfasis1 11" xfId="148"/>
    <cellStyle name="20% - Énfasis1 12" xfId="149"/>
    <cellStyle name="20% - Énfasis1 13" xfId="150"/>
    <cellStyle name="20% - Énfasis1 2" xfId="151"/>
    <cellStyle name="20% - Énfasis1 3" xfId="152"/>
    <cellStyle name="20% - Énfasis1 4" xfId="153"/>
    <cellStyle name="20% - Énfasis1 5" xfId="154"/>
    <cellStyle name="20% - Énfasis1 6" xfId="155"/>
    <cellStyle name="20% - Énfasis1 7" xfId="156"/>
    <cellStyle name="20% - Énfasis1 8" xfId="157"/>
    <cellStyle name="20% - Énfasis1 9" xfId="158"/>
    <cellStyle name="20% - Énfasis2" xfId="2" builtinId="34" customBuiltin="1"/>
    <cellStyle name="20% - Énfasis2 10" xfId="159"/>
    <cellStyle name="20% - Énfasis2 11" xfId="160"/>
    <cellStyle name="20% - Énfasis2 12" xfId="161"/>
    <cellStyle name="20% - Énfasis2 13" xfId="162"/>
    <cellStyle name="20% - Énfasis2 2" xfId="163"/>
    <cellStyle name="20% - Énfasis2 3" xfId="164"/>
    <cellStyle name="20% - Énfasis2 4" xfId="165"/>
    <cellStyle name="20% - Énfasis2 5" xfId="166"/>
    <cellStyle name="20% - Énfasis2 6" xfId="167"/>
    <cellStyle name="20% - Énfasis2 7" xfId="168"/>
    <cellStyle name="20% - Énfasis2 8" xfId="169"/>
    <cellStyle name="20% - Énfasis2 9" xfId="170"/>
    <cellStyle name="20% - Énfasis3" xfId="3" builtinId="38" customBuiltin="1"/>
    <cellStyle name="20% - Énfasis3 10" xfId="171"/>
    <cellStyle name="20% - Énfasis3 11" xfId="172"/>
    <cellStyle name="20% - Énfasis3 12" xfId="173"/>
    <cellStyle name="20% - Énfasis3 13" xfId="174"/>
    <cellStyle name="20% - Énfasis3 2" xfId="175"/>
    <cellStyle name="20% - Énfasis3 3" xfId="176"/>
    <cellStyle name="20% - Énfasis3 4" xfId="177"/>
    <cellStyle name="20% - Énfasis3 5" xfId="178"/>
    <cellStyle name="20% - Énfasis3 6" xfId="179"/>
    <cellStyle name="20% - Énfasis3 7" xfId="180"/>
    <cellStyle name="20% - Énfasis3 8" xfId="181"/>
    <cellStyle name="20% - Énfasis3 9" xfId="182"/>
    <cellStyle name="20% - Énfasis4" xfId="4" builtinId="42" customBuiltin="1"/>
    <cellStyle name="20% - Énfasis4 10" xfId="183"/>
    <cellStyle name="20% - Énfasis4 11" xfId="184"/>
    <cellStyle name="20% - Énfasis4 12" xfId="185"/>
    <cellStyle name="20% - Énfasis4 13" xfId="186"/>
    <cellStyle name="20% - Énfasis4 2" xfId="187"/>
    <cellStyle name="20% - Énfasis4 3" xfId="188"/>
    <cellStyle name="20% - Énfasis4 4" xfId="189"/>
    <cellStyle name="20% - Énfasis4 5" xfId="190"/>
    <cellStyle name="20% - Énfasis4 6" xfId="191"/>
    <cellStyle name="20% - Énfasis4 7" xfId="192"/>
    <cellStyle name="20% - Énfasis4 8" xfId="193"/>
    <cellStyle name="20% - Énfasis4 9" xfId="194"/>
    <cellStyle name="20% - Énfasis5" xfId="5" builtinId="46" customBuiltin="1"/>
    <cellStyle name="20% - Énfasis5 10" xfId="195"/>
    <cellStyle name="20% - Énfasis5 11" xfId="196"/>
    <cellStyle name="20% - Énfasis5 12" xfId="197"/>
    <cellStyle name="20% - Énfasis5 13" xfId="198"/>
    <cellStyle name="20% - Énfasis5 2" xfId="199"/>
    <cellStyle name="20% - Énfasis5 3" xfId="200"/>
    <cellStyle name="20% - Énfasis5 4" xfId="201"/>
    <cellStyle name="20% - Énfasis5 5" xfId="202"/>
    <cellStyle name="20% - Énfasis5 6" xfId="203"/>
    <cellStyle name="20% - Énfasis5 7" xfId="204"/>
    <cellStyle name="20% - Énfasis5 8" xfId="205"/>
    <cellStyle name="20% - Énfasis5 9" xfId="206"/>
    <cellStyle name="20% - Énfasis6" xfId="6" builtinId="50" customBuiltin="1"/>
    <cellStyle name="20% - Énfasis6 10" xfId="207"/>
    <cellStyle name="20% - Énfasis6 11" xfId="208"/>
    <cellStyle name="20% - Énfasis6 12" xfId="209"/>
    <cellStyle name="20% - Énfasis6 13" xfId="210"/>
    <cellStyle name="20% - Énfasis6 2" xfId="211"/>
    <cellStyle name="20% - Énfasis6 3" xfId="212"/>
    <cellStyle name="20% - Énfasis6 4" xfId="213"/>
    <cellStyle name="20% - Énfasis6 5" xfId="214"/>
    <cellStyle name="20% - Énfasis6 6" xfId="215"/>
    <cellStyle name="20% - Énfasis6 7" xfId="216"/>
    <cellStyle name="20% - Énfasis6 8" xfId="217"/>
    <cellStyle name="20% - Énfasis6 9" xfId="218"/>
    <cellStyle name="40% - Accent1" xfId="77"/>
    <cellStyle name="40% - Accent2" xfId="78"/>
    <cellStyle name="40% - Accent3" xfId="79"/>
    <cellStyle name="40% - Accent4" xfId="80"/>
    <cellStyle name="40% - Accent5" xfId="81"/>
    <cellStyle name="40% - Accent6" xfId="82"/>
    <cellStyle name="40% - Énfasis1" xfId="7" builtinId="31" customBuiltin="1"/>
    <cellStyle name="40% - Énfasis1 10" xfId="219"/>
    <cellStyle name="40% - Énfasis1 11" xfId="220"/>
    <cellStyle name="40% - Énfasis1 12" xfId="221"/>
    <cellStyle name="40% - Énfasis1 13" xfId="222"/>
    <cellStyle name="40% - Énfasis1 2" xfId="223"/>
    <cellStyle name="40% - Énfasis1 3" xfId="224"/>
    <cellStyle name="40% - Énfasis1 4" xfId="225"/>
    <cellStyle name="40% - Énfasis1 5" xfId="226"/>
    <cellStyle name="40% - Énfasis1 6" xfId="227"/>
    <cellStyle name="40% - Énfasis1 7" xfId="228"/>
    <cellStyle name="40% - Énfasis1 8" xfId="229"/>
    <cellStyle name="40% - Énfasis1 9" xfId="230"/>
    <cellStyle name="40% - Énfasis2" xfId="8" builtinId="35" customBuiltin="1"/>
    <cellStyle name="40% - Énfasis2 10" xfId="231"/>
    <cellStyle name="40% - Énfasis2 11" xfId="232"/>
    <cellStyle name="40% - Énfasis2 12" xfId="233"/>
    <cellStyle name="40% - Énfasis2 13" xfId="234"/>
    <cellStyle name="40% - Énfasis2 2" xfId="235"/>
    <cellStyle name="40% - Énfasis2 3" xfId="236"/>
    <cellStyle name="40% - Énfasis2 4" xfId="237"/>
    <cellStyle name="40% - Énfasis2 5" xfId="238"/>
    <cellStyle name="40% - Énfasis2 6" xfId="239"/>
    <cellStyle name="40% - Énfasis2 7" xfId="240"/>
    <cellStyle name="40% - Énfasis2 8" xfId="241"/>
    <cellStyle name="40% - Énfasis2 9" xfId="242"/>
    <cellStyle name="40% - Énfasis3" xfId="9" builtinId="39" customBuiltin="1"/>
    <cellStyle name="40% - Énfasis3 10" xfId="243"/>
    <cellStyle name="40% - Énfasis3 11" xfId="244"/>
    <cellStyle name="40% - Énfasis3 12" xfId="245"/>
    <cellStyle name="40% - Énfasis3 13" xfId="246"/>
    <cellStyle name="40% - Énfasis3 2" xfId="247"/>
    <cellStyle name="40% - Énfasis3 3" xfId="248"/>
    <cellStyle name="40% - Énfasis3 4" xfId="249"/>
    <cellStyle name="40% - Énfasis3 5" xfId="250"/>
    <cellStyle name="40% - Énfasis3 6" xfId="251"/>
    <cellStyle name="40% - Énfasis3 7" xfId="252"/>
    <cellStyle name="40% - Énfasis3 8" xfId="253"/>
    <cellStyle name="40% - Énfasis3 9" xfId="254"/>
    <cellStyle name="40% - Énfasis4" xfId="10" builtinId="43" customBuiltin="1"/>
    <cellStyle name="40% - Énfasis4 10" xfId="255"/>
    <cellStyle name="40% - Énfasis4 11" xfId="256"/>
    <cellStyle name="40% - Énfasis4 12" xfId="257"/>
    <cellStyle name="40% - Énfasis4 13" xfId="258"/>
    <cellStyle name="40% - Énfasis4 2" xfId="259"/>
    <cellStyle name="40% - Énfasis4 3" xfId="260"/>
    <cellStyle name="40% - Énfasis4 4" xfId="261"/>
    <cellStyle name="40% - Énfasis4 5" xfId="262"/>
    <cellStyle name="40% - Énfasis4 6" xfId="263"/>
    <cellStyle name="40% - Énfasis4 7" xfId="264"/>
    <cellStyle name="40% - Énfasis4 8" xfId="265"/>
    <cellStyle name="40% - Énfasis4 9" xfId="266"/>
    <cellStyle name="40% - Énfasis5" xfId="11" builtinId="47" customBuiltin="1"/>
    <cellStyle name="40% - Énfasis5 10" xfId="267"/>
    <cellStyle name="40% - Énfasis5 11" xfId="268"/>
    <cellStyle name="40% - Énfasis5 12" xfId="269"/>
    <cellStyle name="40% - Énfasis5 13" xfId="270"/>
    <cellStyle name="40% - Énfasis5 2" xfId="271"/>
    <cellStyle name="40% - Énfasis5 3" xfId="272"/>
    <cellStyle name="40% - Énfasis5 4" xfId="273"/>
    <cellStyle name="40% - Énfasis5 5" xfId="274"/>
    <cellStyle name="40% - Énfasis5 6" xfId="275"/>
    <cellStyle name="40% - Énfasis5 7" xfId="276"/>
    <cellStyle name="40% - Énfasis5 8" xfId="277"/>
    <cellStyle name="40% - Énfasis5 9" xfId="278"/>
    <cellStyle name="40% - Énfasis6" xfId="12" builtinId="51" customBuiltin="1"/>
    <cellStyle name="40% - Énfasis6 10" xfId="279"/>
    <cellStyle name="40% - Énfasis6 11" xfId="280"/>
    <cellStyle name="40% - Énfasis6 12" xfId="281"/>
    <cellStyle name="40% - Énfasis6 13" xfId="282"/>
    <cellStyle name="40% - Énfasis6 2" xfId="283"/>
    <cellStyle name="40% - Énfasis6 3" xfId="284"/>
    <cellStyle name="40% - Énfasis6 4" xfId="285"/>
    <cellStyle name="40% - Énfasis6 5" xfId="286"/>
    <cellStyle name="40% - Énfasis6 6" xfId="287"/>
    <cellStyle name="40% - Énfasis6 7" xfId="288"/>
    <cellStyle name="40% - Énfasis6 8" xfId="289"/>
    <cellStyle name="40% - Énfasis6 9" xfId="290"/>
    <cellStyle name="60% - Accent1" xfId="83"/>
    <cellStyle name="60% - Accent2" xfId="84"/>
    <cellStyle name="60% - Accent3" xfId="85"/>
    <cellStyle name="60% - Accent4" xfId="86"/>
    <cellStyle name="60% - Accent5" xfId="87"/>
    <cellStyle name="60% - Accent6" xfId="88"/>
    <cellStyle name="60% - Énfasis1" xfId="13" builtinId="32" customBuiltin="1"/>
    <cellStyle name="60% - Énfasis1 10" xfId="291"/>
    <cellStyle name="60% - Énfasis1 11" xfId="292"/>
    <cellStyle name="60% - Énfasis1 12" xfId="293"/>
    <cellStyle name="60% - Énfasis1 13" xfId="294"/>
    <cellStyle name="60% - Énfasis1 2" xfId="295"/>
    <cellStyle name="60% - Énfasis1 3" xfId="296"/>
    <cellStyle name="60% - Énfasis1 4" xfId="297"/>
    <cellStyle name="60% - Énfasis1 5" xfId="298"/>
    <cellStyle name="60% - Énfasis1 6" xfId="299"/>
    <cellStyle name="60% - Énfasis1 7" xfId="300"/>
    <cellStyle name="60% - Énfasis1 8" xfId="301"/>
    <cellStyle name="60% - Énfasis1 9" xfId="302"/>
    <cellStyle name="60% - Énfasis2" xfId="14" builtinId="36" customBuiltin="1"/>
    <cellStyle name="60% - Énfasis2 10" xfId="303"/>
    <cellStyle name="60% - Énfasis2 11" xfId="304"/>
    <cellStyle name="60% - Énfasis2 12" xfId="305"/>
    <cellStyle name="60% - Énfasis2 13" xfId="306"/>
    <cellStyle name="60% - Énfasis2 2" xfId="307"/>
    <cellStyle name="60% - Énfasis2 3" xfId="308"/>
    <cellStyle name="60% - Énfasis2 4" xfId="309"/>
    <cellStyle name="60% - Énfasis2 5" xfId="310"/>
    <cellStyle name="60% - Énfasis2 6" xfId="311"/>
    <cellStyle name="60% - Énfasis2 7" xfId="312"/>
    <cellStyle name="60% - Énfasis2 8" xfId="313"/>
    <cellStyle name="60% - Énfasis2 9" xfId="314"/>
    <cellStyle name="60% - Énfasis3" xfId="15" builtinId="40" customBuiltin="1"/>
    <cellStyle name="60% - Énfasis3 10" xfId="315"/>
    <cellStyle name="60% - Énfasis3 11" xfId="316"/>
    <cellStyle name="60% - Énfasis3 12" xfId="317"/>
    <cellStyle name="60% - Énfasis3 13" xfId="318"/>
    <cellStyle name="60% - Énfasis3 2" xfId="319"/>
    <cellStyle name="60% - Énfasis3 3" xfId="320"/>
    <cellStyle name="60% - Énfasis3 4" xfId="321"/>
    <cellStyle name="60% - Énfasis3 5" xfId="322"/>
    <cellStyle name="60% - Énfasis3 6" xfId="323"/>
    <cellStyle name="60% - Énfasis3 7" xfId="324"/>
    <cellStyle name="60% - Énfasis3 8" xfId="325"/>
    <cellStyle name="60% - Énfasis3 9" xfId="326"/>
    <cellStyle name="60% - Énfasis4" xfId="16" builtinId="44" customBuiltin="1"/>
    <cellStyle name="60% - Énfasis4 10" xfId="327"/>
    <cellStyle name="60% - Énfasis4 11" xfId="328"/>
    <cellStyle name="60% - Énfasis4 12" xfId="329"/>
    <cellStyle name="60% - Énfasis4 13" xfId="330"/>
    <cellStyle name="60% - Énfasis4 2" xfId="331"/>
    <cellStyle name="60% - Énfasis4 3" xfId="332"/>
    <cellStyle name="60% - Énfasis4 4" xfId="333"/>
    <cellStyle name="60% - Énfasis4 5" xfId="334"/>
    <cellStyle name="60% - Énfasis4 6" xfId="335"/>
    <cellStyle name="60% - Énfasis4 7" xfId="336"/>
    <cellStyle name="60% - Énfasis4 8" xfId="337"/>
    <cellStyle name="60% - Énfasis4 9" xfId="338"/>
    <cellStyle name="60% - Énfasis5" xfId="17" builtinId="48" customBuiltin="1"/>
    <cellStyle name="60% - Énfasis5 10" xfId="339"/>
    <cellStyle name="60% - Énfasis5 11" xfId="340"/>
    <cellStyle name="60% - Énfasis5 12" xfId="341"/>
    <cellStyle name="60% - Énfasis5 13" xfId="342"/>
    <cellStyle name="60% - Énfasis5 2" xfId="343"/>
    <cellStyle name="60% - Énfasis5 3" xfId="344"/>
    <cellStyle name="60% - Énfasis5 4" xfId="345"/>
    <cellStyle name="60% - Énfasis5 5" xfId="346"/>
    <cellStyle name="60% - Énfasis5 6" xfId="347"/>
    <cellStyle name="60% - Énfasis5 7" xfId="348"/>
    <cellStyle name="60% - Énfasis5 8" xfId="349"/>
    <cellStyle name="60% - Énfasis5 9" xfId="350"/>
    <cellStyle name="60% - Énfasis6" xfId="18" builtinId="52" customBuiltin="1"/>
    <cellStyle name="60% - Énfasis6 10" xfId="351"/>
    <cellStyle name="60% - Énfasis6 11" xfId="352"/>
    <cellStyle name="60% - Énfasis6 12" xfId="353"/>
    <cellStyle name="60% - Énfasis6 13" xfId="354"/>
    <cellStyle name="60% - Énfasis6 2" xfId="355"/>
    <cellStyle name="60% - Énfasis6 3" xfId="356"/>
    <cellStyle name="60% - Énfasis6 4" xfId="357"/>
    <cellStyle name="60% - Énfasis6 5" xfId="358"/>
    <cellStyle name="60% - Énfasis6 6" xfId="359"/>
    <cellStyle name="60% - Énfasis6 7" xfId="360"/>
    <cellStyle name="60% - Énfasis6 8" xfId="361"/>
    <cellStyle name="60% - Énfasis6 9" xfId="362"/>
    <cellStyle name="Accent1" xfId="89"/>
    <cellStyle name="Accent2" xfId="90"/>
    <cellStyle name="Accent3" xfId="91"/>
    <cellStyle name="Accent4" xfId="92"/>
    <cellStyle name="Accent5" xfId="93"/>
    <cellStyle name="Accent6" xfId="94"/>
    <cellStyle name="Bad" xfId="95"/>
    <cellStyle name="Buena" xfId="19" builtinId="26" customBuiltin="1"/>
    <cellStyle name="Buena 10" xfId="363"/>
    <cellStyle name="Buena 11" xfId="364"/>
    <cellStyle name="Buena 12" xfId="365"/>
    <cellStyle name="Buena 13" xfId="366"/>
    <cellStyle name="Buena 2" xfId="367"/>
    <cellStyle name="Buena 3" xfId="368"/>
    <cellStyle name="Buena 4" xfId="369"/>
    <cellStyle name="Buena 5" xfId="370"/>
    <cellStyle name="Buena 6" xfId="371"/>
    <cellStyle name="Buena 7" xfId="372"/>
    <cellStyle name="Buena 8" xfId="373"/>
    <cellStyle name="Buena 9" xfId="374"/>
    <cellStyle name="Calculation" xfId="96"/>
    <cellStyle name="Cálculo" xfId="20" builtinId="22" customBuiltin="1"/>
    <cellStyle name="Cálculo 10" xfId="375"/>
    <cellStyle name="Cálculo 10 2" xfId="376"/>
    <cellStyle name="Cálculo 10 3" xfId="377"/>
    <cellStyle name="Cálculo 10 4" xfId="378"/>
    <cellStyle name="Cálculo 11" xfId="379"/>
    <cellStyle name="Cálculo 11 2" xfId="380"/>
    <cellStyle name="Cálculo 11 3" xfId="381"/>
    <cellStyle name="Cálculo 11 4" xfId="382"/>
    <cellStyle name="Cálculo 12" xfId="383"/>
    <cellStyle name="Cálculo 12 2" xfId="384"/>
    <cellStyle name="Cálculo 12 3" xfId="385"/>
    <cellStyle name="Cálculo 12 4" xfId="386"/>
    <cellStyle name="Cálculo 13" xfId="387"/>
    <cellStyle name="Cálculo 13 2" xfId="388"/>
    <cellStyle name="Cálculo 13 3" xfId="389"/>
    <cellStyle name="Cálculo 13 4" xfId="390"/>
    <cellStyle name="Cálculo 2" xfId="391"/>
    <cellStyle name="Cálculo 2 2" xfId="392"/>
    <cellStyle name="Cálculo 2 3" xfId="393"/>
    <cellStyle name="Cálculo 2 4" xfId="394"/>
    <cellStyle name="Cálculo 3" xfId="395"/>
    <cellStyle name="Cálculo 3 2" xfId="396"/>
    <cellStyle name="Cálculo 3 3" xfId="397"/>
    <cellStyle name="Cálculo 3 4" xfId="398"/>
    <cellStyle name="Cálculo 4" xfId="399"/>
    <cellStyle name="Cálculo 4 2" xfId="400"/>
    <cellStyle name="Cálculo 4 3" xfId="401"/>
    <cellStyle name="Cálculo 4 4" xfId="402"/>
    <cellStyle name="Cálculo 5" xfId="403"/>
    <cellStyle name="Cálculo 5 2" xfId="404"/>
    <cellStyle name="Cálculo 5 3" xfId="405"/>
    <cellStyle name="Cálculo 5 4" xfId="406"/>
    <cellStyle name="Cálculo 6" xfId="407"/>
    <cellStyle name="Cálculo 6 2" xfId="408"/>
    <cellStyle name="Cálculo 6 3" xfId="409"/>
    <cellStyle name="Cálculo 6 4" xfId="410"/>
    <cellStyle name="Cálculo 7" xfId="411"/>
    <cellStyle name="Cálculo 7 2" xfId="412"/>
    <cellStyle name="Cálculo 7 3" xfId="413"/>
    <cellStyle name="Cálculo 7 4" xfId="414"/>
    <cellStyle name="Cálculo 8" xfId="415"/>
    <cellStyle name="Cálculo 8 2" xfId="416"/>
    <cellStyle name="Cálculo 8 3" xfId="417"/>
    <cellStyle name="Cálculo 8 4" xfId="418"/>
    <cellStyle name="Cálculo 9" xfId="419"/>
    <cellStyle name="Cálculo 9 2" xfId="420"/>
    <cellStyle name="Cálculo 9 3" xfId="421"/>
    <cellStyle name="Cálculo 9 4" xfId="422"/>
    <cellStyle name="Celda de comprobación" xfId="21" builtinId="23" customBuiltin="1"/>
    <cellStyle name="Celda de comprobación 10" xfId="423"/>
    <cellStyle name="Celda de comprobación 11" xfId="424"/>
    <cellStyle name="Celda de comprobación 12" xfId="425"/>
    <cellStyle name="Celda de comprobación 13" xfId="426"/>
    <cellStyle name="Celda de comprobación 2" xfId="427"/>
    <cellStyle name="Celda de comprobación 3" xfId="428"/>
    <cellStyle name="Celda de comprobación 4" xfId="429"/>
    <cellStyle name="Celda de comprobación 5" xfId="430"/>
    <cellStyle name="Celda de comprobación 6" xfId="431"/>
    <cellStyle name="Celda de comprobación 7" xfId="432"/>
    <cellStyle name="Celda de comprobación 8" xfId="433"/>
    <cellStyle name="Celda de comprobación 9" xfId="434"/>
    <cellStyle name="Celda vinculada" xfId="22" builtinId="24" customBuiltin="1"/>
    <cellStyle name="Celda vinculada 10" xfId="435"/>
    <cellStyle name="Celda vinculada 11" xfId="436"/>
    <cellStyle name="Celda vinculada 12" xfId="437"/>
    <cellStyle name="Celda vinculada 13" xfId="438"/>
    <cellStyle name="Celda vinculada 2" xfId="439"/>
    <cellStyle name="Celda vinculada 3" xfId="440"/>
    <cellStyle name="Celda vinculada 4" xfId="441"/>
    <cellStyle name="Celda vinculada 5" xfId="442"/>
    <cellStyle name="Celda vinculada 6" xfId="443"/>
    <cellStyle name="Celda vinculada 7" xfId="444"/>
    <cellStyle name="Celda vinculada 8" xfId="445"/>
    <cellStyle name="Celda vinculada 9" xfId="446"/>
    <cellStyle name="Check Cell" xfId="97"/>
    <cellStyle name="Comma 2" xfId="23"/>
    <cellStyle name="Dia" xfId="24"/>
    <cellStyle name="Encabez1" xfId="25"/>
    <cellStyle name="Encabez2" xfId="26"/>
    <cellStyle name="Encabezado 1" xfId="65" builtinId="16" customBuiltin="1"/>
    <cellStyle name="Encabezado 4" xfId="27" builtinId="19" customBuiltin="1"/>
    <cellStyle name="Encabezado 4 10" xfId="447"/>
    <cellStyle name="Encabezado 4 11" xfId="448"/>
    <cellStyle name="Encabezado 4 12" xfId="449"/>
    <cellStyle name="Encabezado 4 13" xfId="450"/>
    <cellStyle name="Encabezado 4 2" xfId="451"/>
    <cellStyle name="Encabezado 4 3" xfId="452"/>
    <cellStyle name="Encabezado 4 4" xfId="453"/>
    <cellStyle name="Encabezado 4 5" xfId="454"/>
    <cellStyle name="Encabezado 4 6" xfId="455"/>
    <cellStyle name="Encabezado 4 7" xfId="456"/>
    <cellStyle name="Encabezado 4 8" xfId="457"/>
    <cellStyle name="Encabezado 4 9" xfId="458"/>
    <cellStyle name="Énfasis1" xfId="28" builtinId="29" customBuiltin="1"/>
    <cellStyle name="Énfasis1 10" xfId="459"/>
    <cellStyle name="Énfasis1 11" xfId="460"/>
    <cellStyle name="Énfasis1 12" xfId="461"/>
    <cellStyle name="Énfasis1 13" xfId="462"/>
    <cellStyle name="Énfasis1 2" xfId="463"/>
    <cellStyle name="Énfasis1 3" xfId="464"/>
    <cellStyle name="Énfasis1 4" xfId="465"/>
    <cellStyle name="Énfasis1 5" xfId="466"/>
    <cellStyle name="Énfasis1 6" xfId="467"/>
    <cellStyle name="Énfasis1 7" xfId="468"/>
    <cellStyle name="Énfasis1 8" xfId="469"/>
    <cellStyle name="Énfasis1 9" xfId="470"/>
    <cellStyle name="Énfasis2" xfId="29" builtinId="33" customBuiltin="1"/>
    <cellStyle name="Énfasis2 10" xfId="471"/>
    <cellStyle name="Énfasis2 11" xfId="472"/>
    <cellStyle name="Énfasis2 12" xfId="473"/>
    <cellStyle name="Énfasis2 13" xfId="474"/>
    <cellStyle name="Énfasis2 2" xfId="475"/>
    <cellStyle name="Énfasis2 3" xfId="476"/>
    <cellStyle name="Énfasis2 4" xfId="477"/>
    <cellStyle name="Énfasis2 5" xfId="478"/>
    <cellStyle name="Énfasis2 6" xfId="479"/>
    <cellStyle name="Énfasis2 7" xfId="480"/>
    <cellStyle name="Énfasis2 8" xfId="481"/>
    <cellStyle name="Énfasis2 9" xfId="482"/>
    <cellStyle name="Énfasis3" xfId="30" builtinId="37" customBuiltin="1"/>
    <cellStyle name="Énfasis3 10" xfId="483"/>
    <cellStyle name="Énfasis3 11" xfId="484"/>
    <cellStyle name="Énfasis3 12" xfId="485"/>
    <cellStyle name="Énfasis3 13" xfId="486"/>
    <cellStyle name="Énfasis3 2" xfId="487"/>
    <cellStyle name="Énfasis3 3" xfId="488"/>
    <cellStyle name="Énfasis3 4" xfId="489"/>
    <cellStyle name="Énfasis3 5" xfId="490"/>
    <cellStyle name="Énfasis3 6" xfId="491"/>
    <cellStyle name="Énfasis3 7" xfId="492"/>
    <cellStyle name="Énfasis3 8" xfId="493"/>
    <cellStyle name="Énfasis3 9" xfId="494"/>
    <cellStyle name="Énfasis4" xfId="31" builtinId="41" customBuiltin="1"/>
    <cellStyle name="Énfasis4 10" xfId="495"/>
    <cellStyle name="Énfasis4 11" xfId="496"/>
    <cellStyle name="Énfasis4 12" xfId="497"/>
    <cellStyle name="Énfasis4 13" xfId="498"/>
    <cellStyle name="Énfasis4 2" xfId="499"/>
    <cellStyle name="Énfasis4 3" xfId="500"/>
    <cellStyle name="Énfasis4 4" xfId="501"/>
    <cellStyle name="Énfasis4 5" xfId="502"/>
    <cellStyle name="Énfasis4 6" xfId="503"/>
    <cellStyle name="Énfasis4 7" xfId="504"/>
    <cellStyle name="Énfasis4 8" xfId="505"/>
    <cellStyle name="Énfasis4 9" xfId="506"/>
    <cellStyle name="Énfasis5" xfId="32" builtinId="45" customBuiltin="1"/>
    <cellStyle name="Énfasis5 10" xfId="507"/>
    <cellStyle name="Énfasis5 11" xfId="508"/>
    <cellStyle name="Énfasis5 12" xfId="509"/>
    <cellStyle name="Énfasis5 13" xfId="510"/>
    <cellStyle name="Énfasis5 2" xfId="511"/>
    <cellStyle name="Énfasis5 3" xfId="512"/>
    <cellStyle name="Énfasis5 4" xfId="513"/>
    <cellStyle name="Énfasis5 5" xfId="514"/>
    <cellStyle name="Énfasis5 6" xfId="515"/>
    <cellStyle name="Énfasis5 7" xfId="516"/>
    <cellStyle name="Énfasis5 8" xfId="517"/>
    <cellStyle name="Énfasis5 9" xfId="518"/>
    <cellStyle name="Énfasis6" xfId="33" builtinId="49" customBuiltin="1"/>
    <cellStyle name="Énfasis6 10" xfId="519"/>
    <cellStyle name="Énfasis6 11" xfId="520"/>
    <cellStyle name="Énfasis6 12" xfId="521"/>
    <cellStyle name="Énfasis6 13" xfId="522"/>
    <cellStyle name="Énfasis6 2" xfId="523"/>
    <cellStyle name="Énfasis6 3" xfId="524"/>
    <cellStyle name="Énfasis6 4" xfId="525"/>
    <cellStyle name="Énfasis6 5" xfId="526"/>
    <cellStyle name="Énfasis6 6" xfId="527"/>
    <cellStyle name="Énfasis6 7" xfId="528"/>
    <cellStyle name="Énfasis6 8" xfId="529"/>
    <cellStyle name="Énfasis6 9" xfId="530"/>
    <cellStyle name="Entrada" xfId="34" builtinId="20" customBuiltin="1"/>
    <cellStyle name="Entrada 10" xfId="531"/>
    <cellStyle name="Entrada 10 2" xfId="532"/>
    <cellStyle name="Entrada 10 3" xfId="533"/>
    <cellStyle name="Entrada 10 4" xfId="534"/>
    <cellStyle name="Entrada 11" xfId="535"/>
    <cellStyle name="Entrada 11 2" xfId="536"/>
    <cellStyle name="Entrada 11 3" xfId="537"/>
    <cellStyle name="Entrada 11 4" xfId="538"/>
    <cellStyle name="Entrada 12" xfId="539"/>
    <cellStyle name="Entrada 12 2" xfId="540"/>
    <cellStyle name="Entrada 12 3" xfId="541"/>
    <cellStyle name="Entrada 12 4" xfId="542"/>
    <cellStyle name="Entrada 13" xfId="543"/>
    <cellStyle name="Entrada 13 2" xfId="544"/>
    <cellStyle name="Entrada 13 3" xfId="545"/>
    <cellStyle name="Entrada 13 4" xfId="546"/>
    <cellStyle name="Entrada 2" xfId="547"/>
    <cellStyle name="Entrada 2 2" xfId="548"/>
    <cellStyle name="Entrada 2 3" xfId="549"/>
    <cellStyle name="Entrada 2 4" xfId="550"/>
    <cellStyle name="Entrada 3" xfId="551"/>
    <cellStyle name="Entrada 3 2" xfId="552"/>
    <cellStyle name="Entrada 3 3" xfId="553"/>
    <cellStyle name="Entrada 3 4" xfId="554"/>
    <cellStyle name="Entrada 4" xfId="555"/>
    <cellStyle name="Entrada 4 2" xfId="556"/>
    <cellStyle name="Entrada 4 3" xfId="557"/>
    <cellStyle name="Entrada 4 4" xfId="558"/>
    <cellStyle name="Entrada 5" xfId="559"/>
    <cellStyle name="Entrada 5 2" xfId="560"/>
    <cellStyle name="Entrada 5 3" xfId="561"/>
    <cellStyle name="Entrada 5 4" xfId="562"/>
    <cellStyle name="Entrada 6" xfId="563"/>
    <cellStyle name="Entrada 6 2" xfId="564"/>
    <cellStyle name="Entrada 6 3" xfId="565"/>
    <cellStyle name="Entrada 6 4" xfId="566"/>
    <cellStyle name="Entrada 7" xfId="567"/>
    <cellStyle name="Entrada 7 2" xfId="568"/>
    <cellStyle name="Entrada 7 3" xfId="569"/>
    <cellStyle name="Entrada 7 4" xfId="570"/>
    <cellStyle name="Entrada 8" xfId="571"/>
    <cellStyle name="Entrada 8 2" xfId="572"/>
    <cellStyle name="Entrada 8 3" xfId="573"/>
    <cellStyle name="Entrada 8 4" xfId="574"/>
    <cellStyle name="Entrada 9" xfId="575"/>
    <cellStyle name="Entrada 9 2" xfId="576"/>
    <cellStyle name="Entrada 9 3" xfId="577"/>
    <cellStyle name="Entrada 9 4" xfId="578"/>
    <cellStyle name="Euro" xfId="35"/>
    <cellStyle name="Explanatory Text" xfId="98"/>
    <cellStyle name="F2" xfId="36"/>
    <cellStyle name="F3" xfId="37"/>
    <cellStyle name="F4" xfId="38"/>
    <cellStyle name="F5" xfId="39"/>
    <cellStyle name="F6" xfId="40"/>
    <cellStyle name="F7" xfId="41"/>
    <cellStyle name="F8" xfId="42"/>
    <cellStyle name="Fijo" xfId="43"/>
    <cellStyle name="Financiero" xfId="44"/>
    <cellStyle name="Good" xfId="99"/>
    <cellStyle name="Heading 1" xfId="100"/>
    <cellStyle name="Heading 2" xfId="101"/>
    <cellStyle name="Heading 3" xfId="102"/>
    <cellStyle name="Heading 4" xfId="103"/>
    <cellStyle name="Hipervínculo" xfId="140" builtinId="8"/>
    <cellStyle name="Hipervínculo 2" xfId="861"/>
    <cellStyle name="Incorrecto" xfId="45" builtinId="27" customBuiltin="1"/>
    <cellStyle name="Incorrecto 10" xfId="579"/>
    <cellStyle name="Incorrecto 11" xfId="580"/>
    <cellStyle name="Incorrecto 12" xfId="581"/>
    <cellStyle name="Incorrecto 13" xfId="582"/>
    <cellStyle name="Incorrecto 2" xfId="583"/>
    <cellStyle name="Incorrecto 3" xfId="584"/>
    <cellStyle name="Incorrecto 4" xfId="585"/>
    <cellStyle name="Incorrecto 5" xfId="586"/>
    <cellStyle name="Incorrecto 6" xfId="587"/>
    <cellStyle name="Incorrecto 7" xfId="588"/>
    <cellStyle name="Incorrecto 8" xfId="589"/>
    <cellStyle name="Incorrecto 9" xfId="590"/>
    <cellStyle name="Input" xfId="104"/>
    <cellStyle name="Linked Cell" xfId="105"/>
    <cellStyle name="Millares" xfId="46" builtinId="3"/>
    <cellStyle name="Millares 2" xfId="47"/>
    <cellStyle name="Millares 2 2" xfId="106"/>
    <cellStyle name="Millares 2 3" xfId="107"/>
    <cellStyle name="Millares 2 4" xfId="108"/>
    <cellStyle name="Millares 2 5" xfId="109"/>
    <cellStyle name="Millares 2 6" xfId="110"/>
    <cellStyle name="Millares 3" xfId="48"/>
    <cellStyle name="Millares 3 2" xfId="111"/>
    <cellStyle name="Millares 3 2 2" xfId="112"/>
    <cellStyle name="Millares 3 2 2 2" xfId="113"/>
    <cellStyle name="Millares 4" xfId="114"/>
    <cellStyle name="Millares 5" xfId="115"/>
    <cellStyle name="Millares 6" xfId="116"/>
    <cellStyle name="Millares 7" xfId="143"/>
    <cellStyle name="Monetario" xfId="49"/>
    <cellStyle name="Neutral" xfId="50" builtinId="28" customBuiltin="1"/>
    <cellStyle name="Neutral 10" xfId="591"/>
    <cellStyle name="Neutral 11" xfId="592"/>
    <cellStyle name="Neutral 12" xfId="593"/>
    <cellStyle name="Neutral 13" xfId="594"/>
    <cellStyle name="Neutral 2" xfId="595"/>
    <cellStyle name="Neutral 3" xfId="596"/>
    <cellStyle name="Neutral 4" xfId="597"/>
    <cellStyle name="Neutral 5" xfId="598"/>
    <cellStyle name="Neutral 6" xfId="599"/>
    <cellStyle name="Neutral 7" xfId="600"/>
    <cellStyle name="Neutral 8" xfId="601"/>
    <cellStyle name="Neutral 9" xfId="602"/>
    <cellStyle name="Normal" xfId="0" builtinId="0"/>
    <cellStyle name="Normal 10" xfId="603"/>
    <cellStyle name="Normal 11" xfId="604"/>
    <cellStyle name="Normal 11 2" xfId="605"/>
    <cellStyle name="Normal 12" xfId="606"/>
    <cellStyle name="Normal 12 2" xfId="863"/>
    <cellStyle name="Normal 13" xfId="607"/>
    <cellStyle name="Normal 13 2" xfId="608"/>
    <cellStyle name="Normal 14" xfId="609"/>
    <cellStyle name="Normal 14 2" xfId="610"/>
    <cellStyle name="Normal 15" xfId="611"/>
    <cellStyle name="Normal 15 2" xfId="612"/>
    <cellStyle name="Normal 16" xfId="613"/>
    <cellStyle name="Normal 16 2" xfId="860"/>
    <cellStyle name="Normal 17" xfId="614"/>
    <cellStyle name="Normal 17 2" xfId="615"/>
    <cellStyle name="Normal 18" xfId="616"/>
    <cellStyle name="Normal 19" xfId="617"/>
    <cellStyle name="Normal 2" xfId="51"/>
    <cellStyle name="Normal 2 2" xfId="117"/>
    <cellStyle name="Normal 2 2 2" xfId="69"/>
    <cellStyle name="Normal 2 2 3" xfId="618"/>
    <cellStyle name="Normal 2 2 4" xfId="619"/>
    <cellStyle name="Normal 2 2 5" xfId="620"/>
    <cellStyle name="Normal 2 2_4.14C" xfId="118"/>
    <cellStyle name="Normal 2 3" xfId="70"/>
    <cellStyle name="Normal 2 3 2" xfId="146"/>
    <cellStyle name="Normal 2 4" xfId="119"/>
    <cellStyle name="Normal 2 5" xfId="120"/>
    <cellStyle name="Normal 2 6" xfId="121"/>
    <cellStyle name="Normal 2 7" xfId="122"/>
    <cellStyle name="Normal 2 8" xfId="123"/>
    <cellStyle name="Normal 2 9" xfId="864"/>
    <cellStyle name="Normal 2_3.5 Alc Noviembre 09" xfId="621"/>
    <cellStyle name="Normal 20" xfId="622"/>
    <cellStyle name="Normal 21" xfId="623"/>
    <cellStyle name="Normal 22" xfId="624"/>
    <cellStyle name="Normal 23" xfId="625"/>
    <cellStyle name="Normal 24" xfId="626"/>
    <cellStyle name="Normal 25" xfId="627"/>
    <cellStyle name="Normal 26" xfId="628"/>
    <cellStyle name="Normal 27" xfId="629"/>
    <cellStyle name="Normal 27 2" xfId="142"/>
    <cellStyle name="Normal 28" xfId="630"/>
    <cellStyle name="Normal 29" xfId="631"/>
    <cellStyle name="Normal 29 2" xfId="862"/>
    <cellStyle name="Normal 3" xfId="52"/>
    <cellStyle name="Normal 3 2" xfId="124"/>
    <cellStyle name="Normal 3 3" xfId="125"/>
    <cellStyle name="Normal 3 4" xfId="126"/>
    <cellStyle name="Normal 3 5" xfId="127"/>
    <cellStyle name="Normal 3 6" xfId="128"/>
    <cellStyle name="Normal 3_ModeloCertificadook" xfId="53"/>
    <cellStyle name="Normal 30" xfId="859"/>
    <cellStyle name="Normal 31" xfId="865"/>
    <cellStyle name="Normal 31 2" xfId="866"/>
    <cellStyle name="Normal 4" xfId="54"/>
    <cellStyle name="Normal 5" xfId="55"/>
    <cellStyle name="Normal 5 2" xfId="129"/>
    <cellStyle name="Normal 5 2 2" xfId="130"/>
    <cellStyle name="Normal 5 2 3" xfId="131"/>
    <cellStyle name="Normal 6" xfId="132"/>
    <cellStyle name="Normal 7" xfId="133"/>
    <cellStyle name="Normal 8" xfId="134"/>
    <cellStyle name="Normal 9" xfId="632"/>
    <cellStyle name="Normal_CERT-CONTRATISTA 01" xfId="145"/>
    <cellStyle name="Normal_Certificado 13 - Junio 2000" xfId="633"/>
    <cellStyle name="Normal_Certificado 13 - Junio 2000 2" xfId="141"/>
    <cellStyle name="Normal_Certificado 13 - Junio 2000 2 2" xfId="857"/>
    <cellStyle name="Normal_Certificado Pago no. 2" xfId="56"/>
    <cellStyle name="Normal_Certificado Pago no. 2 2" xfId="858"/>
    <cellStyle name="Normal_Respaldo C-Diciembre 2000" xfId="139"/>
    <cellStyle name="Notas" xfId="57" builtinId="10" customBuiltin="1"/>
    <cellStyle name="Notas 10" xfId="634"/>
    <cellStyle name="Notas 10 2" xfId="635"/>
    <cellStyle name="Notas 10 3" xfId="636"/>
    <cellStyle name="Notas 10 4" xfId="637"/>
    <cellStyle name="Notas 11" xfId="638"/>
    <cellStyle name="Notas 11 2" xfId="639"/>
    <cellStyle name="Notas 11 3" xfId="640"/>
    <cellStyle name="Notas 11 4" xfId="641"/>
    <cellStyle name="Notas 12" xfId="642"/>
    <cellStyle name="Notas 12 2" xfId="643"/>
    <cellStyle name="Notas 12 3" xfId="644"/>
    <cellStyle name="Notas 12 4" xfId="645"/>
    <cellStyle name="Notas 13" xfId="646"/>
    <cellStyle name="Notas 13 2" xfId="647"/>
    <cellStyle name="Notas 13 3" xfId="648"/>
    <cellStyle name="Notas 13 4" xfId="649"/>
    <cellStyle name="Notas 2" xfId="650"/>
    <cellStyle name="Notas 2 2" xfId="651"/>
    <cellStyle name="Notas 2 3" xfId="652"/>
    <cellStyle name="Notas 2 4" xfId="653"/>
    <cellStyle name="Notas 3" xfId="654"/>
    <cellStyle name="Notas 3 2" xfId="655"/>
    <cellStyle name="Notas 3 3" xfId="656"/>
    <cellStyle name="Notas 3 4" xfId="657"/>
    <cellStyle name="Notas 4" xfId="658"/>
    <cellStyle name="Notas 4 2" xfId="659"/>
    <cellStyle name="Notas 4 3" xfId="660"/>
    <cellStyle name="Notas 4 4" xfId="661"/>
    <cellStyle name="Notas 5" xfId="662"/>
    <cellStyle name="Notas 5 2" xfId="663"/>
    <cellStyle name="Notas 5 3" xfId="664"/>
    <cellStyle name="Notas 5 4" xfId="665"/>
    <cellStyle name="Notas 6" xfId="666"/>
    <cellStyle name="Notas 6 2" xfId="667"/>
    <cellStyle name="Notas 6 3" xfId="668"/>
    <cellStyle name="Notas 6 4" xfId="669"/>
    <cellStyle name="Notas 7" xfId="670"/>
    <cellStyle name="Notas 7 2" xfId="671"/>
    <cellStyle name="Notas 7 3" xfId="672"/>
    <cellStyle name="Notas 7 4" xfId="673"/>
    <cellStyle name="Notas 8" xfId="674"/>
    <cellStyle name="Notas 8 2" xfId="675"/>
    <cellStyle name="Notas 8 3" xfId="676"/>
    <cellStyle name="Notas 8 4" xfId="677"/>
    <cellStyle name="Notas 9" xfId="678"/>
    <cellStyle name="Notas 9 2" xfId="679"/>
    <cellStyle name="Notas 9 3" xfId="680"/>
    <cellStyle name="Notas 9 4" xfId="681"/>
    <cellStyle name="Note" xfId="135"/>
    <cellStyle name="Output" xfId="136"/>
    <cellStyle name="Percent 2" xfId="58"/>
    <cellStyle name="Porcentaje" xfId="59"/>
    <cellStyle name="Porcentaje 2" xfId="682"/>
    <cellStyle name="Porcentual 2" xfId="60"/>
    <cellStyle name="Porcentual 2 2" xfId="683"/>
    <cellStyle name="Porcentual 2 3" xfId="684"/>
    <cellStyle name="Porcentual 2 4" xfId="685"/>
    <cellStyle name="Porcentual 2 5" xfId="686"/>
    <cellStyle name="Porcentual 3" xfId="687"/>
    <cellStyle name="Porcentual 4" xfId="144"/>
    <cellStyle name="Porcentual 5" xfId="688"/>
    <cellStyle name="Salida" xfId="61" builtinId="21" customBuiltin="1"/>
    <cellStyle name="Salida 10" xfId="689"/>
    <cellStyle name="Salida 10 2" xfId="690"/>
    <cellStyle name="Salida 10 3" xfId="691"/>
    <cellStyle name="Salida 10 4" xfId="692"/>
    <cellStyle name="Salida 11" xfId="693"/>
    <cellStyle name="Salida 11 2" xfId="694"/>
    <cellStyle name="Salida 11 3" xfId="695"/>
    <cellStyle name="Salida 11 4" xfId="696"/>
    <cellStyle name="Salida 12" xfId="697"/>
    <cellStyle name="Salida 12 2" xfId="698"/>
    <cellStyle name="Salida 12 3" xfId="699"/>
    <cellStyle name="Salida 12 4" xfId="700"/>
    <cellStyle name="Salida 13" xfId="701"/>
    <cellStyle name="Salida 13 2" xfId="702"/>
    <cellStyle name="Salida 13 3" xfId="703"/>
    <cellStyle name="Salida 13 4" xfId="704"/>
    <cellStyle name="Salida 2" xfId="705"/>
    <cellStyle name="Salida 2 2" xfId="706"/>
    <cellStyle name="Salida 2 3" xfId="707"/>
    <cellStyle name="Salida 2 4" xfId="708"/>
    <cellStyle name="Salida 3" xfId="709"/>
    <cellStyle name="Salida 3 2" xfId="710"/>
    <cellStyle name="Salida 3 3" xfId="711"/>
    <cellStyle name="Salida 3 4" xfId="712"/>
    <cellStyle name="Salida 4" xfId="713"/>
    <cellStyle name="Salida 4 2" xfId="714"/>
    <cellStyle name="Salida 4 3" xfId="715"/>
    <cellStyle name="Salida 4 4" xfId="716"/>
    <cellStyle name="Salida 5" xfId="717"/>
    <cellStyle name="Salida 5 2" xfId="718"/>
    <cellStyle name="Salida 5 3" xfId="719"/>
    <cellStyle name="Salida 5 4" xfId="720"/>
    <cellStyle name="Salida 6" xfId="721"/>
    <cellStyle name="Salida 6 2" xfId="722"/>
    <cellStyle name="Salida 6 3" xfId="723"/>
    <cellStyle name="Salida 6 4" xfId="724"/>
    <cellStyle name="Salida 7" xfId="725"/>
    <cellStyle name="Salida 7 2" xfId="726"/>
    <cellStyle name="Salida 7 3" xfId="727"/>
    <cellStyle name="Salida 7 4" xfId="728"/>
    <cellStyle name="Salida 8" xfId="729"/>
    <cellStyle name="Salida 8 2" xfId="730"/>
    <cellStyle name="Salida 8 3" xfId="731"/>
    <cellStyle name="Salida 8 4" xfId="732"/>
    <cellStyle name="Salida 9" xfId="733"/>
    <cellStyle name="Salida 9 2" xfId="734"/>
    <cellStyle name="Salida 9 3" xfId="735"/>
    <cellStyle name="Salida 9 4" xfId="736"/>
    <cellStyle name="Texto de advertencia" xfId="62" builtinId="11" customBuiltin="1"/>
    <cellStyle name="Texto de advertencia 10" xfId="737"/>
    <cellStyle name="Texto de advertencia 11" xfId="738"/>
    <cellStyle name="Texto de advertencia 12" xfId="739"/>
    <cellStyle name="Texto de advertencia 13" xfId="740"/>
    <cellStyle name="Texto de advertencia 2" xfId="741"/>
    <cellStyle name="Texto de advertencia 3" xfId="742"/>
    <cellStyle name="Texto de advertencia 4" xfId="743"/>
    <cellStyle name="Texto de advertencia 5" xfId="744"/>
    <cellStyle name="Texto de advertencia 6" xfId="745"/>
    <cellStyle name="Texto de advertencia 7" xfId="746"/>
    <cellStyle name="Texto de advertencia 8" xfId="747"/>
    <cellStyle name="Texto de advertencia 9" xfId="748"/>
    <cellStyle name="Texto explicativo" xfId="63" builtinId="53" customBuiltin="1"/>
    <cellStyle name="Texto explicativo 10" xfId="749"/>
    <cellStyle name="Texto explicativo 11" xfId="750"/>
    <cellStyle name="Texto explicativo 12" xfId="751"/>
    <cellStyle name="Texto explicativo 13" xfId="752"/>
    <cellStyle name="Texto explicativo 2" xfId="753"/>
    <cellStyle name="Texto explicativo 3" xfId="754"/>
    <cellStyle name="Texto explicativo 4" xfId="755"/>
    <cellStyle name="Texto explicativo 5" xfId="756"/>
    <cellStyle name="Texto explicativo 6" xfId="757"/>
    <cellStyle name="Texto explicativo 7" xfId="758"/>
    <cellStyle name="Texto explicativo 8" xfId="759"/>
    <cellStyle name="Texto explicativo 9" xfId="760"/>
    <cellStyle name="Title" xfId="137"/>
    <cellStyle name="Título" xfId="64" builtinId="15" customBuiltin="1"/>
    <cellStyle name="Título 1 10" xfId="761"/>
    <cellStyle name="Título 1 11" xfId="762"/>
    <cellStyle name="Título 1 12" xfId="763"/>
    <cellStyle name="Título 1 13" xfId="764"/>
    <cellStyle name="Título 1 2" xfId="765"/>
    <cellStyle name="Título 1 3" xfId="766"/>
    <cellStyle name="Título 1 4" xfId="767"/>
    <cellStyle name="Título 1 5" xfId="768"/>
    <cellStyle name="Título 1 6" xfId="769"/>
    <cellStyle name="Título 1 7" xfId="770"/>
    <cellStyle name="Título 1 8" xfId="771"/>
    <cellStyle name="Título 1 9" xfId="772"/>
    <cellStyle name="Título 10" xfId="773"/>
    <cellStyle name="Título 11" xfId="774"/>
    <cellStyle name="Título 12" xfId="775"/>
    <cellStyle name="Título 13" xfId="776"/>
    <cellStyle name="Título 14" xfId="777"/>
    <cellStyle name="Título 15" xfId="778"/>
    <cellStyle name="Título 2" xfId="66" builtinId="17" customBuiltin="1"/>
    <cellStyle name="Título 2 10" xfId="779"/>
    <cellStyle name="Título 2 11" xfId="780"/>
    <cellStyle name="Título 2 12" xfId="781"/>
    <cellStyle name="Título 2 13" xfId="782"/>
    <cellStyle name="Título 2 2" xfId="783"/>
    <cellStyle name="Título 2 3" xfId="784"/>
    <cellStyle name="Título 2 4" xfId="785"/>
    <cellStyle name="Título 2 5" xfId="786"/>
    <cellStyle name="Título 2 6" xfId="787"/>
    <cellStyle name="Título 2 7" xfId="788"/>
    <cellStyle name="Título 2 8" xfId="789"/>
    <cellStyle name="Título 2 9" xfId="790"/>
    <cellStyle name="Título 3" xfId="67" builtinId="18" customBuiltin="1"/>
    <cellStyle name="Título 3 10" xfId="791"/>
    <cellStyle name="Título 3 11" xfId="792"/>
    <cellStyle name="Título 3 12" xfId="793"/>
    <cellStyle name="Título 3 13" xfId="794"/>
    <cellStyle name="Título 3 2" xfId="795"/>
    <cellStyle name="Título 3 3" xfId="796"/>
    <cellStyle name="Título 3 4" xfId="797"/>
    <cellStyle name="Título 3 5" xfId="798"/>
    <cellStyle name="Título 3 6" xfId="799"/>
    <cellStyle name="Título 3 7" xfId="800"/>
    <cellStyle name="Título 3 8" xfId="801"/>
    <cellStyle name="Título 3 9" xfId="802"/>
    <cellStyle name="Título 4" xfId="803"/>
    <cellStyle name="Título 5" xfId="804"/>
    <cellStyle name="Título 6" xfId="805"/>
    <cellStyle name="Título 7" xfId="806"/>
    <cellStyle name="Título 8" xfId="807"/>
    <cellStyle name="Título 9" xfId="808"/>
    <cellStyle name="Total" xfId="68" builtinId="25" customBuiltin="1"/>
    <cellStyle name="Total 10" xfId="809"/>
    <cellStyle name="Total 10 2" xfId="810"/>
    <cellStyle name="Total 10 3" xfId="811"/>
    <cellStyle name="Total 10 4" xfId="812"/>
    <cellStyle name="Total 11" xfId="813"/>
    <cellStyle name="Total 11 2" xfId="814"/>
    <cellStyle name="Total 11 3" xfId="815"/>
    <cellStyle name="Total 11 4" xfId="816"/>
    <cellStyle name="Total 12" xfId="817"/>
    <cellStyle name="Total 12 2" xfId="818"/>
    <cellStyle name="Total 12 3" xfId="819"/>
    <cellStyle name="Total 12 4" xfId="820"/>
    <cellStyle name="Total 13" xfId="821"/>
    <cellStyle name="Total 13 2" xfId="822"/>
    <cellStyle name="Total 13 3" xfId="823"/>
    <cellStyle name="Total 13 4" xfId="824"/>
    <cellStyle name="Total 2" xfId="825"/>
    <cellStyle name="Total 2 2" xfId="826"/>
    <cellStyle name="Total 2 3" xfId="827"/>
    <cellStyle name="Total 2 4" xfId="828"/>
    <cellStyle name="Total 3" xfId="829"/>
    <cellStyle name="Total 3 2" xfId="830"/>
    <cellStyle name="Total 3 3" xfId="831"/>
    <cellStyle name="Total 3 4" xfId="832"/>
    <cellStyle name="Total 4" xfId="833"/>
    <cellStyle name="Total 4 2" xfId="834"/>
    <cellStyle name="Total 4 3" xfId="835"/>
    <cellStyle name="Total 4 4" xfId="836"/>
    <cellStyle name="Total 5" xfId="837"/>
    <cellStyle name="Total 5 2" xfId="838"/>
    <cellStyle name="Total 5 3" xfId="839"/>
    <cellStyle name="Total 5 4" xfId="840"/>
    <cellStyle name="Total 6" xfId="841"/>
    <cellStyle name="Total 6 2" xfId="842"/>
    <cellStyle name="Total 6 3" xfId="843"/>
    <cellStyle name="Total 6 4" xfId="844"/>
    <cellStyle name="Total 7" xfId="845"/>
    <cellStyle name="Total 7 2" xfId="846"/>
    <cellStyle name="Total 7 3" xfId="847"/>
    <cellStyle name="Total 7 4" xfId="848"/>
    <cellStyle name="Total 8" xfId="849"/>
    <cellStyle name="Total 8 2" xfId="850"/>
    <cellStyle name="Total 8 3" xfId="851"/>
    <cellStyle name="Total 8 4" xfId="852"/>
    <cellStyle name="Total 9" xfId="853"/>
    <cellStyle name="Total 9 2" xfId="854"/>
    <cellStyle name="Total 9 3" xfId="855"/>
    <cellStyle name="Total 9 4" xfId="856"/>
    <cellStyle name="Warning Text" xfId="138"/>
  </cellStyles>
  <dxfs count="98"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21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22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2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DESEMBOLSO</a:t>
            </a:r>
          </a:p>
        </c:rich>
      </c:tx>
      <c:layout>
        <c:manualLayout>
          <c:xMode val="edge"/>
          <c:yMode val="edge"/>
          <c:x val="0.34710396002198302"/>
          <c:y val="2.594236592626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42330421202701E-2"/>
          <c:y val="0.10111992814343998"/>
          <c:w val="0.90539318354457132"/>
          <c:h val="0.74260985453890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71720515036041E-2"/>
                  <c:y val="-6.47173026242643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4165532159337432E-2"/>
                  <c:y val="-2.813666986982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260411850549949E-2"/>
                  <c:y val="-3.2414096188690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1.7351284363659483E-2</c:v>
                </c:pt>
                <c:pt idx="6">
                  <c:v>5.2277576461117012E-2</c:v>
                </c:pt>
                <c:pt idx="7">
                  <c:v>0.18167282932392581</c:v>
                </c:pt>
                <c:pt idx="8">
                  <c:v>0.44114396448132015</c:v>
                </c:pt>
                <c:pt idx="9">
                  <c:v>0.70535928754603727</c:v>
                </c:pt>
                <c:pt idx="10">
                  <c:v>0.87648322333299222</c:v>
                </c:pt>
                <c:pt idx="1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71D-4726-A17C-E98DE91FD854}"/>
            </c:ext>
          </c:extLst>
        </c:ser>
        <c:ser>
          <c:idx val="1"/>
          <c:order val="1"/>
          <c:tx>
            <c:strRef>
              <c:f>'CRON.DESEMBOLSOS'!$L$8:$M$8</c:f>
              <c:strCache>
                <c:ptCount val="1"/>
                <c:pt idx="0">
                  <c:v>EJECUTADO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538459463703934E-2"/>
                  <c:y val="-5.1815717571969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2287560832515729E-2"/>
                  <c:y val="-7.059416772425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8654483553198525E-2"/>
                  <c:y val="-6.7621592802904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4892050440033262E-2"/>
                  <c:y val="-7.564519597867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9750808820674133E-2"/>
                  <c:y val="-7.379216984108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460956720131509E-2"/>
                  <c:y val="-6.452703915312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'CRON.DESEMBOLSOS'!$M$11:$M$24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1.4868886551178502E-2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71D-4726-A17C-E98DE91F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117744"/>
        <c:axId val="1912278768"/>
      </c:scatterChart>
      <c:valAx>
        <c:axId val="19241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1912278768"/>
        <c:crosses val="autoZero"/>
        <c:crossBetween val="midCat"/>
        <c:majorUnit val="30"/>
        <c:minorUnit val="30"/>
      </c:valAx>
      <c:valAx>
        <c:axId val="191227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</a:rPr>
                  <a:t>PORCENTAJE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192411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BO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AVANCE FINANCIERO</a:t>
            </a:r>
          </a:p>
        </c:rich>
      </c:tx>
      <c:layout>
        <c:manualLayout>
          <c:xMode val="edge"/>
          <c:yMode val="edge"/>
          <c:x val="0.3369757981195502"/>
          <c:y val="1.691671986133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679040176282373E-2"/>
          <c:y val="7.6989572258859745E-2"/>
          <c:w val="0.91996942048298169"/>
          <c:h val="0.7685521941037621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24824563433864E-2"/>
                  <c:y val="-8.3247564000168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1.7351284363659483E-2</c:v>
                </c:pt>
                <c:pt idx="6">
                  <c:v>5.2277576461117012E-2</c:v>
                </c:pt>
                <c:pt idx="7">
                  <c:v>0.18167282932392581</c:v>
                </c:pt>
                <c:pt idx="8">
                  <c:v>0.44114396448132015</c:v>
                </c:pt>
                <c:pt idx="9">
                  <c:v>0.70535928754603727</c:v>
                </c:pt>
                <c:pt idx="10">
                  <c:v>0.87648322333299222</c:v>
                </c:pt>
                <c:pt idx="1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68-42A0-81A3-B5B635FF01A5}"/>
            </c:ext>
          </c:extLst>
        </c:ser>
        <c:ser>
          <c:idx val="0"/>
          <c:order val="1"/>
          <c:tx>
            <c:strRef>
              <c:f>'CRON.DESEMBOLSOS'!$N$8:$O$8</c:f>
              <c:strCache>
                <c:ptCount val="1"/>
                <c:pt idx="0">
                  <c:v>AVANCE FINANCIERO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'CRON.DESEMBOLSOS'!$O$11:$O$24</c:f>
              <c:numCache>
                <c:formatCode>0.00%</c:formatCode>
                <c:ptCount val="14"/>
                <c:pt idx="0">
                  <c:v>0.20000000001845056</c:v>
                </c:pt>
                <c:pt idx="1">
                  <c:v>0.20155279766237968</c:v>
                </c:pt>
                <c:pt idx="2">
                  <c:v>0.20502738545168298</c:v>
                </c:pt>
                <c:pt idx="3">
                  <c:v>0.2102689894530817</c:v>
                </c:pt>
                <c:pt idx="4">
                  <c:v>0.21085428718789548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268-42A0-81A3-B5B635FF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76048"/>
        <c:axId val="67797360"/>
      </c:scatterChart>
      <c:valAx>
        <c:axId val="19122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797360"/>
        <c:crosses val="autoZero"/>
        <c:crossBetween val="midCat"/>
        <c:majorUnit val="30"/>
        <c:minorUnit val="30"/>
      </c:valAx>
      <c:valAx>
        <c:axId val="67797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PORCENTAJE</a:t>
                </a:r>
                <a:r>
                  <a:rPr lang="es-BO" sz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endParaRPr lang="es-BO" sz="12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191227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</c:legendEntry>
      <c:layout>
        <c:manualLayout>
          <c:xMode val="edge"/>
          <c:yMode val="edge"/>
          <c:x val="0.145581413634327"/>
          <c:y val="0.96248903122593588"/>
          <c:w val="0.80920991360066519"/>
          <c:h val="3.68710490028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0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579901</xdr:colOff>
      <xdr:row>13</xdr:row>
      <xdr:rowOff>9525</xdr:rowOff>
    </xdr:from>
    <xdr:to>
      <xdr:col>1</xdr:col>
      <xdr:colOff>2379901</xdr:colOff>
      <xdr:row>13</xdr:row>
      <xdr:rowOff>9525</xdr:rowOff>
    </xdr:to>
    <xdr:sp macro="" textlink="">
      <xdr:nvSpPr>
        <xdr:cNvPr id="3" name="Line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284751" y="181546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844943</xdr:colOff>
      <xdr:row>110</xdr:row>
      <xdr:rowOff>9525</xdr:rowOff>
    </xdr:from>
    <xdr:to>
      <xdr:col>5</xdr:col>
      <xdr:colOff>2644943</xdr:colOff>
      <xdr:row>110</xdr:row>
      <xdr:rowOff>9525</xdr:rowOff>
    </xdr:to>
    <xdr:sp macro="" textlink="">
      <xdr:nvSpPr>
        <xdr:cNvPr id="3075" name="Line 3">
          <a:extLst>
            <a:ext uri="{FF2B5EF4-FFF2-40B4-BE49-F238E27FC236}">
              <a16:creationId xmlns="" xmlns:a16="http://schemas.microsoft.com/office/drawing/2014/main" id="{00000000-0008-0000-0B00-0000030C0000}"/>
            </a:ext>
          </a:extLst>
        </xdr:cNvPr>
        <xdr:cNvSpPr>
          <a:spLocks noChangeShapeType="1"/>
        </xdr:cNvSpPr>
      </xdr:nvSpPr>
      <xdr:spPr bwMode="auto">
        <a:xfrm>
          <a:off x="1101704" y="1838035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213696</xdr:colOff>
      <xdr:row>110</xdr:row>
      <xdr:rowOff>19050</xdr:rowOff>
    </xdr:from>
    <xdr:to>
      <xdr:col>17</xdr:col>
      <xdr:colOff>584946</xdr:colOff>
      <xdr:row>110</xdr:row>
      <xdr:rowOff>19050</xdr:rowOff>
    </xdr:to>
    <xdr:sp macro="" textlink="">
      <xdr:nvSpPr>
        <xdr:cNvPr id="3078" name="Line 6">
          <a:extLst>
            <a:ext uri="{FF2B5EF4-FFF2-40B4-BE49-F238E27FC236}">
              <a16:creationId xmlns="" xmlns:a16="http://schemas.microsoft.com/office/drawing/2014/main" id="{00000000-0008-0000-0B00-0000060C0000}"/>
            </a:ext>
          </a:extLst>
        </xdr:cNvPr>
        <xdr:cNvSpPr>
          <a:spLocks noChangeShapeType="1"/>
        </xdr:cNvSpPr>
      </xdr:nvSpPr>
      <xdr:spPr bwMode="auto">
        <a:xfrm flipV="1">
          <a:off x="10401305" y="18389876"/>
          <a:ext cx="195322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16</xdr:col>
      <xdr:colOff>488322</xdr:colOff>
      <xdr:row>1</xdr:row>
      <xdr:rowOff>82874</xdr:rowOff>
    </xdr:from>
    <xdr:to>
      <xdr:col>17</xdr:col>
      <xdr:colOff>469526</xdr:colOff>
      <xdr:row>4</xdr:row>
      <xdr:rowOff>123374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2061" y="248526"/>
          <a:ext cx="718356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242</xdr:row>
      <xdr:rowOff>139976</xdr:rowOff>
    </xdr:from>
    <xdr:to>
      <xdr:col>5</xdr:col>
      <xdr:colOff>2712034</xdr:colOff>
      <xdr:row>242</xdr:row>
      <xdr:rowOff>139976</xdr:rowOff>
    </xdr:to>
    <xdr:sp macro="" textlink="">
      <xdr:nvSpPr>
        <xdr:cNvPr id="9" name="Line 3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1293034" y="408241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215342</xdr:colOff>
      <xdr:row>110</xdr:row>
      <xdr:rowOff>4556</xdr:rowOff>
    </xdr:from>
    <xdr:to>
      <xdr:col>11</xdr:col>
      <xdr:colOff>685364</xdr:colOff>
      <xdr:row>110</xdr:row>
      <xdr:rowOff>4556</xdr:rowOff>
    </xdr:to>
    <xdr:sp macro="" textlink="">
      <xdr:nvSpPr>
        <xdr:cNvPr id="11" name="Line 3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SpPr>
          <a:spLocks noChangeShapeType="1"/>
        </xdr:cNvSpPr>
      </xdr:nvSpPr>
      <xdr:spPr bwMode="auto">
        <a:xfrm>
          <a:off x="5565907" y="18375382"/>
          <a:ext cx="205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5</xdr:col>
      <xdr:colOff>0</xdr:colOff>
      <xdr:row>1</xdr:row>
      <xdr:rowOff>49693</xdr:rowOff>
    </xdr:from>
    <xdr:to>
      <xdr:col>5</xdr:col>
      <xdr:colOff>604630</xdr:colOff>
      <xdr:row>4</xdr:row>
      <xdr:rowOff>147895</xdr:rowOff>
    </xdr:to>
    <xdr:pic>
      <xdr:nvPicPr>
        <xdr:cNvPr id="8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61" y="215345"/>
          <a:ext cx="604630" cy="6697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16565</xdr:colOff>
      <xdr:row>0</xdr:row>
      <xdr:rowOff>132520</xdr:rowOff>
    </xdr:from>
    <xdr:to>
      <xdr:col>1</xdr:col>
      <xdr:colOff>809216</xdr:colOff>
      <xdr:row>3</xdr:row>
      <xdr:rowOff>215349</xdr:rowOff>
    </xdr:to>
    <xdr:pic>
      <xdr:nvPicPr>
        <xdr:cNvPr id="7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82" y="132520"/>
          <a:ext cx="792651" cy="87795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619125</xdr:colOff>
      <xdr:row>84</xdr:row>
      <xdr:rowOff>85725</xdr:rowOff>
    </xdr:from>
    <xdr:to>
      <xdr:col>18</xdr:col>
      <xdr:colOff>476250</xdr:colOff>
      <xdr:row>84</xdr:row>
      <xdr:rowOff>85725</xdr:rowOff>
    </xdr:to>
    <xdr:sp macro="" textlink="">
      <xdr:nvSpPr>
        <xdr:cNvPr id="2" name="Line 10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 flipV="1">
          <a:off x="13735050" y="1503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304388</xdr:colOff>
      <xdr:row>35</xdr:row>
      <xdr:rowOff>155575</xdr:rowOff>
    </xdr:from>
    <xdr:to>
      <xdr:col>5</xdr:col>
      <xdr:colOff>609084</xdr:colOff>
      <xdr:row>35</xdr:row>
      <xdr:rowOff>155576</xdr:rowOff>
    </xdr:to>
    <xdr:cxnSp macro="">
      <xdr:nvCxnSpPr>
        <xdr:cNvPr id="3" name="4 Conector recto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CxnSpPr/>
      </xdr:nvCxnSpPr>
      <xdr:spPr bwMode="auto">
        <a:xfrm flipV="1">
          <a:off x="1157497" y="6881053"/>
          <a:ext cx="2160000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723030</xdr:colOff>
      <xdr:row>35</xdr:row>
      <xdr:rowOff>158199</xdr:rowOff>
    </xdr:from>
    <xdr:to>
      <xdr:col>12</xdr:col>
      <xdr:colOff>646725</xdr:colOff>
      <xdr:row>35</xdr:row>
      <xdr:rowOff>158199</xdr:rowOff>
    </xdr:to>
    <xdr:sp macro="" textlink="">
      <xdr:nvSpPr>
        <xdr:cNvPr id="4" name="Line 9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 flipV="1">
          <a:off x="6877008" y="6883677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119060</xdr:colOff>
      <xdr:row>39</xdr:row>
      <xdr:rowOff>52385</xdr:rowOff>
    </xdr:from>
    <xdr:to>
      <xdr:col>14</xdr:col>
      <xdr:colOff>742949</xdr:colOff>
      <xdr:row>80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81</xdr:row>
      <xdr:rowOff>95250</xdr:rowOff>
    </xdr:from>
    <xdr:to>
      <xdr:col>14</xdr:col>
      <xdr:colOff>671514</xdr:colOff>
      <xdr:row>122</xdr:row>
      <xdr:rowOff>157165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716084</xdr:colOff>
      <xdr:row>0</xdr:row>
      <xdr:rowOff>91417</xdr:rowOff>
    </xdr:from>
    <xdr:to>
      <xdr:col>14</xdr:col>
      <xdr:colOff>110825</xdr:colOff>
      <xdr:row>4</xdr:row>
      <xdr:rowOff>115957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6367" y="91417"/>
          <a:ext cx="881107" cy="786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66263</xdr:colOff>
      <xdr:row>0</xdr:row>
      <xdr:rowOff>57978</xdr:rowOff>
    </xdr:from>
    <xdr:to>
      <xdr:col>3</xdr:col>
      <xdr:colOff>858914</xdr:colOff>
      <xdr:row>4</xdr:row>
      <xdr:rowOff>173937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372" y="57978"/>
          <a:ext cx="792651" cy="87795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27</xdr:row>
      <xdr:rowOff>176388</xdr:rowOff>
    </xdr:from>
    <xdr:to>
      <xdr:col>2</xdr:col>
      <xdr:colOff>109769</xdr:colOff>
      <xdr:row>27</xdr:row>
      <xdr:rowOff>176388</xdr:rowOff>
    </xdr:to>
    <xdr:sp macro="" textlink="">
      <xdr:nvSpPr>
        <xdr:cNvPr id="5" name="Line 3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28</xdr:row>
      <xdr:rowOff>3999</xdr:rowOff>
    </xdr:from>
    <xdr:to>
      <xdr:col>10</xdr:col>
      <xdr:colOff>600839</xdr:colOff>
      <xdr:row>28</xdr:row>
      <xdr:rowOff>3999</xdr:rowOff>
    </xdr:to>
    <xdr:sp macro="" textlink="">
      <xdr:nvSpPr>
        <xdr:cNvPr id="6" name="Line 6">
          <a:extLst>
            <a:ext uri="{FF2B5EF4-FFF2-40B4-BE49-F238E27FC236}">
              <a16:creationId xmlns="" xmlns:a16="http://schemas.microsoft.com/office/drawing/2014/main" id="{00000000-0008-0000-0E00-000006000000}"/>
            </a:ext>
          </a:extLst>
        </xdr:cNvPr>
        <xdr:cNvSpPr>
          <a:spLocks noChangeShapeType="1"/>
        </xdr:cNvSpPr>
      </xdr:nvSpPr>
      <xdr:spPr bwMode="auto">
        <a:xfrm flipV="1">
          <a:off x="10509014" y="683342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28</xdr:row>
      <xdr:rowOff>11759</xdr:rowOff>
    </xdr:from>
    <xdr:to>
      <xdr:col>6</xdr:col>
      <xdr:colOff>464783</xdr:colOff>
      <xdr:row>28</xdr:row>
      <xdr:rowOff>11759</xdr:rowOff>
    </xdr:to>
    <xdr:sp macro="" textlink="">
      <xdr:nvSpPr>
        <xdr:cNvPr id="7" name="Line 6">
          <a:extLst>
            <a:ext uri="{FF2B5EF4-FFF2-40B4-BE49-F238E27FC236}">
              <a16:creationId xmlns="" xmlns:a16="http://schemas.microsoft.com/office/drawing/2014/main" id="{00000000-0008-0000-0E00-000007000000}"/>
            </a:ext>
          </a:extLst>
        </xdr:cNvPr>
        <xdr:cNvSpPr>
          <a:spLocks noChangeShapeType="1"/>
        </xdr:cNvSpPr>
      </xdr:nvSpPr>
      <xdr:spPr bwMode="auto">
        <a:xfrm flipV="1">
          <a:off x="6467708" y="684118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571593</xdr:colOff>
      <xdr:row>1</xdr:row>
      <xdr:rowOff>67285</xdr:rowOff>
    </xdr:from>
    <xdr:to>
      <xdr:col>10</xdr:col>
      <xdr:colOff>714249</xdr:colOff>
      <xdr:row>4</xdr:row>
      <xdr:rowOff>228600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94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1162050</xdr:colOff>
      <xdr:row>1</xdr:row>
      <xdr:rowOff>95250</xdr:rowOff>
    </xdr:from>
    <xdr:to>
      <xdr:col>1</xdr:col>
      <xdr:colOff>1954701</xdr:colOff>
      <xdr:row>4</xdr:row>
      <xdr:rowOff>201684</xdr:rowOff>
    </xdr:to>
    <xdr:pic>
      <xdr:nvPicPr>
        <xdr:cNvPr id="9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476250"/>
          <a:ext cx="792651" cy="87795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628651</xdr:colOff>
      <xdr:row>0</xdr:row>
      <xdr:rowOff>41276</xdr:rowOff>
    </xdr:from>
    <xdr:to>
      <xdr:col>1</xdr:col>
      <xdr:colOff>1203795</xdr:colOff>
      <xdr:row>2</xdr:row>
      <xdr:rowOff>241300</xdr:rowOff>
    </xdr:to>
    <xdr:pic>
      <xdr:nvPicPr>
        <xdr:cNvPr id="3" name="Picture 9" descr="LOGOS-ABC-BLANCO-206X100.jpg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3979"/>
        <a:stretch/>
      </xdr:blipFill>
      <xdr:spPr bwMode="auto">
        <a:xfrm>
          <a:off x="1041401" y="41276"/>
          <a:ext cx="575144" cy="708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181842</xdr:colOff>
      <xdr:row>0</xdr:row>
      <xdr:rowOff>17318</xdr:rowOff>
    </xdr:from>
    <xdr:to>
      <xdr:col>14</xdr:col>
      <xdr:colOff>502227</xdr:colOff>
      <xdr:row>2</xdr:row>
      <xdr:rowOff>219992</xdr:rowOff>
    </xdr:to>
    <xdr:pic>
      <xdr:nvPicPr>
        <xdr:cNvPr id="4" name="3 Imagen" descr="logo.jpg">
          <a:extLst>
            <a:ext uri="{FF2B5EF4-FFF2-40B4-BE49-F238E27FC236}">
              <a16:creationId xmlns=""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1387" y="17318"/>
          <a:ext cx="1186295" cy="70490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A29443D8-61D9-4D7A-9A83-B1234AE58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6562EC1-7A17-4898-B4EC-BF2524584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9B014D4-60DF-4B3D-9855-41015E1DD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91487</xdr:colOff>
      <xdr:row>5</xdr:row>
      <xdr:rowOff>25371</xdr:rowOff>
    </xdr:from>
    <xdr:to>
      <xdr:col>9</xdr:col>
      <xdr:colOff>56029</xdr:colOff>
      <xdr:row>17</xdr:row>
      <xdr:rowOff>12324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B3911267-EA54-4D69-B1A7-2542601F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9605" y="933047"/>
          <a:ext cx="1869542" cy="18695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227134</xdr:colOff>
      <xdr:row>11</xdr:row>
      <xdr:rowOff>21979</xdr:rowOff>
    </xdr:from>
    <xdr:to>
      <xdr:col>6</xdr:col>
      <xdr:colOff>639706</xdr:colOff>
      <xdr:row>11</xdr:row>
      <xdr:rowOff>386034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6096" y="2703633"/>
          <a:ext cx="412572" cy="364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199419</xdr:colOff>
      <xdr:row>8</xdr:row>
      <xdr:rowOff>32479</xdr:rowOff>
    </xdr:from>
    <xdr:to>
      <xdr:col>6</xdr:col>
      <xdr:colOff>615461</xdr:colOff>
      <xdr:row>8</xdr:row>
      <xdr:rowOff>473396</xdr:rowOff>
    </xdr:to>
    <xdr:pic>
      <xdr:nvPicPr>
        <xdr:cNvPr id="6" name="1 Imagen">
          <a:extLst>
            <a:ext uri="{FF2B5EF4-FFF2-40B4-BE49-F238E27FC236}">
              <a16:creationId xmlns="" xmlns:a16="http://schemas.microsoft.com/office/drawing/2014/main" id="{6FB48D18-1563-4B15-BA3E-7A5BC2EA6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8381" y="1351325"/>
          <a:ext cx="416042" cy="440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302247</xdr:colOff>
      <xdr:row>48</xdr:row>
      <xdr:rowOff>3115</xdr:rowOff>
    </xdr:from>
    <xdr:to>
      <xdr:col>9</xdr:col>
      <xdr:colOff>988046</xdr:colOff>
      <xdr:row>48</xdr:row>
      <xdr:rowOff>3115</xdr:rowOff>
    </xdr:to>
    <xdr:sp macro="" textlink="">
      <xdr:nvSpPr>
        <xdr:cNvPr id="4097" name="Line 1">
          <a:extLst>
            <a:ext uri="{FF2B5EF4-FFF2-40B4-BE49-F238E27FC236}">
              <a16:creationId xmlns="" xmlns:a16="http://schemas.microsoft.com/office/drawing/2014/main" id="{00000000-0008-0000-0600-000001100000}"/>
            </a:ext>
          </a:extLst>
        </xdr:cNvPr>
        <xdr:cNvSpPr>
          <a:spLocks noChangeShapeType="1"/>
        </xdr:cNvSpPr>
      </xdr:nvSpPr>
      <xdr:spPr bwMode="auto">
        <a:xfrm>
          <a:off x="8011894" y="7208497"/>
          <a:ext cx="19968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188073</xdr:colOff>
      <xdr:row>48</xdr:row>
      <xdr:rowOff>0</xdr:rowOff>
    </xdr:from>
    <xdr:to>
      <xdr:col>7</xdr:col>
      <xdr:colOff>178323</xdr:colOff>
      <xdr:row>48</xdr:row>
      <xdr:rowOff>0</xdr:rowOff>
    </xdr:to>
    <xdr:sp macro="" textlink="">
      <xdr:nvSpPr>
        <xdr:cNvPr id="4099" name="Line 3">
          <a:extLst>
            <a:ext uri="{FF2B5EF4-FFF2-40B4-BE49-F238E27FC236}">
              <a16:creationId xmlns="" xmlns:a16="http://schemas.microsoft.com/office/drawing/2014/main" id="{00000000-0008-0000-0600-000003100000}"/>
            </a:ext>
          </a:extLst>
        </xdr:cNvPr>
        <xdr:cNvSpPr>
          <a:spLocks noChangeShapeType="1"/>
        </xdr:cNvSpPr>
      </xdr:nvSpPr>
      <xdr:spPr bwMode="auto">
        <a:xfrm>
          <a:off x="4782485" y="7676029"/>
          <a:ext cx="17943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52182</xdr:colOff>
      <xdr:row>38</xdr:row>
      <xdr:rowOff>31890</xdr:rowOff>
    </xdr:from>
    <xdr:to>
      <xdr:col>7</xdr:col>
      <xdr:colOff>1348685</xdr:colOff>
      <xdr:row>42</xdr:row>
      <xdr:rowOff>145678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4646594" y="6139096"/>
          <a:ext cx="3094804" cy="74131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0</xdr:col>
      <xdr:colOff>0</xdr:colOff>
      <xdr:row>50</xdr:row>
      <xdr:rowOff>28575</xdr:rowOff>
    </xdr:from>
    <xdr:to>
      <xdr:col>6</xdr:col>
      <xdr:colOff>16565</xdr:colOff>
      <xdr:row>54</xdr:row>
      <xdr:rowOff>47625</xdr:rowOff>
    </xdr:to>
    <xdr:sp macro="" textlink="">
      <xdr:nvSpPr>
        <xdr:cNvPr id="4103" name="TextBox 7">
          <a:extLst>
            <a:ext uri="{FF2B5EF4-FFF2-40B4-BE49-F238E27FC236}">
              <a16:creationId xmlns="" xmlns:a16="http://schemas.microsoft.com/office/drawing/2014/main" id="{00000000-0008-0000-0600-000007100000}"/>
            </a:ext>
          </a:extLst>
        </xdr:cNvPr>
        <xdr:cNvSpPr txBox="1">
          <a:spLocks noChangeArrowheads="1"/>
        </xdr:cNvSpPr>
      </xdr:nvSpPr>
      <xdr:spPr bwMode="auto">
        <a:xfrm>
          <a:off x="0" y="8460271"/>
          <a:ext cx="4953000" cy="681658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6</xdr:col>
      <xdr:colOff>24848</xdr:colOff>
      <xdr:row>50</xdr:row>
      <xdr:rowOff>124288</xdr:rowOff>
    </xdr:from>
    <xdr:to>
      <xdr:col>10</xdr:col>
      <xdr:colOff>1200978</xdr:colOff>
      <xdr:row>53</xdr:row>
      <xdr:rowOff>51768</xdr:rowOff>
    </xdr:to>
    <xdr:sp macro="" textlink="">
      <xdr:nvSpPr>
        <xdr:cNvPr id="4104" name="TextBox 8">
          <a:extLst>
            <a:ext uri="{FF2B5EF4-FFF2-40B4-BE49-F238E27FC236}">
              <a16:creationId xmlns="" xmlns:a16="http://schemas.microsoft.com/office/drawing/2014/main" id="{00000000-0008-0000-0600-000008100000}"/>
            </a:ext>
          </a:extLst>
        </xdr:cNvPr>
        <xdr:cNvSpPr txBox="1">
          <a:spLocks noChangeArrowheads="1"/>
        </xdr:cNvSpPr>
      </xdr:nvSpPr>
      <xdr:spPr bwMode="auto">
        <a:xfrm>
          <a:off x="4961283" y="8324071"/>
          <a:ext cx="6510130" cy="424436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 editAs="oneCell">
    <xdr:from>
      <xdr:col>8</xdr:col>
      <xdr:colOff>59267</xdr:colOff>
      <xdr:row>38</xdr:row>
      <xdr:rowOff>6350</xdr:rowOff>
    </xdr:from>
    <xdr:to>
      <xdr:col>10</xdr:col>
      <xdr:colOff>1275522</xdr:colOff>
      <xdr:row>41</xdr:row>
      <xdr:rowOff>149088</xdr:rowOff>
    </xdr:to>
    <xdr:sp macro="" textlink="">
      <xdr:nvSpPr>
        <xdr:cNvPr id="15" name="TextBox 6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SpPr txBox="1">
          <a:spLocks noChangeArrowheads="1"/>
        </xdr:cNvSpPr>
      </xdr:nvSpPr>
      <xdr:spPr bwMode="auto">
        <a:xfrm>
          <a:off x="7869767" y="6218307"/>
          <a:ext cx="3676190" cy="639694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 por el Supervisor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>
    <xdr:from>
      <xdr:col>1</xdr:col>
      <xdr:colOff>166765</xdr:colOff>
      <xdr:row>57</xdr:row>
      <xdr:rowOff>149288</xdr:rowOff>
    </xdr:from>
    <xdr:to>
      <xdr:col>2</xdr:col>
      <xdr:colOff>875159</xdr:colOff>
      <xdr:row>57</xdr:row>
      <xdr:rowOff>149288</xdr:rowOff>
    </xdr:to>
    <xdr:sp macro="" textlink="">
      <xdr:nvSpPr>
        <xdr:cNvPr id="14" name="Line 2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SpPr>
          <a:spLocks noChangeShapeType="1"/>
        </xdr:cNvSpPr>
      </xdr:nvSpPr>
      <xdr:spPr bwMode="auto">
        <a:xfrm>
          <a:off x="1293200" y="9574897"/>
          <a:ext cx="185139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481553</xdr:colOff>
      <xdr:row>57</xdr:row>
      <xdr:rowOff>160742</xdr:rowOff>
    </xdr:from>
    <xdr:to>
      <xdr:col>8</xdr:col>
      <xdr:colOff>791220</xdr:colOff>
      <xdr:row>57</xdr:row>
      <xdr:rowOff>160742</xdr:rowOff>
    </xdr:to>
    <xdr:sp macro="" textlink="">
      <xdr:nvSpPr>
        <xdr:cNvPr id="20" name="Line 4">
          <a:extLst>
            <a:ext uri="{FF2B5EF4-FFF2-40B4-BE49-F238E27FC236}">
              <a16:creationId xmlns="" xmlns:a16="http://schemas.microsoft.com/office/drawing/2014/main" id="{00000000-0008-0000-0600-000014000000}"/>
            </a:ext>
          </a:extLst>
        </xdr:cNvPr>
        <xdr:cNvSpPr>
          <a:spLocks noChangeShapeType="1"/>
        </xdr:cNvSpPr>
      </xdr:nvSpPr>
      <xdr:spPr bwMode="auto">
        <a:xfrm>
          <a:off x="6884010" y="9520090"/>
          <a:ext cx="17177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831690</xdr:colOff>
      <xdr:row>0</xdr:row>
      <xdr:rowOff>17575</xdr:rowOff>
    </xdr:from>
    <xdr:to>
      <xdr:col>10</xdr:col>
      <xdr:colOff>550081</xdr:colOff>
      <xdr:row>4</xdr:row>
      <xdr:rowOff>150288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9125" y="17575"/>
          <a:ext cx="861391" cy="795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737155</xdr:colOff>
      <xdr:row>0</xdr:row>
      <xdr:rowOff>49693</xdr:rowOff>
    </xdr:from>
    <xdr:to>
      <xdr:col>1</xdr:col>
      <xdr:colOff>241933</xdr:colOff>
      <xdr:row>4</xdr:row>
      <xdr:rowOff>159824</xdr:rowOff>
    </xdr:to>
    <xdr:pic>
      <xdr:nvPicPr>
        <xdr:cNvPr id="12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155" y="49693"/>
          <a:ext cx="631213" cy="772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231</xdr:row>
      <xdr:rowOff>139976</xdr:rowOff>
    </xdr:from>
    <xdr:to>
      <xdr:col>5</xdr:col>
      <xdr:colOff>2712034</xdr:colOff>
      <xdr:row>231</xdr:row>
      <xdr:rowOff>139976</xdr:rowOff>
    </xdr:to>
    <xdr:sp macro="" textlink="">
      <xdr:nvSpPr>
        <xdr:cNvPr id="5" name="Line 3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44</xdr:row>
      <xdr:rowOff>0</xdr:rowOff>
    </xdr:from>
    <xdr:to>
      <xdr:col>16</xdr:col>
      <xdr:colOff>0</xdr:colOff>
      <xdr:row>48</xdr:row>
      <xdr:rowOff>37783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261658</xdr:colOff>
      <xdr:row>39</xdr:row>
      <xdr:rowOff>201706</xdr:rowOff>
    </xdr:from>
    <xdr:to>
      <xdr:col>5</xdr:col>
      <xdr:colOff>49869</xdr:colOff>
      <xdr:row>39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CxnSpPr/>
      </xdr:nvCxnSpPr>
      <xdr:spPr>
        <a:xfrm flipV="1">
          <a:off x="1557058" y="7516906"/>
          <a:ext cx="210278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425824</xdr:colOff>
      <xdr:row>40</xdr:row>
      <xdr:rowOff>1</xdr:rowOff>
    </xdr:from>
    <xdr:to>
      <xdr:col>14</xdr:col>
      <xdr:colOff>844931</xdr:colOff>
      <xdr:row>40</xdr:row>
      <xdr:rowOff>1</xdr:rowOff>
    </xdr:to>
    <xdr:cxnSp macro="">
      <xdr:nvCxnSpPr>
        <xdr:cNvPr id="7" name="6 Conector recto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8975912" y="7720854"/>
          <a:ext cx="21672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805139</xdr:colOff>
      <xdr:row>0</xdr:row>
      <xdr:rowOff>68917</xdr:rowOff>
    </xdr:from>
    <xdr:to>
      <xdr:col>16</xdr:col>
      <xdr:colOff>468967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1614" y="68917"/>
          <a:ext cx="959227" cy="846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0</xdr:row>
      <xdr:rowOff>57981</xdr:rowOff>
    </xdr:from>
    <xdr:to>
      <xdr:col>2</xdr:col>
      <xdr:colOff>352425</xdr:colOff>
      <xdr:row>4</xdr:row>
      <xdr:rowOff>172665</xdr:rowOff>
    </xdr:to>
    <xdr:pic>
      <xdr:nvPicPr>
        <xdr:cNvPr id="9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57981"/>
          <a:ext cx="800100" cy="8862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50</xdr:row>
      <xdr:rowOff>140805</xdr:rowOff>
    </xdr:from>
    <xdr:to>
      <xdr:col>4</xdr:col>
      <xdr:colOff>679185</xdr:colOff>
      <xdr:row>50</xdr:row>
      <xdr:rowOff>140805</xdr:rowOff>
    </xdr:to>
    <xdr:sp macro="" textlink="">
      <xdr:nvSpPr>
        <xdr:cNvPr id="2" name="Line 9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112</xdr:row>
      <xdr:rowOff>85725</xdr:rowOff>
    </xdr:from>
    <xdr:to>
      <xdr:col>21</xdr:col>
      <xdr:colOff>476250</xdr:colOff>
      <xdr:row>112</xdr:row>
      <xdr:rowOff>85725</xdr:rowOff>
    </xdr:to>
    <xdr:sp macro="" textlink="">
      <xdr:nvSpPr>
        <xdr:cNvPr id="3" name="Line 10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4" name="Line 11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5" name="Line 16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50</xdr:row>
      <xdr:rowOff>142875</xdr:rowOff>
    </xdr:from>
    <xdr:to>
      <xdr:col>9</xdr:col>
      <xdr:colOff>588533</xdr:colOff>
      <xdr:row>50</xdr:row>
      <xdr:rowOff>142875</xdr:rowOff>
    </xdr:to>
    <xdr:sp macro="" textlink="">
      <xdr:nvSpPr>
        <xdr:cNvPr id="6" name="Line 9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3861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1</xdr:row>
      <xdr:rowOff>85724</xdr:rowOff>
    </xdr:from>
    <xdr:to>
      <xdr:col>3</xdr:col>
      <xdr:colOff>258430</xdr:colOff>
      <xdr:row>6</xdr:row>
      <xdr:rowOff>67124</xdr:rowOff>
    </xdr:to>
    <xdr:pic>
      <xdr:nvPicPr>
        <xdr:cNvPr id="9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47649"/>
          <a:ext cx="877555" cy="97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46</xdr:row>
      <xdr:rowOff>152400</xdr:rowOff>
    </xdr:from>
    <xdr:to>
      <xdr:col>4</xdr:col>
      <xdr:colOff>707827</xdr:colOff>
      <xdr:row>46</xdr:row>
      <xdr:rowOff>152400</xdr:rowOff>
    </xdr:to>
    <xdr:sp macro="" textlink="">
      <xdr:nvSpPr>
        <xdr:cNvPr id="2" name="Line 9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108</xdr:row>
      <xdr:rowOff>85725</xdr:rowOff>
    </xdr:from>
    <xdr:to>
      <xdr:col>21</xdr:col>
      <xdr:colOff>476250</xdr:colOff>
      <xdr:row>108</xdr:row>
      <xdr:rowOff>85725</xdr:rowOff>
    </xdr:to>
    <xdr:sp macro="" textlink="">
      <xdr:nvSpPr>
        <xdr:cNvPr id="3" name="Line 10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4" name="Line 11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5" name="Line 16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46</xdr:row>
      <xdr:rowOff>152400</xdr:rowOff>
    </xdr:from>
    <xdr:to>
      <xdr:col>9</xdr:col>
      <xdr:colOff>688852</xdr:colOff>
      <xdr:row>46</xdr:row>
      <xdr:rowOff>152400</xdr:rowOff>
    </xdr:to>
    <xdr:sp macro="" textlink="">
      <xdr:nvSpPr>
        <xdr:cNvPr id="6" name="Line 9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212910</xdr:colOff>
      <xdr:row>1</xdr:row>
      <xdr:rowOff>157439</xdr:rowOff>
    </xdr:from>
    <xdr:to>
      <xdr:col>9</xdr:col>
      <xdr:colOff>1320033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846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</xdr:row>
      <xdr:rowOff>76200</xdr:rowOff>
    </xdr:from>
    <xdr:to>
      <xdr:col>3</xdr:col>
      <xdr:colOff>94834</xdr:colOff>
      <xdr:row>5</xdr:row>
      <xdr:rowOff>205800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38125"/>
          <a:ext cx="942559" cy="1044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454581</xdr:colOff>
      <xdr:row>36</xdr:row>
      <xdr:rowOff>189379</xdr:rowOff>
    </xdr:from>
    <xdr:to>
      <xdr:col>4</xdr:col>
      <xdr:colOff>855257</xdr:colOff>
      <xdr:row>36</xdr:row>
      <xdr:rowOff>189379</xdr:rowOff>
    </xdr:to>
    <xdr:sp macro="" textlink="">
      <xdr:nvSpPr>
        <xdr:cNvPr id="2" name="Line 9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 flipV="1">
          <a:off x="1933757" y="755164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97</xdr:row>
      <xdr:rowOff>85725</xdr:rowOff>
    </xdr:from>
    <xdr:to>
      <xdr:col>19</xdr:col>
      <xdr:colOff>476250</xdr:colOff>
      <xdr:row>97</xdr:row>
      <xdr:rowOff>85725</xdr:rowOff>
    </xdr:to>
    <xdr:sp macro="" textlink="">
      <xdr:nvSpPr>
        <xdr:cNvPr id="3" name="Line 10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115</xdr:row>
      <xdr:rowOff>85725</xdr:rowOff>
    </xdr:from>
    <xdr:to>
      <xdr:col>12</xdr:col>
      <xdr:colOff>161925</xdr:colOff>
      <xdr:row>115</xdr:row>
      <xdr:rowOff>85725</xdr:rowOff>
    </xdr:to>
    <xdr:sp macro="" textlink="">
      <xdr:nvSpPr>
        <xdr:cNvPr id="4" name="Line 11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115</xdr:row>
      <xdr:rowOff>85725</xdr:rowOff>
    </xdr:from>
    <xdr:to>
      <xdr:col>12</xdr:col>
      <xdr:colOff>161925</xdr:colOff>
      <xdr:row>115</xdr:row>
      <xdr:rowOff>85725</xdr:rowOff>
    </xdr:to>
    <xdr:sp macro="" textlink="">
      <xdr:nvSpPr>
        <xdr:cNvPr id="5" name="Line 16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1525854</xdr:colOff>
      <xdr:row>37</xdr:row>
      <xdr:rowOff>2241</xdr:rowOff>
    </xdr:from>
    <xdr:to>
      <xdr:col>7</xdr:col>
      <xdr:colOff>256854</xdr:colOff>
      <xdr:row>37</xdr:row>
      <xdr:rowOff>2241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 flipV="1">
          <a:off x="6142678" y="7555006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832892</xdr:colOff>
      <xdr:row>1</xdr:row>
      <xdr:rowOff>94908</xdr:rowOff>
    </xdr:from>
    <xdr:to>
      <xdr:col>7</xdr:col>
      <xdr:colOff>1893793</xdr:colOff>
      <xdr:row>5</xdr:row>
      <xdr:rowOff>148405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8716" y="31902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885266</xdr:colOff>
      <xdr:row>1</xdr:row>
      <xdr:rowOff>78441</xdr:rowOff>
    </xdr:from>
    <xdr:to>
      <xdr:col>2</xdr:col>
      <xdr:colOff>388799</xdr:colOff>
      <xdr:row>6</xdr:row>
      <xdr:rowOff>1852</xdr:rowOff>
    </xdr:to>
    <xdr:pic>
      <xdr:nvPicPr>
        <xdr:cNvPr id="11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19" y="302559"/>
          <a:ext cx="881856" cy="9767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caravi_Huachacalla\MarcoAldunate\Programa%20de%20Obra\Gantt%20-%20Oficial\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CERTIFICADO%20DE%20PAGO\8.%20CERT.DIC%202014\1.%20CONSORCIO%20DEL%20VALLE\4.%20CERTIFICADOS%20DE%20PAGO\6.%20CERT.%20OCTUBRE%202013\Ancaravi_Huachacalla\MarcoAldunate\Programa%20de%20Obra\Gantt%20-%20Oficial\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%20Aguaices\Certs%20of%20payment\CPN&#186;66_Agosto_SUP\CONCORDIA\CERTIFICADOS%20EN%20DIGITAL\CPN&#186;21%20AGO-11\CONCORDIA%20ACP\&#193;REA%20T&#201;CNICA\JMG%20VARIOS\025%20%20agosto%202006\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CERTIFICADO%20DE%20PAGO\8.%20CERT.DIC%202014\Consorcio%20Aiquile\PROGRAMACION\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showGridLines="0" topLeftCell="C1" zoomScale="130" zoomScaleNormal="130" workbookViewId="0">
      <selection activeCell="D21" sqref="D20:D21"/>
    </sheetView>
  </sheetViews>
  <sheetFormatPr baseColWidth="10" defaultRowHeight="13.2"/>
  <cols>
    <col min="1" max="6" width="11.44140625" style="570"/>
    <col min="7" max="7" width="15.44140625" style="570" customWidth="1"/>
    <col min="8" max="262" width="11.44140625" style="570"/>
    <col min="263" max="263" width="15.44140625" style="570" customWidth="1"/>
    <col min="264" max="518" width="11.44140625" style="570"/>
    <col min="519" max="519" width="15.44140625" style="570" customWidth="1"/>
    <col min="520" max="774" width="11.44140625" style="570"/>
    <col min="775" max="775" width="15.44140625" style="570" customWidth="1"/>
    <col min="776" max="1030" width="11.44140625" style="570"/>
    <col min="1031" max="1031" width="15.44140625" style="570" customWidth="1"/>
    <col min="1032" max="1286" width="11.44140625" style="570"/>
    <col min="1287" max="1287" width="15.44140625" style="570" customWidth="1"/>
    <col min="1288" max="1542" width="11.44140625" style="570"/>
    <col min="1543" max="1543" width="15.44140625" style="570" customWidth="1"/>
    <col min="1544" max="1798" width="11.44140625" style="570"/>
    <col min="1799" max="1799" width="15.44140625" style="570" customWidth="1"/>
    <col min="1800" max="2054" width="11.44140625" style="570"/>
    <col min="2055" max="2055" width="15.44140625" style="570" customWidth="1"/>
    <col min="2056" max="2310" width="11.44140625" style="570"/>
    <col min="2311" max="2311" width="15.44140625" style="570" customWidth="1"/>
    <col min="2312" max="2566" width="11.44140625" style="570"/>
    <col min="2567" max="2567" width="15.44140625" style="570" customWidth="1"/>
    <col min="2568" max="2822" width="11.44140625" style="570"/>
    <col min="2823" max="2823" width="15.44140625" style="570" customWidth="1"/>
    <col min="2824" max="3078" width="11.44140625" style="570"/>
    <col min="3079" max="3079" width="15.44140625" style="570" customWidth="1"/>
    <col min="3080" max="3334" width="11.44140625" style="570"/>
    <col min="3335" max="3335" width="15.44140625" style="570" customWidth="1"/>
    <col min="3336" max="3590" width="11.44140625" style="570"/>
    <col min="3591" max="3591" width="15.44140625" style="570" customWidth="1"/>
    <col min="3592" max="3846" width="11.44140625" style="570"/>
    <col min="3847" max="3847" width="15.44140625" style="570" customWidth="1"/>
    <col min="3848" max="4102" width="11.44140625" style="570"/>
    <col min="4103" max="4103" width="15.44140625" style="570" customWidth="1"/>
    <col min="4104" max="4358" width="11.44140625" style="570"/>
    <col min="4359" max="4359" width="15.44140625" style="570" customWidth="1"/>
    <col min="4360" max="4614" width="11.44140625" style="570"/>
    <col min="4615" max="4615" width="15.44140625" style="570" customWidth="1"/>
    <col min="4616" max="4870" width="11.44140625" style="570"/>
    <col min="4871" max="4871" width="15.44140625" style="570" customWidth="1"/>
    <col min="4872" max="5126" width="11.44140625" style="570"/>
    <col min="5127" max="5127" width="15.44140625" style="570" customWidth="1"/>
    <col min="5128" max="5382" width="11.44140625" style="570"/>
    <col min="5383" max="5383" width="15.44140625" style="570" customWidth="1"/>
    <col min="5384" max="5638" width="11.44140625" style="570"/>
    <col min="5639" max="5639" width="15.44140625" style="570" customWidth="1"/>
    <col min="5640" max="5894" width="11.44140625" style="570"/>
    <col min="5895" max="5895" width="15.44140625" style="570" customWidth="1"/>
    <col min="5896" max="6150" width="11.44140625" style="570"/>
    <col min="6151" max="6151" width="15.44140625" style="570" customWidth="1"/>
    <col min="6152" max="6406" width="11.44140625" style="570"/>
    <col min="6407" max="6407" width="15.44140625" style="570" customWidth="1"/>
    <col min="6408" max="6662" width="11.44140625" style="570"/>
    <col min="6663" max="6663" width="15.44140625" style="570" customWidth="1"/>
    <col min="6664" max="6918" width="11.44140625" style="570"/>
    <col min="6919" max="6919" width="15.44140625" style="570" customWidth="1"/>
    <col min="6920" max="7174" width="11.44140625" style="570"/>
    <col min="7175" max="7175" width="15.44140625" style="570" customWidth="1"/>
    <col min="7176" max="7430" width="11.44140625" style="570"/>
    <col min="7431" max="7431" width="15.44140625" style="570" customWidth="1"/>
    <col min="7432" max="7686" width="11.44140625" style="570"/>
    <col min="7687" max="7687" width="15.44140625" style="570" customWidth="1"/>
    <col min="7688" max="7942" width="11.44140625" style="570"/>
    <col min="7943" max="7943" width="15.44140625" style="570" customWidth="1"/>
    <col min="7944" max="8198" width="11.44140625" style="570"/>
    <col min="8199" max="8199" width="15.44140625" style="570" customWidth="1"/>
    <col min="8200" max="8454" width="11.44140625" style="570"/>
    <col min="8455" max="8455" width="15.44140625" style="570" customWidth="1"/>
    <col min="8456" max="8710" width="11.44140625" style="570"/>
    <col min="8711" max="8711" width="15.44140625" style="570" customWidth="1"/>
    <col min="8712" max="8966" width="11.44140625" style="570"/>
    <col min="8967" max="8967" width="15.44140625" style="570" customWidth="1"/>
    <col min="8968" max="9222" width="11.44140625" style="570"/>
    <col min="9223" max="9223" width="15.44140625" style="570" customWidth="1"/>
    <col min="9224" max="9478" width="11.44140625" style="570"/>
    <col min="9479" max="9479" width="15.44140625" style="570" customWidth="1"/>
    <col min="9480" max="9734" width="11.44140625" style="570"/>
    <col min="9735" max="9735" width="15.44140625" style="570" customWidth="1"/>
    <col min="9736" max="9990" width="11.44140625" style="570"/>
    <col min="9991" max="9991" width="15.44140625" style="570" customWidth="1"/>
    <col min="9992" max="10246" width="11.44140625" style="570"/>
    <col min="10247" max="10247" width="15.44140625" style="570" customWidth="1"/>
    <col min="10248" max="10502" width="11.44140625" style="570"/>
    <col min="10503" max="10503" width="15.44140625" style="570" customWidth="1"/>
    <col min="10504" max="10758" width="11.44140625" style="570"/>
    <col min="10759" max="10759" width="15.44140625" style="570" customWidth="1"/>
    <col min="10760" max="11014" width="11.44140625" style="570"/>
    <col min="11015" max="11015" width="15.44140625" style="570" customWidth="1"/>
    <col min="11016" max="11270" width="11.44140625" style="570"/>
    <col min="11271" max="11271" width="15.44140625" style="570" customWidth="1"/>
    <col min="11272" max="11526" width="11.44140625" style="570"/>
    <col min="11527" max="11527" width="15.44140625" style="570" customWidth="1"/>
    <col min="11528" max="11782" width="11.44140625" style="570"/>
    <col min="11783" max="11783" width="15.44140625" style="570" customWidth="1"/>
    <col min="11784" max="12038" width="11.44140625" style="570"/>
    <col min="12039" max="12039" width="15.44140625" style="570" customWidth="1"/>
    <col min="12040" max="12294" width="11.44140625" style="570"/>
    <col min="12295" max="12295" width="15.44140625" style="570" customWidth="1"/>
    <col min="12296" max="12550" width="11.44140625" style="570"/>
    <col min="12551" max="12551" width="15.44140625" style="570" customWidth="1"/>
    <col min="12552" max="12806" width="11.44140625" style="570"/>
    <col min="12807" max="12807" width="15.44140625" style="570" customWidth="1"/>
    <col min="12808" max="13062" width="11.44140625" style="570"/>
    <col min="13063" max="13063" width="15.44140625" style="570" customWidth="1"/>
    <col min="13064" max="13318" width="11.44140625" style="570"/>
    <col min="13319" max="13319" width="15.44140625" style="570" customWidth="1"/>
    <col min="13320" max="13574" width="11.44140625" style="570"/>
    <col min="13575" max="13575" width="15.44140625" style="570" customWidth="1"/>
    <col min="13576" max="13830" width="11.44140625" style="570"/>
    <col min="13831" max="13831" width="15.44140625" style="570" customWidth="1"/>
    <col min="13832" max="14086" width="11.44140625" style="570"/>
    <col min="14087" max="14087" width="15.44140625" style="570" customWidth="1"/>
    <col min="14088" max="14342" width="11.44140625" style="570"/>
    <col min="14343" max="14343" width="15.44140625" style="570" customWidth="1"/>
    <col min="14344" max="14598" width="11.44140625" style="570"/>
    <col min="14599" max="14599" width="15.44140625" style="570" customWidth="1"/>
    <col min="14600" max="14854" width="11.44140625" style="570"/>
    <col min="14855" max="14855" width="15.44140625" style="570" customWidth="1"/>
    <col min="14856" max="15110" width="11.44140625" style="570"/>
    <col min="15111" max="15111" width="15.44140625" style="570" customWidth="1"/>
    <col min="15112" max="15366" width="11.44140625" style="570"/>
    <col min="15367" max="15367" width="15.44140625" style="570" customWidth="1"/>
    <col min="15368" max="15622" width="11.44140625" style="570"/>
    <col min="15623" max="15623" width="15.44140625" style="570" customWidth="1"/>
    <col min="15624" max="15878" width="11.44140625" style="570"/>
    <col min="15879" max="15879" width="15.44140625" style="570" customWidth="1"/>
    <col min="15880" max="16134" width="11.44140625" style="570"/>
    <col min="16135" max="16135" width="15.44140625" style="570" customWidth="1"/>
    <col min="16136" max="16384" width="11.44140625" style="570"/>
  </cols>
  <sheetData>
    <row r="1" spans="1:8" ht="13.8">
      <c r="A1" s="568">
        <f>[25]Presupuesto!$F10</f>
        <v>1295.82</v>
      </c>
      <c r="B1" s="569" t="str">
        <f ca="1">TRIM(CONCATENATE(U54,U53,U52,U51,U50))</f>
        <v>MIL DOSCIENTOS NOVENTA Y CINCO 82/100 BOLIVIANOS</v>
      </c>
      <c r="G1" s="568">
        <f>ROUND(Certificado!J36,2)</f>
        <v>63445.01</v>
      </c>
      <c r="H1" s="569" t="str">
        <f ca="1">TRIM(CONCATENATE(U295,U294,U293,U292))</f>
        <v>SESENTA Y TRES MIL CUATROCIENTOS CUARENTA Y CINCO 01/100 BOLIVIANOS</v>
      </c>
    </row>
    <row r="2" spans="1:8" ht="13.8">
      <c r="A2" s="568">
        <f>[25]Presupuesto!$F11</f>
        <v>24.939999999999998</v>
      </c>
      <c r="B2" s="569" t="str">
        <f ca="1">TRIM(CONCATENATE(U65,U64,U63,U62,U61))</f>
        <v>VEINTICUATRO 94/100 BOLIVIANOS</v>
      </c>
    </row>
    <row r="3" spans="1:8" ht="13.8">
      <c r="A3" s="568">
        <f>[25]Presupuesto!$F12</f>
        <v>3.6399999999999997</v>
      </c>
      <c r="B3" s="569" t="str">
        <f ca="1">TRIM(CONCATENATE(U76,U75,U74,U73,U72))</f>
        <v>TRES 64/100 BOLIVIANOS</v>
      </c>
    </row>
    <row r="4" spans="1:8" ht="13.8">
      <c r="A4" s="568">
        <f>[25]Presupuesto!$F13</f>
        <v>30.370000000000005</v>
      </c>
      <c r="B4" s="569" t="str">
        <f ca="1">TRIM(CONCATENATE(U87,U86,U85,U84,U83))</f>
        <v>TREINTA 37/100 BOLIVIANOS</v>
      </c>
    </row>
    <row r="5" spans="1:8" ht="13.8">
      <c r="A5" s="568">
        <f>[25]Presupuesto!$F14</f>
        <v>8.32</v>
      </c>
      <c r="B5" s="569" t="str">
        <f ca="1">TRIM(CONCATENATE(U98,U97,U96,U95,U94))</f>
        <v>OCHO 32/100 BOLIVIANOS</v>
      </c>
    </row>
    <row r="6" spans="1:8" ht="13.8">
      <c r="A6" s="568">
        <f>[25]Presupuesto!$F16</f>
        <v>34.549999999999997</v>
      </c>
      <c r="B6" s="569" t="str">
        <f ca="1">TRIM(CONCATENATE(U109,U108,U107,U106,U105))</f>
        <v>TREINTA Y CUATRO 55/100 BOLIVIANOS</v>
      </c>
    </row>
    <row r="7" spans="1:8" ht="13.8">
      <c r="A7" s="568">
        <f>[25]Presupuesto!$F17</f>
        <v>89.43</v>
      </c>
      <c r="B7" s="569" t="str">
        <f ca="1">TRIM(CONCATENATE(U120,U119,U118,U117,U116))</f>
        <v>OCHENTA Y NUEVE 43/100 BOLIVIANOS</v>
      </c>
    </row>
    <row r="8" spans="1:8" ht="13.8">
      <c r="A8" s="568">
        <f>[25]Presupuesto!$F18</f>
        <v>109.22999999999998</v>
      </c>
      <c r="B8" s="569" t="str">
        <f ca="1">TRIM(CONCATENATE(U131,U130,U129,U128,U127))</f>
        <v>CIENTO NUEVE 23/100 BOLIVIANOS</v>
      </c>
    </row>
    <row r="9" spans="1:8" ht="13.8">
      <c r="A9" s="568">
        <f>[25]Presupuesto!$F19</f>
        <v>3.8</v>
      </c>
      <c r="B9" s="569" t="str">
        <f ca="1">TRIM(CONCATENATE(U142,U141,U140,U139,U138))</f>
        <v>TRES 80/100 BOLIVIANOS</v>
      </c>
    </row>
    <row r="10" spans="1:8" ht="13.8">
      <c r="A10" s="568">
        <f>[25]Presupuesto!$F20</f>
        <v>3.3100000000000005</v>
      </c>
      <c r="B10" s="569" t="str">
        <f ca="1">TRIM(CONCATENATE(U153,U152,U151,U150,U149))</f>
        <v>TRES 31/100 BOLIVIANOS</v>
      </c>
    </row>
    <row r="11" spans="1:8" ht="13.8">
      <c r="A11" s="568">
        <f>[25]Presupuesto!$F21</f>
        <v>6.37</v>
      </c>
      <c r="B11" s="569" t="str">
        <f ca="1">TRIM(CONCATENATE(U164,U163,U162,U161,U160))</f>
        <v>SEIS 37/100 BOLIVIANOS</v>
      </c>
    </row>
    <row r="12" spans="1:8" ht="13.8">
      <c r="A12" s="568">
        <f>[25]Presupuesto!$F22</f>
        <v>13.23</v>
      </c>
      <c r="B12" s="569" t="str">
        <f ca="1">TRIM(CONCATENATE(U175,U174,U173,U172,U171))</f>
        <v>TRECE 23/100 BOLIVIANOS</v>
      </c>
    </row>
    <row r="13" spans="1:8" ht="13.8">
      <c r="A13" s="568">
        <f>[25]Presupuesto!$F24</f>
        <v>20.96</v>
      </c>
      <c r="B13" s="569" t="str">
        <f ca="1">TRIM(CONCATENATE(U186,U185,U184,U183,U182))</f>
        <v>VEINTE 96/100 BOLIVIANOS</v>
      </c>
    </row>
    <row r="14" spans="1:8" ht="13.8">
      <c r="A14" s="568">
        <f>[25]Presupuesto!$F25</f>
        <v>40.150000000000006</v>
      </c>
      <c r="B14" s="569" t="str">
        <f ca="1">TRIM(CONCATENATE(U197,U196,U195,U194,U193))</f>
        <v>CUARENTA 15/100 BOLIVIANOS</v>
      </c>
    </row>
    <row r="15" spans="1:8" ht="13.8">
      <c r="A15" s="568">
        <f>[25]Presupuesto!$F26</f>
        <v>57.059999999999995</v>
      </c>
      <c r="B15" s="569" t="str">
        <f ca="1">TRIM(CONCATENATE(U208,U207,U206,U205,U204))</f>
        <v>CINCUENTA Y SIETE 06/100 BOLIVIANOS</v>
      </c>
    </row>
    <row r="16" spans="1:8" ht="13.8">
      <c r="A16" s="568">
        <f>[25]Presupuesto!$F27</f>
        <v>104.86</v>
      </c>
      <c r="B16" s="569" t="str">
        <f ca="1">TRIM(CONCATENATE(U219,U218,U217,U216,U215))</f>
        <v>CIENTO CUATRO 86/100 BOLIVIANOS</v>
      </c>
    </row>
    <row r="17" spans="1:19" ht="13.8">
      <c r="A17" s="568">
        <f>[25]Presupuesto!$F28</f>
        <v>1404.88</v>
      </c>
      <c r="B17" s="569" t="str">
        <f ca="1">TRIM(CONCATENATE(U230,U229,U228,U227,U226))</f>
        <v>MIL CUATROCIENTOS CUATRO 88/100 BOLIVIANOS</v>
      </c>
    </row>
    <row r="18" spans="1:19" ht="13.8">
      <c r="A18" s="568">
        <f>[25]Presupuesto!$F29</f>
        <v>30.76</v>
      </c>
      <c r="B18" s="569" t="str">
        <f ca="1">TRIM(CONCATENATE(U241,U240,U239,U238,U237))</f>
        <v>TREINTA 76/100 BOLIVIANOS</v>
      </c>
    </row>
    <row r="19" spans="1:19" ht="13.8">
      <c r="A19" s="568">
        <f>[25]Presupuesto!$F30</f>
        <v>895.16</v>
      </c>
      <c r="B19" s="569" t="str">
        <f ca="1">TRIM(CONCATENATE(U252,U251,U250,U249,U248))</f>
        <v>OCHOCIENTOS NOVENTA Y CINCO 16/100 BOLIVIANOS</v>
      </c>
    </row>
    <row r="20" spans="1:19" ht="13.8">
      <c r="A20" s="568">
        <f>[25]Presupuesto!$F31</f>
        <v>698.35</v>
      </c>
      <c r="B20" s="569" t="str">
        <f ca="1">TRIM(CONCATENATE(U263,U262,U261,U260,U259))</f>
        <v>SEISCIENTOS NOVENTA Y OCHO 35/100 BOLIVIANOS</v>
      </c>
    </row>
    <row r="21" spans="1:19" s="571" customFormat="1" ht="13.8">
      <c r="A21" s="568">
        <f>[25]Presupuesto!$F32</f>
        <v>1247.1400000000001</v>
      </c>
      <c r="B21" s="569" t="str">
        <f ca="1">TRIM(CONCATENATE(U274,U273,U272,U271,U270))</f>
        <v>MIL DOSCIENTOS CUARENTA Y SIETE 14/100 BOLIVIANOS</v>
      </c>
    </row>
    <row r="22" spans="1:19" s="571" customFormat="1" ht="13.8">
      <c r="A22" s="568" t="e">
        <f>[25]Presupuesto!#REF!</f>
        <v>#REF!</v>
      </c>
      <c r="B22" s="569" t="e">
        <f ca="1">TRIM(CONCATENATE(U285,U284,U283,U282,U281))</f>
        <v>#REF!</v>
      </c>
    </row>
    <row r="23" spans="1:19" s="571" customFormat="1" ht="13.8">
      <c r="A23" s="568">
        <f>[25]Presupuesto!$F121</f>
        <v>0</v>
      </c>
      <c r="B23" s="569"/>
    </row>
    <row r="24" spans="1:19" s="571" customFormat="1" ht="13.8">
      <c r="A24" s="568" t="e">
        <f>[25]Presupuesto!#REF!</f>
        <v>#REF!</v>
      </c>
      <c r="B24" s="569"/>
    </row>
    <row r="25" spans="1:19" s="571" customFormat="1" ht="13.8">
      <c r="A25" s="568" t="e">
        <f>[25]Presupuesto!#REF!</f>
        <v>#REF!</v>
      </c>
      <c r="B25" s="569"/>
    </row>
    <row r="26" spans="1:19" ht="13.8">
      <c r="A26" s="572">
        <v>0</v>
      </c>
      <c r="B26" s="572" t="s">
        <v>298</v>
      </c>
      <c r="C26" s="572">
        <v>10</v>
      </c>
      <c r="D26" s="572" t="s">
        <v>299</v>
      </c>
      <c r="E26" s="572">
        <v>100</v>
      </c>
      <c r="F26" s="572" t="s">
        <v>300</v>
      </c>
      <c r="G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</row>
    <row r="27" spans="1:19" ht="13.8">
      <c r="A27" s="572">
        <v>1</v>
      </c>
      <c r="B27" s="572" t="s">
        <v>301</v>
      </c>
      <c r="C27" s="572">
        <v>20</v>
      </c>
      <c r="D27" s="572" t="s">
        <v>302</v>
      </c>
      <c r="E27" s="572">
        <v>200</v>
      </c>
      <c r="F27" s="572" t="s">
        <v>303</v>
      </c>
      <c r="G27" s="572"/>
      <c r="I27" s="572"/>
      <c r="J27" s="572"/>
      <c r="K27" s="572"/>
      <c r="L27" s="572"/>
      <c r="M27" s="572"/>
      <c r="N27" s="572"/>
      <c r="O27" s="572"/>
      <c r="P27" s="572"/>
      <c r="Q27" s="572"/>
      <c r="R27" s="572"/>
      <c r="S27" s="572"/>
    </row>
    <row r="28" spans="1:19" ht="13.8">
      <c r="A28" s="572">
        <f t="shared" ref="A28:A55" si="0">+A27+1</f>
        <v>2</v>
      </c>
      <c r="B28" s="572" t="s">
        <v>304</v>
      </c>
      <c r="C28" s="572">
        <v>30</v>
      </c>
      <c r="D28" s="572" t="s">
        <v>305</v>
      </c>
      <c r="E28" s="572">
        <v>300</v>
      </c>
      <c r="F28" s="572" t="s">
        <v>306</v>
      </c>
      <c r="G28" s="572"/>
      <c r="I28" s="572"/>
      <c r="J28" s="572"/>
      <c r="K28" s="572"/>
      <c r="L28" s="572"/>
      <c r="M28" s="572"/>
      <c r="N28" s="572"/>
      <c r="O28" s="572"/>
      <c r="P28" s="572"/>
      <c r="Q28" s="572"/>
      <c r="R28" s="572"/>
      <c r="S28" s="572"/>
    </row>
    <row r="29" spans="1:19" ht="13.8">
      <c r="A29" s="572">
        <f t="shared" si="0"/>
        <v>3</v>
      </c>
      <c r="B29" s="572" t="s">
        <v>307</v>
      </c>
      <c r="C29" s="572">
        <v>40</v>
      </c>
      <c r="D29" s="572" t="s">
        <v>308</v>
      </c>
      <c r="E29" s="572">
        <v>400</v>
      </c>
      <c r="F29" s="572" t="s">
        <v>309</v>
      </c>
      <c r="G29" s="572"/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</row>
    <row r="30" spans="1:19" ht="13.8">
      <c r="A30" s="572">
        <f t="shared" si="0"/>
        <v>4</v>
      </c>
      <c r="B30" s="572" t="s">
        <v>310</v>
      </c>
      <c r="C30" s="572">
        <v>50</v>
      </c>
      <c r="D30" s="572" t="s">
        <v>311</v>
      </c>
      <c r="E30" s="572">
        <v>500</v>
      </c>
      <c r="F30" s="572" t="s">
        <v>312</v>
      </c>
      <c r="G30" s="572"/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</row>
    <row r="31" spans="1:19" ht="13.8">
      <c r="A31" s="572">
        <f t="shared" si="0"/>
        <v>5</v>
      </c>
      <c r="B31" s="572" t="s">
        <v>313</v>
      </c>
      <c r="C31" s="572">
        <v>60</v>
      </c>
      <c r="D31" s="572" t="s">
        <v>314</v>
      </c>
      <c r="E31" s="572">
        <v>600</v>
      </c>
      <c r="F31" s="572" t="s">
        <v>315</v>
      </c>
      <c r="G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</row>
    <row r="32" spans="1:19" ht="13.8">
      <c r="A32" s="572">
        <f t="shared" si="0"/>
        <v>6</v>
      </c>
      <c r="B32" s="572" t="s">
        <v>316</v>
      </c>
      <c r="C32" s="572">
        <v>70</v>
      </c>
      <c r="D32" s="572" t="s">
        <v>317</v>
      </c>
      <c r="E32" s="572">
        <v>700</v>
      </c>
      <c r="F32" s="572" t="s">
        <v>318</v>
      </c>
      <c r="G32" s="572"/>
      <c r="I32" s="572"/>
      <c r="J32" s="572"/>
      <c r="K32" s="572"/>
      <c r="L32" s="572"/>
      <c r="M32" s="572"/>
      <c r="N32" s="572"/>
      <c r="O32" s="572"/>
      <c r="P32" s="572"/>
      <c r="Q32" s="572"/>
      <c r="R32" s="572"/>
      <c r="S32" s="572"/>
    </row>
    <row r="33" spans="1:21" ht="13.8">
      <c r="A33" s="572">
        <f t="shared" si="0"/>
        <v>7</v>
      </c>
      <c r="B33" s="572" t="s">
        <v>319</v>
      </c>
      <c r="C33" s="572">
        <v>80</v>
      </c>
      <c r="D33" s="572" t="s">
        <v>320</v>
      </c>
      <c r="E33" s="572">
        <v>800</v>
      </c>
      <c r="F33" s="572" t="s">
        <v>321</v>
      </c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</row>
    <row r="34" spans="1:21" ht="13.8">
      <c r="A34" s="572">
        <f t="shared" si="0"/>
        <v>8</v>
      </c>
      <c r="B34" s="572" t="s">
        <v>322</v>
      </c>
      <c r="C34" s="572">
        <v>90</v>
      </c>
      <c r="D34" s="572" t="s">
        <v>323</v>
      </c>
      <c r="E34" s="572">
        <v>900</v>
      </c>
      <c r="F34" s="572" t="s">
        <v>324</v>
      </c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</row>
    <row r="35" spans="1:21" ht="13.8">
      <c r="A35" s="572">
        <f t="shared" si="0"/>
        <v>9</v>
      </c>
      <c r="B35" s="572" t="s">
        <v>325</v>
      </c>
      <c r="C35" s="572">
        <v>100</v>
      </c>
      <c r="D35" s="572" t="s">
        <v>300</v>
      </c>
      <c r="E35" s="572">
        <v>1000</v>
      </c>
      <c r="F35" s="572" t="s">
        <v>326</v>
      </c>
      <c r="G35" s="572"/>
      <c r="H35" s="572"/>
      <c r="I35" s="572"/>
      <c r="J35" s="572"/>
      <c r="K35" s="572"/>
      <c r="L35" s="572"/>
      <c r="M35" s="572"/>
      <c r="N35" s="572"/>
      <c r="O35" s="572"/>
      <c r="P35" s="572"/>
      <c r="Q35" s="572"/>
      <c r="R35" s="572"/>
      <c r="S35" s="572"/>
    </row>
    <row r="36" spans="1:21" ht="13.8">
      <c r="A36" s="572">
        <f t="shared" si="0"/>
        <v>10</v>
      </c>
      <c r="B36" s="572" t="s">
        <v>299</v>
      </c>
      <c r="C36" s="573"/>
      <c r="D36" s="573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2"/>
      <c r="P36" s="572"/>
      <c r="Q36" s="572"/>
      <c r="R36" s="572"/>
      <c r="S36" s="572"/>
    </row>
    <row r="37" spans="1:21" ht="13.8">
      <c r="A37" s="573">
        <f t="shared" si="0"/>
        <v>11</v>
      </c>
      <c r="B37" s="573" t="s">
        <v>327</v>
      </c>
      <c r="C37" s="573"/>
      <c r="D37" s="573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</row>
    <row r="38" spans="1:21" ht="13.8">
      <c r="A38" s="573">
        <f t="shared" si="0"/>
        <v>12</v>
      </c>
      <c r="B38" s="573" t="s">
        <v>328</v>
      </c>
      <c r="C38" s="573"/>
      <c r="D38" s="573"/>
      <c r="E38" s="572"/>
      <c r="F38" s="572"/>
      <c r="G38" s="572"/>
      <c r="H38" s="572"/>
      <c r="I38" s="572"/>
      <c r="J38" s="572"/>
      <c r="K38" s="572"/>
      <c r="L38" s="572"/>
      <c r="M38" s="572"/>
      <c r="N38" s="572"/>
      <c r="O38" s="572"/>
      <c r="P38" s="572"/>
      <c r="Q38" s="572"/>
      <c r="R38" s="572"/>
      <c r="S38" s="572"/>
    </row>
    <row r="39" spans="1:21" ht="13.8">
      <c r="A39" s="573">
        <f t="shared" si="0"/>
        <v>13</v>
      </c>
      <c r="B39" s="573" t="s">
        <v>329</v>
      </c>
      <c r="C39" s="573"/>
      <c r="D39" s="573"/>
      <c r="G39" s="574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</row>
    <row r="40" spans="1:21" ht="13.8">
      <c r="A40" s="573">
        <f t="shared" si="0"/>
        <v>14</v>
      </c>
      <c r="B40" s="573" t="s">
        <v>330</v>
      </c>
      <c r="C40" s="573"/>
      <c r="D40" s="573"/>
      <c r="E40" s="572"/>
      <c r="F40" s="572"/>
      <c r="G40" s="572"/>
      <c r="H40" s="574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</row>
    <row r="41" spans="1:21" ht="13.8">
      <c r="A41" s="573">
        <f t="shared" si="0"/>
        <v>15</v>
      </c>
      <c r="B41" s="573" t="s">
        <v>331</v>
      </c>
      <c r="C41" s="573"/>
      <c r="D41" s="573"/>
      <c r="E41" s="572"/>
      <c r="F41" s="572"/>
      <c r="G41" s="572"/>
      <c r="H41" s="572"/>
      <c r="I41" s="572"/>
      <c r="J41" s="572"/>
      <c r="K41" s="572"/>
      <c r="L41" s="572"/>
      <c r="M41" s="572"/>
      <c r="N41" s="572"/>
      <c r="O41" s="572"/>
      <c r="P41" s="572"/>
      <c r="Q41" s="572"/>
      <c r="R41" s="572"/>
      <c r="S41" s="572"/>
    </row>
    <row r="42" spans="1:21" ht="13.8">
      <c r="A42" s="573">
        <f t="shared" si="0"/>
        <v>16</v>
      </c>
      <c r="B42" s="573" t="s">
        <v>332</v>
      </c>
      <c r="C42" s="573"/>
      <c r="D42" s="573"/>
      <c r="G42" s="572"/>
      <c r="H42" s="572"/>
      <c r="I42" s="572"/>
      <c r="J42" s="572"/>
      <c r="K42" s="572"/>
      <c r="L42" s="572"/>
      <c r="M42" s="572"/>
      <c r="N42" s="572"/>
      <c r="O42" s="572"/>
      <c r="P42" s="572"/>
      <c r="Q42" s="572"/>
      <c r="R42" s="572"/>
      <c r="S42" s="572"/>
    </row>
    <row r="43" spans="1:21" ht="13.8">
      <c r="A43" s="573">
        <f t="shared" si="0"/>
        <v>17</v>
      </c>
      <c r="B43" s="573" t="s">
        <v>333</v>
      </c>
      <c r="C43" s="573"/>
      <c r="D43" s="573"/>
      <c r="G43" s="572"/>
      <c r="H43" s="572"/>
      <c r="I43" s="572"/>
      <c r="J43" s="572"/>
      <c r="K43" s="572"/>
      <c r="L43" s="572"/>
      <c r="M43" s="572"/>
      <c r="N43" s="572"/>
      <c r="O43" s="572"/>
      <c r="P43" s="572"/>
      <c r="Q43" s="572"/>
      <c r="R43" s="572"/>
      <c r="S43" s="572"/>
    </row>
    <row r="44" spans="1:21" ht="13.8">
      <c r="A44" s="573">
        <f t="shared" si="0"/>
        <v>18</v>
      </c>
      <c r="B44" s="573" t="s">
        <v>334</v>
      </c>
      <c r="C44" s="573"/>
      <c r="D44" s="572" t="s">
        <v>335</v>
      </c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</row>
    <row r="45" spans="1:21" ht="13.8">
      <c r="A45" s="573">
        <f t="shared" si="0"/>
        <v>19</v>
      </c>
      <c r="B45" s="573" t="s">
        <v>336</v>
      </c>
      <c r="C45" s="575"/>
      <c r="D45" s="575"/>
      <c r="E45" s="576">
        <f>ROUND(100*(A1-INT(A1)),2)</f>
        <v>82</v>
      </c>
      <c r="F45" s="572" t="s">
        <v>337</v>
      </c>
      <c r="G45" s="572"/>
      <c r="H45" s="572"/>
      <c r="I45" s="572"/>
      <c r="J45" s="572"/>
      <c r="K45" s="572"/>
      <c r="L45" s="572"/>
      <c r="M45" s="572"/>
      <c r="N45" s="572"/>
      <c r="O45" s="572"/>
      <c r="P45" s="572"/>
      <c r="Q45" s="572"/>
      <c r="R45" s="572"/>
      <c r="S45" s="572"/>
    </row>
    <row r="46" spans="1:21" ht="13.8">
      <c r="A46" s="575">
        <f t="shared" si="0"/>
        <v>20</v>
      </c>
      <c r="B46" s="575" t="s">
        <v>302</v>
      </c>
      <c r="C46" s="575"/>
      <c r="D46" s="572"/>
      <c r="E46" s="572">
        <f>+LEN(E48)</f>
        <v>4</v>
      </c>
      <c r="F46" s="572" t="s">
        <v>338</v>
      </c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</row>
    <row r="47" spans="1:21" ht="14.4" thickBot="1">
      <c r="A47" s="575">
        <f t="shared" si="0"/>
        <v>21</v>
      </c>
      <c r="B47" s="575" t="s">
        <v>339</v>
      </c>
      <c r="C47" s="575"/>
      <c r="D47" s="575"/>
      <c r="E47" s="572"/>
      <c r="F47" s="572"/>
      <c r="G47" s="572"/>
      <c r="H47" s="572"/>
      <c r="I47" s="572"/>
      <c r="J47" s="572"/>
      <c r="K47" s="572"/>
      <c r="L47" s="572"/>
      <c r="M47" s="572"/>
      <c r="N47" s="572"/>
      <c r="O47" s="572"/>
      <c r="P47" s="572"/>
      <c r="Q47" s="572"/>
      <c r="R47" s="572"/>
      <c r="S47" s="572"/>
    </row>
    <row r="48" spans="1:21" ht="15" thickTop="1" thickBot="1">
      <c r="A48" s="575">
        <f t="shared" si="0"/>
        <v>22</v>
      </c>
      <c r="B48" s="575" t="s">
        <v>340</v>
      </c>
      <c r="C48" s="575"/>
      <c r="D48" s="572"/>
      <c r="E48" s="577">
        <f>+A1-E45/100</f>
        <v>1295</v>
      </c>
      <c r="F48" s="1387" t="s">
        <v>341</v>
      </c>
      <c r="G48" s="1388"/>
      <c r="H48" s="578">
        <f>+IF(E48&gt;1000,INT(E48/1000),0)</f>
        <v>1</v>
      </c>
      <c r="I48" s="1387" t="s">
        <v>342</v>
      </c>
      <c r="J48" s="1388"/>
      <c r="K48" s="578">
        <f>+INT(H48/1000)</f>
        <v>0</v>
      </c>
      <c r="L48" s="1387" t="s">
        <v>343</v>
      </c>
      <c r="M48" s="1388"/>
      <c r="N48" s="578">
        <f>+INT(K48/1000)</f>
        <v>0</v>
      </c>
      <c r="O48" s="1387" t="s">
        <v>344</v>
      </c>
      <c r="P48" s="1388"/>
      <c r="Q48" s="578">
        <f>+INT(N48)</f>
        <v>0</v>
      </c>
      <c r="R48" s="1387" t="s">
        <v>344</v>
      </c>
      <c r="S48" s="1388"/>
      <c r="U48" s="572" t="str">
        <f>+IF(E45=0,CONCATENATE("00",U49),IF(E45&lt;10,CONCATENATE(" 0",E45,U49),CONCATENATE(" ",E45,U49)))</f>
        <v xml:space="preserve"> 82/100 BOLIVIANOS</v>
      </c>
    </row>
    <row r="49" spans="1:21" ht="14.4" thickBot="1">
      <c r="A49" s="575">
        <f t="shared" si="0"/>
        <v>23</v>
      </c>
      <c r="B49" s="575" t="s">
        <v>345</v>
      </c>
      <c r="C49" s="575"/>
      <c r="D49" s="575"/>
      <c r="E49" s="579">
        <f>+RIGHT(E48)*1</f>
        <v>5</v>
      </c>
      <c r="F49" s="580" t="s">
        <v>346</v>
      </c>
      <c r="G49" s="581" t="str">
        <f ca="1">+IF(AND(E49&gt;0,E49&lt;10),LOOKUP(CELL("contenido",E49),$A$26:$B$35),"")</f>
        <v>CINCO</v>
      </c>
      <c r="H49" s="582">
        <f>+RIGHT(H48)*1</f>
        <v>1</v>
      </c>
      <c r="I49" s="583" t="s">
        <v>346</v>
      </c>
      <c r="J49" s="584" t="str">
        <f ca="1">IF(E48&lt;2000,"",IF(CELL("contenido",H49)=1,"UN",IF(AND(H49&gt;0,H49&lt;10),LOOKUP(CELL("contenido",H49),$A$26:$B$35),"")))</f>
        <v/>
      </c>
      <c r="K49" s="585">
        <f>+RIGHT(K48)*1</f>
        <v>0</v>
      </c>
      <c r="L49" s="586" t="s">
        <v>346</v>
      </c>
      <c r="M49" s="587" t="str">
        <f ca="1">+IF(CELL("contenido",K49)=1,"UN",IF(AND(K49&gt;0,K49&lt;10),LOOKUP(CELL("contenido",K49),$A$26:$B$35),""))</f>
        <v/>
      </c>
      <c r="N49" s="588">
        <f>+RIGHT(N48)*1</f>
        <v>0</v>
      </c>
      <c r="O49" s="589" t="s">
        <v>346</v>
      </c>
      <c r="P49" s="590" t="str">
        <f ca="1">+IF(CELL("contenido",N49)=1,"UN",IF(AND(N49&gt;0,N49&lt;10),LOOKUP(CELL("contenido",N49),$A$26:$B$35),""))</f>
        <v/>
      </c>
      <c r="Q49" s="591">
        <f>+RIGHT(Q48)*1</f>
        <v>0</v>
      </c>
      <c r="R49" s="592" t="s">
        <v>346</v>
      </c>
      <c r="S49" s="593" t="str">
        <f ca="1">+IF(CELL("contenido",Q49)=1,"UN",IF(AND(Q49&gt;0,Q49&lt;10),LOOKUP(CELL("contenido",Q49),$A$26:$B$35),""))</f>
        <v/>
      </c>
      <c r="U49" s="594" t="s">
        <v>347</v>
      </c>
    </row>
    <row r="50" spans="1:21" ht="14.4" thickBot="1">
      <c r="A50" s="575">
        <f t="shared" si="0"/>
        <v>24</v>
      </c>
      <c r="B50" s="575" t="s">
        <v>348</v>
      </c>
      <c r="C50" s="575"/>
      <c r="D50" s="575"/>
      <c r="E50" s="579">
        <f>+RIGHT(E48,2)*1</f>
        <v>95</v>
      </c>
      <c r="F50" s="580" t="s">
        <v>349</v>
      </c>
      <c r="G50" s="581" t="str">
        <f ca="1">IF(AND(E50&gt;0,E50&lt;30),LOOKUP(CELL("contenido",E50),$A$26:$B$55),"")</f>
        <v/>
      </c>
      <c r="H50" s="582">
        <f>+RIGHT(H48,2)*1</f>
        <v>1</v>
      </c>
      <c r="I50" s="583" t="s">
        <v>349</v>
      </c>
      <c r="J50" s="584" t="str">
        <f ca="1">IF(E48&lt;2000,"",IF(CELL("contenido",H50)=1,"UN",IF(AND(H50&gt;0,H50&lt;30),LOOKUP(CELL("contenido",H50),$A$26:$B$55),"")))</f>
        <v/>
      </c>
      <c r="K50" s="585">
        <f>+RIGHT(K48,2)*1</f>
        <v>0</v>
      </c>
      <c r="L50" s="586" t="s">
        <v>349</v>
      </c>
      <c r="M50" s="587" t="str">
        <f ca="1">IF(CELL("contenido",K50)=1,"UN",IF(AND(K50&gt;0,K50&lt;30),LOOKUP(CELL("contenido",K50),$A$26:$B$55),""))</f>
        <v/>
      </c>
      <c r="N50" s="588">
        <f>+RIGHT(N48,2)*1</f>
        <v>0</v>
      </c>
      <c r="O50" s="589" t="s">
        <v>349</v>
      </c>
      <c r="P50" s="590" t="str">
        <f ca="1">IF(CELL("contenido",N50)=1,"UN",IF(AND(N50&gt;0,N50&lt;30),LOOKUP(CELL("contenido",N50),$A$26:$B$55),""))</f>
        <v/>
      </c>
      <c r="Q50" s="591">
        <f>+RIGHT(Q48,2)*1</f>
        <v>0</v>
      </c>
      <c r="R50" s="592" t="s">
        <v>349</v>
      </c>
      <c r="S50" s="593" t="str">
        <f ca="1">IF(CELL("contenido",Q50)=1,"UN",IF(AND(Q50&gt;0,Q50&lt;30),LOOKUP(CELL("contenido",Q50),$A$26:$B$55),""))</f>
        <v/>
      </c>
      <c r="U50" s="572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4.4" thickBot="1">
      <c r="A51" s="575">
        <f t="shared" si="0"/>
        <v>25</v>
      </c>
      <c r="B51" s="575" t="s">
        <v>350</v>
      </c>
      <c r="C51" s="575"/>
      <c r="D51" s="575"/>
      <c r="E51" s="579">
        <f>+RIGHT(E48,2)*1-E49</f>
        <v>90</v>
      </c>
      <c r="F51" s="580" t="s">
        <v>351</v>
      </c>
      <c r="G51" s="581" t="str">
        <f ca="1">+IF(AND(E51&gt;0,E48&gt;=30),LOOKUP(CELL("contenido",E51),$C$26:$D$35),"")</f>
        <v>NOVENTA</v>
      </c>
      <c r="H51" s="582">
        <f>+RIGHT(H48,2)*1-H49</f>
        <v>0</v>
      </c>
      <c r="I51" s="583" t="s">
        <v>351</v>
      </c>
      <c r="J51" s="584" t="str">
        <f ca="1">+IF(AND(H51&gt;0,H48&gt;=30),LOOKUP(CELL("contenido",H51),$C$26:$D$35),"")</f>
        <v/>
      </c>
      <c r="K51" s="585">
        <f>+RIGHT(K48,2)*1-K49</f>
        <v>0</v>
      </c>
      <c r="L51" s="586" t="s">
        <v>351</v>
      </c>
      <c r="M51" s="587" t="str">
        <f ca="1">+IF(AND(K51&gt;0,K48&gt;=30),LOOKUP(CELL("contenido",K51),$C$26:$D$35),"")</f>
        <v/>
      </c>
      <c r="N51" s="588">
        <f>+RIGHT(N48,2)*1-N49</f>
        <v>0</v>
      </c>
      <c r="O51" s="589" t="s">
        <v>351</v>
      </c>
      <c r="P51" s="590" t="str">
        <f ca="1">+IF(AND(N51&gt;0,K53&gt;=30),LOOKUP(CELL("contenido",N51),$C$26:$D$35),"")</f>
        <v/>
      </c>
      <c r="Q51" s="591">
        <f>+RIGHT(Q48,2)*1-Q49</f>
        <v>0</v>
      </c>
      <c r="R51" s="592" t="s">
        <v>351</v>
      </c>
      <c r="S51" s="593" t="str">
        <f ca="1">+IF(AND(Q51&gt;0,N53&gt;=30),LOOKUP(CELL("contenido",Q51),$C$26:$D$35),"")</f>
        <v/>
      </c>
      <c r="U51" s="572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4.4" thickBot="1">
      <c r="A52" s="575">
        <f t="shared" si="0"/>
        <v>26</v>
      </c>
      <c r="B52" s="575" t="s">
        <v>352</v>
      </c>
      <c r="C52" s="575"/>
      <c r="D52" s="575"/>
      <c r="E52" s="579">
        <f>+RIGHT(E48,3)*1-E51-E49</f>
        <v>200</v>
      </c>
      <c r="F52" s="580" t="s">
        <v>353</v>
      </c>
      <c r="G52" s="581" t="str">
        <f ca="1">+IF((RIGHT(E48,3)*1)=100,"CIEN",IF(AND(E52&gt;0,E52&lt;1000),LOOKUP(CELL("contenido",E52),$E$26:$F$35),""))</f>
        <v>DOSCIENTOS</v>
      </c>
      <c r="H52" s="582">
        <f>+RIGHT(H48,3)*1-H51-H49</f>
        <v>0</v>
      </c>
      <c r="I52" s="583" t="s">
        <v>353</v>
      </c>
      <c r="J52" s="584" t="str">
        <f ca="1">+IF(H48=100,"CIEN",IF(AND(H52&gt;0,H52&lt;1000),LOOKUP(CELL("contenido",H52),$E$26:$F$35),""))</f>
        <v/>
      </c>
      <c r="K52" s="585">
        <f>+RIGHT(K48,3)*1-K51-K49</f>
        <v>0</v>
      </c>
      <c r="L52" s="586" t="s">
        <v>353</v>
      </c>
      <c r="M52" s="587" t="str">
        <f ca="1">+IF(K48=100,"CIEN",IF(AND(K52&gt;0,K52&lt;1000),LOOKUP(CELL("contenido",K52),$E$26:$F$35),""))</f>
        <v/>
      </c>
      <c r="N52" s="588">
        <f>+RIGHT(N48,3)*1-N51-N49</f>
        <v>0</v>
      </c>
      <c r="O52" s="589" t="s">
        <v>353</v>
      </c>
      <c r="P52" s="590" t="str">
        <f ca="1">+IF(N48=100,"CIEN",IF(AND(N52&gt;0,N52&lt;1000),LOOKUP(CELL("contenido",N52),$E$26:$F$35),""))</f>
        <v/>
      </c>
      <c r="Q52" s="591">
        <f>+RIGHT(Q48,3)*1-Q51-Q49</f>
        <v>0</v>
      </c>
      <c r="R52" s="592" t="s">
        <v>353</v>
      </c>
      <c r="S52" s="593" t="str">
        <f ca="1">+IF(Q48=100,"CIEN",IF(AND(Q52&gt;0,Q52&lt;1000),LOOKUP(CELL("contenido",Q52),$E$26:$F$35),""))</f>
        <v/>
      </c>
      <c r="U52" s="572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4.4" thickBot="1">
      <c r="A53" s="575">
        <f t="shared" si="0"/>
        <v>27</v>
      </c>
      <c r="B53" s="575" t="s">
        <v>354</v>
      </c>
      <c r="C53" s="575"/>
      <c r="D53" s="575"/>
      <c r="E53" s="595">
        <f>+RIGHT(E48,4)*1-E52-E51-E49</f>
        <v>1000</v>
      </c>
      <c r="F53" s="596" t="s">
        <v>355</v>
      </c>
      <c r="G53" s="597" t="str">
        <f ca="1">+IF(E48&gt;999,"MIL",IF(AND(E53&gt;0,E53&lt;10000),LOOKUP(CELL("contenido",E53),$E$26:$F$35),""))</f>
        <v>MIL</v>
      </c>
      <c r="H53" s="598">
        <f>INT(E48/1000000)</f>
        <v>0</v>
      </c>
      <c r="I53" s="599" t="s">
        <v>356</v>
      </c>
      <c r="J53" s="600" t="str">
        <f ca="1">+IF(CELL("contenido",M50)=1,"MILLÓN",IF(H53=1,"MILLÓN",IF(H53&gt;1,"MILLONES","")))</f>
        <v/>
      </c>
      <c r="K53" s="601">
        <f>+RIGHT(K48,4)*1-K52-K51-K49</f>
        <v>0</v>
      </c>
      <c r="L53" s="602" t="s">
        <v>357</v>
      </c>
      <c r="M53" s="603" t="str">
        <f ca="1">+IF(AND(K53&gt;0,K53&lt;10000),LOOKUP(CELL("contenido",K53),$E$26:$F$35),"")</f>
        <v/>
      </c>
      <c r="N53" s="604">
        <f>+RIGHT(N48,4)*1-N52-N51-N49</f>
        <v>0</v>
      </c>
      <c r="O53" s="605" t="s">
        <v>358</v>
      </c>
      <c r="P53" s="606" t="str">
        <f>+IF(N53=1,"UN MILLARDO",IF(N48&gt;1,"MILLARDOS",""))</f>
        <v/>
      </c>
      <c r="Q53" s="607">
        <f>+RIGHT(Q48,4)*1-Q52-Q51-Q49</f>
        <v>0</v>
      </c>
      <c r="R53" s="608" t="s">
        <v>358</v>
      </c>
      <c r="S53" s="609" t="str">
        <f>+IF(Q53=1,"UN MILLARDO",IF(Q48&gt;1,"MILLARDOS",""))</f>
        <v/>
      </c>
      <c r="U53" s="572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4.4" thickTop="1">
      <c r="A54" s="575">
        <f t="shared" si="0"/>
        <v>28</v>
      </c>
      <c r="B54" s="575" t="s">
        <v>359</v>
      </c>
      <c r="C54" s="575"/>
      <c r="D54" s="575"/>
      <c r="E54" s="572"/>
      <c r="F54" s="572"/>
      <c r="G54" s="572"/>
      <c r="H54" s="572"/>
      <c r="I54" s="572"/>
      <c r="J54" s="610"/>
      <c r="K54" s="610"/>
      <c r="L54" s="610"/>
      <c r="M54" s="573"/>
      <c r="N54" s="573"/>
      <c r="O54" s="573"/>
      <c r="P54" s="572"/>
      <c r="Q54" s="573"/>
      <c r="R54" s="573"/>
      <c r="S54" s="572"/>
      <c r="U54" s="572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 ht="13.8">
      <c r="A55" s="575">
        <f t="shared" si="0"/>
        <v>29</v>
      </c>
      <c r="B55" s="575" t="s">
        <v>360</v>
      </c>
      <c r="C55" s="572"/>
      <c r="D55" s="572" t="s">
        <v>361</v>
      </c>
      <c r="E55" s="572"/>
      <c r="F55" s="572"/>
      <c r="G55" s="572"/>
      <c r="H55" s="572"/>
      <c r="I55" s="572"/>
      <c r="J55" s="572"/>
      <c r="K55" s="572"/>
      <c r="L55" s="572"/>
      <c r="M55" s="572"/>
      <c r="N55" s="572"/>
      <c r="O55" s="572"/>
      <c r="P55" s="572"/>
      <c r="Q55" s="572"/>
      <c r="R55" s="572"/>
      <c r="S55" s="572"/>
      <c r="U55" s="569"/>
    </row>
    <row r="56" spans="1:21" ht="13.8">
      <c r="D56" s="575"/>
      <c r="E56" s="576">
        <f>ROUND(100*(A2-INT(A2)),2)</f>
        <v>94</v>
      </c>
      <c r="F56" s="572" t="s">
        <v>337</v>
      </c>
      <c r="G56" s="572"/>
      <c r="H56" s="572"/>
      <c r="I56" s="572"/>
      <c r="J56" s="572"/>
      <c r="K56" s="572"/>
      <c r="L56" s="572"/>
      <c r="M56" s="572"/>
      <c r="N56" s="572"/>
      <c r="O56" s="572"/>
      <c r="P56" s="572"/>
      <c r="Q56" s="572"/>
      <c r="R56" s="572"/>
      <c r="S56" s="572"/>
    </row>
    <row r="57" spans="1:21" ht="13.8">
      <c r="D57" s="572"/>
      <c r="E57" s="572">
        <f>+LEN(E59)</f>
        <v>2</v>
      </c>
      <c r="F57" s="572" t="s">
        <v>338</v>
      </c>
      <c r="G57" s="572"/>
      <c r="H57" s="572"/>
      <c r="I57" s="572"/>
      <c r="J57" s="572"/>
      <c r="K57" s="572"/>
      <c r="L57" s="572"/>
      <c r="M57" s="572"/>
      <c r="N57" s="572"/>
      <c r="O57" s="572"/>
      <c r="P57" s="572"/>
      <c r="Q57" s="572"/>
      <c r="R57" s="572"/>
      <c r="S57" s="572"/>
    </row>
    <row r="58" spans="1:21" ht="14.4" thickBot="1">
      <c r="D58" s="575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</row>
    <row r="59" spans="1:21" ht="15" thickTop="1" thickBot="1">
      <c r="D59" s="572"/>
      <c r="E59" s="577">
        <f>+A2-E56/100</f>
        <v>23.999999999999996</v>
      </c>
      <c r="F59" s="1387" t="s">
        <v>341</v>
      </c>
      <c r="G59" s="1388"/>
      <c r="H59" s="578">
        <f>+IF(E59&gt;1000,INT(E59/1000),0)</f>
        <v>0</v>
      </c>
      <c r="I59" s="1387" t="s">
        <v>342</v>
      </c>
      <c r="J59" s="1388"/>
      <c r="K59" s="578">
        <f>+INT(H59/1000)</f>
        <v>0</v>
      </c>
      <c r="L59" s="1387" t="s">
        <v>343</v>
      </c>
      <c r="M59" s="1388"/>
      <c r="N59" s="578">
        <f>+INT(K59/1000)</f>
        <v>0</v>
      </c>
      <c r="O59" s="1387" t="s">
        <v>344</v>
      </c>
      <c r="P59" s="1388"/>
      <c r="Q59" s="578">
        <f>+INT(N59)</f>
        <v>0</v>
      </c>
      <c r="R59" s="1387" t="s">
        <v>344</v>
      </c>
      <c r="S59" s="1388"/>
      <c r="U59" s="572" t="str">
        <f>+IF(E56=0,CONCATENATE("00",U60),IF(E56&lt;10,CONCATENATE(" 0",E56,U60),CONCATENATE(" ",E56,U60)))</f>
        <v xml:space="preserve"> 94/100 BOLIVIANOS</v>
      </c>
    </row>
    <row r="60" spans="1:21" ht="14.4" thickBot="1">
      <c r="D60" s="575"/>
      <c r="E60" s="579">
        <f>+RIGHT(E59)*1</f>
        <v>4</v>
      </c>
      <c r="F60" s="580" t="s">
        <v>346</v>
      </c>
      <c r="G60" s="581" t="str">
        <f ca="1">+IF(AND(E60&gt;0,E60&lt;10),LOOKUP(CELL("contenido",E60),$A$26:$B$35),"")</f>
        <v>CUATRO</v>
      </c>
      <c r="H60" s="582">
        <f>+RIGHT(H59)*1</f>
        <v>0</v>
      </c>
      <c r="I60" s="583" t="s">
        <v>346</v>
      </c>
      <c r="J60" s="584" t="str">
        <f ca="1">IF(E59&lt;2000,"",IF(CELL("contenido",H60)=1,"UN",IF(AND(H60&gt;0,H60&lt;10),LOOKUP(CELL("contenido",H60),$A$26:$B$35),"")))</f>
        <v/>
      </c>
      <c r="K60" s="585">
        <f>+RIGHT(K59)*1</f>
        <v>0</v>
      </c>
      <c r="L60" s="586" t="s">
        <v>346</v>
      </c>
      <c r="M60" s="587" t="str">
        <f ca="1">+IF(CELL("contenido",K60)=1,"UN",IF(AND(K60&gt;0,K60&lt;10),LOOKUP(CELL("contenido",K60),$A$26:$B$35),""))</f>
        <v/>
      </c>
      <c r="N60" s="588">
        <f>+RIGHT(N59)*1</f>
        <v>0</v>
      </c>
      <c r="O60" s="589" t="s">
        <v>346</v>
      </c>
      <c r="P60" s="590" t="str">
        <f ca="1">+IF(CELL("contenido",N60)=1,"UN",IF(AND(N60&gt;0,N60&lt;10),LOOKUP(CELL("contenido",N60),$A$26:$B$35),""))</f>
        <v/>
      </c>
      <c r="Q60" s="591">
        <f>+RIGHT(Q59)*1</f>
        <v>0</v>
      </c>
      <c r="R60" s="592" t="s">
        <v>346</v>
      </c>
      <c r="S60" s="593" t="str">
        <f ca="1">+IF(CELL("contenido",Q60)=1,"UN",IF(AND(Q60&gt;0,Q60&lt;10),LOOKUP(CELL("contenido",Q60),$A$26:$B$35),""))</f>
        <v/>
      </c>
      <c r="U60" s="594" t="s">
        <v>347</v>
      </c>
    </row>
    <row r="61" spans="1:21" ht="14.4" thickBot="1">
      <c r="D61" s="575"/>
      <c r="E61" s="579">
        <f>+RIGHT(E59,2)*1</f>
        <v>24</v>
      </c>
      <c r="F61" s="580" t="s">
        <v>349</v>
      </c>
      <c r="G61" s="581" t="str">
        <f ca="1">IF(AND(E61&gt;0,E61&lt;30),LOOKUP(CELL("contenido",E61),$A$26:$B$55),"")</f>
        <v>VEINTICUATRO</v>
      </c>
      <c r="H61" s="582">
        <f>+RIGHT(H59,2)*1</f>
        <v>0</v>
      </c>
      <c r="I61" s="583" t="s">
        <v>349</v>
      </c>
      <c r="J61" s="584" t="str">
        <f ca="1">IF(E59&lt;2000,"",IF(CELL("contenido",H61)=1,"UN",IF(AND(H61&gt;0,H61&lt;30),LOOKUP(CELL("contenido",H61),$A$26:$B$55),"")))</f>
        <v/>
      </c>
      <c r="K61" s="585">
        <f>+RIGHT(K59,2)*1</f>
        <v>0</v>
      </c>
      <c r="L61" s="586" t="s">
        <v>349</v>
      </c>
      <c r="M61" s="587" t="str">
        <f ca="1">IF(CELL("contenido",K61)=1,"UN",IF(AND(K61&gt;0,K61&lt;30),LOOKUP(CELL("contenido",K61),$A$26:$B$55),""))</f>
        <v/>
      </c>
      <c r="N61" s="588">
        <f>+RIGHT(N59,2)*1</f>
        <v>0</v>
      </c>
      <c r="O61" s="589" t="s">
        <v>349</v>
      </c>
      <c r="P61" s="590" t="str">
        <f ca="1">IF(CELL("contenido",N61)=1,"UN",IF(AND(N61&gt;0,N61&lt;30),LOOKUP(CELL("contenido",N61),$A$26:$B$55),""))</f>
        <v/>
      </c>
      <c r="Q61" s="591">
        <f>+RIGHT(Q59,2)*1</f>
        <v>0</v>
      </c>
      <c r="R61" s="592" t="s">
        <v>349</v>
      </c>
      <c r="S61" s="593" t="str">
        <f ca="1">IF(CELL("contenido",Q61)=1,"UN",IF(AND(Q61&gt;0,Q61&lt;30),LOOKUP(CELL("contenido",Q61),$A$26:$B$55),""))</f>
        <v/>
      </c>
      <c r="U61" s="572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4.4" thickBot="1">
      <c r="D62" s="575"/>
      <c r="E62" s="579">
        <f>+RIGHT(E59,2)*1-E60</f>
        <v>20</v>
      </c>
      <c r="F62" s="580" t="s">
        <v>351</v>
      </c>
      <c r="G62" s="581" t="str">
        <f ca="1">+IF(AND(E62&gt;0,E59&gt;=30),LOOKUP(CELL("contenido",E62),$C$26:$D$35),"")</f>
        <v/>
      </c>
      <c r="H62" s="582">
        <f>+RIGHT(H59,2)*1-H60</f>
        <v>0</v>
      </c>
      <c r="I62" s="583" t="s">
        <v>351</v>
      </c>
      <c r="J62" s="584" t="str">
        <f ca="1">+IF(AND(H62&gt;0,H59&gt;=30),LOOKUP(CELL("contenido",H62),$C$26:$D$35),"")</f>
        <v/>
      </c>
      <c r="K62" s="585">
        <f>+RIGHT(K59,2)*1-K60</f>
        <v>0</v>
      </c>
      <c r="L62" s="586" t="s">
        <v>351</v>
      </c>
      <c r="M62" s="587" t="str">
        <f ca="1">+IF(AND(K62&gt;0,K59&gt;=30),LOOKUP(CELL("contenido",K62),$C$26:$D$35),"")</f>
        <v/>
      </c>
      <c r="N62" s="588">
        <f>+RIGHT(N59,2)*1-N60</f>
        <v>0</v>
      </c>
      <c r="O62" s="589" t="s">
        <v>351</v>
      </c>
      <c r="P62" s="590" t="str">
        <f ca="1">+IF(AND(N62&gt;0,K64&gt;=30),LOOKUP(CELL("contenido",N62),$C$26:$D$35),"")</f>
        <v/>
      </c>
      <c r="Q62" s="591">
        <f>+RIGHT(Q59,2)*1-Q60</f>
        <v>0</v>
      </c>
      <c r="R62" s="592" t="s">
        <v>351</v>
      </c>
      <c r="S62" s="593" t="str">
        <f ca="1">+IF(AND(Q62&gt;0,N64&gt;=30),LOOKUP(CELL("contenido",Q62),$C$26:$D$35),"")</f>
        <v/>
      </c>
      <c r="U62" s="572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4.4" thickBot="1">
      <c r="D63" s="575"/>
      <c r="E63" s="579">
        <f>+RIGHT(E59,3)*1-E62-E60</f>
        <v>0</v>
      </c>
      <c r="F63" s="580" t="s">
        <v>353</v>
      </c>
      <c r="G63" s="581" t="str">
        <f ca="1">+IF((RIGHT(E59,3)*1)=100,"CIEN",IF(AND(E63&gt;0,E63&lt;1000),LOOKUP(CELL("contenido",E63),$E$26:$F$35),""))</f>
        <v/>
      </c>
      <c r="H63" s="582">
        <f>+RIGHT(H59,3)*1-H62-H60</f>
        <v>0</v>
      </c>
      <c r="I63" s="583" t="s">
        <v>353</v>
      </c>
      <c r="J63" s="584" t="str">
        <f ca="1">+IF(H59=100,"CIEN",IF(AND(H63&gt;0,H63&lt;1000),LOOKUP(CELL("contenido",H63),$E$26:$F$35),""))</f>
        <v/>
      </c>
      <c r="K63" s="585">
        <f>+RIGHT(K59,3)*1-K62-K60</f>
        <v>0</v>
      </c>
      <c r="L63" s="586" t="s">
        <v>353</v>
      </c>
      <c r="M63" s="587" t="str">
        <f ca="1">+IF(K59=100,"CIEN",IF(AND(K63&gt;0,K63&lt;1000),LOOKUP(CELL("contenido",K63),$E$26:$F$35),""))</f>
        <v/>
      </c>
      <c r="N63" s="588">
        <f>+RIGHT(N59,3)*1-N62-N60</f>
        <v>0</v>
      </c>
      <c r="O63" s="589" t="s">
        <v>353</v>
      </c>
      <c r="P63" s="590" t="str">
        <f ca="1">+IF(N59=100,"CIEN",IF(AND(N63&gt;0,N63&lt;1000),LOOKUP(CELL("contenido",N63),$E$26:$F$35),""))</f>
        <v/>
      </c>
      <c r="Q63" s="591">
        <f>+RIGHT(Q59,3)*1-Q62-Q60</f>
        <v>0</v>
      </c>
      <c r="R63" s="592" t="s">
        <v>353</v>
      </c>
      <c r="S63" s="593" t="str">
        <f ca="1">+IF(Q59=100,"CIEN",IF(AND(Q63&gt;0,Q63&lt;1000),LOOKUP(CELL("contenido",Q63),$E$26:$F$35),""))</f>
        <v/>
      </c>
      <c r="U63" s="572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4.4" thickBot="1">
      <c r="D64" s="575"/>
      <c r="E64" s="595">
        <f>+RIGHT(E59,4)*1-E63-E62-E60</f>
        <v>0</v>
      </c>
      <c r="F64" s="596" t="s">
        <v>355</v>
      </c>
      <c r="G64" s="597" t="str">
        <f ca="1">+IF(E59&gt;999,"MIL",IF(AND(E64&gt;0,E64&lt;10000),LOOKUP(CELL("contenido",E64),$E$26:$F$35),""))</f>
        <v/>
      </c>
      <c r="H64" s="598">
        <f>INT(E59/1000000)</f>
        <v>0</v>
      </c>
      <c r="I64" s="599" t="s">
        <v>356</v>
      </c>
      <c r="J64" s="600" t="str">
        <f ca="1">+IF(CELL("contenido",M61)=1,"MILLÓN",IF(H64=1,"MILLÓN",IF(H64&gt;1,"MILLONES","")))</f>
        <v/>
      </c>
      <c r="K64" s="601">
        <f>+RIGHT(K59,4)*1-K63-K62-K60</f>
        <v>0</v>
      </c>
      <c r="L64" s="602" t="s">
        <v>357</v>
      </c>
      <c r="M64" s="603" t="str">
        <f ca="1">+IF(AND(K64&gt;0,K64&lt;10000),LOOKUP(CELL("contenido",K64),$E$26:$F$35),"")</f>
        <v/>
      </c>
      <c r="N64" s="604">
        <f>+RIGHT(N59,4)*1-N63-N62-N60</f>
        <v>0</v>
      </c>
      <c r="O64" s="605" t="s">
        <v>358</v>
      </c>
      <c r="P64" s="606" t="str">
        <f>+IF(N64=1,"UN MILLARDO",IF(N59&gt;1,"MILLARDOS",""))</f>
        <v/>
      </c>
      <c r="Q64" s="607">
        <f>+RIGHT(Q59,4)*1-Q63-Q62-Q60</f>
        <v>0</v>
      </c>
      <c r="R64" s="608" t="s">
        <v>358</v>
      </c>
      <c r="S64" s="609" t="str">
        <f>+IF(Q64=1,"UN MILLARDO",IF(Q59&gt;1,"MILLARDOS",""))</f>
        <v/>
      </c>
      <c r="U64" s="572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4.4" thickTop="1">
      <c r="D65" s="575"/>
      <c r="E65" s="572"/>
      <c r="F65" s="572"/>
      <c r="G65" s="572"/>
      <c r="H65" s="572"/>
      <c r="I65" s="572"/>
      <c r="J65" s="610"/>
      <c r="K65" s="610"/>
      <c r="L65" s="610"/>
      <c r="M65" s="573"/>
      <c r="N65" s="573"/>
      <c r="O65" s="573"/>
      <c r="P65" s="572"/>
      <c r="Q65" s="573"/>
      <c r="R65" s="573"/>
      <c r="S65" s="572"/>
      <c r="U65" s="572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 ht="13.8">
      <c r="D66" s="572" t="s">
        <v>362</v>
      </c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72"/>
      <c r="P66" s="572"/>
      <c r="Q66" s="572"/>
      <c r="R66" s="572"/>
      <c r="S66" s="572"/>
      <c r="U66" s="569"/>
    </row>
    <row r="67" spans="4:21" ht="13.8">
      <c r="D67" s="575"/>
      <c r="E67" s="576">
        <f>ROUND(100*(A3-INT(A3)),2)</f>
        <v>64</v>
      </c>
      <c r="F67" s="572" t="s">
        <v>337</v>
      </c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</row>
    <row r="68" spans="4:21" ht="13.8">
      <c r="D68" s="572"/>
      <c r="E68" s="572">
        <f>+LEN(E70)</f>
        <v>1</v>
      </c>
      <c r="F68" s="572" t="s">
        <v>338</v>
      </c>
      <c r="G68" s="572"/>
      <c r="H68" s="572"/>
      <c r="I68" s="572"/>
      <c r="J68" s="572"/>
      <c r="K68" s="572"/>
      <c r="L68" s="572"/>
      <c r="M68" s="572"/>
      <c r="N68" s="572"/>
      <c r="O68" s="572"/>
      <c r="P68" s="572"/>
      <c r="Q68" s="572"/>
      <c r="R68" s="572"/>
      <c r="S68" s="572"/>
    </row>
    <row r="69" spans="4:21" ht="14.4" thickBot="1">
      <c r="D69" s="575"/>
      <c r="E69" s="572"/>
      <c r="F69" s="572"/>
      <c r="G69" s="572"/>
      <c r="H69" s="572"/>
      <c r="I69" s="572"/>
      <c r="J69" s="572"/>
      <c r="K69" s="572"/>
      <c r="L69" s="572"/>
      <c r="M69" s="572"/>
      <c r="N69" s="572"/>
      <c r="O69" s="572"/>
      <c r="P69" s="572"/>
      <c r="Q69" s="572"/>
      <c r="R69" s="572"/>
      <c r="S69" s="572"/>
    </row>
    <row r="70" spans="4:21" ht="15" thickTop="1" thickBot="1">
      <c r="D70" s="572"/>
      <c r="E70" s="577">
        <f>+A3-E67/100</f>
        <v>2.9999999999999996</v>
      </c>
      <c r="F70" s="1387" t="s">
        <v>341</v>
      </c>
      <c r="G70" s="1388"/>
      <c r="H70" s="578">
        <f>+IF(E70&gt;1000,INT(E70/1000),0)</f>
        <v>0</v>
      </c>
      <c r="I70" s="1387" t="s">
        <v>342</v>
      </c>
      <c r="J70" s="1388"/>
      <c r="K70" s="578">
        <f>+INT(H70/1000)</f>
        <v>0</v>
      </c>
      <c r="L70" s="1387" t="s">
        <v>343</v>
      </c>
      <c r="M70" s="1388"/>
      <c r="N70" s="578">
        <f>+INT(K70/1000)</f>
        <v>0</v>
      </c>
      <c r="O70" s="1387" t="s">
        <v>344</v>
      </c>
      <c r="P70" s="1388"/>
      <c r="Q70" s="578">
        <f>+INT(N70)</f>
        <v>0</v>
      </c>
      <c r="R70" s="1387" t="s">
        <v>344</v>
      </c>
      <c r="S70" s="1388"/>
      <c r="U70" s="572" t="str">
        <f>+IF(E67=0,CONCATENATE("00",U71),IF(E67&lt;10,CONCATENATE(" 0",E67,U71),CONCATENATE(" ",E67,U71)))</f>
        <v xml:space="preserve"> 64/100 BOLIVIANOS</v>
      </c>
    </row>
    <row r="71" spans="4:21" ht="14.4" thickBot="1">
      <c r="D71" s="575"/>
      <c r="E71" s="579">
        <f>+RIGHT(E70)*1</f>
        <v>3</v>
      </c>
      <c r="F71" s="580" t="s">
        <v>346</v>
      </c>
      <c r="G71" s="581" t="str">
        <f ca="1">+IF(AND(E71&gt;0,E71&lt;10),LOOKUP(CELL("contenido",E71),$A$26:$B$35),"")</f>
        <v>TRES</v>
      </c>
      <c r="H71" s="582">
        <f>+RIGHT(H70)*1</f>
        <v>0</v>
      </c>
      <c r="I71" s="583" t="s">
        <v>346</v>
      </c>
      <c r="J71" s="584" t="str">
        <f ca="1">IF(E70&lt;2000,"",IF(CELL("contenido",H71)=1,"UN",IF(AND(H71&gt;0,H71&lt;10),LOOKUP(CELL("contenido",H71),$A$26:$B$35),"")))</f>
        <v/>
      </c>
      <c r="K71" s="585">
        <f>+RIGHT(K70)*1</f>
        <v>0</v>
      </c>
      <c r="L71" s="586" t="s">
        <v>346</v>
      </c>
      <c r="M71" s="587" t="str">
        <f ca="1">+IF(CELL("contenido",K71)=1,"UN",IF(AND(K71&gt;0,K71&lt;10),LOOKUP(CELL("contenido",K71),$A$26:$B$35),""))</f>
        <v/>
      </c>
      <c r="N71" s="588">
        <f>+RIGHT(N70)*1</f>
        <v>0</v>
      </c>
      <c r="O71" s="589" t="s">
        <v>346</v>
      </c>
      <c r="P71" s="590" t="str">
        <f ca="1">+IF(CELL("contenido",N71)=1,"UN",IF(AND(N71&gt;0,N71&lt;10),LOOKUP(CELL("contenido",N71),$A$26:$B$35),""))</f>
        <v/>
      </c>
      <c r="Q71" s="591">
        <f>+RIGHT(Q70)*1</f>
        <v>0</v>
      </c>
      <c r="R71" s="592" t="s">
        <v>346</v>
      </c>
      <c r="S71" s="593" t="str">
        <f ca="1">+IF(CELL("contenido",Q71)=1,"UN",IF(AND(Q71&gt;0,Q71&lt;10),LOOKUP(CELL("contenido",Q71),$A$26:$B$35),""))</f>
        <v/>
      </c>
      <c r="U71" s="594" t="s">
        <v>347</v>
      </c>
    </row>
    <row r="72" spans="4:21" ht="14.4" thickBot="1">
      <c r="D72" s="575"/>
      <c r="E72" s="579">
        <f>+RIGHT(E70,2)*1</f>
        <v>3</v>
      </c>
      <c r="F72" s="580" t="s">
        <v>349</v>
      </c>
      <c r="G72" s="581" t="str">
        <f ca="1">IF(AND(E72&gt;0,E72&lt;30),LOOKUP(CELL("contenido",E72),$A$26:$B$55),"")</f>
        <v>TRES</v>
      </c>
      <c r="H72" s="582">
        <f>+RIGHT(H70,2)*1</f>
        <v>0</v>
      </c>
      <c r="I72" s="583" t="s">
        <v>349</v>
      </c>
      <c r="J72" s="584" t="str">
        <f ca="1">IF(E70&lt;2000,"",IF(CELL("contenido",H72)=1,"UN",IF(AND(H72&gt;0,H72&lt;30),LOOKUP(CELL("contenido",H72),$A$26:$B$55),"")))</f>
        <v/>
      </c>
      <c r="K72" s="585">
        <f>+RIGHT(K70,2)*1</f>
        <v>0</v>
      </c>
      <c r="L72" s="586" t="s">
        <v>349</v>
      </c>
      <c r="M72" s="587" t="str">
        <f ca="1">IF(CELL("contenido",K72)=1,"UN",IF(AND(K72&gt;0,K72&lt;30),LOOKUP(CELL("contenido",K72),$A$26:$B$55),""))</f>
        <v/>
      </c>
      <c r="N72" s="588">
        <f>+RIGHT(N70,2)*1</f>
        <v>0</v>
      </c>
      <c r="O72" s="589" t="s">
        <v>349</v>
      </c>
      <c r="P72" s="590" t="str">
        <f ca="1">IF(CELL("contenido",N72)=1,"UN",IF(AND(N72&gt;0,N72&lt;30),LOOKUP(CELL("contenido",N72),$A$26:$B$55),""))</f>
        <v/>
      </c>
      <c r="Q72" s="591">
        <f>+RIGHT(Q70,2)*1</f>
        <v>0</v>
      </c>
      <c r="R72" s="592" t="s">
        <v>349</v>
      </c>
      <c r="S72" s="593" t="str">
        <f ca="1">IF(CELL("contenido",Q72)=1,"UN",IF(AND(Q72&gt;0,Q72&lt;30),LOOKUP(CELL("contenido",Q72),$A$26:$B$55),""))</f>
        <v/>
      </c>
      <c r="U72" s="572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4.4" thickBot="1">
      <c r="D73" s="575"/>
      <c r="E73" s="579">
        <f>+RIGHT(E70,2)*1-E71</f>
        <v>0</v>
      </c>
      <c r="F73" s="580" t="s">
        <v>351</v>
      </c>
      <c r="G73" s="581" t="str">
        <f ca="1">+IF(AND(E73&gt;0,E70&gt;=30),LOOKUP(CELL("contenido",E73),$C$26:$D$35),"")</f>
        <v/>
      </c>
      <c r="H73" s="582">
        <f>+RIGHT(H70,2)*1-H71</f>
        <v>0</v>
      </c>
      <c r="I73" s="583" t="s">
        <v>351</v>
      </c>
      <c r="J73" s="584" t="str">
        <f ca="1">+IF(AND(H73&gt;0,H70&gt;=30),LOOKUP(CELL("contenido",H73),$C$26:$D$35),"")</f>
        <v/>
      </c>
      <c r="K73" s="585">
        <f>+RIGHT(K70,2)*1-K71</f>
        <v>0</v>
      </c>
      <c r="L73" s="586" t="s">
        <v>351</v>
      </c>
      <c r="M73" s="587" t="str">
        <f ca="1">+IF(AND(K73&gt;0,K70&gt;=30),LOOKUP(CELL("contenido",K73),$C$26:$D$35),"")</f>
        <v/>
      </c>
      <c r="N73" s="588">
        <f>+RIGHT(N70,2)*1-N71</f>
        <v>0</v>
      </c>
      <c r="O73" s="589" t="s">
        <v>351</v>
      </c>
      <c r="P73" s="590" t="str">
        <f ca="1">+IF(AND(N73&gt;0,K75&gt;=30),LOOKUP(CELL("contenido",N73),$C$26:$D$35),"")</f>
        <v/>
      </c>
      <c r="Q73" s="591">
        <f>+RIGHT(Q70,2)*1-Q71</f>
        <v>0</v>
      </c>
      <c r="R73" s="592" t="s">
        <v>351</v>
      </c>
      <c r="S73" s="593" t="str">
        <f ca="1">+IF(AND(Q73&gt;0,N75&gt;=30),LOOKUP(CELL("contenido",Q73),$C$26:$D$35),"")</f>
        <v/>
      </c>
      <c r="U73" s="572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4.4" thickBot="1">
      <c r="D74" s="575"/>
      <c r="E74" s="579">
        <f>+RIGHT(E70,3)*1-E73-E71</f>
        <v>0</v>
      </c>
      <c r="F74" s="580" t="s">
        <v>353</v>
      </c>
      <c r="G74" s="581" t="str">
        <f ca="1">+IF((RIGHT(E70,3)*1)=100,"CIEN",IF(AND(E74&gt;0,E74&lt;1000),LOOKUP(CELL("contenido",E74),$E$26:$F$35),""))</f>
        <v/>
      </c>
      <c r="H74" s="582">
        <f>+RIGHT(H70,3)*1-H73-H71</f>
        <v>0</v>
      </c>
      <c r="I74" s="583" t="s">
        <v>353</v>
      </c>
      <c r="J74" s="584" t="str">
        <f ca="1">+IF(H70=100,"CIEN",IF(AND(H74&gt;0,H74&lt;1000),LOOKUP(CELL("contenido",H74),$E$26:$F$35),""))</f>
        <v/>
      </c>
      <c r="K74" s="585">
        <f>+RIGHT(K70,3)*1-K73-K71</f>
        <v>0</v>
      </c>
      <c r="L74" s="586" t="s">
        <v>353</v>
      </c>
      <c r="M74" s="587" t="str">
        <f ca="1">+IF(K70=100,"CIEN",IF(AND(K74&gt;0,K74&lt;1000),LOOKUP(CELL("contenido",K74),$E$26:$F$35),""))</f>
        <v/>
      </c>
      <c r="N74" s="588">
        <f>+RIGHT(N70,3)*1-N73-N71</f>
        <v>0</v>
      </c>
      <c r="O74" s="589" t="s">
        <v>353</v>
      </c>
      <c r="P74" s="590" t="str">
        <f ca="1">+IF(N70=100,"CIEN",IF(AND(N74&gt;0,N74&lt;1000),LOOKUP(CELL("contenido",N74),$E$26:$F$35),""))</f>
        <v/>
      </c>
      <c r="Q74" s="591">
        <f>+RIGHT(Q70,3)*1-Q73-Q71</f>
        <v>0</v>
      </c>
      <c r="R74" s="592" t="s">
        <v>353</v>
      </c>
      <c r="S74" s="593" t="str">
        <f ca="1">+IF(Q70=100,"CIEN",IF(AND(Q74&gt;0,Q74&lt;1000),LOOKUP(CELL("contenido",Q74),$E$26:$F$35),""))</f>
        <v/>
      </c>
      <c r="U74" s="572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4.4" thickBot="1">
      <c r="D75" s="575"/>
      <c r="E75" s="595">
        <f>+RIGHT(E70,4)*1-E74-E73-E71</f>
        <v>0</v>
      </c>
      <c r="F75" s="596" t="s">
        <v>355</v>
      </c>
      <c r="G75" s="597" t="str">
        <f ca="1">+IF(E70&gt;999,"MIL",IF(AND(E75&gt;0,E75&lt;10000),LOOKUP(CELL("contenido",E75),$E$26:$F$35),""))</f>
        <v/>
      </c>
      <c r="H75" s="598">
        <f>INT(E70/1000000)</f>
        <v>0</v>
      </c>
      <c r="I75" s="599" t="s">
        <v>356</v>
      </c>
      <c r="J75" s="600" t="str">
        <f ca="1">+IF(CELL("contenido",M72)=1,"MILLÓN",IF(H75=1,"MILLÓN",IF(H75&gt;1,"MILLONES","")))</f>
        <v/>
      </c>
      <c r="K75" s="601">
        <f>+RIGHT(K70,4)*1-K74-K73-K71</f>
        <v>0</v>
      </c>
      <c r="L75" s="602" t="s">
        <v>357</v>
      </c>
      <c r="M75" s="603" t="str">
        <f ca="1">+IF(AND(K75&gt;0,K75&lt;10000),LOOKUP(CELL("contenido",K75),$E$26:$F$35),"")</f>
        <v/>
      </c>
      <c r="N75" s="604">
        <f>+RIGHT(N70,4)*1-N74-N73-N71</f>
        <v>0</v>
      </c>
      <c r="O75" s="605" t="s">
        <v>358</v>
      </c>
      <c r="P75" s="606" t="str">
        <f>+IF(N75=1,"UN MILLARDO",IF(N70&gt;1,"MILLARDOS",""))</f>
        <v/>
      </c>
      <c r="Q75" s="607">
        <f>+RIGHT(Q70,4)*1-Q74-Q73-Q71</f>
        <v>0</v>
      </c>
      <c r="R75" s="608" t="s">
        <v>358</v>
      </c>
      <c r="S75" s="609" t="str">
        <f>+IF(Q75=1,"UN MILLARDO",IF(Q70&gt;1,"MILLARDOS",""))</f>
        <v/>
      </c>
      <c r="U75" s="572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4.4" thickTop="1">
      <c r="D76" s="575"/>
      <c r="E76" s="572"/>
      <c r="F76" s="572"/>
      <c r="G76" s="572"/>
      <c r="H76" s="572"/>
      <c r="I76" s="572"/>
      <c r="J76" s="610"/>
      <c r="K76" s="610"/>
      <c r="L76" s="610"/>
      <c r="M76" s="573"/>
      <c r="N76" s="573"/>
      <c r="O76" s="573"/>
      <c r="P76" s="572"/>
      <c r="Q76" s="573"/>
      <c r="R76" s="573"/>
      <c r="S76" s="572"/>
      <c r="U76" s="572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 ht="13.8">
      <c r="D77" s="572" t="s">
        <v>363</v>
      </c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U77" s="569"/>
    </row>
    <row r="78" spans="4:21" ht="13.8">
      <c r="D78" s="575"/>
      <c r="E78" s="576">
        <f>ROUND(100*(A4-INT(A4)),2)</f>
        <v>37</v>
      </c>
      <c r="F78" s="572" t="s">
        <v>337</v>
      </c>
      <c r="G78" s="572"/>
      <c r="H78" s="572"/>
      <c r="I78" s="572"/>
      <c r="J78" s="572"/>
      <c r="K78" s="572"/>
      <c r="L78" s="572"/>
      <c r="M78" s="572"/>
      <c r="N78" s="572"/>
      <c r="O78" s="572"/>
      <c r="P78" s="572"/>
      <c r="Q78" s="572"/>
      <c r="R78" s="572"/>
      <c r="S78" s="572"/>
    </row>
    <row r="79" spans="4:21" ht="13.8">
      <c r="D79" s="572"/>
      <c r="E79" s="572">
        <f>+LEN(E81)</f>
        <v>2</v>
      </c>
      <c r="F79" s="572" t="s">
        <v>338</v>
      </c>
      <c r="G79" s="572"/>
      <c r="H79" s="572"/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</row>
    <row r="80" spans="4:21" ht="14.4" thickBot="1">
      <c r="D80" s="575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</row>
    <row r="81" spans="4:21" ht="15" thickTop="1" thickBot="1">
      <c r="D81" s="572"/>
      <c r="E81" s="577">
        <f>+A4-E78/100</f>
        <v>30.000000000000004</v>
      </c>
      <c r="F81" s="1387" t="s">
        <v>341</v>
      </c>
      <c r="G81" s="1388"/>
      <c r="H81" s="578">
        <f>+IF(E81&gt;1000,INT(E81/1000),0)</f>
        <v>0</v>
      </c>
      <c r="I81" s="1387" t="s">
        <v>342</v>
      </c>
      <c r="J81" s="1388"/>
      <c r="K81" s="578">
        <f>+INT(H81/1000)</f>
        <v>0</v>
      </c>
      <c r="L81" s="1387" t="s">
        <v>343</v>
      </c>
      <c r="M81" s="1388"/>
      <c r="N81" s="578">
        <f>+INT(K81/1000)</f>
        <v>0</v>
      </c>
      <c r="O81" s="1387" t="s">
        <v>344</v>
      </c>
      <c r="P81" s="1388"/>
      <c r="Q81" s="578">
        <f>+INT(N81)</f>
        <v>0</v>
      </c>
      <c r="R81" s="1387" t="s">
        <v>344</v>
      </c>
      <c r="S81" s="1388"/>
      <c r="U81" s="572" t="str">
        <f>+IF(E78=0,CONCATENATE("00",U82),IF(E78&lt;10,CONCATENATE(" 0",E78,U82),CONCATENATE(" ",E78,U82)))</f>
        <v xml:space="preserve"> 37/100 BOLIVIANOS</v>
      </c>
    </row>
    <row r="82" spans="4:21" ht="14.4" thickBot="1">
      <c r="D82" s="575"/>
      <c r="E82" s="579">
        <f>+RIGHT(E81)*1</f>
        <v>0</v>
      </c>
      <c r="F82" s="580" t="s">
        <v>346</v>
      </c>
      <c r="G82" s="581" t="str">
        <f ca="1">+IF(AND(E82&gt;0,E82&lt;10),LOOKUP(CELL("contenido",E82),$A$26:$B$35),"")</f>
        <v/>
      </c>
      <c r="H82" s="582">
        <f>+RIGHT(H81)*1</f>
        <v>0</v>
      </c>
      <c r="I82" s="583" t="s">
        <v>346</v>
      </c>
      <c r="J82" s="584" t="str">
        <f ca="1">IF(E81&lt;2000,"",IF(CELL("contenido",H82)=1,"UN",IF(AND(H82&gt;0,H82&lt;10),LOOKUP(CELL("contenido",H82),$A$26:$B$35),"")))</f>
        <v/>
      </c>
      <c r="K82" s="585">
        <f>+RIGHT(K81)*1</f>
        <v>0</v>
      </c>
      <c r="L82" s="586" t="s">
        <v>346</v>
      </c>
      <c r="M82" s="587" t="str">
        <f ca="1">+IF(CELL("contenido",K82)=1,"UN",IF(AND(K82&gt;0,K82&lt;10),LOOKUP(CELL("contenido",K82),$A$26:$B$35),""))</f>
        <v/>
      </c>
      <c r="N82" s="588">
        <f>+RIGHT(N81)*1</f>
        <v>0</v>
      </c>
      <c r="O82" s="589" t="s">
        <v>346</v>
      </c>
      <c r="P82" s="590" t="str">
        <f ca="1">+IF(CELL("contenido",N82)=1,"UN",IF(AND(N82&gt;0,N82&lt;10),LOOKUP(CELL("contenido",N82),$A$26:$B$35),""))</f>
        <v/>
      </c>
      <c r="Q82" s="591">
        <f>+RIGHT(Q81)*1</f>
        <v>0</v>
      </c>
      <c r="R82" s="592" t="s">
        <v>346</v>
      </c>
      <c r="S82" s="593" t="str">
        <f ca="1">+IF(CELL("contenido",Q82)=1,"UN",IF(AND(Q82&gt;0,Q82&lt;10),LOOKUP(CELL("contenido",Q82),$A$26:$B$35),""))</f>
        <v/>
      </c>
      <c r="U82" s="594" t="s">
        <v>347</v>
      </c>
    </row>
    <row r="83" spans="4:21" ht="14.4" thickBot="1">
      <c r="D83" s="575"/>
      <c r="E83" s="579">
        <f>+RIGHT(E81,2)*1</f>
        <v>30</v>
      </c>
      <c r="F83" s="580" t="s">
        <v>349</v>
      </c>
      <c r="G83" s="581" t="str">
        <f ca="1">IF(AND(E83&gt;0,E83&lt;30),LOOKUP(CELL("contenido",E83),$A$26:$B$55),"")</f>
        <v/>
      </c>
      <c r="H83" s="582">
        <f>+RIGHT(H81,2)*1</f>
        <v>0</v>
      </c>
      <c r="I83" s="583" t="s">
        <v>349</v>
      </c>
      <c r="J83" s="584" t="str">
        <f ca="1">IF(E81&lt;2000,"",IF(CELL("contenido",H83)=1,"UN",IF(AND(H83&gt;0,H83&lt;30),LOOKUP(CELL("contenido",H83),$A$26:$B$55),"")))</f>
        <v/>
      </c>
      <c r="K83" s="585">
        <f>+RIGHT(K81,2)*1</f>
        <v>0</v>
      </c>
      <c r="L83" s="586" t="s">
        <v>349</v>
      </c>
      <c r="M83" s="587" t="str">
        <f ca="1">IF(CELL("contenido",K83)=1,"UN",IF(AND(K83&gt;0,K83&lt;30),LOOKUP(CELL("contenido",K83),$A$26:$B$55),""))</f>
        <v/>
      </c>
      <c r="N83" s="588">
        <f>+RIGHT(N81,2)*1</f>
        <v>0</v>
      </c>
      <c r="O83" s="589" t="s">
        <v>349</v>
      </c>
      <c r="P83" s="590" t="str">
        <f ca="1">IF(CELL("contenido",N83)=1,"UN",IF(AND(N83&gt;0,N83&lt;30),LOOKUP(CELL("contenido",N83),$A$26:$B$55),""))</f>
        <v/>
      </c>
      <c r="Q83" s="591">
        <f>+RIGHT(Q81,2)*1</f>
        <v>0</v>
      </c>
      <c r="R83" s="592" t="s">
        <v>349</v>
      </c>
      <c r="S83" s="593" t="str">
        <f ca="1">IF(CELL("contenido",Q83)=1,"UN",IF(AND(Q83&gt;0,Q83&lt;30),LOOKUP(CELL("contenido",Q83),$A$26:$B$55),""))</f>
        <v/>
      </c>
      <c r="U83" s="572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4.4" thickBot="1">
      <c r="D84" s="575"/>
      <c r="E84" s="579">
        <f>+RIGHT(E81,2)*1-E82</f>
        <v>30</v>
      </c>
      <c r="F84" s="580" t="s">
        <v>351</v>
      </c>
      <c r="G84" s="581" t="str">
        <f ca="1">+IF(AND(E84&gt;0,E81&gt;=30),LOOKUP(CELL("contenido",E84),$C$26:$D$35),"")</f>
        <v>TREINTA</v>
      </c>
      <c r="H84" s="582">
        <f>+RIGHT(H81,2)*1-H82</f>
        <v>0</v>
      </c>
      <c r="I84" s="583" t="s">
        <v>351</v>
      </c>
      <c r="J84" s="584" t="str">
        <f ca="1">+IF(AND(H84&gt;0,H81&gt;=30),LOOKUP(CELL("contenido",H84),$C$26:$D$35),"")</f>
        <v/>
      </c>
      <c r="K84" s="585">
        <f>+RIGHT(K81,2)*1-K82</f>
        <v>0</v>
      </c>
      <c r="L84" s="586" t="s">
        <v>351</v>
      </c>
      <c r="M84" s="587" t="str">
        <f ca="1">+IF(AND(K84&gt;0,K81&gt;=30),LOOKUP(CELL("contenido",K84),$C$26:$D$35),"")</f>
        <v/>
      </c>
      <c r="N84" s="588">
        <f>+RIGHT(N81,2)*1-N82</f>
        <v>0</v>
      </c>
      <c r="O84" s="589" t="s">
        <v>351</v>
      </c>
      <c r="P84" s="590" t="str">
        <f ca="1">+IF(AND(N84&gt;0,K86&gt;=30),LOOKUP(CELL("contenido",N84),$C$26:$D$35),"")</f>
        <v/>
      </c>
      <c r="Q84" s="591">
        <f>+RIGHT(Q81,2)*1-Q82</f>
        <v>0</v>
      </c>
      <c r="R84" s="592" t="s">
        <v>351</v>
      </c>
      <c r="S84" s="593" t="str">
        <f ca="1">+IF(AND(Q84&gt;0,N86&gt;=30),LOOKUP(CELL("contenido",Q84),$C$26:$D$35),"")</f>
        <v/>
      </c>
      <c r="U84" s="572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4.4" thickBot="1">
      <c r="D85" s="575"/>
      <c r="E85" s="579">
        <f>+RIGHT(E81,3)*1-E84-E82</f>
        <v>0</v>
      </c>
      <c r="F85" s="580" t="s">
        <v>353</v>
      </c>
      <c r="G85" s="581" t="str">
        <f ca="1">+IF((RIGHT(E81,3)*1)=100,"CIEN",IF(AND(E85&gt;0,E85&lt;1000),LOOKUP(CELL("contenido",E85),$E$26:$F$35),""))</f>
        <v/>
      </c>
      <c r="H85" s="582">
        <f>+RIGHT(H81,3)*1-H84-H82</f>
        <v>0</v>
      </c>
      <c r="I85" s="583" t="s">
        <v>353</v>
      </c>
      <c r="J85" s="584" t="str">
        <f ca="1">+IF(H81=100,"CIEN",IF(AND(H85&gt;0,H85&lt;1000),LOOKUP(CELL("contenido",H85),$E$26:$F$35),""))</f>
        <v/>
      </c>
      <c r="K85" s="585">
        <f>+RIGHT(K81,3)*1-K84-K82</f>
        <v>0</v>
      </c>
      <c r="L85" s="586" t="s">
        <v>353</v>
      </c>
      <c r="M85" s="587" t="str">
        <f ca="1">+IF(K81=100,"CIEN",IF(AND(K85&gt;0,K85&lt;1000),LOOKUP(CELL("contenido",K85),$E$26:$F$35),""))</f>
        <v/>
      </c>
      <c r="N85" s="588">
        <f>+RIGHT(N81,3)*1-N84-N82</f>
        <v>0</v>
      </c>
      <c r="O85" s="589" t="s">
        <v>353</v>
      </c>
      <c r="P85" s="590" t="str">
        <f ca="1">+IF(N81=100,"CIEN",IF(AND(N85&gt;0,N85&lt;1000),LOOKUP(CELL("contenido",N85),$E$26:$F$35),""))</f>
        <v/>
      </c>
      <c r="Q85" s="591">
        <f>+RIGHT(Q81,3)*1-Q84-Q82</f>
        <v>0</v>
      </c>
      <c r="R85" s="592" t="s">
        <v>353</v>
      </c>
      <c r="S85" s="593" t="str">
        <f ca="1">+IF(Q81=100,"CIEN",IF(AND(Q85&gt;0,Q85&lt;1000),LOOKUP(CELL("contenido",Q85),$E$26:$F$35),""))</f>
        <v/>
      </c>
      <c r="U85" s="572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4.4" thickBot="1">
      <c r="D86" s="575"/>
      <c r="E86" s="595">
        <f>+RIGHT(E81,4)*1-E85-E84-E82</f>
        <v>0</v>
      </c>
      <c r="F86" s="596" t="s">
        <v>355</v>
      </c>
      <c r="G86" s="597" t="str">
        <f ca="1">+IF(E81&gt;999,"MIL",IF(AND(E86&gt;0,E86&lt;10000),LOOKUP(CELL("contenido",E86),$E$26:$F$35),""))</f>
        <v/>
      </c>
      <c r="H86" s="598">
        <f>INT(E81/1000000)</f>
        <v>0</v>
      </c>
      <c r="I86" s="599" t="s">
        <v>356</v>
      </c>
      <c r="J86" s="600" t="str">
        <f ca="1">+IF(CELL("contenido",M83)=1,"MILLÓN",IF(H86=1,"MILLÓN",IF(H86&gt;1,"MILLONES","")))</f>
        <v/>
      </c>
      <c r="K86" s="601">
        <f>+RIGHT(K81,4)*1-K85-K84-K82</f>
        <v>0</v>
      </c>
      <c r="L86" s="602" t="s">
        <v>357</v>
      </c>
      <c r="M86" s="603" t="str">
        <f ca="1">+IF(AND(K86&gt;0,K86&lt;10000),LOOKUP(CELL("contenido",K86),$E$26:$F$35),"")</f>
        <v/>
      </c>
      <c r="N86" s="604">
        <f>+RIGHT(N81,4)*1-N85-N84-N82</f>
        <v>0</v>
      </c>
      <c r="O86" s="605" t="s">
        <v>358</v>
      </c>
      <c r="P86" s="606" t="str">
        <f>+IF(N86=1,"UN MILLARDO",IF(N81&gt;1,"MILLARDOS",""))</f>
        <v/>
      </c>
      <c r="Q86" s="607">
        <f>+RIGHT(Q81,4)*1-Q85-Q84-Q82</f>
        <v>0</v>
      </c>
      <c r="R86" s="608" t="s">
        <v>358</v>
      </c>
      <c r="S86" s="609" t="str">
        <f>+IF(Q86=1,"UN MILLARDO",IF(Q81&gt;1,"MILLARDOS",""))</f>
        <v/>
      </c>
      <c r="U86" s="572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4.4" thickTop="1">
      <c r="D87" s="575"/>
      <c r="E87" s="572"/>
      <c r="F87" s="572"/>
      <c r="G87" s="572"/>
      <c r="H87" s="572"/>
      <c r="I87" s="572"/>
      <c r="J87" s="610"/>
      <c r="K87" s="610"/>
      <c r="L87" s="610"/>
      <c r="M87" s="573"/>
      <c r="N87" s="573"/>
      <c r="O87" s="573"/>
      <c r="P87" s="572"/>
      <c r="Q87" s="573"/>
      <c r="R87" s="573"/>
      <c r="S87" s="572"/>
      <c r="U87" s="572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 ht="13.8">
      <c r="D88" s="572" t="s">
        <v>364</v>
      </c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U88" s="569"/>
    </row>
    <row r="89" spans="4:21" ht="13.8">
      <c r="D89" s="575"/>
      <c r="E89" s="576">
        <f>ROUND(100*(A5-INT(A5)),2)</f>
        <v>32</v>
      </c>
      <c r="F89" s="572" t="s">
        <v>337</v>
      </c>
      <c r="G89" s="572"/>
      <c r="H89" s="572"/>
      <c r="I89" s="572"/>
      <c r="J89" s="572"/>
      <c r="K89" s="572"/>
      <c r="L89" s="572"/>
      <c r="M89" s="572"/>
      <c r="N89" s="572"/>
      <c r="O89" s="572"/>
      <c r="P89" s="572"/>
      <c r="Q89" s="572"/>
      <c r="R89" s="572"/>
      <c r="S89" s="572"/>
    </row>
    <row r="90" spans="4:21" ht="13.8">
      <c r="D90" s="572"/>
      <c r="E90" s="572">
        <f>+LEN(E92)</f>
        <v>1</v>
      </c>
      <c r="F90" s="572" t="s">
        <v>338</v>
      </c>
      <c r="G90" s="572"/>
      <c r="H90" s="572"/>
      <c r="I90" s="572"/>
      <c r="J90" s="572"/>
      <c r="K90" s="572"/>
      <c r="L90" s="572"/>
      <c r="M90" s="572"/>
      <c r="N90" s="572"/>
      <c r="O90" s="572"/>
      <c r="P90" s="572"/>
      <c r="Q90" s="572"/>
      <c r="R90" s="572"/>
      <c r="S90" s="572"/>
    </row>
    <row r="91" spans="4:21" ht="14.4" thickBot="1">
      <c r="D91" s="575"/>
      <c r="E91" s="572"/>
      <c r="F91" s="572"/>
      <c r="G91" s="572"/>
      <c r="H91" s="572"/>
      <c r="I91" s="572"/>
      <c r="J91" s="572"/>
      <c r="K91" s="572"/>
      <c r="L91" s="572"/>
      <c r="M91" s="572"/>
      <c r="N91" s="572"/>
      <c r="O91" s="572"/>
      <c r="P91" s="572"/>
      <c r="Q91" s="572"/>
      <c r="R91" s="572"/>
      <c r="S91" s="572"/>
    </row>
    <row r="92" spans="4:21" ht="15" thickTop="1" thickBot="1">
      <c r="D92" s="572"/>
      <c r="E92" s="577">
        <f>+A5-E89/100</f>
        <v>8</v>
      </c>
      <c r="F92" s="1387" t="s">
        <v>341</v>
      </c>
      <c r="G92" s="1388"/>
      <c r="H92" s="578">
        <f>+IF(E92&gt;1000,INT(E92/1000),0)</f>
        <v>0</v>
      </c>
      <c r="I92" s="1387" t="s">
        <v>342</v>
      </c>
      <c r="J92" s="1388"/>
      <c r="K92" s="578">
        <f>+INT(H92/1000)</f>
        <v>0</v>
      </c>
      <c r="L92" s="1387" t="s">
        <v>343</v>
      </c>
      <c r="M92" s="1388"/>
      <c r="N92" s="578">
        <f>+INT(K92/1000)</f>
        <v>0</v>
      </c>
      <c r="O92" s="1387" t="s">
        <v>344</v>
      </c>
      <c r="P92" s="1388"/>
      <c r="Q92" s="578">
        <f>+INT(N92)</f>
        <v>0</v>
      </c>
      <c r="R92" s="1387" t="s">
        <v>344</v>
      </c>
      <c r="S92" s="1388"/>
      <c r="U92" s="572" t="str">
        <f>+IF(E89=0,CONCATENATE("00",U93),IF(E89&lt;10,CONCATENATE(" 0",E89,U93),CONCATENATE(" ",E89,U93)))</f>
        <v xml:space="preserve"> 32/100 BOLIVIANOS</v>
      </c>
    </row>
    <row r="93" spans="4:21" ht="14.4" thickBot="1">
      <c r="D93" s="575"/>
      <c r="E93" s="579">
        <f>+RIGHT(E92)*1</f>
        <v>8</v>
      </c>
      <c r="F93" s="580" t="s">
        <v>346</v>
      </c>
      <c r="G93" s="581" t="str">
        <f ca="1">+IF(AND(E93&gt;0,E93&lt;10),LOOKUP(CELL("contenido",E93),$A$26:$B$35),"")</f>
        <v>OCHO</v>
      </c>
      <c r="H93" s="582">
        <f>+RIGHT(H92)*1</f>
        <v>0</v>
      </c>
      <c r="I93" s="583" t="s">
        <v>346</v>
      </c>
      <c r="J93" s="584" t="str">
        <f ca="1">IF(E92&lt;2000,"",IF(CELL("contenido",H93)=1,"UN",IF(AND(H93&gt;0,H93&lt;10),LOOKUP(CELL("contenido",H93),$A$26:$B$35),"")))</f>
        <v/>
      </c>
      <c r="K93" s="585">
        <f>+RIGHT(K92)*1</f>
        <v>0</v>
      </c>
      <c r="L93" s="586" t="s">
        <v>346</v>
      </c>
      <c r="M93" s="587" t="str">
        <f ca="1">+IF(CELL("contenido",K93)=1,"UN",IF(AND(K93&gt;0,K93&lt;10),LOOKUP(CELL("contenido",K93),$A$26:$B$35),""))</f>
        <v/>
      </c>
      <c r="N93" s="588">
        <f>+RIGHT(N92)*1</f>
        <v>0</v>
      </c>
      <c r="O93" s="589" t="s">
        <v>346</v>
      </c>
      <c r="P93" s="590" t="str">
        <f ca="1">+IF(CELL("contenido",N93)=1,"UN",IF(AND(N93&gt;0,N93&lt;10),LOOKUP(CELL("contenido",N93),$A$26:$B$35),""))</f>
        <v/>
      </c>
      <c r="Q93" s="591">
        <f>+RIGHT(Q92)*1</f>
        <v>0</v>
      </c>
      <c r="R93" s="592" t="s">
        <v>346</v>
      </c>
      <c r="S93" s="593" t="str">
        <f ca="1">+IF(CELL("contenido",Q93)=1,"UN",IF(AND(Q93&gt;0,Q93&lt;10),LOOKUP(CELL("contenido",Q93),$A$26:$B$35),""))</f>
        <v/>
      </c>
      <c r="U93" s="594" t="s">
        <v>347</v>
      </c>
    </row>
    <row r="94" spans="4:21" ht="14.4" thickBot="1">
      <c r="D94" s="575"/>
      <c r="E94" s="579">
        <f>+RIGHT(E92,2)*1</f>
        <v>8</v>
      </c>
      <c r="F94" s="580" t="s">
        <v>349</v>
      </c>
      <c r="G94" s="581" t="str">
        <f ca="1">IF(AND(E94&gt;0,E94&lt;30),LOOKUP(CELL("contenido",E94),$A$26:$B$55),"")</f>
        <v>OCHO</v>
      </c>
      <c r="H94" s="582">
        <f>+RIGHT(H92,2)*1</f>
        <v>0</v>
      </c>
      <c r="I94" s="583" t="s">
        <v>349</v>
      </c>
      <c r="J94" s="584" t="str">
        <f ca="1">IF(E92&lt;2000,"",IF(CELL("contenido",H94)=1,"UN",IF(AND(H94&gt;0,H94&lt;30),LOOKUP(CELL("contenido",H94),$A$26:$B$55),"")))</f>
        <v/>
      </c>
      <c r="K94" s="585">
        <f>+RIGHT(K92,2)*1</f>
        <v>0</v>
      </c>
      <c r="L94" s="586" t="s">
        <v>349</v>
      </c>
      <c r="M94" s="587" t="str">
        <f ca="1">IF(CELL("contenido",K94)=1,"UN",IF(AND(K94&gt;0,K94&lt;30),LOOKUP(CELL("contenido",K94),$A$26:$B$55),""))</f>
        <v/>
      </c>
      <c r="N94" s="588">
        <f>+RIGHT(N92,2)*1</f>
        <v>0</v>
      </c>
      <c r="O94" s="589" t="s">
        <v>349</v>
      </c>
      <c r="P94" s="590" t="str">
        <f ca="1">IF(CELL("contenido",N94)=1,"UN",IF(AND(N94&gt;0,N94&lt;30),LOOKUP(CELL("contenido",N94),$A$26:$B$55),""))</f>
        <v/>
      </c>
      <c r="Q94" s="591">
        <f>+RIGHT(Q92,2)*1</f>
        <v>0</v>
      </c>
      <c r="R94" s="592" t="s">
        <v>349</v>
      </c>
      <c r="S94" s="593" t="str">
        <f ca="1">IF(CELL("contenido",Q94)=1,"UN",IF(AND(Q94&gt;0,Q94&lt;30),LOOKUP(CELL("contenido",Q94),$A$26:$B$55),""))</f>
        <v/>
      </c>
      <c r="U94" s="572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4.4" thickBot="1">
      <c r="D95" s="575"/>
      <c r="E95" s="579">
        <f>+RIGHT(E92,2)*1-E93</f>
        <v>0</v>
      </c>
      <c r="F95" s="580" t="s">
        <v>351</v>
      </c>
      <c r="G95" s="581" t="str">
        <f ca="1">+IF(AND(E95&gt;0,E92&gt;=30),LOOKUP(CELL("contenido",E95),$C$26:$D$35),"")</f>
        <v/>
      </c>
      <c r="H95" s="582">
        <f>+RIGHT(H92,2)*1-H93</f>
        <v>0</v>
      </c>
      <c r="I95" s="583" t="s">
        <v>351</v>
      </c>
      <c r="J95" s="584" t="str">
        <f ca="1">+IF(AND(H95&gt;0,H92&gt;=30),LOOKUP(CELL("contenido",H95),$C$26:$D$35),"")</f>
        <v/>
      </c>
      <c r="K95" s="585">
        <f>+RIGHT(K92,2)*1-K93</f>
        <v>0</v>
      </c>
      <c r="L95" s="586" t="s">
        <v>351</v>
      </c>
      <c r="M95" s="587" t="str">
        <f ca="1">+IF(AND(K95&gt;0,K92&gt;=30),LOOKUP(CELL("contenido",K95),$C$26:$D$35),"")</f>
        <v/>
      </c>
      <c r="N95" s="588">
        <f>+RIGHT(N92,2)*1-N93</f>
        <v>0</v>
      </c>
      <c r="O95" s="589" t="s">
        <v>351</v>
      </c>
      <c r="P95" s="590" t="str">
        <f ca="1">+IF(AND(N95&gt;0,K97&gt;=30),LOOKUP(CELL("contenido",N95),$C$26:$D$35),"")</f>
        <v/>
      </c>
      <c r="Q95" s="591">
        <f>+RIGHT(Q92,2)*1-Q93</f>
        <v>0</v>
      </c>
      <c r="R95" s="592" t="s">
        <v>351</v>
      </c>
      <c r="S95" s="593" t="str">
        <f ca="1">+IF(AND(Q95&gt;0,N97&gt;=30),LOOKUP(CELL("contenido",Q95),$C$26:$D$35),"")</f>
        <v/>
      </c>
      <c r="U95" s="572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4.4" thickBot="1">
      <c r="D96" s="575"/>
      <c r="E96" s="579">
        <f>+RIGHT(E92,3)*1-E95-E93</f>
        <v>0</v>
      </c>
      <c r="F96" s="580" t="s">
        <v>353</v>
      </c>
      <c r="G96" s="581" t="str">
        <f ca="1">+IF((RIGHT(E92,3)*1)=100,"CIEN",IF(AND(E96&gt;0,E96&lt;1000),LOOKUP(CELL("contenido",E96),$E$26:$F$35),""))</f>
        <v/>
      </c>
      <c r="H96" s="582">
        <f>+RIGHT(H92,3)*1-H95-H93</f>
        <v>0</v>
      </c>
      <c r="I96" s="583" t="s">
        <v>353</v>
      </c>
      <c r="J96" s="584" t="str">
        <f ca="1">+IF(H92=100,"CIEN",IF(AND(H96&gt;0,H96&lt;1000),LOOKUP(CELL("contenido",H96),$E$26:$F$35),""))</f>
        <v/>
      </c>
      <c r="K96" s="585">
        <f>+RIGHT(K92,3)*1-K95-K93</f>
        <v>0</v>
      </c>
      <c r="L96" s="586" t="s">
        <v>353</v>
      </c>
      <c r="M96" s="587" t="str">
        <f ca="1">+IF(K92=100,"CIEN",IF(AND(K96&gt;0,K96&lt;1000),LOOKUP(CELL("contenido",K96),$E$26:$F$35),""))</f>
        <v/>
      </c>
      <c r="N96" s="588">
        <f>+RIGHT(N92,3)*1-N95-N93</f>
        <v>0</v>
      </c>
      <c r="O96" s="589" t="s">
        <v>353</v>
      </c>
      <c r="P96" s="590" t="str">
        <f ca="1">+IF(N92=100,"CIEN",IF(AND(N96&gt;0,N96&lt;1000),LOOKUP(CELL("contenido",N96),$E$26:$F$35),""))</f>
        <v/>
      </c>
      <c r="Q96" s="591">
        <f>+RIGHT(Q92,3)*1-Q95-Q93</f>
        <v>0</v>
      </c>
      <c r="R96" s="592" t="s">
        <v>353</v>
      </c>
      <c r="S96" s="593" t="str">
        <f ca="1">+IF(Q92=100,"CIEN",IF(AND(Q96&gt;0,Q96&lt;1000),LOOKUP(CELL("contenido",Q96),$E$26:$F$35),""))</f>
        <v/>
      </c>
      <c r="U96" s="572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4.4" thickBot="1">
      <c r="D97" s="575"/>
      <c r="E97" s="595">
        <f>+RIGHT(E92,4)*1-E96-E95-E93</f>
        <v>0</v>
      </c>
      <c r="F97" s="596" t="s">
        <v>355</v>
      </c>
      <c r="G97" s="597" t="str">
        <f ca="1">+IF(E92&gt;999,"MIL",IF(AND(E97&gt;0,E97&lt;10000),LOOKUP(CELL("contenido",E97),$E$26:$F$35),""))</f>
        <v/>
      </c>
      <c r="H97" s="598">
        <f>INT(E92/1000000)</f>
        <v>0</v>
      </c>
      <c r="I97" s="599" t="s">
        <v>356</v>
      </c>
      <c r="J97" s="600" t="str">
        <f ca="1">+IF(CELL("contenido",M94)=1,"MILLÓN",IF(H97=1,"MILLÓN",IF(H97&gt;1,"MILLONES","")))</f>
        <v/>
      </c>
      <c r="K97" s="601">
        <f>+RIGHT(K92,4)*1-K96-K95-K93</f>
        <v>0</v>
      </c>
      <c r="L97" s="602" t="s">
        <v>357</v>
      </c>
      <c r="M97" s="603" t="str">
        <f ca="1">+IF(AND(K97&gt;0,K97&lt;10000),LOOKUP(CELL("contenido",K97),$E$26:$F$35),"")</f>
        <v/>
      </c>
      <c r="N97" s="604">
        <f>+RIGHT(N92,4)*1-N96-N95-N93</f>
        <v>0</v>
      </c>
      <c r="O97" s="605" t="s">
        <v>358</v>
      </c>
      <c r="P97" s="606" t="str">
        <f>+IF(N97=1,"UN MILLARDO",IF(N92&gt;1,"MILLARDOS",""))</f>
        <v/>
      </c>
      <c r="Q97" s="607">
        <f>+RIGHT(Q92,4)*1-Q96-Q95-Q93</f>
        <v>0</v>
      </c>
      <c r="R97" s="608" t="s">
        <v>358</v>
      </c>
      <c r="S97" s="609" t="str">
        <f>+IF(Q97=1,"UN MILLARDO",IF(Q92&gt;1,"MILLARDOS",""))</f>
        <v/>
      </c>
      <c r="U97" s="572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4.4" thickTop="1">
      <c r="D98" s="575"/>
      <c r="E98" s="572"/>
      <c r="F98" s="572"/>
      <c r="G98" s="572"/>
      <c r="H98" s="572"/>
      <c r="I98" s="572"/>
      <c r="J98" s="610"/>
      <c r="K98" s="610"/>
      <c r="L98" s="610"/>
      <c r="M98" s="573"/>
      <c r="N98" s="573"/>
      <c r="O98" s="573"/>
      <c r="P98" s="572"/>
      <c r="Q98" s="573"/>
      <c r="R98" s="573"/>
      <c r="S98" s="572"/>
      <c r="U98" s="572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 ht="13.8">
      <c r="D99" s="572" t="s">
        <v>365</v>
      </c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U99" s="569"/>
    </row>
    <row r="100" spans="4:21" ht="13.8">
      <c r="D100" s="575"/>
      <c r="E100" s="576">
        <f>ROUND(100*(A6-INT(A6)),2)</f>
        <v>55</v>
      </c>
      <c r="F100" s="572" t="s">
        <v>337</v>
      </c>
      <c r="G100" s="572"/>
      <c r="H100" s="572"/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</row>
    <row r="101" spans="4:21" ht="13.8">
      <c r="D101" s="572"/>
      <c r="E101" s="572">
        <f>+LEN(E103)</f>
        <v>2</v>
      </c>
      <c r="F101" s="572" t="s">
        <v>338</v>
      </c>
      <c r="G101" s="572"/>
      <c r="H101" s="572"/>
      <c r="I101" s="572"/>
      <c r="J101" s="572"/>
      <c r="K101" s="572"/>
      <c r="L101" s="572"/>
      <c r="M101" s="572"/>
      <c r="N101" s="572"/>
      <c r="O101" s="572"/>
      <c r="P101" s="572"/>
      <c r="Q101" s="572"/>
      <c r="R101" s="572"/>
      <c r="S101" s="572"/>
    </row>
    <row r="102" spans="4:21" ht="14.4" thickBot="1">
      <c r="D102" s="575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</row>
    <row r="103" spans="4:21" ht="15" thickTop="1" thickBot="1">
      <c r="D103" s="572"/>
      <c r="E103" s="577">
        <f>+A6-E100/100</f>
        <v>34</v>
      </c>
      <c r="F103" s="1387" t="s">
        <v>341</v>
      </c>
      <c r="G103" s="1388"/>
      <c r="H103" s="578">
        <f>+IF(E103&gt;1000,INT(E103/1000),0)</f>
        <v>0</v>
      </c>
      <c r="I103" s="1387" t="s">
        <v>342</v>
      </c>
      <c r="J103" s="1388"/>
      <c r="K103" s="578">
        <f>+INT(H103/1000)</f>
        <v>0</v>
      </c>
      <c r="L103" s="1387" t="s">
        <v>343</v>
      </c>
      <c r="M103" s="1388"/>
      <c r="N103" s="578">
        <f>+INT(K103/1000)</f>
        <v>0</v>
      </c>
      <c r="O103" s="1387" t="s">
        <v>344</v>
      </c>
      <c r="P103" s="1388"/>
      <c r="Q103" s="578">
        <f>+INT(N103)</f>
        <v>0</v>
      </c>
      <c r="R103" s="1387" t="s">
        <v>344</v>
      </c>
      <c r="S103" s="1388"/>
      <c r="U103" s="572" t="str">
        <f>+IF(E100=0,CONCATENATE("00",U104),IF(E100&lt;10,CONCATENATE(" 0",E100,U104),CONCATENATE(" ",E100,U104)))</f>
        <v xml:space="preserve"> 55/100 BOLIVIANOS</v>
      </c>
    </row>
    <row r="104" spans="4:21" ht="14.4" thickBot="1">
      <c r="D104" s="575"/>
      <c r="E104" s="579">
        <f>+RIGHT(E103)*1</f>
        <v>4</v>
      </c>
      <c r="F104" s="580" t="s">
        <v>346</v>
      </c>
      <c r="G104" s="581" t="str">
        <f ca="1">+IF(AND(E104&gt;0,E104&lt;10),LOOKUP(CELL("contenido",E104),$A$26:$B$35),"")</f>
        <v>CUATRO</v>
      </c>
      <c r="H104" s="582">
        <f>+RIGHT(H103)*1</f>
        <v>0</v>
      </c>
      <c r="I104" s="583" t="s">
        <v>346</v>
      </c>
      <c r="J104" s="584" t="str">
        <f ca="1">IF(E103&lt;2000,"",IF(CELL("contenido",H104)=1,"UN",IF(AND(H104&gt;0,H104&lt;10),LOOKUP(CELL("contenido",H104),$A$26:$B$35),"")))</f>
        <v/>
      </c>
      <c r="K104" s="585">
        <f>+RIGHT(K103)*1</f>
        <v>0</v>
      </c>
      <c r="L104" s="586" t="s">
        <v>346</v>
      </c>
      <c r="M104" s="587" t="str">
        <f ca="1">+IF(CELL("contenido",K104)=1,"UN",IF(AND(K104&gt;0,K104&lt;10),LOOKUP(CELL("contenido",K104),$A$26:$B$35),""))</f>
        <v/>
      </c>
      <c r="N104" s="588">
        <f>+RIGHT(N103)*1</f>
        <v>0</v>
      </c>
      <c r="O104" s="589" t="s">
        <v>346</v>
      </c>
      <c r="P104" s="590" t="str">
        <f ca="1">+IF(CELL("contenido",N104)=1,"UN",IF(AND(N104&gt;0,N104&lt;10),LOOKUP(CELL("contenido",N104),$A$26:$B$35),""))</f>
        <v/>
      </c>
      <c r="Q104" s="591">
        <f>+RIGHT(Q103)*1</f>
        <v>0</v>
      </c>
      <c r="R104" s="592" t="s">
        <v>346</v>
      </c>
      <c r="S104" s="593" t="str">
        <f ca="1">+IF(CELL("contenido",Q104)=1,"UN",IF(AND(Q104&gt;0,Q104&lt;10),LOOKUP(CELL("contenido",Q104),$A$26:$B$35),""))</f>
        <v/>
      </c>
      <c r="U104" s="594" t="s">
        <v>347</v>
      </c>
    </row>
    <row r="105" spans="4:21" ht="14.4" thickBot="1">
      <c r="D105" s="575"/>
      <c r="E105" s="579">
        <f>+RIGHT(E103,2)*1</f>
        <v>34</v>
      </c>
      <c r="F105" s="580" t="s">
        <v>349</v>
      </c>
      <c r="G105" s="581" t="str">
        <f ca="1">IF(AND(E105&gt;0,E105&lt;30),LOOKUP(CELL("contenido",E105),$A$26:$B$55),"")</f>
        <v/>
      </c>
      <c r="H105" s="582">
        <f>+RIGHT(H103,2)*1</f>
        <v>0</v>
      </c>
      <c r="I105" s="583" t="s">
        <v>349</v>
      </c>
      <c r="J105" s="584" t="str">
        <f ca="1">IF(E103&lt;2000,"",IF(CELL("contenido",H105)=1,"UN",IF(AND(H105&gt;0,H105&lt;30),LOOKUP(CELL("contenido",H105),$A$26:$B$55),"")))</f>
        <v/>
      </c>
      <c r="K105" s="585">
        <f>+RIGHT(K103,2)*1</f>
        <v>0</v>
      </c>
      <c r="L105" s="586" t="s">
        <v>349</v>
      </c>
      <c r="M105" s="587" t="str">
        <f ca="1">IF(CELL("contenido",K105)=1,"UN",IF(AND(K105&gt;0,K105&lt;30),LOOKUP(CELL("contenido",K105),$A$26:$B$55),""))</f>
        <v/>
      </c>
      <c r="N105" s="588">
        <f>+RIGHT(N103,2)*1</f>
        <v>0</v>
      </c>
      <c r="O105" s="589" t="s">
        <v>349</v>
      </c>
      <c r="P105" s="590" t="str">
        <f ca="1">IF(CELL("contenido",N105)=1,"UN",IF(AND(N105&gt;0,N105&lt;30),LOOKUP(CELL("contenido",N105),$A$26:$B$55),""))</f>
        <v/>
      </c>
      <c r="Q105" s="591">
        <f>+RIGHT(Q103,2)*1</f>
        <v>0</v>
      </c>
      <c r="R105" s="592" t="s">
        <v>349</v>
      </c>
      <c r="S105" s="593" t="str">
        <f ca="1">IF(CELL("contenido",Q105)=1,"UN",IF(AND(Q105&gt;0,Q105&lt;30),LOOKUP(CELL("contenido",Q105),$A$26:$B$55),""))</f>
        <v/>
      </c>
      <c r="U105" s="572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4.4" thickBot="1">
      <c r="D106" s="575"/>
      <c r="E106" s="579">
        <f>+RIGHT(E103,2)*1-E104</f>
        <v>30</v>
      </c>
      <c r="F106" s="580" t="s">
        <v>351</v>
      </c>
      <c r="G106" s="581" t="str">
        <f ca="1">+IF(AND(E106&gt;0,E103&gt;=30),LOOKUP(CELL("contenido",E106),$C$26:$D$35),"")</f>
        <v>TREINTA</v>
      </c>
      <c r="H106" s="582">
        <f>+RIGHT(H103,2)*1-H104</f>
        <v>0</v>
      </c>
      <c r="I106" s="583" t="s">
        <v>351</v>
      </c>
      <c r="J106" s="584" t="str">
        <f ca="1">+IF(AND(H106&gt;0,H103&gt;=30),LOOKUP(CELL("contenido",H106),$C$26:$D$35),"")</f>
        <v/>
      </c>
      <c r="K106" s="585">
        <f>+RIGHT(K103,2)*1-K104</f>
        <v>0</v>
      </c>
      <c r="L106" s="586" t="s">
        <v>351</v>
      </c>
      <c r="M106" s="587" t="str">
        <f ca="1">+IF(AND(K106&gt;0,K103&gt;=30),LOOKUP(CELL("contenido",K106),$C$26:$D$35),"")</f>
        <v/>
      </c>
      <c r="N106" s="588">
        <f>+RIGHT(N103,2)*1-N104</f>
        <v>0</v>
      </c>
      <c r="O106" s="589" t="s">
        <v>351</v>
      </c>
      <c r="P106" s="590" t="str">
        <f ca="1">+IF(AND(N106&gt;0,K108&gt;=30),LOOKUP(CELL("contenido",N106),$C$26:$D$35),"")</f>
        <v/>
      </c>
      <c r="Q106" s="591">
        <f>+RIGHT(Q103,2)*1-Q104</f>
        <v>0</v>
      </c>
      <c r="R106" s="592" t="s">
        <v>351</v>
      </c>
      <c r="S106" s="593" t="str">
        <f ca="1">+IF(AND(Q106&gt;0,N108&gt;=30),LOOKUP(CELL("contenido",Q106),$C$26:$D$35),"")</f>
        <v/>
      </c>
      <c r="U106" s="572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4.4" thickBot="1">
      <c r="D107" s="575"/>
      <c r="E107" s="579">
        <f>+RIGHT(E103,3)*1-E106-E104</f>
        <v>0</v>
      </c>
      <c r="F107" s="580" t="s">
        <v>353</v>
      </c>
      <c r="G107" s="581" t="str">
        <f ca="1">+IF((RIGHT(E103,3)*1)=100,"CIEN",IF(AND(E107&gt;0,E107&lt;1000),LOOKUP(CELL("contenido",E107),$E$26:$F$35),""))</f>
        <v/>
      </c>
      <c r="H107" s="582">
        <f>+RIGHT(H103,3)*1-H106-H104</f>
        <v>0</v>
      </c>
      <c r="I107" s="583" t="s">
        <v>353</v>
      </c>
      <c r="J107" s="584" t="str">
        <f ca="1">+IF(H103=100,"CIEN",IF(AND(H107&gt;0,H107&lt;1000),LOOKUP(CELL("contenido",H107),$E$26:$F$35),""))</f>
        <v/>
      </c>
      <c r="K107" s="585">
        <f>+RIGHT(K103,3)*1-K106-K104</f>
        <v>0</v>
      </c>
      <c r="L107" s="586" t="s">
        <v>353</v>
      </c>
      <c r="M107" s="587" t="str">
        <f ca="1">+IF(K103=100,"CIEN",IF(AND(K107&gt;0,K107&lt;1000),LOOKUP(CELL("contenido",K107),$E$26:$F$35),""))</f>
        <v/>
      </c>
      <c r="N107" s="588">
        <f>+RIGHT(N103,3)*1-N106-N104</f>
        <v>0</v>
      </c>
      <c r="O107" s="589" t="s">
        <v>353</v>
      </c>
      <c r="P107" s="590" t="str">
        <f ca="1">+IF(N103=100,"CIEN",IF(AND(N107&gt;0,N107&lt;1000),LOOKUP(CELL("contenido",N107),$E$26:$F$35),""))</f>
        <v/>
      </c>
      <c r="Q107" s="591">
        <f>+RIGHT(Q103,3)*1-Q106-Q104</f>
        <v>0</v>
      </c>
      <c r="R107" s="592" t="s">
        <v>353</v>
      </c>
      <c r="S107" s="593" t="str">
        <f ca="1">+IF(Q103=100,"CIEN",IF(AND(Q107&gt;0,Q107&lt;1000),LOOKUP(CELL("contenido",Q107),$E$26:$F$35),""))</f>
        <v/>
      </c>
      <c r="U107" s="572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4.4" thickBot="1">
      <c r="D108" s="575"/>
      <c r="E108" s="595">
        <f>+RIGHT(E103,4)*1-E107-E106-E104</f>
        <v>0</v>
      </c>
      <c r="F108" s="596" t="s">
        <v>355</v>
      </c>
      <c r="G108" s="597" t="str">
        <f ca="1">+IF(E103&gt;999,"MIL",IF(AND(E108&gt;0,E108&lt;10000),LOOKUP(CELL("contenido",E108),$E$26:$F$35),""))</f>
        <v/>
      </c>
      <c r="H108" s="598">
        <f>INT(E103/1000000)</f>
        <v>0</v>
      </c>
      <c r="I108" s="599" t="s">
        <v>356</v>
      </c>
      <c r="J108" s="600" t="str">
        <f ca="1">+IF(CELL("contenido",M105)=1,"MILLÓN",IF(H108=1,"MILLÓN",IF(H108&gt;1,"MILLONES","")))</f>
        <v/>
      </c>
      <c r="K108" s="601">
        <f>+RIGHT(K103,4)*1-K107-K106-K104</f>
        <v>0</v>
      </c>
      <c r="L108" s="602" t="s">
        <v>357</v>
      </c>
      <c r="M108" s="603" t="str">
        <f ca="1">+IF(AND(K108&gt;0,K108&lt;10000),LOOKUP(CELL("contenido",K108),$E$26:$F$35),"")</f>
        <v/>
      </c>
      <c r="N108" s="604">
        <f>+RIGHT(N103,4)*1-N107-N106-N104</f>
        <v>0</v>
      </c>
      <c r="O108" s="605" t="s">
        <v>358</v>
      </c>
      <c r="P108" s="606" t="str">
        <f>+IF(N108=1,"UN MILLARDO",IF(N103&gt;1,"MILLARDOS",""))</f>
        <v/>
      </c>
      <c r="Q108" s="607">
        <f>+RIGHT(Q103,4)*1-Q107-Q106-Q104</f>
        <v>0</v>
      </c>
      <c r="R108" s="608" t="s">
        <v>358</v>
      </c>
      <c r="S108" s="609" t="str">
        <f>+IF(Q108=1,"UN MILLARDO",IF(Q103&gt;1,"MILLARDOS",""))</f>
        <v/>
      </c>
      <c r="U108" s="572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4.4" thickTop="1">
      <c r="D109" s="575"/>
      <c r="E109" s="572"/>
      <c r="F109" s="572"/>
      <c r="G109" s="572"/>
      <c r="H109" s="572"/>
      <c r="I109" s="572"/>
      <c r="J109" s="610"/>
      <c r="K109" s="610"/>
      <c r="L109" s="610"/>
      <c r="M109" s="573"/>
      <c r="N109" s="573"/>
      <c r="O109" s="573"/>
      <c r="P109" s="572"/>
      <c r="Q109" s="573"/>
      <c r="R109" s="573"/>
      <c r="S109" s="572"/>
      <c r="U109" s="572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 ht="13.8">
      <c r="D110" s="572" t="s">
        <v>366</v>
      </c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U110" s="569"/>
    </row>
    <row r="111" spans="4:21" ht="13.8">
      <c r="D111" s="575"/>
      <c r="E111" s="576">
        <f>ROUND(100*(A7-INT(A7)),2)</f>
        <v>43</v>
      </c>
      <c r="F111" s="572" t="s">
        <v>337</v>
      </c>
      <c r="G111" s="572"/>
      <c r="H111" s="572"/>
      <c r="I111" s="572"/>
      <c r="J111" s="572"/>
      <c r="K111" s="572"/>
      <c r="L111" s="572"/>
      <c r="M111" s="572"/>
      <c r="N111" s="572"/>
      <c r="O111" s="572"/>
      <c r="P111" s="572"/>
      <c r="Q111" s="572"/>
      <c r="R111" s="572"/>
      <c r="S111" s="572"/>
    </row>
    <row r="112" spans="4:21" ht="13.8">
      <c r="D112" s="572"/>
      <c r="E112" s="572">
        <f>+LEN(E114)</f>
        <v>2</v>
      </c>
      <c r="F112" s="572" t="s">
        <v>338</v>
      </c>
      <c r="G112" s="572"/>
      <c r="H112" s="572"/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</row>
    <row r="113" spans="4:21" ht="14.4" thickBot="1">
      <c r="D113" s="575"/>
      <c r="E113" s="572"/>
      <c r="F113" s="572"/>
      <c r="G113" s="572"/>
      <c r="H113" s="572"/>
      <c r="I113" s="572"/>
      <c r="J113" s="572"/>
      <c r="K113" s="572"/>
      <c r="L113" s="572"/>
      <c r="M113" s="572"/>
      <c r="N113" s="572"/>
      <c r="O113" s="572"/>
      <c r="P113" s="572"/>
      <c r="Q113" s="572"/>
      <c r="R113" s="572"/>
      <c r="S113" s="572"/>
    </row>
    <row r="114" spans="4:21" ht="15" thickTop="1" thickBot="1">
      <c r="D114" s="572"/>
      <c r="E114" s="577">
        <f>+A7-E111/100</f>
        <v>89</v>
      </c>
      <c r="F114" s="1387" t="s">
        <v>341</v>
      </c>
      <c r="G114" s="1388"/>
      <c r="H114" s="578">
        <f>+IF(E114&gt;1000,INT(E114/1000),0)</f>
        <v>0</v>
      </c>
      <c r="I114" s="1387" t="s">
        <v>342</v>
      </c>
      <c r="J114" s="1388"/>
      <c r="K114" s="578">
        <f>+INT(H114/1000)</f>
        <v>0</v>
      </c>
      <c r="L114" s="1387" t="s">
        <v>343</v>
      </c>
      <c r="M114" s="1388"/>
      <c r="N114" s="578">
        <f>+INT(K114/1000)</f>
        <v>0</v>
      </c>
      <c r="O114" s="1387" t="s">
        <v>344</v>
      </c>
      <c r="P114" s="1388"/>
      <c r="Q114" s="578">
        <f>+INT(N114)</f>
        <v>0</v>
      </c>
      <c r="R114" s="1387" t="s">
        <v>344</v>
      </c>
      <c r="S114" s="1388"/>
      <c r="U114" s="572" t="str">
        <f>+IF(E111=0,CONCATENATE("00",U115),IF(E111&lt;10,CONCATENATE(" 0",E111,U115),CONCATENATE(" ",E111,U115)))</f>
        <v xml:space="preserve"> 43/100 BOLIVIANOS</v>
      </c>
    </row>
    <row r="115" spans="4:21" ht="14.4" thickBot="1">
      <c r="D115" s="575"/>
      <c r="E115" s="579">
        <f>+RIGHT(E114)*1</f>
        <v>9</v>
      </c>
      <c r="F115" s="580" t="s">
        <v>346</v>
      </c>
      <c r="G115" s="581" t="str">
        <f ca="1">+IF(AND(E115&gt;0,E115&lt;10),LOOKUP(CELL("contenido",E115),$A$26:$B$35),"")</f>
        <v>NUEVE</v>
      </c>
      <c r="H115" s="582">
        <f>+RIGHT(H114)*1</f>
        <v>0</v>
      </c>
      <c r="I115" s="583" t="s">
        <v>346</v>
      </c>
      <c r="J115" s="584" t="str">
        <f ca="1">IF(E114&lt;2000,"",IF(CELL("contenido",H115)=1,"UN",IF(AND(H115&gt;0,H115&lt;10),LOOKUP(CELL("contenido",H115),$A$26:$B$35),"")))</f>
        <v/>
      </c>
      <c r="K115" s="585">
        <f>+RIGHT(K114)*1</f>
        <v>0</v>
      </c>
      <c r="L115" s="586" t="s">
        <v>346</v>
      </c>
      <c r="M115" s="587" t="str">
        <f ca="1">+IF(CELL("contenido",K115)=1,"UN",IF(AND(K115&gt;0,K115&lt;10),LOOKUP(CELL("contenido",K115),$A$26:$B$35),""))</f>
        <v/>
      </c>
      <c r="N115" s="588">
        <f>+RIGHT(N114)*1</f>
        <v>0</v>
      </c>
      <c r="O115" s="589" t="s">
        <v>346</v>
      </c>
      <c r="P115" s="590" t="str">
        <f ca="1">+IF(CELL("contenido",N115)=1,"UN",IF(AND(N115&gt;0,N115&lt;10),LOOKUP(CELL("contenido",N115),$A$26:$B$35),""))</f>
        <v/>
      </c>
      <c r="Q115" s="591">
        <f>+RIGHT(Q114)*1</f>
        <v>0</v>
      </c>
      <c r="R115" s="592" t="s">
        <v>346</v>
      </c>
      <c r="S115" s="593" t="str">
        <f ca="1">+IF(CELL("contenido",Q115)=1,"UN",IF(AND(Q115&gt;0,Q115&lt;10),LOOKUP(CELL("contenido",Q115),$A$26:$B$35),""))</f>
        <v/>
      </c>
      <c r="U115" s="594" t="s">
        <v>347</v>
      </c>
    </row>
    <row r="116" spans="4:21" ht="14.4" thickBot="1">
      <c r="D116" s="575"/>
      <c r="E116" s="579">
        <f>+RIGHT(E114,2)*1</f>
        <v>89</v>
      </c>
      <c r="F116" s="580" t="s">
        <v>349</v>
      </c>
      <c r="G116" s="581" t="str">
        <f ca="1">IF(AND(E116&gt;0,E116&lt;30),LOOKUP(CELL("contenido",E116),$A$26:$B$55),"")</f>
        <v/>
      </c>
      <c r="H116" s="582">
        <f>+RIGHT(H114,2)*1</f>
        <v>0</v>
      </c>
      <c r="I116" s="583" t="s">
        <v>349</v>
      </c>
      <c r="J116" s="584" t="str">
        <f ca="1">IF(E114&lt;2000,"",IF(CELL("contenido",H116)=1,"UN",IF(AND(H116&gt;0,H116&lt;30),LOOKUP(CELL("contenido",H116),$A$26:$B$55),"")))</f>
        <v/>
      </c>
      <c r="K116" s="585">
        <f>+RIGHT(K114,2)*1</f>
        <v>0</v>
      </c>
      <c r="L116" s="586" t="s">
        <v>349</v>
      </c>
      <c r="M116" s="587" t="str">
        <f ca="1">IF(CELL("contenido",K116)=1,"UN",IF(AND(K116&gt;0,K116&lt;30),LOOKUP(CELL("contenido",K116),$A$26:$B$55),""))</f>
        <v/>
      </c>
      <c r="N116" s="588">
        <f>+RIGHT(N114,2)*1</f>
        <v>0</v>
      </c>
      <c r="O116" s="589" t="s">
        <v>349</v>
      </c>
      <c r="P116" s="590" t="str">
        <f ca="1">IF(CELL("contenido",N116)=1,"UN",IF(AND(N116&gt;0,N116&lt;30),LOOKUP(CELL("contenido",N116),$A$26:$B$55),""))</f>
        <v/>
      </c>
      <c r="Q116" s="591">
        <f>+RIGHT(Q114,2)*1</f>
        <v>0</v>
      </c>
      <c r="R116" s="592" t="s">
        <v>349</v>
      </c>
      <c r="S116" s="593" t="str">
        <f ca="1">IF(CELL("contenido",Q116)=1,"UN",IF(AND(Q116&gt;0,Q116&lt;30),LOOKUP(CELL("contenido",Q116),$A$26:$B$55),""))</f>
        <v/>
      </c>
      <c r="U116" s="572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4.4" thickBot="1">
      <c r="D117" s="575"/>
      <c r="E117" s="579">
        <f>+RIGHT(E114,2)*1-E115</f>
        <v>80</v>
      </c>
      <c r="F117" s="580" t="s">
        <v>351</v>
      </c>
      <c r="G117" s="581" t="str">
        <f ca="1">+IF(AND(E117&gt;0,E114&gt;=30),LOOKUP(CELL("contenido",E117),$C$26:$D$35),"")</f>
        <v>OCHENTA</v>
      </c>
      <c r="H117" s="582">
        <f>+RIGHT(H114,2)*1-H115</f>
        <v>0</v>
      </c>
      <c r="I117" s="583" t="s">
        <v>351</v>
      </c>
      <c r="J117" s="584" t="str">
        <f ca="1">+IF(AND(H117&gt;0,H114&gt;=30),LOOKUP(CELL("contenido",H117),$C$26:$D$35),"")</f>
        <v/>
      </c>
      <c r="K117" s="585">
        <f>+RIGHT(K114,2)*1-K115</f>
        <v>0</v>
      </c>
      <c r="L117" s="586" t="s">
        <v>351</v>
      </c>
      <c r="M117" s="587" t="str">
        <f ca="1">+IF(AND(K117&gt;0,K114&gt;=30),LOOKUP(CELL("contenido",K117),$C$26:$D$35),"")</f>
        <v/>
      </c>
      <c r="N117" s="588">
        <f>+RIGHT(N114,2)*1-N115</f>
        <v>0</v>
      </c>
      <c r="O117" s="589" t="s">
        <v>351</v>
      </c>
      <c r="P117" s="590" t="str">
        <f ca="1">+IF(AND(N117&gt;0,K119&gt;=30),LOOKUP(CELL("contenido",N117),$C$26:$D$35),"")</f>
        <v/>
      </c>
      <c r="Q117" s="591">
        <f>+RIGHT(Q114,2)*1-Q115</f>
        <v>0</v>
      </c>
      <c r="R117" s="592" t="s">
        <v>351</v>
      </c>
      <c r="S117" s="593" t="str">
        <f ca="1">+IF(AND(Q117&gt;0,N119&gt;=30),LOOKUP(CELL("contenido",Q117),$C$26:$D$35),"")</f>
        <v/>
      </c>
      <c r="U117" s="572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4.4" thickBot="1">
      <c r="D118" s="575"/>
      <c r="E118" s="579">
        <f>+RIGHT(E114,3)*1-E117-E115</f>
        <v>0</v>
      </c>
      <c r="F118" s="580" t="s">
        <v>353</v>
      </c>
      <c r="G118" s="581" t="str">
        <f ca="1">+IF((RIGHT(E114,3)*1)=100,"CIEN",IF(AND(E118&gt;0,E118&lt;1000),LOOKUP(CELL("contenido",E118),$E$26:$F$35),""))</f>
        <v/>
      </c>
      <c r="H118" s="582">
        <f>+RIGHT(H114,3)*1-H117-H115</f>
        <v>0</v>
      </c>
      <c r="I118" s="583" t="s">
        <v>353</v>
      </c>
      <c r="J118" s="584" t="str">
        <f ca="1">+IF(H114=100,"CIEN",IF(AND(H118&gt;0,H118&lt;1000),LOOKUP(CELL("contenido",H118),$E$26:$F$35),""))</f>
        <v/>
      </c>
      <c r="K118" s="585">
        <f>+RIGHT(K114,3)*1-K117-K115</f>
        <v>0</v>
      </c>
      <c r="L118" s="586" t="s">
        <v>353</v>
      </c>
      <c r="M118" s="587" t="str">
        <f ca="1">+IF(K114=100,"CIEN",IF(AND(K118&gt;0,K118&lt;1000),LOOKUP(CELL("contenido",K118),$E$26:$F$35),""))</f>
        <v/>
      </c>
      <c r="N118" s="588">
        <f>+RIGHT(N114,3)*1-N117-N115</f>
        <v>0</v>
      </c>
      <c r="O118" s="589" t="s">
        <v>353</v>
      </c>
      <c r="P118" s="590" t="str">
        <f ca="1">+IF(N114=100,"CIEN",IF(AND(N118&gt;0,N118&lt;1000),LOOKUP(CELL("contenido",N118),$E$26:$F$35),""))</f>
        <v/>
      </c>
      <c r="Q118" s="591">
        <f>+RIGHT(Q114,3)*1-Q117-Q115</f>
        <v>0</v>
      </c>
      <c r="R118" s="592" t="s">
        <v>353</v>
      </c>
      <c r="S118" s="593" t="str">
        <f ca="1">+IF(Q114=100,"CIEN",IF(AND(Q118&gt;0,Q118&lt;1000),LOOKUP(CELL("contenido",Q118),$E$26:$F$35),""))</f>
        <v/>
      </c>
      <c r="U118" s="572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4.4" thickBot="1">
      <c r="D119" s="575"/>
      <c r="E119" s="595">
        <f>+RIGHT(E114,4)*1-E118-E117-E115</f>
        <v>0</v>
      </c>
      <c r="F119" s="596" t="s">
        <v>355</v>
      </c>
      <c r="G119" s="597" t="str">
        <f ca="1">+IF(E114&gt;999,"MIL",IF(AND(E119&gt;0,E119&lt;10000),LOOKUP(CELL("contenido",E119),$E$26:$F$35),""))</f>
        <v/>
      </c>
      <c r="H119" s="598">
        <f>INT(E114/1000000)</f>
        <v>0</v>
      </c>
      <c r="I119" s="599" t="s">
        <v>356</v>
      </c>
      <c r="J119" s="600" t="str">
        <f ca="1">+IF(CELL("contenido",M116)=1,"MILLÓN",IF(H119=1,"MILLÓN",IF(H119&gt;1,"MILLONES","")))</f>
        <v/>
      </c>
      <c r="K119" s="601">
        <f>+RIGHT(K114,4)*1-K118-K117-K115</f>
        <v>0</v>
      </c>
      <c r="L119" s="602" t="s">
        <v>357</v>
      </c>
      <c r="M119" s="603" t="str">
        <f ca="1">+IF(AND(K119&gt;0,K119&lt;10000),LOOKUP(CELL("contenido",K119),$E$26:$F$35),"")</f>
        <v/>
      </c>
      <c r="N119" s="604">
        <f>+RIGHT(N114,4)*1-N118-N117-N115</f>
        <v>0</v>
      </c>
      <c r="O119" s="605" t="s">
        <v>358</v>
      </c>
      <c r="P119" s="606" t="str">
        <f>+IF(N119=1,"UN MILLARDO",IF(N114&gt;1,"MILLARDOS",""))</f>
        <v/>
      </c>
      <c r="Q119" s="607">
        <f>+RIGHT(Q114,4)*1-Q118-Q117-Q115</f>
        <v>0</v>
      </c>
      <c r="R119" s="608" t="s">
        <v>358</v>
      </c>
      <c r="S119" s="609" t="str">
        <f>+IF(Q119=1,"UN MILLARDO",IF(Q114&gt;1,"MILLARDOS",""))</f>
        <v/>
      </c>
      <c r="U119" s="572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4.4" thickTop="1">
      <c r="D120" s="575"/>
      <c r="E120" s="572"/>
      <c r="F120" s="572"/>
      <c r="G120" s="572"/>
      <c r="H120" s="572"/>
      <c r="I120" s="572"/>
      <c r="J120" s="610"/>
      <c r="K120" s="610"/>
      <c r="L120" s="610"/>
      <c r="M120" s="573"/>
      <c r="N120" s="573"/>
      <c r="O120" s="573"/>
      <c r="P120" s="572"/>
      <c r="Q120" s="573"/>
      <c r="R120" s="573"/>
      <c r="S120" s="572"/>
      <c r="U120" s="572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 ht="13.8">
      <c r="D121" s="572" t="s">
        <v>367</v>
      </c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72"/>
      <c r="P121" s="572"/>
      <c r="Q121" s="572"/>
      <c r="R121" s="572"/>
      <c r="S121" s="572"/>
      <c r="U121" s="569"/>
    </row>
    <row r="122" spans="4:21" ht="13.8">
      <c r="D122" s="575"/>
      <c r="E122" s="576">
        <f>ROUND(100*(A8-INT(A8)),2)</f>
        <v>23</v>
      </c>
      <c r="F122" s="572" t="s">
        <v>337</v>
      </c>
      <c r="G122" s="572"/>
      <c r="H122" s="572"/>
      <c r="I122" s="572"/>
      <c r="J122" s="572"/>
      <c r="K122" s="572"/>
      <c r="L122" s="572"/>
      <c r="M122" s="572"/>
      <c r="N122" s="572"/>
      <c r="O122" s="572"/>
      <c r="P122" s="572"/>
      <c r="Q122" s="572"/>
      <c r="R122" s="572"/>
      <c r="S122" s="572"/>
    </row>
    <row r="123" spans="4:21" ht="13.8">
      <c r="D123" s="572"/>
      <c r="E123" s="572">
        <f>+LEN(E125)</f>
        <v>3</v>
      </c>
      <c r="F123" s="572" t="s">
        <v>338</v>
      </c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</row>
    <row r="124" spans="4:21" ht="14.4" thickBot="1">
      <c r="D124" s="575"/>
      <c r="E124" s="572"/>
      <c r="F124" s="572"/>
      <c r="G124" s="572"/>
      <c r="H124" s="572"/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</row>
    <row r="125" spans="4:21" ht="15" thickTop="1" thickBot="1">
      <c r="D125" s="572"/>
      <c r="E125" s="577">
        <f>+A8-E122/100</f>
        <v>108.99999999999997</v>
      </c>
      <c r="F125" s="1387" t="s">
        <v>341</v>
      </c>
      <c r="G125" s="1388"/>
      <c r="H125" s="578">
        <f>+IF(E125&gt;1000,INT(E125/1000),0)</f>
        <v>0</v>
      </c>
      <c r="I125" s="1387" t="s">
        <v>342</v>
      </c>
      <c r="J125" s="1388"/>
      <c r="K125" s="578">
        <f>+INT(H125/1000)</f>
        <v>0</v>
      </c>
      <c r="L125" s="1387" t="s">
        <v>343</v>
      </c>
      <c r="M125" s="1388"/>
      <c r="N125" s="578">
        <f>+INT(K125/1000)</f>
        <v>0</v>
      </c>
      <c r="O125" s="1387" t="s">
        <v>344</v>
      </c>
      <c r="P125" s="1388"/>
      <c r="Q125" s="578">
        <f>+INT(N125)</f>
        <v>0</v>
      </c>
      <c r="R125" s="1387" t="s">
        <v>344</v>
      </c>
      <c r="S125" s="1388"/>
      <c r="U125" s="572" t="str">
        <f>+IF(E122=0,CONCATENATE("00",U126),IF(E122&lt;10,CONCATENATE(" 0",E122,U126),CONCATENATE(" ",E122,U126)))</f>
        <v xml:space="preserve"> 23/100 BOLIVIANOS</v>
      </c>
    </row>
    <row r="126" spans="4:21" ht="14.4" thickBot="1">
      <c r="D126" s="575"/>
      <c r="E126" s="579">
        <f>+RIGHT(E125)*1</f>
        <v>9</v>
      </c>
      <c r="F126" s="580" t="s">
        <v>346</v>
      </c>
      <c r="G126" s="581" t="str">
        <f ca="1">+IF(AND(E126&gt;0,E126&lt;10),LOOKUP(CELL("contenido",E126),$A$26:$B$35),"")</f>
        <v>NUEVE</v>
      </c>
      <c r="H126" s="582">
        <f>+RIGHT(H125)*1</f>
        <v>0</v>
      </c>
      <c r="I126" s="583" t="s">
        <v>346</v>
      </c>
      <c r="J126" s="584" t="str">
        <f ca="1">IF(E125&lt;2000,"",IF(CELL("contenido",H126)=1,"UN",IF(AND(H126&gt;0,H126&lt;10),LOOKUP(CELL("contenido",H126),$A$26:$B$35),"")))</f>
        <v/>
      </c>
      <c r="K126" s="585">
        <f>+RIGHT(K125)*1</f>
        <v>0</v>
      </c>
      <c r="L126" s="586" t="s">
        <v>346</v>
      </c>
      <c r="M126" s="587" t="str">
        <f ca="1">+IF(CELL("contenido",K126)=1,"UN",IF(AND(K126&gt;0,K126&lt;10),LOOKUP(CELL("contenido",K126),$A$26:$B$35),""))</f>
        <v/>
      </c>
      <c r="N126" s="588">
        <f>+RIGHT(N125)*1</f>
        <v>0</v>
      </c>
      <c r="O126" s="589" t="s">
        <v>346</v>
      </c>
      <c r="P126" s="590" t="str">
        <f ca="1">+IF(CELL("contenido",N126)=1,"UN",IF(AND(N126&gt;0,N126&lt;10),LOOKUP(CELL("contenido",N126),$A$26:$B$35),""))</f>
        <v/>
      </c>
      <c r="Q126" s="591">
        <f>+RIGHT(Q125)*1</f>
        <v>0</v>
      </c>
      <c r="R126" s="592" t="s">
        <v>346</v>
      </c>
      <c r="S126" s="593" t="str">
        <f ca="1">+IF(CELL("contenido",Q126)=1,"UN",IF(AND(Q126&gt;0,Q126&lt;10),LOOKUP(CELL("contenido",Q126),$A$26:$B$35),""))</f>
        <v/>
      </c>
      <c r="U126" s="594" t="s">
        <v>347</v>
      </c>
    </row>
    <row r="127" spans="4:21" ht="14.4" thickBot="1">
      <c r="D127" s="575"/>
      <c r="E127" s="579">
        <f>+RIGHT(E125,2)*1</f>
        <v>9</v>
      </c>
      <c r="F127" s="580" t="s">
        <v>349</v>
      </c>
      <c r="G127" s="581" t="str">
        <f ca="1">IF(AND(E127&gt;0,E127&lt;30),LOOKUP(CELL("contenido",E127),$A$26:$B$55),"")</f>
        <v>NUEVE</v>
      </c>
      <c r="H127" s="582">
        <f>+RIGHT(H125,2)*1</f>
        <v>0</v>
      </c>
      <c r="I127" s="583" t="s">
        <v>349</v>
      </c>
      <c r="J127" s="584" t="str">
        <f ca="1">IF(E125&lt;2000,"",IF(CELL("contenido",H127)=1,"UN",IF(AND(H127&gt;0,H127&lt;30),LOOKUP(CELL("contenido",H127),$A$26:$B$55),"")))</f>
        <v/>
      </c>
      <c r="K127" s="585">
        <f>+RIGHT(K125,2)*1</f>
        <v>0</v>
      </c>
      <c r="L127" s="586" t="s">
        <v>349</v>
      </c>
      <c r="M127" s="587" t="str">
        <f ca="1">IF(CELL("contenido",K127)=1,"UN",IF(AND(K127&gt;0,K127&lt;30),LOOKUP(CELL("contenido",K127),$A$26:$B$55),""))</f>
        <v/>
      </c>
      <c r="N127" s="588">
        <f>+RIGHT(N125,2)*1</f>
        <v>0</v>
      </c>
      <c r="O127" s="589" t="s">
        <v>349</v>
      </c>
      <c r="P127" s="590" t="str">
        <f ca="1">IF(CELL("contenido",N127)=1,"UN",IF(AND(N127&gt;0,N127&lt;30),LOOKUP(CELL("contenido",N127),$A$26:$B$55),""))</f>
        <v/>
      </c>
      <c r="Q127" s="591">
        <f>+RIGHT(Q125,2)*1</f>
        <v>0</v>
      </c>
      <c r="R127" s="592" t="s">
        <v>349</v>
      </c>
      <c r="S127" s="593" t="str">
        <f ca="1">IF(CELL("contenido",Q127)=1,"UN",IF(AND(Q127&gt;0,Q127&lt;30),LOOKUP(CELL("contenido",Q127),$A$26:$B$55),""))</f>
        <v/>
      </c>
      <c r="U127" s="572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4.4" thickBot="1">
      <c r="D128" s="575"/>
      <c r="E128" s="579">
        <f>+RIGHT(E125,2)*1-E126</f>
        <v>0</v>
      </c>
      <c r="F128" s="580" t="s">
        <v>351</v>
      </c>
      <c r="G128" s="581" t="str">
        <f ca="1">+IF(AND(E128&gt;0,E125&gt;=30),LOOKUP(CELL("contenido",E128),$C$26:$D$35),"")</f>
        <v/>
      </c>
      <c r="H128" s="582">
        <f>+RIGHT(H125,2)*1-H126</f>
        <v>0</v>
      </c>
      <c r="I128" s="583" t="s">
        <v>351</v>
      </c>
      <c r="J128" s="584" t="str">
        <f ca="1">+IF(AND(H128&gt;0,H125&gt;=30),LOOKUP(CELL("contenido",H128),$C$26:$D$35),"")</f>
        <v/>
      </c>
      <c r="K128" s="585">
        <f>+RIGHT(K125,2)*1-K126</f>
        <v>0</v>
      </c>
      <c r="L128" s="586" t="s">
        <v>351</v>
      </c>
      <c r="M128" s="587" t="str">
        <f ca="1">+IF(AND(K128&gt;0,K125&gt;=30),LOOKUP(CELL("contenido",K128),$C$26:$D$35),"")</f>
        <v/>
      </c>
      <c r="N128" s="588">
        <f>+RIGHT(N125,2)*1-N126</f>
        <v>0</v>
      </c>
      <c r="O128" s="589" t="s">
        <v>351</v>
      </c>
      <c r="P128" s="590" t="str">
        <f ca="1">+IF(AND(N128&gt;0,K130&gt;=30),LOOKUP(CELL("contenido",N128),$C$26:$D$35),"")</f>
        <v/>
      </c>
      <c r="Q128" s="591">
        <f>+RIGHT(Q125,2)*1-Q126</f>
        <v>0</v>
      </c>
      <c r="R128" s="592" t="s">
        <v>351</v>
      </c>
      <c r="S128" s="593" t="str">
        <f ca="1">+IF(AND(Q128&gt;0,N130&gt;=30),LOOKUP(CELL("contenido",Q128),$C$26:$D$35),"")</f>
        <v/>
      </c>
      <c r="U128" s="572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4.4" thickBot="1">
      <c r="D129" s="575"/>
      <c r="E129" s="579">
        <f>+RIGHT(E125,3)*1-E128-E126</f>
        <v>100</v>
      </c>
      <c r="F129" s="580" t="s">
        <v>353</v>
      </c>
      <c r="G129" s="581" t="str">
        <f ca="1">+IF((RIGHT(E125,3)*1)=100,"CIEN",IF(AND(E129&gt;0,E129&lt;1000),LOOKUP(CELL("contenido",E129),$E$26:$F$35),""))</f>
        <v>CIENTO</v>
      </c>
      <c r="H129" s="582">
        <f>+RIGHT(H125,3)*1-H128-H126</f>
        <v>0</v>
      </c>
      <c r="I129" s="583" t="s">
        <v>353</v>
      </c>
      <c r="J129" s="584" t="str">
        <f ca="1">+IF(H125=100,"CIEN",IF(AND(H129&gt;0,H129&lt;1000),LOOKUP(CELL("contenido",H129),$E$26:$F$35),""))</f>
        <v/>
      </c>
      <c r="K129" s="585">
        <f>+RIGHT(K125,3)*1-K128-K126</f>
        <v>0</v>
      </c>
      <c r="L129" s="586" t="s">
        <v>353</v>
      </c>
      <c r="M129" s="587" t="str">
        <f ca="1">+IF(K125=100,"CIEN",IF(AND(K129&gt;0,K129&lt;1000),LOOKUP(CELL("contenido",K129),$E$26:$F$35),""))</f>
        <v/>
      </c>
      <c r="N129" s="588">
        <f>+RIGHT(N125,3)*1-N128-N126</f>
        <v>0</v>
      </c>
      <c r="O129" s="589" t="s">
        <v>353</v>
      </c>
      <c r="P129" s="590" t="str">
        <f ca="1">+IF(N125=100,"CIEN",IF(AND(N129&gt;0,N129&lt;1000),LOOKUP(CELL("contenido",N129),$E$26:$F$35),""))</f>
        <v/>
      </c>
      <c r="Q129" s="591">
        <f>+RIGHT(Q125,3)*1-Q128-Q126</f>
        <v>0</v>
      </c>
      <c r="R129" s="592" t="s">
        <v>353</v>
      </c>
      <c r="S129" s="593" t="str">
        <f ca="1">+IF(Q125=100,"CIEN",IF(AND(Q129&gt;0,Q129&lt;1000),LOOKUP(CELL("contenido",Q129),$E$26:$F$35),""))</f>
        <v/>
      </c>
      <c r="U129" s="572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4.4" thickBot="1">
      <c r="D130" s="575"/>
      <c r="E130" s="595">
        <f>+RIGHT(E125,4)*1-E129-E128-E126</f>
        <v>0</v>
      </c>
      <c r="F130" s="596" t="s">
        <v>355</v>
      </c>
      <c r="G130" s="597" t="str">
        <f ca="1">+IF(E125&gt;999,"MIL",IF(AND(E130&gt;0,E130&lt;10000),LOOKUP(CELL("contenido",E130),$E$26:$F$35),""))</f>
        <v/>
      </c>
      <c r="H130" s="598">
        <f>INT(E125/1000000)</f>
        <v>0</v>
      </c>
      <c r="I130" s="599" t="s">
        <v>356</v>
      </c>
      <c r="J130" s="600" t="str">
        <f ca="1">+IF(CELL("contenido",M127)=1,"MILLÓN",IF(H130=1,"MILLÓN",IF(H130&gt;1,"MILLONES","")))</f>
        <v/>
      </c>
      <c r="K130" s="601">
        <f>+RIGHT(K125,4)*1-K129-K128-K126</f>
        <v>0</v>
      </c>
      <c r="L130" s="602" t="s">
        <v>357</v>
      </c>
      <c r="M130" s="603" t="str">
        <f ca="1">+IF(AND(K130&gt;0,K130&lt;10000),LOOKUP(CELL("contenido",K130),$E$26:$F$35),"")</f>
        <v/>
      </c>
      <c r="N130" s="604">
        <f>+RIGHT(N125,4)*1-N129-N128-N126</f>
        <v>0</v>
      </c>
      <c r="O130" s="605" t="s">
        <v>358</v>
      </c>
      <c r="P130" s="606" t="str">
        <f>+IF(N130=1,"UN MILLARDO",IF(N125&gt;1,"MILLARDOS",""))</f>
        <v/>
      </c>
      <c r="Q130" s="607">
        <f>+RIGHT(Q125,4)*1-Q129-Q128-Q126</f>
        <v>0</v>
      </c>
      <c r="R130" s="608" t="s">
        <v>358</v>
      </c>
      <c r="S130" s="609" t="str">
        <f>+IF(Q130=1,"UN MILLARDO",IF(Q125&gt;1,"MILLARDOS",""))</f>
        <v/>
      </c>
      <c r="U130" s="572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4.4" thickTop="1">
      <c r="D131" s="575"/>
      <c r="E131" s="572"/>
      <c r="F131" s="572"/>
      <c r="G131" s="572"/>
      <c r="H131" s="572"/>
      <c r="I131" s="572"/>
      <c r="J131" s="610"/>
      <c r="K131" s="610"/>
      <c r="L131" s="610"/>
      <c r="M131" s="573"/>
      <c r="N131" s="573"/>
      <c r="O131" s="573"/>
      <c r="P131" s="572"/>
      <c r="Q131" s="573"/>
      <c r="R131" s="573"/>
      <c r="S131" s="572"/>
      <c r="U131" s="572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 ht="13.8">
      <c r="D132" s="572" t="s">
        <v>368</v>
      </c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U132" s="569"/>
    </row>
    <row r="133" spans="4:21" ht="13.8">
      <c r="D133" s="575"/>
      <c r="E133" s="576">
        <f>ROUND(100*(A9-INT(A9)),2)</f>
        <v>80</v>
      </c>
      <c r="F133" s="572" t="s">
        <v>337</v>
      </c>
      <c r="G133" s="572"/>
      <c r="H133" s="572"/>
      <c r="I133" s="572"/>
      <c r="J133" s="572"/>
      <c r="K133" s="572"/>
      <c r="L133" s="572"/>
      <c r="M133" s="572"/>
      <c r="N133" s="572"/>
      <c r="O133" s="572"/>
      <c r="P133" s="572"/>
      <c r="Q133" s="572"/>
      <c r="R133" s="572"/>
      <c r="S133" s="572"/>
    </row>
    <row r="134" spans="4:21" ht="13.8">
      <c r="D134" s="572"/>
      <c r="E134" s="572">
        <f>+LEN(E136)</f>
        <v>1</v>
      </c>
      <c r="F134" s="572" t="s">
        <v>338</v>
      </c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</row>
    <row r="135" spans="4:21" ht="14.4" thickBot="1">
      <c r="D135" s="575"/>
      <c r="E135" s="572"/>
      <c r="F135" s="572"/>
      <c r="G135" s="572"/>
      <c r="H135" s="572"/>
      <c r="I135" s="572"/>
      <c r="J135" s="572"/>
      <c r="K135" s="572"/>
      <c r="L135" s="572"/>
      <c r="M135" s="572"/>
      <c r="N135" s="572"/>
      <c r="O135" s="572"/>
      <c r="P135" s="572"/>
      <c r="Q135" s="572"/>
      <c r="R135" s="572"/>
      <c r="S135" s="572"/>
    </row>
    <row r="136" spans="4:21" ht="15" thickTop="1" thickBot="1">
      <c r="D136" s="572"/>
      <c r="E136" s="577">
        <f>+A9-E133/100</f>
        <v>3</v>
      </c>
      <c r="F136" s="1387" t="s">
        <v>341</v>
      </c>
      <c r="G136" s="1388"/>
      <c r="H136" s="578">
        <f>+IF(E136&gt;1000,INT(E136/1000),0)</f>
        <v>0</v>
      </c>
      <c r="I136" s="1387" t="s">
        <v>342</v>
      </c>
      <c r="J136" s="1388"/>
      <c r="K136" s="578">
        <f>+INT(H136/1000)</f>
        <v>0</v>
      </c>
      <c r="L136" s="1387" t="s">
        <v>343</v>
      </c>
      <c r="M136" s="1388"/>
      <c r="N136" s="578">
        <f>+INT(K136/1000)</f>
        <v>0</v>
      </c>
      <c r="O136" s="1387" t="s">
        <v>344</v>
      </c>
      <c r="P136" s="1388"/>
      <c r="Q136" s="578">
        <f>+INT(N136)</f>
        <v>0</v>
      </c>
      <c r="R136" s="1387" t="s">
        <v>344</v>
      </c>
      <c r="S136" s="1388"/>
      <c r="U136" s="572" t="str">
        <f>+IF(E133=0,CONCATENATE("00",U137),IF(E133&lt;10,CONCATENATE(" 0",E133,U137),CONCATENATE(" ",E133,U137)))</f>
        <v xml:space="preserve"> 80/100 BOLIVIANOS</v>
      </c>
    </row>
    <row r="137" spans="4:21" ht="14.4" thickBot="1">
      <c r="D137" s="575"/>
      <c r="E137" s="579">
        <f>+RIGHT(E136)*1</f>
        <v>3</v>
      </c>
      <c r="F137" s="580" t="s">
        <v>346</v>
      </c>
      <c r="G137" s="581" t="str">
        <f ca="1">+IF(AND(E137&gt;0,E137&lt;10),LOOKUP(CELL("contenido",E137),$A$26:$B$35),"")</f>
        <v>TRES</v>
      </c>
      <c r="H137" s="582">
        <f>+RIGHT(H136)*1</f>
        <v>0</v>
      </c>
      <c r="I137" s="583" t="s">
        <v>346</v>
      </c>
      <c r="J137" s="584" t="str">
        <f ca="1">IF(E136&lt;2000,"",IF(CELL("contenido",H137)=1,"UN",IF(AND(H137&gt;0,H137&lt;10),LOOKUP(CELL("contenido",H137),$A$26:$B$35),"")))</f>
        <v/>
      </c>
      <c r="K137" s="585">
        <f>+RIGHT(K136)*1</f>
        <v>0</v>
      </c>
      <c r="L137" s="586" t="s">
        <v>346</v>
      </c>
      <c r="M137" s="587" t="str">
        <f ca="1">+IF(CELL("contenido",K137)=1,"UN",IF(AND(K137&gt;0,K137&lt;10),LOOKUP(CELL("contenido",K137),$A$26:$B$35),""))</f>
        <v/>
      </c>
      <c r="N137" s="588">
        <f>+RIGHT(N136)*1</f>
        <v>0</v>
      </c>
      <c r="O137" s="589" t="s">
        <v>346</v>
      </c>
      <c r="P137" s="590" t="str">
        <f ca="1">+IF(CELL("contenido",N137)=1,"UN",IF(AND(N137&gt;0,N137&lt;10),LOOKUP(CELL("contenido",N137),$A$26:$B$35),""))</f>
        <v/>
      </c>
      <c r="Q137" s="591">
        <f>+RIGHT(Q136)*1</f>
        <v>0</v>
      </c>
      <c r="R137" s="592" t="s">
        <v>346</v>
      </c>
      <c r="S137" s="593" t="str">
        <f ca="1">+IF(CELL("contenido",Q137)=1,"UN",IF(AND(Q137&gt;0,Q137&lt;10),LOOKUP(CELL("contenido",Q137),$A$26:$B$35),""))</f>
        <v/>
      </c>
      <c r="U137" s="594" t="s">
        <v>347</v>
      </c>
    </row>
    <row r="138" spans="4:21" ht="14.4" thickBot="1">
      <c r="D138" s="575"/>
      <c r="E138" s="579">
        <f>+RIGHT(E136,2)*1</f>
        <v>3</v>
      </c>
      <c r="F138" s="580" t="s">
        <v>349</v>
      </c>
      <c r="G138" s="581" t="str">
        <f ca="1">IF(AND(E138&gt;0,E138&lt;30),LOOKUP(CELL("contenido",E138),$A$26:$B$55),"")</f>
        <v>TRES</v>
      </c>
      <c r="H138" s="582">
        <f>+RIGHT(H136,2)*1</f>
        <v>0</v>
      </c>
      <c r="I138" s="583" t="s">
        <v>349</v>
      </c>
      <c r="J138" s="584" t="str">
        <f ca="1">IF(E136&lt;2000,"",IF(CELL("contenido",H138)=1,"UN",IF(AND(H138&gt;0,H138&lt;30),LOOKUP(CELL("contenido",H138),$A$26:$B$55),"")))</f>
        <v/>
      </c>
      <c r="K138" s="585">
        <f>+RIGHT(K136,2)*1</f>
        <v>0</v>
      </c>
      <c r="L138" s="586" t="s">
        <v>349</v>
      </c>
      <c r="M138" s="587" t="str">
        <f ca="1">IF(CELL("contenido",K138)=1,"UN",IF(AND(K138&gt;0,K138&lt;30),LOOKUP(CELL("contenido",K138),$A$26:$B$55),""))</f>
        <v/>
      </c>
      <c r="N138" s="588">
        <f>+RIGHT(N136,2)*1</f>
        <v>0</v>
      </c>
      <c r="O138" s="589" t="s">
        <v>349</v>
      </c>
      <c r="P138" s="590" t="str">
        <f ca="1">IF(CELL("contenido",N138)=1,"UN",IF(AND(N138&gt;0,N138&lt;30),LOOKUP(CELL("contenido",N138),$A$26:$B$55),""))</f>
        <v/>
      </c>
      <c r="Q138" s="591">
        <f>+RIGHT(Q136,2)*1</f>
        <v>0</v>
      </c>
      <c r="R138" s="592" t="s">
        <v>349</v>
      </c>
      <c r="S138" s="593" t="str">
        <f ca="1">IF(CELL("contenido",Q138)=1,"UN",IF(AND(Q138&gt;0,Q138&lt;30),LOOKUP(CELL("contenido",Q138),$A$26:$B$55),""))</f>
        <v/>
      </c>
      <c r="U138" s="572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4.4" thickBot="1">
      <c r="D139" s="575"/>
      <c r="E139" s="579">
        <f>+RIGHT(E136,2)*1-E137</f>
        <v>0</v>
      </c>
      <c r="F139" s="580" t="s">
        <v>351</v>
      </c>
      <c r="G139" s="581" t="str">
        <f ca="1">+IF(AND(E139&gt;0,E136&gt;=30),LOOKUP(CELL("contenido",E139),$C$26:$D$35),"")</f>
        <v/>
      </c>
      <c r="H139" s="582">
        <f>+RIGHT(H136,2)*1-H137</f>
        <v>0</v>
      </c>
      <c r="I139" s="583" t="s">
        <v>351</v>
      </c>
      <c r="J139" s="584" t="str">
        <f ca="1">+IF(AND(H139&gt;0,H136&gt;=30),LOOKUP(CELL("contenido",H139),$C$26:$D$35),"")</f>
        <v/>
      </c>
      <c r="K139" s="585">
        <f>+RIGHT(K136,2)*1-K137</f>
        <v>0</v>
      </c>
      <c r="L139" s="586" t="s">
        <v>351</v>
      </c>
      <c r="M139" s="587" t="str">
        <f ca="1">+IF(AND(K139&gt;0,K136&gt;=30),LOOKUP(CELL("contenido",K139),$C$26:$D$35),"")</f>
        <v/>
      </c>
      <c r="N139" s="588">
        <f>+RIGHT(N136,2)*1-N137</f>
        <v>0</v>
      </c>
      <c r="O139" s="589" t="s">
        <v>351</v>
      </c>
      <c r="P139" s="590" t="str">
        <f ca="1">+IF(AND(N139&gt;0,K141&gt;=30),LOOKUP(CELL("contenido",N139),$C$26:$D$35),"")</f>
        <v/>
      </c>
      <c r="Q139" s="591">
        <f>+RIGHT(Q136,2)*1-Q137</f>
        <v>0</v>
      </c>
      <c r="R139" s="592" t="s">
        <v>351</v>
      </c>
      <c r="S139" s="593" t="str">
        <f ca="1">+IF(AND(Q139&gt;0,N141&gt;=30),LOOKUP(CELL("contenido",Q139),$C$26:$D$35),"")</f>
        <v/>
      </c>
      <c r="U139" s="572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4.4" thickBot="1">
      <c r="D140" s="575"/>
      <c r="E140" s="579">
        <f>+RIGHT(E136,3)*1-E139-E137</f>
        <v>0</v>
      </c>
      <c r="F140" s="580" t="s">
        <v>353</v>
      </c>
      <c r="G140" s="581" t="str">
        <f ca="1">+IF((RIGHT(E136,3)*1)=100,"CIEN",IF(AND(E140&gt;0,E140&lt;1000),LOOKUP(CELL("contenido",E140),$E$26:$F$35),""))</f>
        <v/>
      </c>
      <c r="H140" s="582">
        <f>+RIGHT(H136,3)*1-H139-H137</f>
        <v>0</v>
      </c>
      <c r="I140" s="583" t="s">
        <v>353</v>
      </c>
      <c r="J140" s="584" t="str">
        <f ca="1">+IF(H136=100,"CIEN",IF(AND(H140&gt;0,H140&lt;1000),LOOKUP(CELL("contenido",H140),$E$26:$F$35),""))</f>
        <v/>
      </c>
      <c r="K140" s="585">
        <f>+RIGHT(K136,3)*1-K139-K137</f>
        <v>0</v>
      </c>
      <c r="L140" s="586" t="s">
        <v>353</v>
      </c>
      <c r="M140" s="587" t="str">
        <f ca="1">+IF(K136=100,"CIEN",IF(AND(K140&gt;0,K140&lt;1000),LOOKUP(CELL("contenido",K140),$E$26:$F$35),""))</f>
        <v/>
      </c>
      <c r="N140" s="588">
        <f>+RIGHT(N136,3)*1-N139-N137</f>
        <v>0</v>
      </c>
      <c r="O140" s="589" t="s">
        <v>353</v>
      </c>
      <c r="P140" s="590" t="str">
        <f ca="1">+IF(N136=100,"CIEN",IF(AND(N140&gt;0,N140&lt;1000),LOOKUP(CELL("contenido",N140),$E$26:$F$35),""))</f>
        <v/>
      </c>
      <c r="Q140" s="591">
        <f>+RIGHT(Q136,3)*1-Q139-Q137</f>
        <v>0</v>
      </c>
      <c r="R140" s="592" t="s">
        <v>353</v>
      </c>
      <c r="S140" s="593" t="str">
        <f ca="1">+IF(Q136=100,"CIEN",IF(AND(Q140&gt;0,Q140&lt;1000),LOOKUP(CELL("contenido",Q140),$E$26:$F$35),""))</f>
        <v/>
      </c>
      <c r="U140" s="572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4.4" thickBot="1">
      <c r="D141" s="575"/>
      <c r="E141" s="595">
        <f>+RIGHT(E136,4)*1-E140-E139-E137</f>
        <v>0</v>
      </c>
      <c r="F141" s="596" t="s">
        <v>355</v>
      </c>
      <c r="G141" s="597" t="str">
        <f ca="1">+IF(E136&gt;999,"MIL",IF(AND(E141&gt;0,E141&lt;10000),LOOKUP(CELL("contenido",E141),$E$26:$F$35),""))</f>
        <v/>
      </c>
      <c r="H141" s="598">
        <f>INT(E136/1000000)</f>
        <v>0</v>
      </c>
      <c r="I141" s="599" t="s">
        <v>356</v>
      </c>
      <c r="J141" s="600" t="str">
        <f ca="1">+IF(CELL("contenido",M138)=1,"MILLÓN",IF(H141=1,"MILLÓN",IF(H141&gt;1,"MILLONES","")))</f>
        <v/>
      </c>
      <c r="K141" s="601">
        <f>+RIGHT(K136,4)*1-K140-K139-K137</f>
        <v>0</v>
      </c>
      <c r="L141" s="602" t="s">
        <v>357</v>
      </c>
      <c r="M141" s="603" t="str">
        <f ca="1">+IF(AND(K141&gt;0,K141&lt;10000),LOOKUP(CELL("contenido",K141),$E$26:$F$35),"")</f>
        <v/>
      </c>
      <c r="N141" s="604">
        <f>+RIGHT(N136,4)*1-N140-N139-N137</f>
        <v>0</v>
      </c>
      <c r="O141" s="605" t="s">
        <v>358</v>
      </c>
      <c r="P141" s="606" t="str">
        <f>+IF(N141=1,"UN MILLARDO",IF(N136&gt;1,"MILLARDOS",""))</f>
        <v/>
      </c>
      <c r="Q141" s="607">
        <f>+RIGHT(Q136,4)*1-Q140-Q139-Q137</f>
        <v>0</v>
      </c>
      <c r="R141" s="608" t="s">
        <v>358</v>
      </c>
      <c r="S141" s="609" t="str">
        <f>+IF(Q141=1,"UN MILLARDO",IF(Q136&gt;1,"MILLARDOS",""))</f>
        <v/>
      </c>
      <c r="U141" s="572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4.4" thickTop="1">
      <c r="D142" s="575"/>
      <c r="E142" s="572"/>
      <c r="F142" s="572"/>
      <c r="G142" s="572"/>
      <c r="H142" s="572"/>
      <c r="I142" s="572"/>
      <c r="J142" s="610"/>
      <c r="K142" s="610"/>
      <c r="L142" s="610"/>
      <c r="M142" s="573"/>
      <c r="N142" s="573"/>
      <c r="O142" s="573"/>
      <c r="P142" s="572"/>
      <c r="Q142" s="573"/>
      <c r="R142" s="573"/>
      <c r="S142" s="572"/>
      <c r="U142" s="572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 ht="13.8">
      <c r="D143" s="572" t="s">
        <v>369</v>
      </c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72"/>
      <c r="P143" s="572"/>
      <c r="Q143" s="572"/>
      <c r="R143" s="572"/>
      <c r="S143" s="572"/>
      <c r="U143" s="569"/>
    </row>
    <row r="144" spans="4:21" ht="13.8">
      <c r="D144" s="575"/>
      <c r="E144" s="576">
        <f>ROUND(100*(A10-INT(A10)),2)</f>
        <v>31</v>
      </c>
      <c r="F144" s="572" t="s">
        <v>337</v>
      </c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</row>
    <row r="145" spans="4:21" ht="13.8">
      <c r="D145" s="572"/>
      <c r="E145" s="572">
        <f>+LEN(E147)</f>
        <v>1</v>
      </c>
      <c r="F145" s="572" t="s">
        <v>338</v>
      </c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</row>
    <row r="146" spans="4:21" ht="14.4" thickBot="1">
      <c r="D146" s="575"/>
      <c r="E146" s="572"/>
      <c r="F146" s="572"/>
      <c r="G146" s="572"/>
      <c r="H146" s="572"/>
      <c r="I146" s="572"/>
      <c r="J146" s="572"/>
      <c r="K146" s="572"/>
      <c r="L146" s="572"/>
      <c r="M146" s="572"/>
      <c r="N146" s="572"/>
      <c r="O146" s="572"/>
      <c r="P146" s="572"/>
      <c r="Q146" s="572"/>
      <c r="R146" s="572"/>
      <c r="S146" s="572"/>
    </row>
    <row r="147" spans="4:21" ht="15" thickTop="1" thickBot="1">
      <c r="D147" s="572"/>
      <c r="E147" s="577">
        <f>+A10-E144/100</f>
        <v>3.0000000000000004</v>
      </c>
      <c r="F147" s="1387" t="s">
        <v>341</v>
      </c>
      <c r="G147" s="1388"/>
      <c r="H147" s="578">
        <f>+IF(E147&gt;1000,INT(E147/1000),0)</f>
        <v>0</v>
      </c>
      <c r="I147" s="1387" t="s">
        <v>342</v>
      </c>
      <c r="J147" s="1388"/>
      <c r="K147" s="578">
        <f>+INT(H147/1000)</f>
        <v>0</v>
      </c>
      <c r="L147" s="1387" t="s">
        <v>343</v>
      </c>
      <c r="M147" s="1388"/>
      <c r="N147" s="578">
        <f>+INT(K147/1000)</f>
        <v>0</v>
      </c>
      <c r="O147" s="1387" t="s">
        <v>344</v>
      </c>
      <c r="P147" s="1388"/>
      <c r="Q147" s="578">
        <f>+INT(N147)</f>
        <v>0</v>
      </c>
      <c r="R147" s="1387" t="s">
        <v>344</v>
      </c>
      <c r="S147" s="1388"/>
      <c r="U147" s="572" t="str">
        <f>+IF(E144=0,CONCATENATE("00",U148),IF(E144&lt;10,CONCATENATE(" 0",E144,U148),CONCATENATE(" ",E144,U148)))</f>
        <v xml:space="preserve"> 31/100 BOLIVIANOS</v>
      </c>
    </row>
    <row r="148" spans="4:21" ht="14.4" thickBot="1">
      <c r="D148" s="575"/>
      <c r="E148" s="579">
        <f>+RIGHT(E147)*1</f>
        <v>3</v>
      </c>
      <c r="F148" s="580" t="s">
        <v>346</v>
      </c>
      <c r="G148" s="581" t="str">
        <f ca="1">+IF(AND(E148&gt;0,E148&lt;10),LOOKUP(CELL("contenido",E148),$A$26:$B$35),"")</f>
        <v>TRES</v>
      </c>
      <c r="H148" s="582">
        <f>+RIGHT(H147)*1</f>
        <v>0</v>
      </c>
      <c r="I148" s="583" t="s">
        <v>346</v>
      </c>
      <c r="J148" s="584" t="str">
        <f ca="1">IF(E147&lt;2000,"",IF(CELL("contenido",H148)=1,"UN",IF(AND(H148&gt;0,H148&lt;10),LOOKUP(CELL("contenido",H148),$A$26:$B$35),"")))</f>
        <v/>
      </c>
      <c r="K148" s="585">
        <f>+RIGHT(K147)*1</f>
        <v>0</v>
      </c>
      <c r="L148" s="586" t="s">
        <v>346</v>
      </c>
      <c r="M148" s="587" t="str">
        <f ca="1">+IF(CELL("contenido",K148)=1,"UN",IF(AND(K148&gt;0,K148&lt;10),LOOKUP(CELL("contenido",K148),$A$26:$B$35),""))</f>
        <v/>
      </c>
      <c r="N148" s="588">
        <f>+RIGHT(N147)*1</f>
        <v>0</v>
      </c>
      <c r="O148" s="589" t="s">
        <v>346</v>
      </c>
      <c r="P148" s="590" t="str">
        <f ca="1">+IF(CELL("contenido",N148)=1,"UN",IF(AND(N148&gt;0,N148&lt;10),LOOKUP(CELL("contenido",N148),$A$26:$B$35),""))</f>
        <v/>
      </c>
      <c r="Q148" s="591">
        <f>+RIGHT(Q147)*1</f>
        <v>0</v>
      </c>
      <c r="R148" s="592" t="s">
        <v>346</v>
      </c>
      <c r="S148" s="593" t="str">
        <f ca="1">+IF(CELL("contenido",Q148)=1,"UN",IF(AND(Q148&gt;0,Q148&lt;10),LOOKUP(CELL("contenido",Q148),$A$26:$B$35),""))</f>
        <v/>
      </c>
      <c r="U148" s="594" t="s">
        <v>347</v>
      </c>
    </row>
    <row r="149" spans="4:21" ht="14.4" thickBot="1">
      <c r="D149" s="575"/>
      <c r="E149" s="579">
        <f>+RIGHT(E147,2)*1</f>
        <v>3</v>
      </c>
      <c r="F149" s="580" t="s">
        <v>349</v>
      </c>
      <c r="G149" s="581" t="str">
        <f ca="1">IF(AND(E149&gt;0,E149&lt;30),LOOKUP(CELL("contenido",E149),$A$26:$B$55),"")</f>
        <v>TRES</v>
      </c>
      <c r="H149" s="582">
        <f>+RIGHT(H147,2)*1</f>
        <v>0</v>
      </c>
      <c r="I149" s="583" t="s">
        <v>349</v>
      </c>
      <c r="J149" s="584" t="str">
        <f ca="1">IF(E147&lt;2000,"",IF(CELL("contenido",H149)=1,"UN",IF(AND(H149&gt;0,H149&lt;30),LOOKUP(CELL("contenido",H149),$A$26:$B$55),"")))</f>
        <v/>
      </c>
      <c r="K149" s="585">
        <f>+RIGHT(K147,2)*1</f>
        <v>0</v>
      </c>
      <c r="L149" s="586" t="s">
        <v>349</v>
      </c>
      <c r="M149" s="587" t="str">
        <f ca="1">IF(CELL("contenido",K149)=1,"UN",IF(AND(K149&gt;0,K149&lt;30),LOOKUP(CELL("contenido",K149),$A$26:$B$55),""))</f>
        <v/>
      </c>
      <c r="N149" s="588">
        <f>+RIGHT(N147,2)*1</f>
        <v>0</v>
      </c>
      <c r="O149" s="589" t="s">
        <v>349</v>
      </c>
      <c r="P149" s="590" t="str">
        <f ca="1">IF(CELL("contenido",N149)=1,"UN",IF(AND(N149&gt;0,N149&lt;30),LOOKUP(CELL("contenido",N149),$A$26:$B$55),""))</f>
        <v/>
      </c>
      <c r="Q149" s="591">
        <f>+RIGHT(Q147,2)*1</f>
        <v>0</v>
      </c>
      <c r="R149" s="592" t="s">
        <v>349</v>
      </c>
      <c r="S149" s="593" t="str">
        <f ca="1">IF(CELL("contenido",Q149)=1,"UN",IF(AND(Q149&gt;0,Q149&lt;30),LOOKUP(CELL("contenido",Q149),$A$26:$B$55),""))</f>
        <v/>
      </c>
      <c r="U149" s="572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4.4" thickBot="1">
      <c r="D150" s="575"/>
      <c r="E150" s="579">
        <f>+RIGHT(E147,2)*1-E148</f>
        <v>0</v>
      </c>
      <c r="F150" s="580" t="s">
        <v>351</v>
      </c>
      <c r="G150" s="581" t="str">
        <f ca="1">+IF(AND(E150&gt;0,E147&gt;=30),LOOKUP(CELL("contenido",E150),$C$26:$D$35),"")</f>
        <v/>
      </c>
      <c r="H150" s="582">
        <f>+RIGHT(H147,2)*1-H148</f>
        <v>0</v>
      </c>
      <c r="I150" s="583" t="s">
        <v>351</v>
      </c>
      <c r="J150" s="584" t="str">
        <f ca="1">+IF(AND(H150&gt;0,H147&gt;=30),LOOKUP(CELL("contenido",H150),$C$26:$D$35),"")</f>
        <v/>
      </c>
      <c r="K150" s="585">
        <f>+RIGHT(K147,2)*1-K148</f>
        <v>0</v>
      </c>
      <c r="L150" s="586" t="s">
        <v>351</v>
      </c>
      <c r="M150" s="587" t="str">
        <f ca="1">+IF(AND(K150&gt;0,K147&gt;=30),LOOKUP(CELL("contenido",K150),$C$26:$D$35),"")</f>
        <v/>
      </c>
      <c r="N150" s="588">
        <f>+RIGHT(N147,2)*1-N148</f>
        <v>0</v>
      </c>
      <c r="O150" s="589" t="s">
        <v>351</v>
      </c>
      <c r="P150" s="590" t="str">
        <f ca="1">+IF(AND(N150&gt;0,K152&gt;=30),LOOKUP(CELL("contenido",N150),$C$26:$D$35),"")</f>
        <v/>
      </c>
      <c r="Q150" s="591">
        <f>+RIGHT(Q147,2)*1-Q148</f>
        <v>0</v>
      </c>
      <c r="R150" s="592" t="s">
        <v>351</v>
      </c>
      <c r="S150" s="593" t="str">
        <f ca="1">+IF(AND(Q150&gt;0,N152&gt;=30),LOOKUP(CELL("contenido",Q150),$C$26:$D$35),"")</f>
        <v/>
      </c>
      <c r="U150" s="572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4.4" thickBot="1">
      <c r="D151" s="575"/>
      <c r="E151" s="579">
        <f>+RIGHT(E147,3)*1-E150-E148</f>
        <v>0</v>
      </c>
      <c r="F151" s="580" t="s">
        <v>353</v>
      </c>
      <c r="G151" s="581" t="str">
        <f ca="1">+IF((RIGHT(E147,3)*1)=100,"CIEN",IF(AND(E151&gt;0,E151&lt;1000),LOOKUP(CELL("contenido",E151),$E$26:$F$35),""))</f>
        <v/>
      </c>
      <c r="H151" s="582">
        <f>+RIGHT(H147,3)*1-H150-H148</f>
        <v>0</v>
      </c>
      <c r="I151" s="583" t="s">
        <v>353</v>
      </c>
      <c r="J151" s="584" t="str">
        <f ca="1">+IF(H147=100,"CIEN",IF(AND(H151&gt;0,H151&lt;1000),LOOKUP(CELL("contenido",H151),$E$26:$F$35),""))</f>
        <v/>
      </c>
      <c r="K151" s="585">
        <f>+RIGHT(K147,3)*1-K150-K148</f>
        <v>0</v>
      </c>
      <c r="L151" s="586" t="s">
        <v>353</v>
      </c>
      <c r="M151" s="587" t="str">
        <f ca="1">+IF(K147=100,"CIEN",IF(AND(K151&gt;0,K151&lt;1000),LOOKUP(CELL("contenido",K151),$E$26:$F$35),""))</f>
        <v/>
      </c>
      <c r="N151" s="588">
        <f>+RIGHT(N147,3)*1-N150-N148</f>
        <v>0</v>
      </c>
      <c r="O151" s="589" t="s">
        <v>353</v>
      </c>
      <c r="P151" s="590" t="str">
        <f ca="1">+IF(N147=100,"CIEN",IF(AND(N151&gt;0,N151&lt;1000),LOOKUP(CELL("contenido",N151),$E$26:$F$35),""))</f>
        <v/>
      </c>
      <c r="Q151" s="591">
        <f>+RIGHT(Q147,3)*1-Q150-Q148</f>
        <v>0</v>
      </c>
      <c r="R151" s="592" t="s">
        <v>353</v>
      </c>
      <c r="S151" s="593" t="str">
        <f ca="1">+IF(Q147=100,"CIEN",IF(AND(Q151&gt;0,Q151&lt;1000),LOOKUP(CELL("contenido",Q151),$E$26:$F$35),""))</f>
        <v/>
      </c>
      <c r="U151" s="572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4.4" thickBot="1">
      <c r="D152" s="575"/>
      <c r="E152" s="595">
        <f>+RIGHT(E147,4)*1-E151-E150-E148</f>
        <v>0</v>
      </c>
      <c r="F152" s="596" t="s">
        <v>355</v>
      </c>
      <c r="G152" s="597" t="str">
        <f ca="1">+IF(E147&gt;999,"MIL",IF(AND(E152&gt;0,E152&lt;10000),LOOKUP(CELL("contenido",E152),$E$26:$F$35),""))</f>
        <v/>
      </c>
      <c r="H152" s="598">
        <f>INT(E147/1000000)</f>
        <v>0</v>
      </c>
      <c r="I152" s="599" t="s">
        <v>356</v>
      </c>
      <c r="J152" s="600" t="str">
        <f ca="1">+IF(CELL("contenido",M149)=1,"MILLÓN",IF(H152=1,"MILLÓN",IF(H152&gt;1,"MILLONES","")))</f>
        <v/>
      </c>
      <c r="K152" s="601">
        <f>+RIGHT(K147,4)*1-K151-K150-K148</f>
        <v>0</v>
      </c>
      <c r="L152" s="602" t="s">
        <v>357</v>
      </c>
      <c r="M152" s="603" t="str">
        <f ca="1">+IF(AND(K152&gt;0,K152&lt;10000),LOOKUP(CELL("contenido",K152),$E$26:$F$35),"")</f>
        <v/>
      </c>
      <c r="N152" s="604">
        <f>+RIGHT(N147,4)*1-N151-N150-N148</f>
        <v>0</v>
      </c>
      <c r="O152" s="605" t="s">
        <v>358</v>
      </c>
      <c r="P152" s="606" t="str">
        <f>+IF(N152=1,"UN MILLARDO",IF(N147&gt;1,"MILLARDOS",""))</f>
        <v/>
      </c>
      <c r="Q152" s="607">
        <f>+RIGHT(Q147,4)*1-Q151-Q150-Q148</f>
        <v>0</v>
      </c>
      <c r="R152" s="608" t="s">
        <v>358</v>
      </c>
      <c r="S152" s="609" t="str">
        <f>+IF(Q152=1,"UN MILLARDO",IF(Q147&gt;1,"MILLARDOS",""))</f>
        <v/>
      </c>
      <c r="U152" s="572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4.4" thickTop="1">
      <c r="D153" s="575"/>
      <c r="E153" s="572"/>
      <c r="F153" s="572"/>
      <c r="G153" s="572"/>
      <c r="H153" s="572"/>
      <c r="I153" s="572"/>
      <c r="J153" s="610"/>
      <c r="K153" s="610"/>
      <c r="L153" s="610"/>
      <c r="M153" s="573"/>
      <c r="N153" s="573"/>
      <c r="O153" s="573"/>
      <c r="P153" s="572"/>
      <c r="Q153" s="573"/>
      <c r="R153" s="573"/>
      <c r="S153" s="572"/>
      <c r="U153" s="572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 ht="13.8">
      <c r="D154" s="572" t="s">
        <v>370</v>
      </c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U154" s="569"/>
    </row>
    <row r="155" spans="4:21" ht="13.8">
      <c r="D155" s="575"/>
      <c r="E155" s="576">
        <f>ROUND(100*(A11-INT(A11)),2)</f>
        <v>37</v>
      </c>
      <c r="F155" s="572" t="s">
        <v>337</v>
      </c>
      <c r="G155" s="572"/>
      <c r="H155" s="572"/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</row>
    <row r="156" spans="4:21" ht="13.8">
      <c r="D156" s="572"/>
      <c r="E156" s="572">
        <f>+LEN(E158)</f>
        <v>1</v>
      </c>
      <c r="F156" s="572" t="s">
        <v>338</v>
      </c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</row>
    <row r="157" spans="4:21" ht="14.4" thickBot="1">
      <c r="D157" s="575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</row>
    <row r="158" spans="4:21" ht="15" thickTop="1" thickBot="1">
      <c r="D158" s="572"/>
      <c r="E158" s="577">
        <f>+A11-E155/100</f>
        <v>6</v>
      </c>
      <c r="F158" s="1387" t="s">
        <v>341</v>
      </c>
      <c r="G158" s="1388"/>
      <c r="H158" s="578">
        <f>+IF(E158&gt;1000,INT(E158/1000),0)</f>
        <v>0</v>
      </c>
      <c r="I158" s="1387" t="s">
        <v>342</v>
      </c>
      <c r="J158" s="1388"/>
      <c r="K158" s="578">
        <f>+INT(H158/1000)</f>
        <v>0</v>
      </c>
      <c r="L158" s="1387" t="s">
        <v>343</v>
      </c>
      <c r="M158" s="1388"/>
      <c r="N158" s="578">
        <f>+INT(K158/1000)</f>
        <v>0</v>
      </c>
      <c r="O158" s="1387" t="s">
        <v>344</v>
      </c>
      <c r="P158" s="1388"/>
      <c r="Q158" s="578">
        <f>+INT(N158)</f>
        <v>0</v>
      </c>
      <c r="R158" s="1387" t="s">
        <v>344</v>
      </c>
      <c r="S158" s="1388"/>
      <c r="U158" s="572" t="str">
        <f>+IF(E155=0,CONCATENATE("00",U159),IF(E155&lt;10,CONCATENATE(" 0",E155,U159),CONCATENATE(" ",E155,U159)))</f>
        <v xml:space="preserve"> 37/100 BOLIVIANOS</v>
      </c>
    </row>
    <row r="159" spans="4:21" ht="14.4" thickBot="1">
      <c r="D159" s="575"/>
      <c r="E159" s="579">
        <f>+RIGHT(E158)*1</f>
        <v>6</v>
      </c>
      <c r="F159" s="580" t="s">
        <v>346</v>
      </c>
      <c r="G159" s="581" t="str">
        <f ca="1">+IF(AND(E159&gt;0,E159&lt;10),LOOKUP(CELL("contenido",E159),$A$26:$B$35),"")</f>
        <v>SEIS</v>
      </c>
      <c r="H159" s="582">
        <f>+RIGHT(H158)*1</f>
        <v>0</v>
      </c>
      <c r="I159" s="583" t="s">
        <v>346</v>
      </c>
      <c r="J159" s="584" t="str">
        <f ca="1">IF(E158&lt;2000,"",IF(CELL("contenido",H159)=1,"UN",IF(AND(H159&gt;0,H159&lt;10),LOOKUP(CELL("contenido",H159),$A$26:$B$35),"")))</f>
        <v/>
      </c>
      <c r="K159" s="585">
        <f>+RIGHT(K158)*1</f>
        <v>0</v>
      </c>
      <c r="L159" s="586" t="s">
        <v>346</v>
      </c>
      <c r="M159" s="587" t="str">
        <f ca="1">+IF(CELL("contenido",K159)=1,"UN",IF(AND(K159&gt;0,K159&lt;10),LOOKUP(CELL("contenido",K159),$A$26:$B$35),""))</f>
        <v/>
      </c>
      <c r="N159" s="588">
        <f>+RIGHT(N158)*1</f>
        <v>0</v>
      </c>
      <c r="O159" s="589" t="s">
        <v>346</v>
      </c>
      <c r="P159" s="590" t="str">
        <f ca="1">+IF(CELL("contenido",N159)=1,"UN",IF(AND(N159&gt;0,N159&lt;10),LOOKUP(CELL("contenido",N159),$A$26:$B$35),""))</f>
        <v/>
      </c>
      <c r="Q159" s="591">
        <f>+RIGHT(Q158)*1</f>
        <v>0</v>
      </c>
      <c r="R159" s="592" t="s">
        <v>346</v>
      </c>
      <c r="S159" s="593" t="str">
        <f ca="1">+IF(CELL("contenido",Q159)=1,"UN",IF(AND(Q159&gt;0,Q159&lt;10),LOOKUP(CELL("contenido",Q159),$A$26:$B$35),""))</f>
        <v/>
      </c>
      <c r="U159" s="594" t="s">
        <v>347</v>
      </c>
    </row>
    <row r="160" spans="4:21" ht="14.4" thickBot="1">
      <c r="D160" s="575"/>
      <c r="E160" s="579">
        <f>+RIGHT(E158,2)*1</f>
        <v>6</v>
      </c>
      <c r="F160" s="580" t="s">
        <v>349</v>
      </c>
      <c r="G160" s="581" t="str">
        <f ca="1">IF(AND(E160&gt;0,E160&lt;30),LOOKUP(CELL("contenido",E160),$A$26:$B$55),"")</f>
        <v>SEIS</v>
      </c>
      <c r="H160" s="582">
        <f>+RIGHT(H158,2)*1</f>
        <v>0</v>
      </c>
      <c r="I160" s="583" t="s">
        <v>349</v>
      </c>
      <c r="J160" s="584" t="str">
        <f ca="1">IF(E158&lt;2000,"",IF(CELL("contenido",H160)=1,"UN",IF(AND(H160&gt;0,H160&lt;30),LOOKUP(CELL("contenido",H160),$A$26:$B$55),"")))</f>
        <v/>
      </c>
      <c r="K160" s="585">
        <f>+RIGHT(K158,2)*1</f>
        <v>0</v>
      </c>
      <c r="L160" s="586" t="s">
        <v>349</v>
      </c>
      <c r="M160" s="587" t="str">
        <f ca="1">IF(CELL("contenido",K160)=1,"UN",IF(AND(K160&gt;0,K160&lt;30),LOOKUP(CELL("contenido",K160),$A$26:$B$55),""))</f>
        <v/>
      </c>
      <c r="N160" s="588">
        <f>+RIGHT(N158,2)*1</f>
        <v>0</v>
      </c>
      <c r="O160" s="589" t="s">
        <v>349</v>
      </c>
      <c r="P160" s="590" t="str">
        <f ca="1">IF(CELL("contenido",N160)=1,"UN",IF(AND(N160&gt;0,N160&lt;30),LOOKUP(CELL("contenido",N160),$A$26:$B$55),""))</f>
        <v/>
      </c>
      <c r="Q160" s="591">
        <f>+RIGHT(Q158,2)*1</f>
        <v>0</v>
      </c>
      <c r="R160" s="592" t="s">
        <v>349</v>
      </c>
      <c r="S160" s="593" t="str">
        <f ca="1">IF(CELL("contenido",Q160)=1,"UN",IF(AND(Q160&gt;0,Q160&lt;30),LOOKUP(CELL("contenido",Q160),$A$26:$B$55),""))</f>
        <v/>
      </c>
      <c r="U160" s="572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4.4" thickBot="1">
      <c r="D161" s="575"/>
      <c r="E161" s="579">
        <f>+RIGHT(E158,2)*1-E159</f>
        <v>0</v>
      </c>
      <c r="F161" s="580" t="s">
        <v>351</v>
      </c>
      <c r="G161" s="581" t="str">
        <f ca="1">+IF(AND(E161&gt;0,E158&gt;=30),LOOKUP(CELL("contenido",E161),$C$26:$D$35),"")</f>
        <v/>
      </c>
      <c r="H161" s="582">
        <f>+RIGHT(H158,2)*1-H159</f>
        <v>0</v>
      </c>
      <c r="I161" s="583" t="s">
        <v>351</v>
      </c>
      <c r="J161" s="584" t="str">
        <f ca="1">+IF(AND(H161&gt;0,H158&gt;=30),LOOKUP(CELL("contenido",H161),$C$26:$D$35),"")</f>
        <v/>
      </c>
      <c r="K161" s="585">
        <f>+RIGHT(K158,2)*1-K159</f>
        <v>0</v>
      </c>
      <c r="L161" s="586" t="s">
        <v>351</v>
      </c>
      <c r="M161" s="587" t="str">
        <f ca="1">+IF(AND(K161&gt;0,K158&gt;=30),LOOKUP(CELL("contenido",K161),$C$26:$D$35),"")</f>
        <v/>
      </c>
      <c r="N161" s="588">
        <f>+RIGHT(N158,2)*1-N159</f>
        <v>0</v>
      </c>
      <c r="O161" s="589" t="s">
        <v>351</v>
      </c>
      <c r="P161" s="590" t="str">
        <f ca="1">+IF(AND(N161&gt;0,K163&gt;=30),LOOKUP(CELL("contenido",N161),$C$26:$D$35),"")</f>
        <v/>
      </c>
      <c r="Q161" s="591">
        <f>+RIGHT(Q158,2)*1-Q159</f>
        <v>0</v>
      </c>
      <c r="R161" s="592" t="s">
        <v>351</v>
      </c>
      <c r="S161" s="593" t="str">
        <f ca="1">+IF(AND(Q161&gt;0,N163&gt;=30),LOOKUP(CELL("contenido",Q161),$C$26:$D$35),"")</f>
        <v/>
      </c>
      <c r="U161" s="572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4.4" thickBot="1">
      <c r="D162" s="575"/>
      <c r="E162" s="579">
        <f>+RIGHT(E158,3)*1-E161-E159</f>
        <v>0</v>
      </c>
      <c r="F162" s="580" t="s">
        <v>353</v>
      </c>
      <c r="G162" s="581" t="str">
        <f ca="1">+IF((RIGHT(E158,3)*1)=100,"CIEN",IF(AND(E162&gt;0,E162&lt;1000),LOOKUP(CELL("contenido",E162),$E$26:$F$35),""))</f>
        <v/>
      </c>
      <c r="H162" s="582">
        <f>+RIGHT(H158,3)*1-H161-H159</f>
        <v>0</v>
      </c>
      <c r="I162" s="583" t="s">
        <v>353</v>
      </c>
      <c r="J162" s="584" t="str">
        <f ca="1">+IF(H158=100,"CIEN",IF(AND(H162&gt;0,H162&lt;1000),LOOKUP(CELL("contenido",H162),$E$26:$F$35),""))</f>
        <v/>
      </c>
      <c r="K162" s="585">
        <f>+RIGHT(K158,3)*1-K161-K159</f>
        <v>0</v>
      </c>
      <c r="L162" s="586" t="s">
        <v>353</v>
      </c>
      <c r="M162" s="587" t="str">
        <f ca="1">+IF(K158=100,"CIEN",IF(AND(K162&gt;0,K162&lt;1000),LOOKUP(CELL("contenido",K162),$E$26:$F$35),""))</f>
        <v/>
      </c>
      <c r="N162" s="588">
        <f>+RIGHT(N158,3)*1-N161-N159</f>
        <v>0</v>
      </c>
      <c r="O162" s="589" t="s">
        <v>353</v>
      </c>
      <c r="P162" s="590" t="str">
        <f ca="1">+IF(N158=100,"CIEN",IF(AND(N162&gt;0,N162&lt;1000),LOOKUP(CELL("contenido",N162),$E$26:$F$35),""))</f>
        <v/>
      </c>
      <c r="Q162" s="591">
        <f>+RIGHT(Q158,3)*1-Q161-Q159</f>
        <v>0</v>
      </c>
      <c r="R162" s="592" t="s">
        <v>353</v>
      </c>
      <c r="S162" s="593" t="str">
        <f ca="1">+IF(Q158=100,"CIEN",IF(AND(Q162&gt;0,Q162&lt;1000),LOOKUP(CELL("contenido",Q162),$E$26:$F$35),""))</f>
        <v/>
      </c>
      <c r="U162" s="572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4.4" thickBot="1">
      <c r="D163" s="575"/>
      <c r="E163" s="595">
        <f>+RIGHT(E158,4)*1-E162-E161-E159</f>
        <v>0</v>
      </c>
      <c r="F163" s="596" t="s">
        <v>355</v>
      </c>
      <c r="G163" s="597" t="str">
        <f ca="1">+IF(E158&gt;999,"MIL",IF(AND(E163&gt;0,E163&lt;10000),LOOKUP(CELL("contenido",E163),$E$26:$F$35),""))</f>
        <v/>
      </c>
      <c r="H163" s="598">
        <f>INT(E158/1000000)</f>
        <v>0</v>
      </c>
      <c r="I163" s="599" t="s">
        <v>356</v>
      </c>
      <c r="J163" s="600" t="str">
        <f ca="1">+IF(CELL("contenido",M160)=1,"MILLÓN",IF(H163=1,"MILLÓN",IF(H163&gt;1,"MILLONES","")))</f>
        <v/>
      </c>
      <c r="K163" s="601">
        <f>+RIGHT(K158,4)*1-K162-K161-K159</f>
        <v>0</v>
      </c>
      <c r="L163" s="602" t="s">
        <v>357</v>
      </c>
      <c r="M163" s="603" t="str">
        <f ca="1">+IF(AND(K163&gt;0,K163&lt;10000),LOOKUP(CELL("contenido",K163),$E$26:$F$35),"")</f>
        <v/>
      </c>
      <c r="N163" s="604">
        <f>+RIGHT(N158,4)*1-N162-N161-N159</f>
        <v>0</v>
      </c>
      <c r="O163" s="605" t="s">
        <v>358</v>
      </c>
      <c r="P163" s="606" t="str">
        <f>+IF(N163=1,"UN MILLARDO",IF(N158&gt;1,"MILLARDOS",""))</f>
        <v/>
      </c>
      <c r="Q163" s="607">
        <f>+RIGHT(Q158,4)*1-Q162-Q161-Q159</f>
        <v>0</v>
      </c>
      <c r="R163" s="608" t="s">
        <v>358</v>
      </c>
      <c r="S163" s="609" t="str">
        <f>+IF(Q163=1,"UN MILLARDO",IF(Q158&gt;1,"MILLARDOS",""))</f>
        <v/>
      </c>
      <c r="U163" s="572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4.4" thickTop="1">
      <c r="D164" s="575"/>
      <c r="E164" s="572"/>
      <c r="F164" s="572"/>
      <c r="G164" s="572"/>
      <c r="H164" s="572"/>
      <c r="I164" s="572"/>
      <c r="J164" s="610"/>
      <c r="K164" s="610"/>
      <c r="L164" s="610"/>
      <c r="M164" s="573"/>
      <c r="N164" s="573"/>
      <c r="O164" s="573"/>
      <c r="P164" s="572"/>
      <c r="Q164" s="573"/>
      <c r="R164" s="573"/>
      <c r="S164" s="572"/>
      <c r="U164" s="572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 ht="13.8">
      <c r="D165" s="572" t="s">
        <v>371</v>
      </c>
      <c r="E165" s="572"/>
      <c r="F165" s="572"/>
      <c r="G165" s="572"/>
      <c r="H165" s="572"/>
      <c r="I165" s="572"/>
      <c r="J165" s="572"/>
      <c r="K165" s="572"/>
      <c r="L165" s="572"/>
      <c r="M165" s="572"/>
      <c r="N165" s="572"/>
      <c r="O165" s="572"/>
      <c r="P165" s="572"/>
      <c r="Q165" s="572"/>
      <c r="R165" s="572"/>
      <c r="S165" s="572"/>
      <c r="U165" s="569"/>
    </row>
    <row r="166" spans="4:21" ht="13.8">
      <c r="D166" s="575"/>
      <c r="E166" s="576">
        <f>ROUND(100*(A12-INT(A12)),2)</f>
        <v>23</v>
      </c>
      <c r="F166" s="572" t="s">
        <v>337</v>
      </c>
      <c r="G166" s="572"/>
      <c r="H166" s="572"/>
      <c r="I166" s="572"/>
      <c r="J166" s="572"/>
      <c r="K166" s="572"/>
      <c r="L166" s="572"/>
      <c r="M166" s="572"/>
      <c r="N166" s="572"/>
      <c r="O166" s="572"/>
      <c r="P166" s="572"/>
      <c r="Q166" s="572"/>
      <c r="R166" s="572"/>
      <c r="S166" s="572"/>
    </row>
    <row r="167" spans="4:21" ht="13.8">
      <c r="D167" s="572"/>
      <c r="E167" s="572">
        <f>+LEN(E169)</f>
        <v>2</v>
      </c>
      <c r="F167" s="572" t="s">
        <v>338</v>
      </c>
      <c r="G167" s="572"/>
      <c r="H167" s="572"/>
      <c r="I167" s="572"/>
      <c r="J167" s="572"/>
      <c r="K167" s="572"/>
      <c r="L167" s="572"/>
      <c r="M167" s="572"/>
      <c r="N167" s="572"/>
      <c r="O167" s="572"/>
      <c r="P167" s="572"/>
      <c r="Q167" s="572"/>
      <c r="R167" s="572"/>
      <c r="S167" s="572"/>
    </row>
    <row r="168" spans="4:21" ht="14.4" thickBot="1">
      <c r="D168" s="575"/>
      <c r="E168" s="572"/>
      <c r="F168" s="572"/>
      <c r="G168" s="572"/>
      <c r="H168" s="572"/>
      <c r="I168" s="572"/>
      <c r="J168" s="572"/>
      <c r="K168" s="572"/>
      <c r="L168" s="572"/>
      <c r="M168" s="572"/>
      <c r="N168" s="572"/>
      <c r="O168" s="572"/>
      <c r="P168" s="572"/>
      <c r="Q168" s="572"/>
      <c r="R168" s="572"/>
      <c r="S168" s="572"/>
    </row>
    <row r="169" spans="4:21" ht="15" thickTop="1" thickBot="1">
      <c r="D169" s="572"/>
      <c r="E169" s="577">
        <f>+A12-E166/100</f>
        <v>13</v>
      </c>
      <c r="F169" s="1387" t="s">
        <v>341</v>
      </c>
      <c r="G169" s="1388"/>
      <c r="H169" s="578">
        <f>+IF(E169&gt;1000,INT(E169/1000),0)</f>
        <v>0</v>
      </c>
      <c r="I169" s="1387" t="s">
        <v>342</v>
      </c>
      <c r="J169" s="1388"/>
      <c r="K169" s="578">
        <f>+INT(H169/1000)</f>
        <v>0</v>
      </c>
      <c r="L169" s="1387" t="s">
        <v>343</v>
      </c>
      <c r="M169" s="1388"/>
      <c r="N169" s="578">
        <f>+INT(K169/1000)</f>
        <v>0</v>
      </c>
      <c r="O169" s="1387" t="s">
        <v>344</v>
      </c>
      <c r="P169" s="1388"/>
      <c r="Q169" s="578">
        <f>+INT(N169)</f>
        <v>0</v>
      </c>
      <c r="R169" s="1387" t="s">
        <v>344</v>
      </c>
      <c r="S169" s="1388"/>
      <c r="U169" s="572" t="str">
        <f>+IF(E166=0,CONCATENATE("00",U170),IF(E166&lt;10,CONCATENATE(" 0",E166,U170),CONCATENATE(" ",E166,U170)))</f>
        <v xml:space="preserve"> 23/100 BOLIVIANOS</v>
      </c>
    </row>
    <row r="170" spans="4:21" ht="14.4" thickBot="1">
      <c r="D170" s="575"/>
      <c r="E170" s="579">
        <f>+RIGHT(E169)*1</f>
        <v>3</v>
      </c>
      <c r="F170" s="580" t="s">
        <v>346</v>
      </c>
      <c r="G170" s="581" t="str">
        <f ca="1">+IF(AND(E170&gt;0,E170&lt;10),LOOKUP(CELL("contenido",E170),$A$26:$B$35),"")</f>
        <v>TRES</v>
      </c>
      <c r="H170" s="582">
        <f>+RIGHT(H169)*1</f>
        <v>0</v>
      </c>
      <c r="I170" s="583" t="s">
        <v>346</v>
      </c>
      <c r="J170" s="584" t="str">
        <f ca="1">IF(E169&lt;2000,"",IF(CELL("contenido",H170)=1,"UN",IF(AND(H170&gt;0,H170&lt;10),LOOKUP(CELL("contenido",H170),$A$26:$B$35),"")))</f>
        <v/>
      </c>
      <c r="K170" s="585">
        <f>+RIGHT(K169)*1</f>
        <v>0</v>
      </c>
      <c r="L170" s="586" t="s">
        <v>346</v>
      </c>
      <c r="M170" s="587" t="str">
        <f ca="1">+IF(CELL("contenido",K170)=1,"UN",IF(AND(K170&gt;0,K170&lt;10),LOOKUP(CELL("contenido",K170),$A$26:$B$35),""))</f>
        <v/>
      </c>
      <c r="N170" s="588">
        <f>+RIGHT(N169)*1</f>
        <v>0</v>
      </c>
      <c r="O170" s="589" t="s">
        <v>346</v>
      </c>
      <c r="P170" s="590" t="str">
        <f ca="1">+IF(CELL("contenido",N170)=1,"UN",IF(AND(N170&gt;0,N170&lt;10),LOOKUP(CELL("contenido",N170),$A$26:$B$35),""))</f>
        <v/>
      </c>
      <c r="Q170" s="591">
        <f>+RIGHT(Q169)*1</f>
        <v>0</v>
      </c>
      <c r="R170" s="592" t="s">
        <v>346</v>
      </c>
      <c r="S170" s="593" t="str">
        <f ca="1">+IF(CELL("contenido",Q170)=1,"UN",IF(AND(Q170&gt;0,Q170&lt;10),LOOKUP(CELL("contenido",Q170),$A$26:$B$35),""))</f>
        <v/>
      </c>
      <c r="U170" s="594" t="s">
        <v>347</v>
      </c>
    </row>
    <row r="171" spans="4:21" ht="14.4" thickBot="1">
      <c r="D171" s="575"/>
      <c r="E171" s="579">
        <f>+RIGHT(E169,2)*1</f>
        <v>13</v>
      </c>
      <c r="F171" s="580" t="s">
        <v>349</v>
      </c>
      <c r="G171" s="581" t="str">
        <f ca="1">IF(AND(E171&gt;0,E171&lt;30),LOOKUP(CELL("contenido",E171),$A$26:$B$55),"")</f>
        <v>TRECE</v>
      </c>
      <c r="H171" s="582">
        <f>+RIGHT(H169,2)*1</f>
        <v>0</v>
      </c>
      <c r="I171" s="583" t="s">
        <v>349</v>
      </c>
      <c r="J171" s="584" t="str">
        <f ca="1">IF(E169&lt;2000,"",IF(CELL("contenido",H171)=1,"UN",IF(AND(H171&gt;0,H171&lt;30),LOOKUP(CELL("contenido",H171),$A$26:$B$55),"")))</f>
        <v/>
      </c>
      <c r="K171" s="585">
        <f>+RIGHT(K169,2)*1</f>
        <v>0</v>
      </c>
      <c r="L171" s="586" t="s">
        <v>349</v>
      </c>
      <c r="M171" s="587" t="str">
        <f ca="1">IF(CELL("contenido",K171)=1,"UN",IF(AND(K171&gt;0,K171&lt;30),LOOKUP(CELL("contenido",K171),$A$26:$B$55),""))</f>
        <v/>
      </c>
      <c r="N171" s="588">
        <f>+RIGHT(N169,2)*1</f>
        <v>0</v>
      </c>
      <c r="O171" s="589" t="s">
        <v>349</v>
      </c>
      <c r="P171" s="590" t="str">
        <f ca="1">IF(CELL("contenido",N171)=1,"UN",IF(AND(N171&gt;0,N171&lt;30),LOOKUP(CELL("contenido",N171),$A$26:$B$55),""))</f>
        <v/>
      </c>
      <c r="Q171" s="591">
        <f>+RIGHT(Q169,2)*1</f>
        <v>0</v>
      </c>
      <c r="R171" s="592" t="s">
        <v>349</v>
      </c>
      <c r="S171" s="593" t="str">
        <f ca="1">IF(CELL("contenido",Q171)=1,"UN",IF(AND(Q171&gt;0,Q171&lt;30),LOOKUP(CELL("contenido",Q171),$A$26:$B$55),""))</f>
        <v/>
      </c>
      <c r="U171" s="572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4.4" thickBot="1">
      <c r="D172" s="575"/>
      <c r="E172" s="579">
        <f>+RIGHT(E169,2)*1-E170</f>
        <v>10</v>
      </c>
      <c r="F172" s="580" t="s">
        <v>351</v>
      </c>
      <c r="G172" s="581" t="str">
        <f ca="1">+IF(AND(E172&gt;0,E169&gt;=30),LOOKUP(CELL("contenido",E172),$C$26:$D$35),"")</f>
        <v/>
      </c>
      <c r="H172" s="582">
        <f>+RIGHT(H169,2)*1-H170</f>
        <v>0</v>
      </c>
      <c r="I172" s="583" t="s">
        <v>351</v>
      </c>
      <c r="J172" s="584" t="str">
        <f ca="1">+IF(AND(H172&gt;0,H169&gt;=30),LOOKUP(CELL("contenido",H172),$C$26:$D$35),"")</f>
        <v/>
      </c>
      <c r="K172" s="585">
        <f>+RIGHT(K169,2)*1-K170</f>
        <v>0</v>
      </c>
      <c r="L172" s="586" t="s">
        <v>351</v>
      </c>
      <c r="M172" s="587" t="str">
        <f ca="1">+IF(AND(K172&gt;0,K169&gt;=30),LOOKUP(CELL("contenido",K172),$C$26:$D$35),"")</f>
        <v/>
      </c>
      <c r="N172" s="588">
        <f>+RIGHT(N169,2)*1-N170</f>
        <v>0</v>
      </c>
      <c r="O172" s="589" t="s">
        <v>351</v>
      </c>
      <c r="P172" s="590" t="str">
        <f ca="1">+IF(AND(N172&gt;0,K174&gt;=30),LOOKUP(CELL("contenido",N172),$C$26:$D$35),"")</f>
        <v/>
      </c>
      <c r="Q172" s="591">
        <f>+RIGHT(Q169,2)*1-Q170</f>
        <v>0</v>
      </c>
      <c r="R172" s="592" t="s">
        <v>351</v>
      </c>
      <c r="S172" s="593" t="str">
        <f ca="1">+IF(AND(Q172&gt;0,N174&gt;=30),LOOKUP(CELL("contenido",Q172),$C$26:$D$35),"")</f>
        <v/>
      </c>
      <c r="U172" s="572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4.4" thickBot="1">
      <c r="D173" s="575"/>
      <c r="E173" s="579">
        <f>+RIGHT(E169,3)*1-E172-E170</f>
        <v>0</v>
      </c>
      <c r="F173" s="580" t="s">
        <v>353</v>
      </c>
      <c r="G173" s="581" t="str">
        <f ca="1">+IF((RIGHT(E169,3)*1)=100,"CIEN",IF(AND(E173&gt;0,E173&lt;1000),LOOKUP(CELL("contenido",E173),$E$26:$F$35),""))</f>
        <v/>
      </c>
      <c r="H173" s="582">
        <f>+RIGHT(H169,3)*1-H172-H170</f>
        <v>0</v>
      </c>
      <c r="I173" s="583" t="s">
        <v>353</v>
      </c>
      <c r="J173" s="584" t="str">
        <f ca="1">+IF(H169=100,"CIEN",IF(AND(H173&gt;0,H173&lt;1000),LOOKUP(CELL("contenido",H173),$E$26:$F$35),""))</f>
        <v/>
      </c>
      <c r="K173" s="585">
        <f>+RIGHT(K169,3)*1-K172-K170</f>
        <v>0</v>
      </c>
      <c r="L173" s="586" t="s">
        <v>353</v>
      </c>
      <c r="M173" s="587" t="str">
        <f ca="1">+IF(K169=100,"CIEN",IF(AND(K173&gt;0,K173&lt;1000),LOOKUP(CELL("contenido",K173),$E$26:$F$35),""))</f>
        <v/>
      </c>
      <c r="N173" s="588">
        <f>+RIGHT(N169,3)*1-N172-N170</f>
        <v>0</v>
      </c>
      <c r="O173" s="589" t="s">
        <v>353</v>
      </c>
      <c r="P173" s="590" t="str">
        <f ca="1">+IF(N169=100,"CIEN",IF(AND(N173&gt;0,N173&lt;1000),LOOKUP(CELL("contenido",N173),$E$26:$F$35),""))</f>
        <v/>
      </c>
      <c r="Q173" s="591">
        <f>+RIGHT(Q169,3)*1-Q172-Q170</f>
        <v>0</v>
      </c>
      <c r="R173" s="592" t="s">
        <v>353</v>
      </c>
      <c r="S173" s="593" t="str">
        <f ca="1">+IF(Q169=100,"CIEN",IF(AND(Q173&gt;0,Q173&lt;1000),LOOKUP(CELL("contenido",Q173),$E$26:$F$35),""))</f>
        <v/>
      </c>
      <c r="U173" s="572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4.4" thickBot="1">
      <c r="D174" s="575"/>
      <c r="E174" s="595">
        <f>+RIGHT(E169,4)*1-E173-E172-E170</f>
        <v>0</v>
      </c>
      <c r="F174" s="596" t="s">
        <v>355</v>
      </c>
      <c r="G174" s="597" t="str">
        <f ca="1">+IF(E169&gt;999,"MIL",IF(AND(E174&gt;0,E174&lt;10000),LOOKUP(CELL("contenido",E174),$E$26:$F$35),""))</f>
        <v/>
      </c>
      <c r="H174" s="598">
        <f>INT(E169/1000000)</f>
        <v>0</v>
      </c>
      <c r="I174" s="599" t="s">
        <v>356</v>
      </c>
      <c r="J174" s="600" t="str">
        <f ca="1">+IF(CELL("contenido",M171)=1,"MILLÓN",IF(H174=1,"MILLÓN",IF(H174&gt;1,"MILLONES","")))</f>
        <v/>
      </c>
      <c r="K174" s="601">
        <f>+RIGHT(K169,4)*1-K173-K172-K170</f>
        <v>0</v>
      </c>
      <c r="L174" s="602" t="s">
        <v>357</v>
      </c>
      <c r="M174" s="603" t="str">
        <f ca="1">+IF(AND(K174&gt;0,K174&lt;10000),LOOKUP(CELL("contenido",K174),$E$26:$F$35),"")</f>
        <v/>
      </c>
      <c r="N174" s="604">
        <f>+RIGHT(N169,4)*1-N173-N172-N170</f>
        <v>0</v>
      </c>
      <c r="O174" s="605" t="s">
        <v>358</v>
      </c>
      <c r="P174" s="606" t="str">
        <f>+IF(N174=1,"UN MILLARDO",IF(N169&gt;1,"MILLARDOS",""))</f>
        <v/>
      </c>
      <c r="Q174" s="607">
        <f>+RIGHT(Q169,4)*1-Q173-Q172-Q170</f>
        <v>0</v>
      </c>
      <c r="R174" s="608" t="s">
        <v>358</v>
      </c>
      <c r="S174" s="609" t="str">
        <f>+IF(Q174=1,"UN MILLARDO",IF(Q169&gt;1,"MILLARDOS",""))</f>
        <v/>
      </c>
      <c r="U174" s="572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4.4" thickTop="1">
      <c r="D175" s="575"/>
      <c r="E175" s="572"/>
      <c r="F175" s="572"/>
      <c r="G175" s="572"/>
      <c r="H175" s="572"/>
      <c r="I175" s="572"/>
      <c r="J175" s="610"/>
      <c r="K175" s="610"/>
      <c r="L175" s="610"/>
      <c r="M175" s="573"/>
      <c r="N175" s="573"/>
      <c r="O175" s="573"/>
      <c r="P175" s="572"/>
      <c r="Q175" s="573"/>
      <c r="R175" s="573"/>
      <c r="S175" s="572"/>
      <c r="U175" s="572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 ht="13.8">
      <c r="D176" s="572" t="s">
        <v>372</v>
      </c>
      <c r="E176" s="572"/>
      <c r="F176" s="572"/>
      <c r="G176" s="572"/>
      <c r="H176" s="572"/>
      <c r="I176" s="572"/>
      <c r="J176" s="572"/>
      <c r="K176" s="572"/>
      <c r="L176" s="572"/>
      <c r="M176" s="572"/>
      <c r="N176" s="572"/>
      <c r="O176" s="572"/>
      <c r="P176" s="572"/>
      <c r="Q176" s="572"/>
      <c r="R176" s="572"/>
      <c r="S176" s="572"/>
      <c r="U176" s="569"/>
    </row>
    <row r="177" spans="4:21" ht="13.8">
      <c r="D177" s="575"/>
      <c r="E177" s="576">
        <f>ROUND(100*(A13-INT(A13)),2)</f>
        <v>96</v>
      </c>
      <c r="F177" s="572" t="s">
        <v>337</v>
      </c>
      <c r="G177" s="572"/>
      <c r="H177" s="572"/>
      <c r="I177" s="572"/>
      <c r="J177" s="572"/>
      <c r="K177" s="572"/>
      <c r="L177" s="572"/>
      <c r="M177" s="572"/>
      <c r="N177" s="572"/>
      <c r="O177" s="572"/>
      <c r="P177" s="572"/>
      <c r="Q177" s="572"/>
      <c r="R177" s="572"/>
      <c r="S177" s="572"/>
    </row>
    <row r="178" spans="4:21" ht="13.8">
      <c r="D178" s="572"/>
      <c r="E178" s="572">
        <f>+LEN(E180)</f>
        <v>2</v>
      </c>
      <c r="F178" s="572" t="s">
        <v>338</v>
      </c>
      <c r="G178" s="572"/>
      <c r="H178" s="572"/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</row>
    <row r="179" spans="4:21" ht="14.4" thickBot="1">
      <c r="D179" s="575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</row>
    <row r="180" spans="4:21" ht="15" thickTop="1" thickBot="1">
      <c r="D180" s="572"/>
      <c r="E180" s="577">
        <f>+A13-E177/100</f>
        <v>20</v>
      </c>
      <c r="F180" s="1387" t="s">
        <v>341</v>
      </c>
      <c r="G180" s="1388"/>
      <c r="H180" s="578">
        <f>+IF(E180&gt;1000,INT(E180/1000),0)</f>
        <v>0</v>
      </c>
      <c r="I180" s="1387" t="s">
        <v>342</v>
      </c>
      <c r="J180" s="1388"/>
      <c r="K180" s="578">
        <f>+INT(H180/1000)</f>
        <v>0</v>
      </c>
      <c r="L180" s="1387" t="s">
        <v>343</v>
      </c>
      <c r="M180" s="1388"/>
      <c r="N180" s="578">
        <f>+INT(K180/1000)</f>
        <v>0</v>
      </c>
      <c r="O180" s="1387" t="s">
        <v>344</v>
      </c>
      <c r="P180" s="1388"/>
      <c r="Q180" s="578">
        <f>+INT(N180)</f>
        <v>0</v>
      </c>
      <c r="R180" s="1387" t="s">
        <v>344</v>
      </c>
      <c r="S180" s="1388"/>
      <c r="U180" s="572" t="str">
        <f>+IF(E177=0,CONCATENATE("00",U181),IF(E177&lt;10,CONCATENATE(" 0",E177,U181),CONCATENATE(" ",E177,U181)))</f>
        <v xml:space="preserve"> 96/100 BOLIVIANOS</v>
      </c>
    </row>
    <row r="181" spans="4:21" ht="14.4" thickBot="1">
      <c r="D181" s="575"/>
      <c r="E181" s="579">
        <f>+RIGHT(E180)*1</f>
        <v>0</v>
      </c>
      <c r="F181" s="580" t="s">
        <v>346</v>
      </c>
      <c r="G181" s="581" t="str">
        <f ca="1">+IF(AND(E181&gt;0,E181&lt;10),LOOKUP(CELL("contenido",E181),$A$26:$B$35),"")</f>
        <v/>
      </c>
      <c r="H181" s="582">
        <f>+RIGHT(H180)*1</f>
        <v>0</v>
      </c>
      <c r="I181" s="583" t="s">
        <v>346</v>
      </c>
      <c r="J181" s="584" t="str">
        <f ca="1">IF(E180&lt;2000,"",IF(CELL("contenido",H181)=1,"UN",IF(AND(H181&gt;0,H181&lt;10),LOOKUP(CELL("contenido",H181),$A$26:$B$35),"")))</f>
        <v/>
      </c>
      <c r="K181" s="585">
        <f>+RIGHT(K180)*1</f>
        <v>0</v>
      </c>
      <c r="L181" s="586" t="s">
        <v>346</v>
      </c>
      <c r="M181" s="587" t="str">
        <f ca="1">+IF(CELL("contenido",K181)=1,"UN",IF(AND(K181&gt;0,K181&lt;10),LOOKUP(CELL("contenido",K181),$A$26:$B$35),""))</f>
        <v/>
      </c>
      <c r="N181" s="588">
        <f>+RIGHT(N180)*1</f>
        <v>0</v>
      </c>
      <c r="O181" s="589" t="s">
        <v>346</v>
      </c>
      <c r="P181" s="590" t="str">
        <f ca="1">+IF(CELL("contenido",N181)=1,"UN",IF(AND(N181&gt;0,N181&lt;10),LOOKUP(CELL("contenido",N181),$A$26:$B$35),""))</f>
        <v/>
      </c>
      <c r="Q181" s="591">
        <f>+RIGHT(Q180)*1</f>
        <v>0</v>
      </c>
      <c r="R181" s="592" t="s">
        <v>346</v>
      </c>
      <c r="S181" s="593" t="str">
        <f ca="1">+IF(CELL("contenido",Q181)=1,"UN",IF(AND(Q181&gt;0,Q181&lt;10),LOOKUP(CELL("contenido",Q181),$A$26:$B$35),""))</f>
        <v/>
      </c>
      <c r="U181" s="594" t="s">
        <v>347</v>
      </c>
    </row>
    <row r="182" spans="4:21" ht="14.4" thickBot="1">
      <c r="D182" s="575"/>
      <c r="E182" s="579">
        <f>+RIGHT(E180,2)*1</f>
        <v>20</v>
      </c>
      <c r="F182" s="580" t="s">
        <v>349</v>
      </c>
      <c r="G182" s="581" t="str">
        <f ca="1">IF(AND(E182&gt;0,E182&lt;30),LOOKUP(CELL("contenido",E182),$A$26:$B$55),"")</f>
        <v>VEINTE</v>
      </c>
      <c r="H182" s="582">
        <f>+RIGHT(H180,2)*1</f>
        <v>0</v>
      </c>
      <c r="I182" s="583" t="s">
        <v>349</v>
      </c>
      <c r="J182" s="584" t="str">
        <f ca="1">IF(E180&lt;2000,"",IF(CELL("contenido",H182)=1,"UN",IF(AND(H182&gt;0,H182&lt;30),LOOKUP(CELL("contenido",H182),$A$26:$B$55),"")))</f>
        <v/>
      </c>
      <c r="K182" s="585">
        <f>+RIGHT(K180,2)*1</f>
        <v>0</v>
      </c>
      <c r="L182" s="586" t="s">
        <v>349</v>
      </c>
      <c r="M182" s="587" t="str">
        <f ca="1">IF(CELL("contenido",K182)=1,"UN",IF(AND(K182&gt;0,K182&lt;30),LOOKUP(CELL("contenido",K182),$A$26:$B$55),""))</f>
        <v/>
      </c>
      <c r="N182" s="588">
        <f>+RIGHT(N180,2)*1</f>
        <v>0</v>
      </c>
      <c r="O182" s="589" t="s">
        <v>349</v>
      </c>
      <c r="P182" s="590" t="str">
        <f ca="1">IF(CELL("contenido",N182)=1,"UN",IF(AND(N182&gt;0,N182&lt;30),LOOKUP(CELL("contenido",N182),$A$26:$B$55),""))</f>
        <v/>
      </c>
      <c r="Q182" s="591">
        <f>+RIGHT(Q180,2)*1</f>
        <v>0</v>
      </c>
      <c r="R182" s="592" t="s">
        <v>349</v>
      </c>
      <c r="S182" s="593" t="str">
        <f ca="1">IF(CELL("contenido",Q182)=1,"UN",IF(AND(Q182&gt;0,Q182&lt;30),LOOKUP(CELL("contenido",Q182),$A$26:$B$55),""))</f>
        <v/>
      </c>
      <c r="U182" s="572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4.4" thickBot="1">
      <c r="D183" s="575"/>
      <c r="E183" s="579">
        <f>+RIGHT(E180,2)*1-E181</f>
        <v>20</v>
      </c>
      <c r="F183" s="580" t="s">
        <v>351</v>
      </c>
      <c r="G183" s="581" t="str">
        <f ca="1">+IF(AND(E183&gt;0,E180&gt;=30),LOOKUP(CELL("contenido",E183),$C$26:$D$35),"")</f>
        <v/>
      </c>
      <c r="H183" s="582">
        <f>+RIGHT(H180,2)*1-H181</f>
        <v>0</v>
      </c>
      <c r="I183" s="583" t="s">
        <v>351</v>
      </c>
      <c r="J183" s="584" t="str">
        <f ca="1">+IF(AND(H183&gt;0,H180&gt;=30),LOOKUP(CELL("contenido",H183),$C$26:$D$35),"")</f>
        <v/>
      </c>
      <c r="K183" s="585">
        <f>+RIGHT(K180,2)*1-K181</f>
        <v>0</v>
      </c>
      <c r="L183" s="586" t="s">
        <v>351</v>
      </c>
      <c r="M183" s="587" t="str">
        <f ca="1">+IF(AND(K183&gt;0,K180&gt;=30),LOOKUP(CELL("contenido",K183),$C$26:$D$35),"")</f>
        <v/>
      </c>
      <c r="N183" s="588">
        <f>+RIGHT(N180,2)*1-N181</f>
        <v>0</v>
      </c>
      <c r="O183" s="589" t="s">
        <v>351</v>
      </c>
      <c r="P183" s="590" t="str">
        <f ca="1">+IF(AND(N183&gt;0,K185&gt;=30),LOOKUP(CELL("contenido",N183),$C$26:$D$35),"")</f>
        <v/>
      </c>
      <c r="Q183" s="591">
        <f>+RIGHT(Q180,2)*1-Q181</f>
        <v>0</v>
      </c>
      <c r="R183" s="592" t="s">
        <v>351</v>
      </c>
      <c r="S183" s="593" t="str">
        <f ca="1">+IF(AND(Q183&gt;0,N185&gt;=30),LOOKUP(CELL("contenido",Q183),$C$26:$D$35),"")</f>
        <v/>
      </c>
      <c r="U183" s="572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4.4" thickBot="1">
      <c r="D184" s="575"/>
      <c r="E184" s="579">
        <f>+RIGHT(E180,3)*1-E183-E181</f>
        <v>0</v>
      </c>
      <c r="F184" s="580" t="s">
        <v>353</v>
      </c>
      <c r="G184" s="581" t="str">
        <f ca="1">+IF((RIGHT(E180,3)*1)=100,"CIEN",IF(AND(E184&gt;0,E184&lt;1000),LOOKUP(CELL("contenido",E184),$E$26:$F$35),""))</f>
        <v/>
      </c>
      <c r="H184" s="582">
        <f>+RIGHT(H180,3)*1-H183-H181</f>
        <v>0</v>
      </c>
      <c r="I184" s="583" t="s">
        <v>353</v>
      </c>
      <c r="J184" s="584" t="str">
        <f ca="1">+IF(H180=100,"CIEN",IF(AND(H184&gt;0,H184&lt;1000),LOOKUP(CELL("contenido",H184),$E$26:$F$35),""))</f>
        <v/>
      </c>
      <c r="K184" s="585">
        <f>+RIGHT(K180,3)*1-K183-K181</f>
        <v>0</v>
      </c>
      <c r="L184" s="586" t="s">
        <v>353</v>
      </c>
      <c r="M184" s="587" t="str">
        <f ca="1">+IF(K180=100,"CIEN",IF(AND(K184&gt;0,K184&lt;1000),LOOKUP(CELL("contenido",K184),$E$26:$F$35),""))</f>
        <v/>
      </c>
      <c r="N184" s="588">
        <f>+RIGHT(N180,3)*1-N183-N181</f>
        <v>0</v>
      </c>
      <c r="O184" s="589" t="s">
        <v>353</v>
      </c>
      <c r="P184" s="590" t="str">
        <f ca="1">+IF(N180=100,"CIEN",IF(AND(N184&gt;0,N184&lt;1000),LOOKUP(CELL("contenido",N184),$E$26:$F$35),""))</f>
        <v/>
      </c>
      <c r="Q184" s="591">
        <f>+RIGHT(Q180,3)*1-Q183-Q181</f>
        <v>0</v>
      </c>
      <c r="R184" s="592" t="s">
        <v>353</v>
      </c>
      <c r="S184" s="593" t="str">
        <f ca="1">+IF(Q180=100,"CIEN",IF(AND(Q184&gt;0,Q184&lt;1000),LOOKUP(CELL("contenido",Q184),$E$26:$F$35),""))</f>
        <v/>
      </c>
      <c r="U184" s="572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4.4" thickBot="1">
      <c r="D185" s="575"/>
      <c r="E185" s="595">
        <f>+RIGHT(E180,4)*1-E184-E183-E181</f>
        <v>0</v>
      </c>
      <c r="F185" s="596" t="s">
        <v>355</v>
      </c>
      <c r="G185" s="597" t="str">
        <f ca="1">+IF(E180&gt;999,"MIL",IF(AND(E185&gt;0,E185&lt;10000),LOOKUP(CELL("contenido",E185),$E$26:$F$35),""))</f>
        <v/>
      </c>
      <c r="H185" s="598">
        <f>INT(E180/1000000)</f>
        <v>0</v>
      </c>
      <c r="I185" s="599" t="s">
        <v>356</v>
      </c>
      <c r="J185" s="600" t="str">
        <f ca="1">+IF(CELL("contenido",M182)=1,"MILLÓN",IF(H185=1,"MILLÓN",IF(H185&gt;1,"MILLONES","")))</f>
        <v/>
      </c>
      <c r="K185" s="601">
        <f>+RIGHT(K180,4)*1-K184-K183-K181</f>
        <v>0</v>
      </c>
      <c r="L185" s="602" t="s">
        <v>357</v>
      </c>
      <c r="M185" s="603" t="str">
        <f ca="1">+IF(AND(K185&gt;0,K185&lt;10000),LOOKUP(CELL("contenido",K185),$E$26:$F$35),"")</f>
        <v/>
      </c>
      <c r="N185" s="604">
        <f>+RIGHT(N180,4)*1-N184-N183-N181</f>
        <v>0</v>
      </c>
      <c r="O185" s="605" t="s">
        <v>358</v>
      </c>
      <c r="P185" s="606" t="str">
        <f>+IF(N185=1,"UN MILLARDO",IF(N180&gt;1,"MILLARDOS",""))</f>
        <v/>
      </c>
      <c r="Q185" s="607">
        <f>+RIGHT(Q180,4)*1-Q184-Q183-Q181</f>
        <v>0</v>
      </c>
      <c r="R185" s="608" t="s">
        <v>358</v>
      </c>
      <c r="S185" s="609" t="str">
        <f>+IF(Q185=1,"UN MILLARDO",IF(Q180&gt;1,"MILLARDOS",""))</f>
        <v/>
      </c>
      <c r="U185" s="572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4.4" thickTop="1">
      <c r="D186" s="575"/>
      <c r="E186" s="572"/>
      <c r="F186" s="572"/>
      <c r="G186" s="572"/>
      <c r="H186" s="572"/>
      <c r="I186" s="572"/>
      <c r="J186" s="610"/>
      <c r="K186" s="610"/>
      <c r="L186" s="610"/>
      <c r="M186" s="573"/>
      <c r="N186" s="573"/>
      <c r="O186" s="573"/>
      <c r="P186" s="572"/>
      <c r="Q186" s="573"/>
      <c r="R186" s="573"/>
      <c r="S186" s="572"/>
      <c r="U186" s="572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 ht="13.8">
      <c r="D187" s="572" t="s">
        <v>373</v>
      </c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72"/>
      <c r="P187" s="572"/>
      <c r="Q187" s="572"/>
      <c r="R187" s="572"/>
      <c r="S187" s="572"/>
      <c r="U187" s="569"/>
    </row>
    <row r="188" spans="4:21" ht="13.8">
      <c r="D188" s="575"/>
      <c r="E188" s="576">
        <f>ROUND(100*(A14-INT(A14)),2)</f>
        <v>15</v>
      </c>
      <c r="F188" s="572" t="s">
        <v>337</v>
      </c>
      <c r="G188" s="572"/>
      <c r="H188" s="572"/>
      <c r="I188" s="572"/>
      <c r="J188" s="572"/>
      <c r="K188" s="572"/>
      <c r="L188" s="572"/>
      <c r="M188" s="572"/>
      <c r="N188" s="572"/>
      <c r="O188" s="572"/>
      <c r="P188" s="572"/>
      <c r="Q188" s="572"/>
      <c r="R188" s="572"/>
      <c r="S188" s="572"/>
    </row>
    <row r="189" spans="4:21" ht="13.8">
      <c r="D189" s="572"/>
      <c r="E189" s="572">
        <f>+LEN(E191)</f>
        <v>2</v>
      </c>
      <c r="F189" s="572" t="s">
        <v>338</v>
      </c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</row>
    <row r="190" spans="4:21" ht="14.4" thickBot="1">
      <c r="D190" s="575"/>
      <c r="E190" s="572"/>
      <c r="F190" s="572"/>
      <c r="G190" s="572"/>
      <c r="H190" s="572"/>
      <c r="I190" s="572"/>
      <c r="J190" s="572"/>
      <c r="K190" s="572"/>
      <c r="L190" s="572"/>
      <c r="M190" s="572"/>
      <c r="N190" s="572"/>
      <c r="O190" s="572"/>
      <c r="P190" s="572"/>
      <c r="Q190" s="572"/>
      <c r="R190" s="572"/>
      <c r="S190" s="572"/>
    </row>
    <row r="191" spans="4:21" ht="15" thickTop="1" thickBot="1">
      <c r="D191" s="572"/>
      <c r="E191" s="577">
        <f>+A14-E188/100</f>
        <v>40.000000000000007</v>
      </c>
      <c r="F191" s="1387" t="s">
        <v>341</v>
      </c>
      <c r="G191" s="1388"/>
      <c r="H191" s="578">
        <f>+IF(E191&gt;1000,INT(E191/1000),0)</f>
        <v>0</v>
      </c>
      <c r="I191" s="1387" t="s">
        <v>342</v>
      </c>
      <c r="J191" s="1388"/>
      <c r="K191" s="578">
        <f>+INT(H191/1000)</f>
        <v>0</v>
      </c>
      <c r="L191" s="1387" t="s">
        <v>343</v>
      </c>
      <c r="M191" s="1388"/>
      <c r="N191" s="578">
        <f>+INT(K191/1000)</f>
        <v>0</v>
      </c>
      <c r="O191" s="1387" t="s">
        <v>344</v>
      </c>
      <c r="P191" s="1388"/>
      <c r="Q191" s="578">
        <f>+INT(N191)</f>
        <v>0</v>
      </c>
      <c r="R191" s="1387" t="s">
        <v>344</v>
      </c>
      <c r="S191" s="1388"/>
      <c r="U191" s="572" t="str">
        <f>+IF(E188=0,CONCATENATE("00",U192),IF(E188&lt;10,CONCATENATE(" 0",E188,U192),CONCATENATE(" ",E188,U192)))</f>
        <v xml:space="preserve"> 15/100 BOLIVIANOS</v>
      </c>
    </row>
    <row r="192" spans="4:21" ht="14.4" thickBot="1">
      <c r="D192" s="575"/>
      <c r="E192" s="579">
        <f>+RIGHT(E191)*1</f>
        <v>0</v>
      </c>
      <c r="F192" s="580" t="s">
        <v>346</v>
      </c>
      <c r="G192" s="581" t="str">
        <f ca="1">+IF(AND(E192&gt;0,E192&lt;10),LOOKUP(CELL("contenido",E192),$A$26:$B$35),"")</f>
        <v/>
      </c>
      <c r="H192" s="582">
        <f>+RIGHT(H191)*1</f>
        <v>0</v>
      </c>
      <c r="I192" s="583" t="s">
        <v>346</v>
      </c>
      <c r="J192" s="584" t="str">
        <f ca="1">IF(E191&lt;2000,"",IF(CELL("contenido",H192)=1,"UN",IF(AND(H192&gt;0,H192&lt;10),LOOKUP(CELL("contenido",H192),$A$26:$B$35),"")))</f>
        <v/>
      </c>
      <c r="K192" s="585">
        <f>+RIGHT(K191)*1</f>
        <v>0</v>
      </c>
      <c r="L192" s="586" t="s">
        <v>346</v>
      </c>
      <c r="M192" s="587" t="str">
        <f ca="1">+IF(CELL("contenido",K192)=1,"UN",IF(AND(K192&gt;0,K192&lt;10),LOOKUP(CELL("contenido",K192),$A$26:$B$35),""))</f>
        <v/>
      </c>
      <c r="N192" s="588">
        <f>+RIGHT(N191)*1</f>
        <v>0</v>
      </c>
      <c r="O192" s="589" t="s">
        <v>346</v>
      </c>
      <c r="P192" s="590" t="str">
        <f ca="1">+IF(CELL("contenido",N192)=1,"UN",IF(AND(N192&gt;0,N192&lt;10),LOOKUP(CELL("contenido",N192),$A$26:$B$35),""))</f>
        <v/>
      </c>
      <c r="Q192" s="591">
        <f>+RIGHT(Q191)*1</f>
        <v>0</v>
      </c>
      <c r="R192" s="592" t="s">
        <v>346</v>
      </c>
      <c r="S192" s="593" t="str">
        <f ca="1">+IF(CELL("contenido",Q192)=1,"UN",IF(AND(Q192&gt;0,Q192&lt;10),LOOKUP(CELL("contenido",Q192),$A$26:$B$35),""))</f>
        <v/>
      </c>
      <c r="U192" s="594" t="s">
        <v>347</v>
      </c>
    </row>
    <row r="193" spans="4:21" ht="14.4" thickBot="1">
      <c r="D193" s="575"/>
      <c r="E193" s="579">
        <f>+RIGHT(E191,2)*1</f>
        <v>40</v>
      </c>
      <c r="F193" s="580" t="s">
        <v>349</v>
      </c>
      <c r="G193" s="581" t="str">
        <f ca="1">IF(AND(E193&gt;0,E193&lt;30),LOOKUP(CELL("contenido",E193),$A$26:$B$55),"")</f>
        <v/>
      </c>
      <c r="H193" s="582">
        <f>+RIGHT(H191,2)*1</f>
        <v>0</v>
      </c>
      <c r="I193" s="583" t="s">
        <v>349</v>
      </c>
      <c r="J193" s="584" t="str">
        <f ca="1">IF(E191&lt;2000,"",IF(CELL("contenido",H193)=1,"UN",IF(AND(H193&gt;0,H193&lt;30),LOOKUP(CELL("contenido",H193),$A$26:$B$55),"")))</f>
        <v/>
      </c>
      <c r="K193" s="585">
        <f>+RIGHT(K191,2)*1</f>
        <v>0</v>
      </c>
      <c r="L193" s="586" t="s">
        <v>349</v>
      </c>
      <c r="M193" s="587" t="str">
        <f ca="1">IF(CELL("contenido",K193)=1,"UN",IF(AND(K193&gt;0,K193&lt;30),LOOKUP(CELL("contenido",K193),$A$26:$B$55),""))</f>
        <v/>
      </c>
      <c r="N193" s="588">
        <f>+RIGHT(N191,2)*1</f>
        <v>0</v>
      </c>
      <c r="O193" s="589" t="s">
        <v>349</v>
      </c>
      <c r="P193" s="590" t="str">
        <f ca="1">IF(CELL("contenido",N193)=1,"UN",IF(AND(N193&gt;0,N193&lt;30),LOOKUP(CELL("contenido",N193),$A$26:$B$55),""))</f>
        <v/>
      </c>
      <c r="Q193" s="591">
        <f>+RIGHT(Q191,2)*1</f>
        <v>0</v>
      </c>
      <c r="R193" s="592" t="s">
        <v>349</v>
      </c>
      <c r="S193" s="593" t="str">
        <f ca="1">IF(CELL("contenido",Q193)=1,"UN",IF(AND(Q193&gt;0,Q193&lt;30),LOOKUP(CELL("contenido",Q193),$A$26:$B$55),""))</f>
        <v/>
      </c>
      <c r="U193" s="572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4.4" thickBot="1">
      <c r="D194" s="575"/>
      <c r="E194" s="579">
        <f>+RIGHT(E191,2)*1-E192</f>
        <v>40</v>
      </c>
      <c r="F194" s="580" t="s">
        <v>351</v>
      </c>
      <c r="G194" s="581" t="str">
        <f ca="1">+IF(AND(E194&gt;0,E191&gt;=30),LOOKUP(CELL("contenido",E194),$C$26:$D$35),"")</f>
        <v>CUARENTA</v>
      </c>
      <c r="H194" s="582">
        <f>+RIGHT(H191,2)*1-H192</f>
        <v>0</v>
      </c>
      <c r="I194" s="583" t="s">
        <v>351</v>
      </c>
      <c r="J194" s="584" t="str">
        <f ca="1">+IF(AND(H194&gt;0,H191&gt;=30),LOOKUP(CELL("contenido",H194),$C$26:$D$35),"")</f>
        <v/>
      </c>
      <c r="K194" s="585">
        <f>+RIGHT(K191,2)*1-K192</f>
        <v>0</v>
      </c>
      <c r="L194" s="586" t="s">
        <v>351</v>
      </c>
      <c r="M194" s="587" t="str">
        <f ca="1">+IF(AND(K194&gt;0,K191&gt;=30),LOOKUP(CELL("contenido",K194),$C$26:$D$35),"")</f>
        <v/>
      </c>
      <c r="N194" s="588">
        <f>+RIGHT(N191,2)*1-N192</f>
        <v>0</v>
      </c>
      <c r="O194" s="589" t="s">
        <v>351</v>
      </c>
      <c r="P194" s="590" t="str">
        <f ca="1">+IF(AND(N194&gt;0,K196&gt;=30),LOOKUP(CELL("contenido",N194),$C$26:$D$35),"")</f>
        <v/>
      </c>
      <c r="Q194" s="591">
        <f>+RIGHT(Q191,2)*1-Q192</f>
        <v>0</v>
      </c>
      <c r="R194" s="592" t="s">
        <v>351</v>
      </c>
      <c r="S194" s="593" t="str">
        <f ca="1">+IF(AND(Q194&gt;0,N196&gt;=30),LOOKUP(CELL("contenido",Q194),$C$26:$D$35),"")</f>
        <v/>
      </c>
      <c r="U194" s="572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4.4" thickBot="1">
      <c r="D195" s="575"/>
      <c r="E195" s="579">
        <f>+RIGHT(E191,3)*1-E194-E192</f>
        <v>0</v>
      </c>
      <c r="F195" s="580" t="s">
        <v>353</v>
      </c>
      <c r="G195" s="581" t="str">
        <f ca="1">+IF((RIGHT(E191,3)*1)=100,"CIEN",IF(AND(E195&gt;0,E195&lt;1000),LOOKUP(CELL("contenido",E195),$E$26:$F$35),""))</f>
        <v/>
      </c>
      <c r="H195" s="582">
        <f>+RIGHT(H191,3)*1-H194-H192</f>
        <v>0</v>
      </c>
      <c r="I195" s="583" t="s">
        <v>353</v>
      </c>
      <c r="J195" s="584" t="str">
        <f ca="1">+IF(H191=100,"CIEN",IF(AND(H195&gt;0,H195&lt;1000),LOOKUP(CELL("contenido",H195),$E$26:$F$35),""))</f>
        <v/>
      </c>
      <c r="K195" s="585">
        <f>+RIGHT(K191,3)*1-K194-K192</f>
        <v>0</v>
      </c>
      <c r="L195" s="586" t="s">
        <v>353</v>
      </c>
      <c r="M195" s="587" t="str">
        <f ca="1">+IF(K191=100,"CIEN",IF(AND(K195&gt;0,K195&lt;1000),LOOKUP(CELL("contenido",K195),$E$26:$F$35),""))</f>
        <v/>
      </c>
      <c r="N195" s="588">
        <f>+RIGHT(N191,3)*1-N194-N192</f>
        <v>0</v>
      </c>
      <c r="O195" s="589" t="s">
        <v>353</v>
      </c>
      <c r="P195" s="590" t="str">
        <f ca="1">+IF(N191=100,"CIEN",IF(AND(N195&gt;0,N195&lt;1000),LOOKUP(CELL("contenido",N195),$E$26:$F$35),""))</f>
        <v/>
      </c>
      <c r="Q195" s="591">
        <f>+RIGHT(Q191,3)*1-Q194-Q192</f>
        <v>0</v>
      </c>
      <c r="R195" s="592" t="s">
        <v>353</v>
      </c>
      <c r="S195" s="593" t="str">
        <f ca="1">+IF(Q191=100,"CIEN",IF(AND(Q195&gt;0,Q195&lt;1000),LOOKUP(CELL("contenido",Q195),$E$26:$F$35),""))</f>
        <v/>
      </c>
      <c r="U195" s="572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4.4" thickBot="1">
      <c r="D196" s="575"/>
      <c r="E196" s="595">
        <f>+RIGHT(E191,4)*1-E195-E194-E192</f>
        <v>0</v>
      </c>
      <c r="F196" s="596" t="s">
        <v>355</v>
      </c>
      <c r="G196" s="597" t="str">
        <f ca="1">+IF(E191&gt;999,"MIL",IF(AND(E196&gt;0,E196&lt;10000),LOOKUP(CELL("contenido",E196),$E$26:$F$35),""))</f>
        <v/>
      </c>
      <c r="H196" s="598">
        <f>INT(E191/1000000)</f>
        <v>0</v>
      </c>
      <c r="I196" s="599" t="s">
        <v>356</v>
      </c>
      <c r="J196" s="600" t="str">
        <f ca="1">+IF(CELL("contenido",M193)=1,"MILLÓN",IF(H196=1,"MILLÓN",IF(H196&gt;1,"MILLONES","")))</f>
        <v/>
      </c>
      <c r="K196" s="601">
        <f>+RIGHT(K191,4)*1-K195-K194-K192</f>
        <v>0</v>
      </c>
      <c r="L196" s="602" t="s">
        <v>357</v>
      </c>
      <c r="M196" s="603" t="str">
        <f ca="1">+IF(AND(K196&gt;0,K196&lt;10000),LOOKUP(CELL("contenido",K196),$E$26:$F$35),"")</f>
        <v/>
      </c>
      <c r="N196" s="604">
        <f>+RIGHT(N191,4)*1-N195-N194-N192</f>
        <v>0</v>
      </c>
      <c r="O196" s="605" t="s">
        <v>358</v>
      </c>
      <c r="P196" s="606" t="str">
        <f>+IF(N196=1,"UN MILLARDO",IF(N191&gt;1,"MILLARDOS",""))</f>
        <v/>
      </c>
      <c r="Q196" s="607">
        <f>+RIGHT(Q191,4)*1-Q195-Q194-Q192</f>
        <v>0</v>
      </c>
      <c r="R196" s="608" t="s">
        <v>358</v>
      </c>
      <c r="S196" s="609" t="str">
        <f>+IF(Q196=1,"UN MILLARDO",IF(Q191&gt;1,"MILLARDOS",""))</f>
        <v/>
      </c>
      <c r="U196" s="572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4.4" thickTop="1">
      <c r="D197" s="575"/>
      <c r="E197" s="572"/>
      <c r="F197" s="572"/>
      <c r="G197" s="572"/>
      <c r="H197" s="572"/>
      <c r="I197" s="572"/>
      <c r="J197" s="610"/>
      <c r="K197" s="610"/>
      <c r="L197" s="610"/>
      <c r="M197" s="573"/>
      <c r="N197" s="573"/>
      <c r="O197" s="573"/>
      <c r="P197" s="572"/>
      <c r="Q197" s="573"/>
      <c r="R197" s="573"/>
      <c r="S197" s="572"/>
      <c r="U197" s="572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 ht="13.8">
      <c r="D198" s="572" t="s">
        <v>374</v>
      </c>
      <c r="E198" s="572"/>
      <c r="F198" s="572"/>
      <c r="G198" s="572"/>
      <c r="H198" s="572"/>
      <c r="I198" s="572"/>
      <c r="J198" s="572"/>
      <c r="K198" s="572"/>
      <c r="L198" s="572"/>
      <c r="M198" s="572"/>
      <c r="N198" s="572"/>
      <c r="O198" s="572"/>
      <c r="P198" s="572"/>
      <c r="Q198" s="572"/>
      <c r="R198" s="572"/>
      <c r="S198" s="572"/>
      <c r="U198" s="569"/>
    </row>
    <row r="199" spans="4:21" ht="13.8">
      <c r="D199" s="575"/>
      <c r="E199" s="576">
        <f>ROUND(100*(A15-INT(A15)),2)</f>
        <v>6</v>
      </c>
      <c r="F199" s="572" t="s">
        <v>337</v>
      </c>
      <c r="G199" s="572"/>
      <c r="H199" s="572"/>
      <c r="I199" s="572"/>
      <c r="J199" s="572"/>
      <c r="K199" s="572"/>
      <c r="L199" s="572"/>
      <c r="M199" s="572"/>
      <c r="N199" s="572"/>
      <c r="O199" s="572"/>
      <c r="P199" s="572"/>
      <c r="Q199" s="572"/>
      <c r="R199" s="572"/>
      <c r="S199" s="572"/>
    </row>
    <row r="200" spans="4:21" ht="13.8">
      <c r="D200" s="572"/>
      <c r="E200" s="572">
        <f>+LEN(E202)</f>
        <v>2</v>
      </c>
      <c r="F200" s="572" t="s">
        <v>338</v>
      </c>
      <c r="G200" s="572"/>
      <c r="H200" s="572"/>
      <c r="I200" s="572"/>
      <c r="J200" s="572"/>
      <c r="K200" s="572"/>
      <c r="L200" s="572"/>
      <c r="M200" s="572"/>
      <c r="N200" s="572"/>
      <c r="O200" s="572"/>
      <c r="P200" s="572"/>
      <c r="Q200" s="572"/>
      <c r="R200" s="572"/>
      <c r="S200" s="572"/>
    </row>
    <row r="201" spans="4:21" ht="14.4" thickBot="1">
      <c r="D201" s="575"/>
      <c r="E201" s="572"/>
      <c r="F201" s="572"/>
      <c r="G201" s="572"/>
      <c r="H201" s="572"/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</row>
    <row r="202" spans="4:21" ht="15" thickTop="1" thickBot="1">
      <c r="D202" s="572"/>
      <c r="E202" s="577">
        <f>+A15-E199/100</f>
        <v>56.999999999999993</v>
      </c>
      <c r="F202" s="1387" t="s">
        <v>341</v>
      </c>
      <c r="G202" s="1388"/>
      <c r="H202" s="578">
        <f>+IF(E202&gt;1000,INT(E202/1000),0)</f>
        <v>0</v>
      </c>
      <c r="I202" s="1387" t="s">
        <v>342</v>
      </c>
      <c r="J202" s="1388"/>
      <c r="K202" s="578">
        <f>+INT(H202/1000)</f>
        <v>0</v>
      </c>
      <c r="L202" s="1387" t="s">
        <v>343</v>
      </c>
      <c r="M202" s="1388"/>
      <c r="N202" s="578">
        <f>+INT(K202/1000)</f>
        <v>0</v>
      </c>
      <c r="O202" s="1387" t="s">
        <v>344</v>
      </c>
      <c r="P202" s="1388"/>
      <c r="Q202" s="578">
        <f>+INT(N202)</f>
        <v>0</v>
      </c>
      <c r="R202" s="1387" t="s">
        <v>344</v>
      </c>
      <c r="S202" s="1388"/>
      <c r="U202" s="572" t="str">
        <f>+IF(E199=0,CONCATENATE("00",U203),IF(E199&lt;10,CONCATENATE(" 0",E199,U203),CONCATENATE(" ",E199,U203)))</f>
        <v xml:space="preserve"> 06/100 BOLIVIANOS</v>
      </c>
    </row>
    <row r="203" spans="4:21" ht="14.4" thickBot="1">
      <c r="D203" s="575"/>
      <c r="E203" s="579">
        <f>+RIGHT(E202)*1</f>
        <v>7</v>
      </c>
      <c r="F203" s="580" t="s">
        <v>346</v>
      </c>
      <c r="G203" s="581" t="str">
        <f ca="1">+IF(AND(E203&gt;0,E203&lt;10),LOOKUP(CELL("contenido",E203),$A$26:$B$35),"")</f>
        <v>SIETE</v>
      </c>
      <c r="H203" s="582">
        <f>+RIGHT(H202)*1</f>
        <v>0</v>
      </c>
      <c r="I203" s="583" t="s">
        <v>346</v>
      </c>
      <c r="J203" s="584" t="str">
        <f ca="1">IF(E202&lt;2000,"",IF(CELL("contenido",H203)=1,"UN",IF(AND(H203&gt;0,H203&lt;10),LOOKUP(CELL("contenido",H203),$A$26:$B$35),"")))</f>
        <v/>
      </c>
      <c r="K203" s="585">
        <f>+RIGHT(K202)*1</f>
        <v>0</v>
      </c>
      <c r="L203" s="586" t="s">
        <v>346</v>
      </c>
      <c r="M203" s="587" t="str">
        <f ca="1">+IF(CELL("contenido",K203)=1,"UN",IF(AND(K203&gt;0,K203&lt;10),LOOKUP(CELL("contenido",K203),$A$26:$B$35),""))</f>
        <v/>
      </c>
      <c r="N203" s="588">
        <f>+RIGHT(N202)*1</f>
        <v>0</v>
      </c>
      <c r="O203" s="589" t="s">
        <v>346</v>
      </c>
      <c r="P203" s="590" t="str">
        <f ca="1">+IF(CELL("contenido",N203)=1,"UN",IF(AND(N203&gt;0,N203&lt;10),LOOKUP(CELL("contenido",N203),$A$26:$B$35),""))</f>
        <v/>
      </c>
      <c r="Q203" s="591">
        <f>+RIGHT(Q202)*1</f>
        <v>0</v>
      </c>
      <c r="R203" s="592" t="s">
        <v>346</v>
      </c>
      <c r="S203" s="593" t="str">
        <f ca="1">+IF(CELL("contenido",Q203)=1,"UN",IF(AND(Q203&gt;0,Q203&lt;10),LOOKUP(CELL("contenido",Q203),$A$26:$B$35),""))</f>
        <v/>
      </c>
      <c r="U203" s="594" t="s">
        <v>347</v>
      </c>
    </row>
    <row r="204" spans="4:21" ht="14.4" thickBot="1">
      <c r="D204" s="575"/>
      <c r="E204" s="579">
        <f>+RIGHT(E202,2)*1</f>
        <v>57</v>
      </c>
      <c r="F204" s="580" t="s">
        <v>349</v>
      </c>
      <c r="G204" s="581" t="str">
        <f ca="1">IF(AND(E204&gt;0,E204&lt;30),LOOKUP(CELL("contenido",E204),$A$26:$B$55),"")</f>
        <v/>
      </c>
      <c r="H204" s="582">
        <f>+RIGHT(H202,2)*1</f>
        <v>0</v>
      </c>
      <c r="I204" s="583" t="s">
        <v>349</v>
      </c>
      <c r="J204" s="584" t="str">
        <f ca="1">IF(E202&lt;2000,"",IF(CELL("contenido",H204)=1,"UN",IF(AND(H204&gt;0,H204&lt;30),LOOKUP(CELL("contenido",H204),$A$26:$B$55),"")))</f>
        <v/>
      </c>
      <c r="K204" s="585">
        <f>+RIGHT(K202,2)*1</f>
        <v>0</v>
      </c>
      <c r="L204" s="586" t="s">
        <v>349</v>
      </c>
      <c r="M204" s="587" t="str">
        <f ca="1">IF(CELL("contenido",K204)=1,"UN",IF(AND(K204&gt;0,K204&lt;30),LOOKUP(CELL("contenido",K204),$A$26:$B$55),""))</f>
        <v/>
      </c>
      <c r="N204" s="588">
        <f>+RIGHT(N202,2)*1</f>
        <v>0</v>
      </c>
      <c r="O204" s="589" t="s">
        <v>349</v>
      </c>
      <c r="P204" s="590" t="str">
        <f ca="1">IF(CELL("contenido",N204)=1,"UN",IF(AND(N204&gt;0,N204&lt;30),LOOKUP(CELL("contenido",N204),$A$26:$B$55),""))</f>
        <v/>
      </c>
      <c r="Q204" s="591">
        <f>+RIGHT(Q202,2)*1</f>
        <v>0</v>
      </c>
      <c r="R204" s="592" t="s">
        <v>349</v>
      </c>
      <c r="S204" s="593" t="str">
        <f ca="1">IF(CELL("contenido",Q204)=1,"UN",IF(AND(Q204&gt;0,Q204&lt;30),LOOKUP(CELL("contenido",Q204),$A$26:$B$55),""))</f>
        <v/>
      </c>
      <c r="U204" s="572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4.4" thickBot="1">
      <c r="D205" s="575"/>
      <c r="E205" s="579">
        <f>+RIGHT(E202,2)*1-E203</f>
        <v>50</v>
      </c>
      <c r="F205" s="580" t="s">
        <v>351</v>
      </c>
      <c r="G205" s="581" t="str">
        <f ca="1">+IF(AND(E205&gt;0,E202&gt;=30),LOOKUP(CELL("contenido",E205),$C$26:$D$35),"")</f>
        <v>CINCUENTA</v>
      </c>
      <c r="H205" s="582">
        <f>+RIGHT(H202,2)*1-H203</f>
        <v>0</v>
      </c>
      <c r="I205" s="583" t="s">
        <v>351</v>
      </c>
      <c r="J205" s="584" t="str">
        <f ca="1">+IF(AND(H205&gt;0,H202&gt;=30),LOOKUP(CELL("contenido",H205),$C$26:$D$35),"")</f>
        <v/>
      </c>
      <c r="K205" s="585">
        <f>+RIGHT(K202,2)*1-K203</f>
        <v>0</v>
      </c>
      <c r="L205" s="586" t="s">
        <v>351</v>
      </c>
      <c r="M205" s="587" t="str">
        <f ca="1">+IF(AND(K205&gt;0,K202&gt;=30),LOOKUP(CELL("contenido",K205),$C$26:$D$35),"")</f>
        <v/>
      </c>
      <c r="N205" s="588">
        <f>+RIGHT(N202,2)*1-N203</f>
        <v>0</v>
      </c>
      <c r="O205" s="589" t="s">
        <v>351</v>
      </c>
      <c r="P205" s="590" t="str">
        <f ca="1">+IF(AND(N205&gt;0,K207&gt;=30),LOOKUP(CELL("contenido",N205),$C$26:$D$35),"")</f>
        <v/>
      </c>
      <c r="Q205" s="591">
        <f>+RIGHT(Q202,2)*1-Q203</f>
        <v>0</v>
      </c>
      <c r="R205" s="592" t="s">
        <v>351</v>
      </c>
      <c r="S205" s="593" t="str">
        <f ca="1">+IF(AND(Q205&gt;0,N207&gt;=30),LOOKUP(CELL("contenido",Q205),$C$26:$D$35),"")</f>
        <v/>
      </c>
      <c r="U205" s="572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4.4" thickBot="1">
      <c r="D206" s="575"/>
      <c r="E206" s="579">
        <f>+RIGHT(E202,3)*1-E205-E203</f>
        <v>0</v>
      </c>
      <c r="F206" s="580" t="s">
        <v>353</v>
      </c>
      <c r="G206" s="581" t="str">
        <f ca="1">+IF((RIGHT(E202,3)*1)=100,"CIEN",IF(AND(E206&gt;0,E206&lt;1000),LOOKUP(CELL("contenido",E206),$E$26:$F$35),""))</f>
        <v/>
      </c>
      <c r="H206" s="582">
        <f>+RIGHT(H202,3)*1-H205-H203</f>
        <v>0</v>
      </c>
      <c r="I206" s="583" t="s">
        <v>353</v>
      </c>
      <c r="J206" s="584" t="str">
        <f ca="1">+IF(H202=100,"CIEN",IF(AND(H206&gt;0,H206&lt;1000),LOOKUP(CELL("contenido",H206),$E$26:$F$35),""))</f>
        <v/>
      </c>
      <c r="K206" s="585">
        <f>+RIGHT(K202,3)*1-K205-K203</f>
        <v>0</v>
      </c>
      <c r="L206" s="586" t="s">
        <v>353</v>
      </c>
      <c r="M206" s="587" t="str">
        <f ca="1">+IF(K202=100,"CIEN",IF(AND(K206&gt;0,K206&lt;1000),LOOKUP(CELL("contenido",K206),$E$26:$F$35),""))</f>
        <v/>
      </c>
      <c r="N206" s="588">
        <f>+RIGHT(N202,3)*1-N205-N203</f>
        <v>0</v>
      </c>
      <c r="O206" s="589" t="s">
        <v>353</v>
      </c>
      <c r="P206" s="590" t="str">
        <f ca="1">+IF(N202=100,"CIEN",IF(AND(N206&gt;0,N206&lt;1000),LOOKUP(CELL("contenido",N206),$E$26:$F$35),""))</f>
        <v/>
      </c>
      <c r="Q206" s="591">
        <f>+RIGHT(Q202,3)*1-Q205-Q203</f>
        <v>0</v>
      </c>
      <c r="R206" s="592" t="s">
        <v>353</v>
      </c>
      <c r="S206" s="593" t="str">
        <f ca="1">+IF(Q202=100,"CIEN",IF(AND(Q206&gt;0,Q206&lt;1000),LOOKUP(CELL("contenido",Q206),$E$26:$F$35),""))</f>
        <v/>
      </c>
      <c r="U206" s="572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4.4" thickBot="1">
      <c r="D207" s="575"/>
      <c r="E207" s="595">
        <f>+RIGHT(E202,4)*1-E206-E205-E203</f>
        <v>0</v>
      </c>
      <c r="F207" s="596" t="s">
        <v>355</v>
      </c>
      <c r="G207" s="597" t="str">
        <f ca="1">+IF(E202&gt;999,"MIL",IF(AND(E207&gt;0,E207&lt;10000),LOOKUP(CELL("contenido",E207),$E$26:$F$35),""))</f>
        <v/>
      </c>
      <c r="H207" s="598">
        <f>INT(E202/1000000)</f>
        <v>0</v>
      </c>
      <c r="I207" s="599" t="s">
        <v>356</v>
      </c>
      <c r="J207" s="600" t="str">
        <f ca="1">+IF(CELL("contenido",M204)=1,"MILLÓN",IF(H207=1,"MILLÓN",IF(H207&gt;1,"MILLONES","")))</f>
        <v/>
      </c>
      <c r="K207" s="601">
        <f>+RIGHT(K202,4)*1-K206-K205-K203</f>
        <v>0</v>
      </c>
      <c r="L207" s="602" t="s">
        <v>357</v>
      </c>
      <c r="M207" s="603" t="str">
        <f ca="1">+IF(AND(K207&gt;0,K207&lt;10000),LOOKUP(CELL("contenido",K207),$E$26:$F$35),"")</f>
        <v/>
      </c>
      <c r="N207" s="604">
        <f>+RIGHT(N202,4)*1-N206-N205-N203</f>
        <v>0</v>
      </c>
      <c r="O207" s="605" t="s">
        <v>358</v>
      </c>
      <c r="P207" s="606" t="str">
        <f>+IF(N207=1,"UN MILLARDO",IF(N202&gt;1,"MILLARDOS",""))</f>
        <v/>
      </c>
      <c r="Q207" s="607">
        <f>+RIGHT(Q202,4)*1-Q206-Q205-Q203</f>
        <v>0</v>
      </c>
      <c r="R207" s="608" t="s">
        <v>358</v>
      </c>
      <c r="S207" s="609" t="str">
        <f>+IF(Q207=1,"UN MILLARDO",IF(Q202&gt;1,"MILLARDOS",""))</f>
        <v/>
      </c>
      <c r="U207" s="572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4.4" thickTop="1">
      <c r="D208" s="575"/>
      <c r="E208" s="572"/>
      <c r="F208" s="572"/>
      <c r="G208" s="572"/>
      <c r="H208" s="572"/>
      <c r="I208" s="572"/>
      <c r="J208" s="610"/>
      <c r="K208" s="610"/>
      <c r="L208" s="610"/>
      <c r="M208" s="573"/>
      <c r="N208" s="573"/>
      <c r="O208" s="573"/>
      <c r="P208" s="572"/>
      <c r="Q208" s="573"/>
      <c r="R208" s="573"/>
      <c r="S208" s="572"/>
      <c r="U208" s="572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 ht="13.8">
      <c r="D209" s="572" t="s">
        <v>375</v>
      </c>
      <c r="E209" s="572"/>
      <c r="F209" s="572"/>
      <c r="G209" s="572"/>
      <c r="H209" s="572"/>
      <c r="I209" s="572"/>
      <c r="J209" s="572"/>
      <c r="K209" s="572"/>
      <c r="L209" s="572"/>
      <c r="M209" s="572"/>
      <c r="N209" s="572"/>
      <c r="O209" s="572"/>
      <c r="P209" s="572"/>
      <c r="Q209" s="572"/>
      <c r="R209" s="572"/>
      <c r="S209" s="572"/>
      <c r="U209" s="569"/>
    </row>
    <row r="210" spans="4:21" ht="13.8">
      <c r="D210" s="575"/>
      <c r="E210" s="576">
        <f>ROUND(100*(A16-INT(A16)),2)</f>
        <v>86</v>
      </c>
      <c r="F210" s="572" t="s">
        <v>337</v>
      </c>
      <c r="G210" s="572"/>
      <c r="H210" s="572"/>
      <c r="I210" s="572"/>
      <c r="J210" s="572"/>
      <c r="K210" s="572"/>
      <c r="L210" s="572"/>
      <c r="M210" s="572"/>
      <c r="N210" s="572"/>
      <c r="O210" s="572"/>
      <c r="P210" s="572"/>
      <c r="Q210" s="572"/>
      <c r="R210" s="572"/>
      <c r="S210" s="572"/>
    </row>
    <row r="211" spans="4:21" ht="13.8">
      <c r="D211" s="572"/>
      <c r="E211" s="572">
        <f>+LEN(E213)</f>
        <v>3</v>
      </c>
      <c r="F211" s="572" t="s">
        <v>338</v>
      </c>
      <c r="G211" s="572"/>
      <c r="H211" s="572"/>
      <c r="I211" s="572"/>
      <c r="J211" s="572"/>
      <c r="K211" s="572"/>
      <c r="L211" s="572"/>
      <c r="M211" s="572"/>
      <c r="N211" s="572"/>
      <c r="O211" s="572"/>
      <c r="P211" s="572"/>
      <c r="Q211" s="572"/>
      <c r="R211" s="572"/>
      <c r="S211" s="572"/>
    </row>
    <row r="212" spans="4:21" ht="14.4" thickBot="1">
      <c r="D212" s="575"/>
      <c r="E212" s="572"/>
      <c r="F212" s="572"/>
      <c r="G212" s="572"/>
      <c r="H212" s="572"/>
      <c r="I212" s="572"/>
      <c r="J212" s="572"/>
      <c r="K212" s="572"/>
      <c r="L212" s="572"/>
      <c r="M212" s="572"/>
      <c r="N212" s="572"/>
      <c r="O212" s="572"/>
      <c r="P212" s="572"/>
      <c r="Q212" s="572"/>
      <c r="R212" s="572"/>
      <c r="S212" s="572"/>
    </row>
    <row r="213" spans="4:21" ht="15" thickTop="1" thickBot="1">
      <c r="D213" s="572"/>
      <c r="E213" s="577">
        <f>+A16-E210/100</f>
        <v>104</v>
      </c>
      <c r="F213" s="1387" t="s">
        <v>341</v>
      </c>
      <c r="G213" s="1388"/>
      <c r="H213" s="578">
        <f>+IF(E213&gt;1000,INT(E213/1000),0)</f>
        <v>0</v>
      </c>
      <c r="I213" s="1387" t="s">
        <v>342</v>
      </c>
      <c r="J213" s="1388"/>
      <c r="K213" s="578">
        <f>+INT(H213/1000)</f>
        <v>0</v>
      </c>
      <c r="L213" s="1387" t="s">
        <v>343</v>
      </c>
      <c r="M213" s="1388"/>
      <c r="N213" s="578">
        <f>+INT(K213/1000)</f>
        <v>0</v>
      </c>
      <c r="O213" s="1387" t="s">
        <v>344</v>
      </c>
      <c r="P213" s="1388"/>
      <c r="Q213" s="578">
        <f>+INT(N213)</f>
        <v>0</v>
      </c>
      <c r="R213" s="1387" t="s">
        <v>344</v>
      </c>
      <c r="S213" s="1388"/>
      <c r="U213" s="572" t="str">
        <f>+IF(E210=0,CONCATENATE("00",U214),IF(E210&lt;10,CONCATENATE(" 0",E210,U214),CONCATENATE(" ",E210,U214)))</f>
        <v xml:space="preserve"> 86/100 BOLIVIANOS</v>
      </c>
    </row>
    <row r="214" spans="4:21" ht="14.4" thickBot="1">
      <c r="D214" s="575"/>
      <c r="E214" s="579">
        <f>+RIGHT(E213)*1</f>
        <v>4</v>
      </c>
      <c r="F214" s="580" t="s">
        <v>346</v>
      </c>
      <c r="G214" s="581" t="str">
        <f ca="1">+IF(AND(E214&gt;0,E214&lt;10),LOOKUP(CELL("contenido",E214),$A$26:$B$35),"")</f>
        <v>CUATRO</v>
      </c>
      <c r="H214" s="582">
        <f>+RIGHT(H213)*1</f>
        <v>0</v>
      </c>
      <c r="I214" s="583" t="s">
        <v>346</v>
      </c>
      <c r="J214" s="584" t="str">
        <f ca="1">IF(E213&lt;2000,"",IF(CELL("contenido",H214)=1,"UN",IF(AND(H214&gt;0,H214&lt;10),LOOKUP(CELL("contenido",H214),$A$26:$B$35),"")))</f>
        <v/>
      </c>
      <c r="K214" s="585">
        <f>+RIGHT(K213)*1</f>
        <v>0</v>
      </c>
      <c r="L214" s="586" t="s">
        <v>346</v>
      </c>
      <c r="M214" s="587" t="str">
        <f ca="1">+IF(CELL("contenido",K214)=1,"UN",IF(AND(K214&gt;0,K214&lt;10),LOOKUP(CELL("contenido",K214),$A$26:$B$35),""))</f>
        <v/>
      </c>
      <c r="N214" s="588">
        <f>+RIGHT(N213)*1</f>
        <v>0</v>
      </c>
      <c r="O214" s="589" t="s">
        <v>346</v>
      </c>
      <c r="P214" s="590" t="str">
        <f ca="1">+IF(CELL("contenido",N214)=1,"UN",IF(AND(N214&gt;0,N214&lt;10),LOOKUP(CELL("contenido",N214),$A$26:$B$35),""))</f>
        <v/>
      </c>
      <c r="Q214" s="591">
        <f>+RIGHT(Q213)*1</f>
        <v>0</v>
      </c>
      <c r="R214" s="592" t="s">
        <v>346</v>
      </c>
      <c r="S214" s="593" t="str">
        <f ca="1">+IF(CELL("contenido",Q214)=1,"UN",IF(AND(Q214&gt;0,Q214&lt;10),LOOKUP(CELL("contenido",Q214),$A$26:$B$35),""))</f>
        <v/>
      </c>
      <c r="U214" s="594" t="s">
        <v>347</v>
      </c>
    </row>
    <row r="215" spans="4:21" ht="14.4" thickBot="1">
      <c r="D215" s="575"/>
      <c r="E215" s="579">
        <f>+RIGHT(E213,2)*1</f>
        <v>4</v>
      </c>
      <c r="F215" s="580" t="s">
        <v>349</v>
      </c>
      <c r="G215" s="581" t="str">
        <f ca="1">IF(AND(E215&gt;0,E215&lt;30),LOOKUP(CELL("contenido",E215),$A$26:$B$55),"")</f>
        <v>CUATRO</v>
      </c>
      <c r="H215" s="582">
        <f>+RIGHT(H213,2)*1</f>
        <v>0</v>
      </c>
      <c r="I215" s="583" t="s">
        <v>349</v>
      </c>
      <c r="J215" s="584" t="str">
        <f ca="1">IF(E213&lt;2000,"",IF(CELL("contenido",H215)=1,"UN",IF(AND(H215&gt;0,H215&lt;30),LOOKUP(CELL("contenido",H215),$A$26:$B$55),"")))</f>
        <v/>
      </c>
      <c r="K215" s="585">
        <f>+RIGHT(K213,2)*1</f>
        <v>0</v>
      </c>
      <c r="L215" s="586" t="s">
        <v>349</v>
      </c>
      <c r="M215" s="587" t="str">
        <f ca="1">IF(CELL("contenido",K215)=1,"UN",IF(AND(K215&gt;0,K215&lt;30),LOOKUP(CELL("contenido",K215),$A$26:$B$55),""))</f>
        <v/>
      </c>
      <c r="N215" s="588">
        <f>+RIGHT(N213,2)*1</f>
        <v>0</v>
      </c>
      <c r="O215" s="589" t="s">
        <v>349</v>
      </c>
      <c r="P215" s="590" t="str">
        <f ca="1">IF(CELL("contenido",N215)=1,"UN",IF(AND(N215&gt;0,N215&lt;30),LOOKUP(CELL("contenido",N215),$A$26:$B$55),""))</f>
        <v/>
      </c>
      <c r="Q215" s="591">
        <f>+RIGHT(Q213,2)*1</f>
        <v>0</v>
      </c>
      <c r="R215" s="592" t="s">
        <v>349</v>
      </c>
      <c r="S215" s="593" t="str">
        <f ca="1">IF(CELL("contenido",Q215)=1,"UN",IF(AND(Q215&gt;0,Q215&lt;30),LOOKUP(CELL("contenido",Q215),$A$26:$B$55),""))</f>
        <v/>
      </c>
      <c r="U215" s="572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4.4" thickBot="1">
      <c r="D216" s="575"/>
      <c r="E216" s="579">
        <f>+RIGHT(E213,2)*1-E214</f>
        <v>0</v>
      </c>
      <c r="F216" s="580" t="s">
        <v>351</v>
      </c>
      <c r="G216" s="581" t="str">
        <f ca="1">+IF(AND(E216&gt;0,E213&gt;=30),LOOKUP(CELL("contenido",E216),$C$26:$D$35),"")</f>
        <v/>
      </c>
      <c r="H216" s="582">
        <f>+RIGHT(H213,2)*1-H214</f>
        <v>0</v>
      </c>
      <c r="I216" s="583" t="s">
        <v>351</v>
      </c>
      <c r="J216" s="584" t="str">
        <f ca="1">+IF(AND(H216&gt;0,H213&gt;=30),LOOKUP(CELL("contenido",H216),$C$26:$D$35),"")</f>
        <v/>
      </c>
      <c r="K216" s="585">
        <f>+RIGHT(K213,2)*1-K214</f>
        <v>0</v>
      </c>
      <c r="L216" s="586" t="s">
        <v>351</v>
      </c>
      <c r="M216" s="587" t="str">
        <f ca="1">+IF(AND(K216&gt;0,K213&gt;=30),LOOKUP(CELL("contenido",K216),$C$26:$D$35),"")</f>
        <v/>
      </c>
      <c r="N216" s="588">
        <f>+RIGHT(N213,2)*1-N214</f>
        <v>0</v>
      </c>
      <c r="O216" s="589" t="s">
        <v>351</v>
      </c>
      <c r="P216" s="590" t="str">
        <f ca="1">+IF(AND(N216&gt;0,K218&gt;=30),LOOKUP(CELL("contenido",N216),$C$26:$D$35),"")</f>
        <v/>
      </c>
      <c r="Q216" s="591">
        <f>+RIGHT(Q213,2)*1-Q214</f>
        <v>0</v>
      </c>
      <c r="R216" s="592" t="s">
        <v>351</v>
      </c>
      <c r="S216" s="593" t="str">
        <f ca="1">+IF(AND(Q216&gt;0,N218&gt;=30),LOOKUP(CELL("contenido",Q216),$C$26:$D$35),"")</f>
        <v/>
      </c>
      <c r="U216" s="572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4.4" thickBot="1">
      <c r="D217" s="575"/>
      <c r="E217" s="579">
        <f>+RIGHT(E213,3)*1-E216-E214</f>
        <v>100</v>
      </c>
      <c r="F217" s="580" t="s">
        <v>353</v>
      </c>
      <c r="G217" s="581" t="str">
        <f ca="1">+IF((RIGHT(E213,3)*1)=100,"CIEN",IF(AND(E217&gt;0,E217&lt;1000),LOOKUP(CELL("contenido",E217),$E$26:$F$35),""))</f>
        <v>CIENTO</v>
      </c>
      <c r="H217" s="582">
        <f>+RIGHT(H213,3)*1-H216-H214</f>
        <v>0</v>
      </c>
      <c r="I217" s="583" t="s">
        <v>353</v>
      </c>
      <c r="J217" s="584" t="str">
        <f ca="1">+IF(H213=100,"CIEN",IF(AND(H217&gt;0,H217&lt;1000),LOOKUP(CELL("contenido",H217),$E$26:$F$35),""))</f>
        <v/>
      </c>
      <c r="K217" s="585">
        <f>+RIGHT(K213,3)*1-K216-K214</f>
        <v>0</v>
      </c>
      <c r="L217" s="586" t="s">
        <v>353</v>
      </c>
      <c r="M217" s="587" t="str">
        <f ca="1">+IF(K213=100,"CIEN",IF(AND(K217&gt;0,K217&lt;1000),LOOKUP(CELL("contenido",K217),$E$26:$F$35),""))</f>
        <v/>
      </c>
      <c r="N217" s="588">
        <f>+RIGHT(N213,3)*1-N216-N214</f>
        <v>0</v>
      </c>
      <c r="O217" s="589" t="s">
        <v>353</v>
      </c>
      <c r="P217" s="590" t="str">
        <f ca="1">+IF(N213=100,"CIEN",IF(AND(N217&gt;0,N217&lt;1000),LOOKUP(CELL("contenido",N217),$E$26:$F$35),""))</f>
        <v/>
      </c>
      <c r="Q217" s="591">
        <f>+RIGHT(Q213,3)*1-Q216-Q214</f>
        <v>0</v>
      </c>
      <c r="R217" s="592" t="s">
        <v>353</v>
      </c>
      <c r="S217" s="593" t="str">
        <f ca="1">+IF(Q213=100,"CIEN",IF(AND(Q217&gt;0,Q217&lt;1000),LOOKUP(CELL("contenido",Q217),$E$26:$F$35),""))</f>
        <v/>
      </c>
      <c r="U217" s="572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4.4" thickBot="1">
      <c r="D218" s="575"/>
      <c r="E218" s="595">
        <f>+RIGHT(E213,4)*1-E217-E216-E214</f>
        <v>0</v>
      </c>
      <c r="F218" s="596" t="s">
        <v>355</v>
      </c>
      <c r="G218" s="597" t="str">
        <f ca="1">+IF(E213&gt;999,"MIL",IF(AND(E218&gt;0,E218&lt;10000),LOOKUP(CELL("contenido",E218),$E$26:$F$35),""))</f>
        <v/>
      </c>
      <c r="H218" s="598">
        <f>INT(E213/1000000)</f>
        <v>0</v>
      </c>
      <c r="I218" s="599" t="s">
        <v>356</v>
      </c>
      <c r="J218" s="600" t="str">
        <f ca="1">+IF(CELL("contenido",M215)=1,"MILLÓN",IF(H218=1,"MILLÓN",IF(H218&gt;1,"MILLONES","")))</f>
        <v/>
      </c>
      <c r="K218" s="601">
        <f>+RIGHT(K213,4)*1-K217-K216-K214</f>
        <v>0</v>
      </c>
      <c r="L218" s="602" t="s">
        <v>357</v>
      </c>
      <c r="M218" s="603" t="str">
        <f ca="1">+IF(AND(K218&gt;0,K218&lt;10000),LOOKUP(CELL("contenido",K218),$E$26:$F$35),"")</f>
        <v/>
      </c>
      <c r="N218" s="604">
        <f>+RIGHT(N213,4)*1-N217-N216-N214</f>
        <v>0</v>
      </c>
      <c r="O218" s="605" t="s">
        <v>358</v>
      </c>
      <c r="P218" s="606" t="str">
        <f>+IF(N218=1,"UN MILLARDO",IF(N213&gt;1,"MILLARDOS",""))</f>
        <v/>
      </c>
      <c r="Q218" s="607">
        <f>+RIGHT(Q213,4)*1-Q217-Q216-Q214</f>
        <v>0</v>
      </c>
      <c r="R218" s="608" t="s">
        <v>358</v>
      </c>
      <c r="S218" s="609" t="str">
        <f>+IF(Q218=1,"UN MILLARDO",IF(Q213&gt;1,"MILLARDOS",""))</f>
        <v/>
      </c>
      <c r="U218" s="572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4.4" thickTop="1">
      <c r="D219" s="575"/>
      <c r="E219" s="572"/>
      <c r="F219" s="572"/>
      <c r="G219" s="572"/>
      <c r="H219" s="572"/>
      <c r="I219" s="572"/>
      <c r="J219" s="610"/>
      <c r="K219" s="610"/>
      <c r="L219" s="610"/>
      <c r="M219" s="573"/>
      <c r="N219" s="573"/>
      <c r="O219" s="573"/>
      <c r="P219" s="572"/>
      <c r="Q219" s="573"/>
      <c r="R219" s="573"/>
      <c r="S219" s="572"/>
      <c r="U219" s="572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 ht="13.8">
      <c r="D220" s="572" t="s">
        <v>376</v>
      </c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2"/>
      <c r="P220" s="572"/>
      <c r="Q220" s="572"/>
      <c r="R220" s="572"/>
      <c r="S220" s="572"/>
      <c r="U220" s="569"/>
    </row>
    <row r="221" spans="4:21" ht="13.8">
      <c r="D221" s="575"/>
      <c r="E221" s="576">
        <f>ROUND(100*(A17-INT(A17)),2)</f>
        <v>88</v>
      </c>
      <c r="F221" s="572" t="s">
        <v>337</v>
      </c>
      <c r="G221" s="572"/>
      <c r="H221" s="572"/>
      <c r="I221" s="572"/>
      <c r="J221" s="572"/>
      <c r="K221" s="572"/>
      <c r="L221" s="572"/>
      <c r="M221" s="572"/>
      <c r="N221" s="572"/>
      <c r="O221" s="572"/>
      <c r="P221" s="572"/>
      <c r="Q221" s="572"/>
      <c r="R221" s="572"/>
      <c r="S221" s="572"/>
    </row>
    <row r="222" spans="4:21" ht="13.8">
      <c r="D222" s="572"/>
      <c r="E222" s="572">
        <f>+LEN(E224)</f>
        <v>4</v>
      </c>
      <c r="F222" s="572" t="s">
        <v>338</v>
      </c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</row>
    <row r="223" spans="4:21" ht="14.4" thickBot="1">
      <c r="D223" s="575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</row>
    <row r="224" spans="4:21" ht="15" thickTop="1" thickBot="1">
      <c r="D224" s="572"/>
      <c r="E224" s="577">
        <f>+A17-E221/100</f>
        <v>1404</v>
      </c>
      <c r="F224" s="1387" t="s">
        <v>341</v>
      </c>
      <c r="G224" s="1388"/>
      <c r="H224" s="578">
        <f>+IF(E224&gt;1000,INT(E224/1000),0)</f>
        <v>1</v>
      </c>
      <c r="I224" s="1387" t="s">
        <v>342</v>
      </c>
      <c r="J224" s="1388"/>
      <c r="K224" s="578">
        <f>+INT(H224/1000)</f>
        <v>0</v>
      </c>
      <c r="L224" s="1387" t="s">
        <v>343</v>
      </c>
      <c r="M224" s="1388"/>
      <c r="N224" s="578">
        <f>+INT(K224/1000)</f>
        <v>0</v>
      </c>
      <c r="O224" s="1387" t="s">
        <v>344</v>
      </c>
      <c r="P224" s="1388"/>
      <c r="Q224" s="578">
        <f>+INT(N224)</f>
        <v>0</v>
      </c>
      <c r="R224" s="1387" t="s">
        <v>344</v>
      </c>
      <c r="S224" s="1388"/>
      <c r="U224" s="572" t="str">
        <f>+IF(E221=0,CONCATENATE("00",U225),IF(E221&lt;10,CONCATENATE(" 0",E221,U225),CONCATENATE(" ",E221,U225)))</f>
        <v xml:space="preserve"> 88/100 BOLIVIANOS</v>
      </c>
    </row>
    <row r="225" spans="4:21" ht="14.4" thickBot="1">
      <c r="D225" s="575"/>
      <c r="E225" s="579">
        <f>+RIGHT(E224)*1</f>
        <v>4</v>
      </c>
      <c r="F225" s="580" t="s">
        <v>346</v>
      </c>
      <c r="G225" s="581" t="str">
        <f ca="1">+IF(AND(E225&gt;0,E225&lt;10),LOOKUP(CELL("contenido",E225),$A$26:$B$35),"")</f>
        <v>CUATRO</v>
      </c>
      <c r="H225" s="582">
        <f>+RIGHT(H224)*1</f>
        <v>1</v>
      </c>
      <c r="I225" s="583" t="s">
        <v>346</v>
      </c>
      <c r="J225" s="584" t="str">
        <f ca="1">IF(E224&lt;2000,"",IF(CELL("contenido",H225)=1,"UN",IF(AND(H225&gt;0,H225&lt;10),LOOKUP(CELL("contenido",H225),$A$26:$B$35),"")))</f>
        <v/>
      </c>
      <c r="K225" s="585">
        <f>+RIGHT(K224)*1</f>
        <v>0</v>
      </c>
      <c r="L225" s="586" t="s">
        <v>346</v>
      </c>
      <c r="M225" s="587" t="str">
        <f ca="1">+IF(CELL("contenido",K225)=1,"UN",IF(AND(K225&gt;0,K225&lt;10),LOOKUP(CELL("contenido",K225),$A$26:$B$35),""))</f>
        <v/>
      </c>
      <c r="N225" s="588">
        <f>+RIGHT(N224)*1</f>
        <v>0</v>
      </c>
      <c r="O225" s="589" t="s">
        <v>346</v>
      </c>
      <c r="P225" s="590" t="str">
        <f ca="1">+IF(CELL("contenido",N225)=1,"UN",IF(AND(N225&gt;0,N225&lt;10),LOOKUP(CELL("contenido",N225),$A$26:$B$35),""))</f>
        <v/>
      </c>
      <c r="Q225" s="591">
        <f>+RIGHT(Q224)*1</f>
        <v>0</v>
      </c>
      <c r="R225" s="592" t="s">
        <v>346</v>
      </c>
      <c r="S225" s="593" t="str">
        <f ca="1">+IF(CELL("contenido",Q225)=1,"UN",IF(AND(Q225&gt;0,Q225&lt;10),LOOKUP(CELL("contenido",Q225),$A$26:$B$35),""))</f>
        <v/>
      </c>
      <c r="U225" s="594" t="s">
        <v>347</v>
      </c>
    </row>
    <row r="226" spans="4:21" ht="14.4" thickBot="1">
      <c r="D226" s="575"/>
      <c r="E226" s="579">
        <f>+RIGHT(E224,2)*1</f>
        <v>4</v>
      </c>
      <c r="F226" s="580" t="s">
        <v>349</v>
      </c>
      <c r="G226" s="581" t="str">
        <f ca="1">IF(AND(E226&gt;0,E226&lt;30),LOOKUP(CELL("contenido",E226),$A$26:$B$55),"")</f>
        <v>CUATRO</v>
      </c>
      <c r="H226" s="582">
        <f>+RIGHT(H224,2)*1</f>
        <v>1</v>
      </c>
      <c r="I226" s="583" t="s">
        <v>349</v>
      </c>
      <c r="J226" s="584" t="str">
        <f ca="1">IF(E224&lt;2000,"",IF(CELL("contenido",H226)=1,"UN",IF(AND(H226&gt;0,H226&lt;30),LOOKUP(CELL("contenido",H226),$A$26:$B$55),"")))</f>
        <v/>
      </c>
      <c r="K226" s="585">
        <f>+RIGHT(K224,2)*1</f>
        <v>0</v>
      </c>
      <c r="L226" s="586" t="s">
        <v>349</v>
      </c>
      <c r="M226" s="587" t="str">
        <f ca="1">IF(CELL("contenido",K226)=1,"UN",IF(AND(K226&gt;0,K226&lt;30),LOOKUP(CELL("contenido",K226),$A$26:$B$55),""))</f>
        <v/>
      </c>
      <c r="N226" s="588">
        <f>+RIGHT(N224,2)*1</f>
        <v>0</v>
      </c>
      <c r="O226" s="589" t="s">
        <v>349</v>
      </c>
      <c r="P226" s="590" t="str">
        <f ca="1">IF(CELL("contenido",N226)=1,"UN",IF(AND(N226&gt;0,N226&lt;30),LOOKUP(CELL("contenido",N226),$A$26:$B$55),""))</f>
        <v/>
      </c>
      <c r="Q226" s="591">
        <f>+RIGHT(Q224,2)*1</f>
        <v>0</v>
      </c>
      <c r="R226" s="592" t="s">
        <v>349</v>
      </c>
      <c r="S226" s="593" t="str">
        <f ca="1">IF(CELL("contenido",Q226)=1,"UN",IF(AND(Q226&gt;0,Q226&lt;30),LOOKUP(CELL("contenido",Q226),$A$26:$B$55),""))</f>
        <v/>
      </c>
      <c r="U226" s="572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4.4" thickBot="1">
      <c r="D227" s="575"/>
      <c r="E227" s="579">
        <f>+RIGHT(E224,2)*1-E225</f>
        <v>0</v>
      </c>
      <c r="F227" s="580" t="s">
        <v>351</v>
      </c>
      <c r="G227" s="581" t="str">
        <f ca="1">+IF(AND(E227&gt;0,E224&gt;=30),LOOKUP(CELL("contenido",E227),$C$26:$D$35),"")</f>
        <v/>
      </c>
      <c r="H227" s="582">
        <f>+RIGHT(H224,2)*1-H225</f>
        <v>0</v>
      </c>
      <c r="I227" s="583" t="s">
        <v>351</v>
      </c>
      <c r="J227" s="584" t="str">
        <f ca="1">+IF(AND(H227&gt;0,H224&gt;=30),LOOKUP(CELL("contenido",H227),$C$26:$D$35),"")</f>
        <v/>
      </c>
      <c r="K227" s="585">
        <f>+RIGHT(K224,2)*1-K225</f>
        <v>0</v>
      </c>
      <c r="L227" s="586" t="s">
        <v>351</v>
      </c>
      <c r="M227" s="587" t="str">
        <f ca="1">+IF(AND(K227&gt;0,K224&gt;=30),LOOKUP(CELL("contenido",K227),$C$26:$D$35),"")</f>
        <v/>
      </c>
      <c r="N227" s="588">
        <f>+RIGHT(N224,2)*1-N225</f>
        <v>0</v>
      </c>
      <c r="O227" s="589" t="s">
        <v>351</v>
      </c>
      <c r="P227" s="590" t="str">
        <f ca="1">+IF(AND(N227&gt;0,K229&gt;=30),LOOKUP(CELL("contenido",N227),$C$26:$D$35),"")</f>
        <v/>
      </c>
      <c r="Q227" s="591">
        <f>+RIGHT(Q224,2)*1-Q225</f>
        <v>0</v>
      </c>
      <c r="R227" s="592" t="s">
        <v>351</v>
      </c>
      <c r="S227" s="593" t="str">
        <f ca="1">+IF(AND(Q227&gt;0,N229&gt;=30),LOOKUP(CELL("contenido",Q227),$C$26:$D$35),"")</f>
        <v/>
      </c>
      <c r="U227" s="572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4.4" thickBot="1">
      <c r="D228" s="575"/>
      <c r="E228" s="579">
        <f>+RIGHT(E224,3)*1-E227-E225</f>
        <v>400</v>
      </c>
      <c r="F228" s="580" t="s">
        <v>353</v>
      </c>
      <c r="G228" s="581" t="str">
        <f ca="1">+IF((RIGHT(E224,3)*1)=100,"CIEN",IF(AND(E228&gt;0,E228&lt;1000),LOOKUP(CELL("contenido",E228),$E$26:$F$35),""))</f>
        <v>CUATROCIENTOS</v>
      </c>
      <c r="H228" s="582">
        <f>+RIGHT(H224,3)*1-H227-H225</f>
        <v>0</v>
      </c>
      <c r="I228" s="583" t="s">
        <v>353</v>
      </c>
      <c r="J228" s="584" t="str">
        <f ca="1">+IF(H224=100,"CIEN",IF(AND(H228&gt;0,H228&lt;1000),LOOKUP(CELL("contenido",H228),$E$26:$F$35),""))</f>
        <v/>
      </c>
      <c r="K228" s="585">
        <f>+RIGHT(K224,3)*1-K227-K225</f>
        <v>0</v>
      </c>
      <c r="L228" s="586" t="s">
        <v>353</v>
      </c>
      <c r="M228" s="587" t="str">
        <f ca="1">+IF(K224=100,"CIEN",IF(AND(K228&gt;0,K228&lt;1000),LOOKUP(CELL("contenido",K228),$E$26:$F$35),""))</f>
        <v/>
      </c>
      <c r="N228" s="588">
        <f>+RIGHT(N224,3)*1-N227-N225</f>
        <v>0</v>
      </c>
      <c r="O228" s="589" t="s">
        <v>353</v>
      </c>
      <c r="P228" s="590" t="str">
        <f ca="1">+IF(N224=100,"CIEN",IF(AND(N228&gt;0,N228&lt;1000),LOOKUP(CELL("contenido",N228),$E$26:$F$35),""))</f>
        <v/>
      </c>
      <c r="Q228" s="591">
        <f>+RIGHT(Q224,3)*1-Q227-Q225</f>
        <v>0</v>
      </c>
      <c r="R228" s="592" t="s">
        <v>353</v>
      </c>
      <c r="S228" s="593" t="str">
        <f ca="1">+IF(Q224=100,"CIEN",IF(AND(Q228&gt;0,Q228&lt;1000),LOOKUP(CELL("contenido",Q228),$E$26:$F$35),""))</f>
        <v/>
      </c>
      <c r="U228" s="572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4.4" thickBot="1">
      <c r="D229" s="575"/>
      <c r="E229" s="595">
        <f>+RIGHT(E224,4)*1-E228-E227-E225</f>
        <v>1000</v>
      </c>
      <c r="F229" s="596" t="s">
        <v>355</v>
      </c>
      <c r="G229" s="597" t="str">
        <f ca="1">+IF(E224&gt;999,"MIL",IF(AND(E229&gt;0,E229&lt;10000),LOOKUP(CELL("contenido",E229),$E$26:$F$35),""))</f>
        <v>MIL</v>
      </c>
      <c r="H229" s="598">
        <f>INT(E224/1000000)</f>
        <v>0</v>
      </c>
      <c r="I229" s="599" t="s">
        <v>356</v>
      </c>
      <c r="J229" s="600" t="str">
        <f ca="1">+IF(CELL("contenido",M226)=1,"MILLÓN",IF(H229=1,"MILLÓN",IF(H229&gt;1,"MILLONES","")))</f>
        <v/>
      </c>
      <c r="K229" s="601">
        <f>+RIGHT(K224,4)*1-K228-K227-K225</f>
        <v>0</v>
      </c>
      <c r="L229" s="602" t="s">
        <v>357</v>
      </c>
      <c r="M229" s="603" t="str">
        <f ca="1">+IF(AND(K229&gt;0,K229&lt;10000),LOOKUP(CELL("contenido",K229),$E$26:$F$35),"")</f>
        <v/>
      </c>
      <c r="N229" s="604">
        <f>+RIGHT(N224,4)*1-N228-N227-N225</f>
        <v>0</v>
      </c>
      <c r="O229" s="605" t="s">
        <v>358</v>
      </c>
      <c r="P229" s="606" t="str">
        <f>+IF(N229=1,"UN MILLARDO",IF(N224&gt;1,"MILLARDOS",""))</f>
        <v/>
      </c>
      <c r="Q229" s="607">
        <f>+RIGHT(Q224,4)*1-Q228-Q227-Q225</f>
        <v>0</v>
      </c>
      <c r="R229" s="608" t="s">
        <v>358</v>
      </c>
      <c r="S229" s="609" t="str">
        <f>+IF(Q229=1,"UN MILLARDO",IF(Q224&gt;1,"MILLARDOS",""))</f>
        <v/>
      </c>
      <c r="U229" s="572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4.4" thickTop="1">
      <c r="D230" s="575"/>
      <c r="E230" s="572"/>
      <c r="F230" s="572"/>
      <c r="G230" s="572"/>
      <c r="H230" s="572"/>
      <c r="I230" s="572"/>
      <c r="J230" s="610"/>
      <c r="K230" s="610"/>
      <c r="L230" s="610"/>
      <c r="M230" s="573"/>
      <c r="N230" s="573"/>
      <c r="O230" s="573"/>
      <c r="P230" s="572"/>
      <c r="Q230" s="573"/>
      <c r="R230" s="573"/>
      <c r="S230" s="572"/>
      <c r="U230" s="572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 ht="13.8">
      <c r="D231" s="572" t="s">
        <v>377</v>
      </c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72"/>
      <c r="P231" s="572"/>
      <c r="Q231" s="572"/>
      <c r="R231" s="572"/>
      <c r="S231" s="572"/>
      <c r="U231" s="569"/>
    </row>
    <row r="232" spans="4:21" ht="13.8">
      <c r="D232" s="575"/>
      <c r="E232" s="576">
        <f>ROUND(100*(A18-INT(A18)),2)</f>
        <v>76</v>
      </c>
      <c r="F232" s="572" t="s">
        <v>337</v>
      </c>
      <c r="G232" s="572"/>
      <c r="H232" s="572"/>
      <c r="I232" s="572"/>
      <c r="J232" s="572"/>
      <c r="K232" s="572"/>
      <c r="L232" s="572"/>
      <c r="M232" s="572"/>
      <c r="N232" s="572"/>
      <c r="O232" s="572"/>
      <c r="P232" s="572"/>
      <c r="Q232" s="572"/>
      <c r="R232" s="572"/>
      <c r="S232" s="572"/>
    </row>
    <row r="233" spans="4:21" ht="13.8">
      <c r="D233" s="572"/>
      <c r="E233" s="572">
        <f>+LEN(E235)</f>
        <v>2</v>
      </c>
      <c r="F233" s="572" t="s">
        <v>338</v>
      </c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</row>
    <row r="234" spans="4:21" ht="14.4" thickBot="1">
      <c r="D234" s="575"/>
      <c r="E234" s="572"/>
      <c r="F234" s="572"/>
      <c r="G234" s="572"/>
      <c r="H234" s="572"/>
      <c r="I234" s="572"/>
      <c r="J234" s="572"/>
      <c r="K234" s="572"/>
      <c r="L234" s="572"/>
      <c r="M234" s="572"/>
      <c r="N234" s="572"/>
      <c r="O234" s="572"/>
      <c r="P234" s="572"/>
      <c r="Q234" s="572"/>
      <c r="R234" s="572"/>
      <c r="S234" s="572"/>
    </row>
    <row r="235" spans="4:21" ht="15" thickTop="1" thickBot="1">
      <c r="D235" s="572"/>
      <c r="E235" s="577">
        <f>+A18-E232/100</f>
        <v>30</v>
      </c>
      <c r="F235" s="1387" t="s">
        <v>341</v>
      </c>
      <c r="G235" s="1388"/>
      <c r="H235" s="578">
        <f>+IF(E235&gt;1000,INT(E235/1000),0)</f>
        <v>0</v>
      </c>
      <c r="I235" s="1387" t="s">
        <v>342</v>
      </c>
      <c r="J235" s="1388"/>
      <c r="K235" s="578">
        <f>+INT(H235/1000)</f>
        <v>0</v>
      </c>
      <c r="L235" s="1387" t="s">
        <v>343</v>
      </c>
      <c r="M235" s="1388"/>
      <c r="N235" s="578">
        <f>+INT(K235/1000)</f>
        <v>0</v>
      </c>
      <c r="O235" s="1387" t="s">
        <v>344</v>
      </c>
      <c r="P235" s="1388"/>
      <c r="Q235" s="578">
        <f>+INT(N235)</f>
        <v>0</v>
      </c>
      <c r="R235" s="1387" t="s">
        <v>344</v>
      </c>
      <c r="S235" s="1388"/>
      <c r="U235" s="572" t="str">
        <f>+IF(E232=0,CONCATENATE("00",U236),IF(E232&lt;10,CONCATENATE(" 0",E232,U236),CONCATENATE(" ",E232,U236)))</f>
        <v xml:space="preserve"> 76/100 BOLIVIANOS</v>
      </c>
    </row>
    <row r="236" spans="4:21" ht="14.4" thickBot="1">
      <c r="D236" s="575"/>
      <c r="E236" s="579">
        <f>+RIGHT(E235)*1</f>
        <v>0</v>
      </c>
      <c r="F236" s="580" t="s">
        <v>346</v>
      </c>
      <c r="G236" s="581" t="str">
        <f ca="1">+IF(AND(E236&gt;0,E236&lt;10),LOOKUP(CELL("contenido",E236),$A$26:$B$35),"")</f>
        <v/>
      </c>
      <c r="H236" s="582">
        <f>+RIGHT(H235)*1</f>
        <v>0</v>
      </c>
      <c r="I236" s="583" t="s">
        <v>346</v>
      </c>
      <c r="J236" s="584" t="str">
        <f ca="1">IF(E235&lt;2000,"",IF(CELL("contenido",H236)=1,"UN",IF(AND(H236&gt;0,H236&lt;10),LOOKUP(CELL("contenido",H236),$A$26:$B$35),"")))</f>
        <v/>
      </c>
      <c r="K236" s="585">
        <f>+RIGHT(K235)*1</f>
        <v>0</v>
      </c>
      <c r="L236" s="586" t="s">
        <v>346</v>
      </c>
      <c r="M236" s="587" t="str">
        <f ca="1">+IF(CELL("contenido",K236)=1,"UN",IF(AND(K236&gt;0,K236&lt;10),LOOKUP(CELL("contenido",K236),$A$26:$B$35),""))</f>
        <v/>
      </c>
      <c r="N236" s="588">
        <f>+RIGHT(N235)*1</f>
        <v>0</v>
      </c>
      <c r="O236" s="589" t="s">
        <v>346</v>
      </c>
      <c r="P236" s="590" t="str">
        <f ca="1">+IF(CELL("contenido",N236)=1,"UN",IF(AND(N236&gt;0,N236&lt;10),LOOKUP(CELL("contenido",N236),$A$26:$B$35),""))</f>
        <v/>
      </c>
      <c r="Q236" s="591">
        <f>+RIGHT(Q235)*1</f>
        <v>0</v>
      </c>
      <c r="R236" s="592" t="s">
        <v>346</v>
      </c>
      <c r="S236" s="593" t="str">
        <f ca="1">+IF(CELL("contenido",Q236)=1,"UN",IF(AND(Q236&gt;0,Q236&lt;10),LOOKUP(CELL("contenido",Q236),$A$26:$B$35),""))</f>
        <v/>
      </c>
      <c r="U236" s="594" t="s">
        <v>347</v>
      </c>
    </row>
    <row r="237" spans="4:21" ht="14.4" thickBot="1">
      <c r="D237" s="575"/>
      <c r="E237" s="579">
        <f>+RIGHT(E235,2)*1</f>
        <v>30</v>
      </c>
      <c r="F237" s="580" t="s">
        <v>349</v>
      </c>
      <c r="G237" s="581" t="str">
        <f ca="1">IF(AND(E237&gt;0,E237&lt;30),LOOKUP(CELL("contenido",E237),$A$26:$B$55),"")</f>
        <v/>
      </c>
      <c r="H237" s="582">
        <f>+RIGHT(H235,2)*1</f>
        <v>0</v>
      </c>
      <c r="I237" s="583" t="s">
        <v>349</v>
      </c>
      <c r="J237" s="584" t="str">
        <f ca="1">IF(E235&lt;2000,"",IF(CELL("contenido",H237)=1,"UN",IF(AND(H237&gt;0,H237&lt;30),LOOKUP(CELL("contenido",H237),$A$26:$B$55),"")))</f>
        <v/>
      </c>
      <c r="K237" s="585">
        <f>+RIGHT(K235,2)*1</f>
        <v>0</v>
      </c>
      <c r="L237" s="586" t="s">
        <v>349</v>
      </c>
      <c r="M237" s="587" t="str">
        <f ca="1">IF(CELL("contenido",K237)=1,"UN",IF(AND(K237&gt;0,K237&lt;30),LOOKUP(CELL("contenido",K237),$A$26:$B$55),""))</f>
        <v/>
      </c>
      <c r="N237" s="588">
        <f>+RIGHT(N235,2)*1</f>
        <v>0</v>
      </c>
      <c r="O237" s="589" t="s">
        <v>349</v>
      </c>
      <c r="P237" s="590" t="str">
        <f ca="1">IF(CELL("contenido",N237)=1,"UN",IF(AND(N237&gt;0,N237&lt;30),LOOKUP(CELL("contenido",N237),$A$26:$B$55),""))</f>
        <v/>
      </c>
      <c r="Q237" s="591">
        <f>+RIGHT(Q235,2)*1</f>
        <v>0</v>
      </c>
      <c r="R237" s="592" t="s">
        <v>349</v>
      </c>
      <c r="S237" s="593" t="str">
        <f ca="1">IF(CELL("contenido",Q237)=1,"UN",IF(AND(Q237&gt;0,Q237&lt;30),LOOKUP(CELL("contenido",Q237),$A$26:$B$55),""))</f>
        <v/>
      </c>
      <c r="U237" s="572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4.4" thickBot="1">
      <c r="D238" s="575"/>
      <c r="E238" s="579">
        <f>+RIGHT(E235,2)*1-E236</f>
        <v>30</v>
      </c>
      <c r="F238" s="580" t="s">
        <v>351</v>
      </c>
      <c r="G238" s="581" t="str">
        <f ca="1">+IF(AND(E238&gt;0,E235&gt;=30),LOOKUP(CELL("contenido",E238),$C$26:$D$35),"")</f>
        <v>TREINTA</v>
      </c>
      <c r="H238" s="582">
        <f>+RIGHT(H235,2)*1-H236</f>
        <v>0</v>
      </c>
      <c r="I238" s="583" t="s">
        <v>351</v>
      </c>
      <c r="J238" s="584" t="str">
        <f ca="1">+IF(AND(H238&gt;0,H235&gt;=30),LOOKUP(CELL("contenido",H238),$C$26:$D$35),"")</f>
        <v/>
      </c>
      <c r="K238" s="585">
        <f>+RIGHT(K235,2)*1-K236</f>
        <v>0</v>
      </c>
      <c r="L238" s="586" t="s">
        <v>351</v>
      </c>
      <c r="M238" s="587" t="str">
        <f ca="1">+IF(AND(K238&gt;0,K235&gt;=30),LOOKUP(CELL("contenido",K238),$C$26:$D$35),"")</f>
        <v/>
      </c>
      <c r="N238" s="588">
        <f>+RIGHT(N235,2)*1-N236</f>
        <v>0</v>
      </c>
      <c r="O238" s="589" t="s">
        <v>351</v>
      </c>
      <c r="P238" s="590" t="str">
        <f ca="1">+IF(AND(N238&gt;0,K240&gt;=30),LOOKUP(CELL("contenido",N238),$C$26:$D$35),"")</f>
        <v/>
      </c>
      <c r="Q238" s="591">
        <f>+RIGHT(Q235,2)*1-Q236</f>
        <v>0</v>
      </c>
      <c r="R238" s="592" t="s">
        <v>351</v>
      </c>
      <c r="S238" s="593" t="str">
        <f ca="1">+IF(AND(Q238&gt;0,N240&gt;=30),LOOKUP(CELL("contenido",Q238),$C$26:$D$35),"")</f>
        <v/>
      </c>
      <c r="U238" s="572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4.4" thickBot="1">
      <c r="D239" s="575"/>
      <c r="E239" s="579">
        <f>+RIGHT(E235,3)*1-E238-E236</f>
        <v>0</v>
      </c>
      <c r="F239" s="580" t="s">
        <v>353</v>
      </c>
      <c r="G239" s="581" t="str">
        <f ca="1">+IF((RIGHT(E235,3)*1)=100,"CIEN",IF(AND(E239&gt;0,E239&lt;1000),LOOKUP(CELL("contenido",E239),$E$26:$F$35),""))</f>
        <v/>
      </c>
      <c r="H239" s="582">
        <f>+RIGHT(H235,3)*1-H238-H236</f>
        <v>0</v>
      </c>
      <c r="I239" s="583" t="s">
        <v>353</v>
      </c>
      <c r="J239" s="584" t="str">
        <f ca="1">+IF(H235=100,"CIEN",IF(AND(H239&gt;0,H239&lt;1000),LOOKUP(CELL("contenido",H239),$E$26:$F$35),""))</f>
        <v/>
      </c>
      <c r="K239" s="585">
        <f>+RIGHT(K235,3)*1-K238-K236</f>
        <v>0</v>
      </c>
      <c r="L239" s="586" t="s">
        <v>353</v>
      </c>
      <c r="M239" s="587" t="str">
        <f ca="1">+IF(K235=100,"CIEN",IF(AND(K239&gt;0,K239&lt;1000),LOOKUP(CELL("contenido",K239),$E$26:$F$35),""))</f>
        <v/>
      </c>
      <c r="N239" s="588">
        <f>+RIGHT(N235,3)*1-N238-N236</f>
        <v>0</v>
      </c>
      <c r="O239" s="589" t="s">
        <v>353</v>
      </c>
      <c r="P239" s="590" t="str">
        <f ca="1">+IF(N235=100,"CIEN",IF(AND(N239&gt;0,N239&lt;1000),LOOKUP(CELL("contenido",N239),$E$26:$F$35),""))</f>
        <v/>
      </c>
      <c r="Q239" s="591">
        <f>+RIGHT(Q235,3)*1-Q238-Q236</f>
        <v>0</v>
      </c>
      <c r="R239" s="592" t="s">
        <v>353</v>
      </c>
      <c r="S239" s="593" t="str">
        <f ca="1">+IF(Q235=100,"CIEN",IF(AND(Q239&gt;0,Q239&lt;1000),LOOKUP(CELL("contenido",Q239),$E$26:$F$35),""))</f>
        <v/>
      </c>
      <c r="U239" s="572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4.4" thickBot="1">
      <c r="D240" s="575"/>
      <c r="E240" s="595">
        <f>+RIGHT(E235,4)*1-E239-E238-E236</f>
        <v>0</v>
      </c>
      <c r="F240" s="596" t="s">
        <v>355</v>
      </c>
      <c r="G240" s="597" t="str">
        <f ca="1">+IF(E235&gt;999,"MIL",IF(AND(E240&gt;0,E240&lt;10000),LOOKUP(CELL("contenido",E240),$E$26:$F$35),""))</f>
        <v/>
      </c>
      <c r="H240" s="598">
        <f>INT(E235/1000000)</f>
        <v>0</v>
      </c>
      <c r="I240" s="599" t="s">
        <v>356</v>
      </c>
      <c r="J240" s="600" t="str">
        <f ca="1">+IF(CELL("contenido",M237)=1,"MILLÓN",IF(H240=1,"MILLÓN",IF(H240&gt;1,"MILLONES","")))</f>
        <v/>
      </c>
      <c r="K240" s="601">
        <f>+RIGHT(K235,4)*1-K239-K238-K236</f>
        <v>0</v>
      </c>
      <c r="L240" s="602" t="s">
        <v>357</v>
      </c>
      <c r="M240" s="603" t="str">
        <f ca="1">+IF(AND(K240&gt;0,K240&lt;10000),LOOKUP(CELL("contenido",K240),$E$26:$F$35),"")</f>
        <v/>
      </c>
      <c r="N240" s="604">
        <f>+RIGHT(N235,4)*1-N239-N238-N236</f>
        <v>0</v>
      </c>
      <c r="O240" s="605" t="s">
        <v>358</v>
      </c>
      <c r="P240" s="606" t="str">
        <f>+IF(N240=1,"UN MILLARDO",IF(N235&gt;1,"MILLARDOS",""))</f>
        <v/>
      </c>
      <c r="Q240" s="607">
        <f>+RIGHT(Q235,4)*1-Q239-Q238-Q236</f>
        <v>0</v>
      </c>
      <c r="R240" s="608" t="s">
        <v>358</v>
      </c>
      <c r="S240" s="609" t="str">
        <f>+IF(Q240=1,"UN MILLARDO",IF(Q235&gt;1,"MILLARDOS",""))</f>
        <v/>
      </c>
      <c r="U240" s="572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4.4" thickTop="1">
      <c r="D241" s="575"/>
      <c r="E241" s="572"/>
      <c r="F241" s="572"/>
      <c r="G241" s="572"/>
      <c r="H241" s="572"/>
      <c r="I241" s="572"/>
      <c r="J241" s="610"/>
      <c r="K241" s="610"/>
      <c r="L241" s="610"/>
      <c r="M241" s="573"/>
      <c r="N241" s="573"/>
      <c r="O241" s="573"/>
      <c r="P241" s="572"/>
      <c r="Q241" s="573"/>
      <c r="R241" s="573"/>
      <c r="S241" s="572"/>
      <c r="U241" s="572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 ht="13.8">
      <c r="D242" s="572" t="s">
        <v>378</v>
      </c>
      <c r="E242" s="572"/>
      <c r="F242" s="572"/>
      <c r="G242" s="572"/>
      <c r="H242" s="572"/>
      <c r="I242" s="572"/>
      <c r="J242" s="572"/>
      <c r="K242" s="572"/>
      <c r="L242" s="572"/>
      <c r="M242" s="572"/>
      <c r="N242" s="572"/>
      <c r="O242" s="572"/>
      <c r="P242" s="572"/>
      <c r="Q242" s="572"/>
      <c r="R242" s="572"/>
      <c r="S242" s="572"/>
      <c r="U242" s="569"/>
    </row>
    <row r="243" spans="4:21" ht="13.8">
      <c r="D243" s="575"/>
      <c r="E243" s="576">
        <f>ROUND(100*(A19-INT(A19)),2)</f>
        <v>16</v>
      </c>
      <c r="F243" s="572" t="s">
        <v>337</v>
      </c>
      <c r="G243" s="572"/>
      <c r="H243" s="572"/>
      <c r="I243" s="572"/>
      <c r="J243" s="572"/>
      <c r="K243" s="572"/>
      <c r="L243" s="572"/>
      <c r="M243" s="572"/>
      <c r="N243" s="572"/>
      <c r="O243" s="572"/>
      <c r="P243" s="572"/>
      <c r="Q243" s="572"/>
      <c r="R243" s="572"/>
      <c r="S243" s="572"/>
    </row>
    <row r="244" spans="4:21" ht="13.8">
      <c r="D244" s="572"/>
      <c r="E244" s="572">
        <f>+LEN(E246)</f>
        <v>3</v>
      </c>
      <c r="F244" s="572" t="s">
        <v>338</v>
      </c>
      <c r="G244" s="572"/>
      <c r="H244" s="572"/>
      <c r="I244" s="572"/>
      <c r="J244" s="572"/>
      <c r="K244" s="572"/>
      <c r="L244" s="572"/>
      <c r="M244" s="572"/>
      <c r="N244" s="572"/>
      <c r="O244" s="572"/>
      <c r="P244" s="572"/>
      <c r="Q244" s="572"/>
      <c r="R244" s="572"/>
      <c r="S244" s="572"/>
    </row>
    <row r="245" spans="4:21" ht="14.4" thickBot="1">
      <c r="D245" s="575"/>
      <c r="E245" s="572"/>
      <c r="F245" s="572"/>
      <c r="G245" s="572"/>
      <c r="H245" s="572"/>
      <c r="I245" s="572"/>
      <c r="J245" s="572"/>
      <c r="K245" s="572"/>
      <c r="L245" s="572"/>
      <c r="M245" s="572"/>
      <c r="N245" s="572"/>
      <c r="O245" s="572"/>
      <c r="P245" s="572"/>
      <c r="Q245" s="572"/>
      <c r="R245" s="572"/>
      <c r="S245" s="572"/>
    </row>
    <row r="246" spans="4:21" ht="15" thickTop="1" thickBot="1">
      <c r="D246" s="572"/>
      <c r="E246" s="577">
        <f>+A19-E243/100</f>
        <v>895</v>
      </c>
      <c r="F246" s="1387" t="s">
        <v>341</v>
      </c>
      <c r="G246" s="1388"/>
      <c r="H246" s="578">
        <f>+IF(E246&gt;1000,INT(E246/1000),0)</f>
        <v>0</v>
      </c>
      <c r="I246" s="1387" t="s">
        <v>342</v>
      </c>
      <c r="J246" s="1388"/>
      <c r="K246" s="578">
        <f>+INT(H246/1000)</f>
        <v>0</v>
      </c>
      <c r="L246" s="1387" t="s">
        <v>343</v>
      </c>
      <c r="M246" s="1388"/>
      <c r="N246" s="578">
        <f>+INT(K246/1000)</f>
        <v>0</v>
      </c>
      <c r="O246" s="1387" t="s">
        <v>344</v>
      </c>
      <c r="P246" s="1388"/>
      <c r="Q246" s="578">
        <f>+INT(N246)</f>
        <v>0</v>
      </c>
      <c r="R246" s="1387" t="s">
        <v>344</v>
      </c>
      <c r="S246" s="1388"/>
      <c r="U246" s="572" t="str">
        <f>+IF(E243=0,CONCATENATE("00",U247),IF(E243&lt;10,CONCATENATE(" 0",E243,U247),CONCATENATE(" ",E243,U247)))</f>
        <v xml:space="preserve"> 16/100 BOLIVIANOS</v>
      </c>
    </row>
    <row r="247" spans="4:21" ht="14.4" thickBot="1">
      <c r="D247" s="575"/>
      <c r="E247" s="579">
        <f>+RIGHT(E246)*1</f>
        <v>5</v>
      </c>
      <c r="F247" s="580" t="s">
        <v>346</v>
      </c>
      <c r="G247" s="581" t="str">
        <f ca="1">+IF(AND(E247&gt;0,E247&lt;10),LOOKUP(CELL("contenido",E247),$A$26:$B$35),"")</f>
        <v>CINCO</v>
      </c>
      <c r="H247" s="582">
        <f>+RIGHT(H246)*1</f>
        <v>0</v>
      </c>
      <c r="I247" s="583" t="s">
        <v>346</v>
      </c>
      <c r="J247" s="584" t="str">
        <f ca="1">IF(E246&lt;2000,"",IF(CELL("contenido",H247)=1,"UN",IF(AND(H247&gt;0,H247&lt;10),LOOKUP(CELL("contenido",H247),$A$26:$B$35),"")))</f>
        <v/>
      </c>
      <c r="K247" s="585">
        <f>+RIGHT(K246)*1</f>
        <v>0</v>
      </c>
      <c r="L247" s="586" t="s">
        <v>346</v>
      </c>
      <c r="M247" s="587" t="str">
        <f ca="1">+IF(CELL("contenido",K247)=1,"UN",IF(AND(K247&gt;0,K247&lt;10),LOOKUP(CELL("contenido",K247),$A$26:$B$35),""))</f>
        <v/>
      </c>
      <c r="N247" s="588">
        <f>+RIGHT(N246)*1</f>
        <v>0</v>
      </c>
      <c r="O247" s="589" t="s">
        <v>346</v>
      </c>
      <c r="P247" s="590" t="str">
        <f ca="1">+IF(CELL("contenido",N247)=1,"UN",IF(AND(N247&gt;0,N247&lt;10),LOOKUP(CELL("contenido",N247),$A$26:$B$35),""))</f>
        <v/>
      </c>
      <c r="Q247" s="591">
        <f>+RIGHT(Q246)*1</f>
        <v>0</v>
      </c>
      <c r="R247" s="592" t="s">
        <v>346</v>
      </c>
      <c r="S247" s="593" t="str">
        <f ca="1">+IF(CELL("contenido",Q247)=1,"UN",IF(AND(Q247&gt;0,Q247&lt;10),LOOKUP(CELL("contenido",Q247),$A$26:$B$35),""))</f>
        <v/>
      </c>
      <c r="U247" s="594" t="s">
        <v>347</v>
      </c>
    </row>
    <row r="248" spans="4:21" ht="14.4" thickBot="1">
      <c r="D248" s="575"/>
      <c r="E248" s="579">
        <f>+RIGHT(E246,2)*1</f>
        <v>95</v>
      </c>
      <c r="F248" s="580" t="s">
        <v>349</v>
      </c>
      <c r="G248" s="581" t="str">
        <f ca="1">IF(AND(E248&gt;0,E248&lt;30),LOOKUP(CELL("contenido",E248),$A$26:$B$55),"")</f>
        <v/>
      </c>
      <c r="H248" s="582">
        <f>+RIGHT(H246,2)*1</f>
        <v>0</v>
      </c>
      <c r="I248" s="583" t="s">
        <v>349</v>
      </c>
      <c r="J248" s="584" t="str">
        <f ca="1">IF(E246&lt;2000,"",IF(CELL("contenido",H248)=1,"UN",IF(AND(H248&gt;0,H248&lt;30),LOOKUP(CELL("contenido",H248),$A$26:$B$55),"")))</f>
        <v/>
      </c>
      <c r="K248" s="585">
        <f>+RIGHT(K246,2)*1</f>
        <v>0</v>
      </c>
      <c r="L248" s="586" t="s">
        <v>349</v>
      </c>
      <c r="M248" s="587" t="str">
        <f ca="1">IF(CELL("contenido",K248)=1,"UN",IF(AND(K248&gt;0,K248&lt;30),LOOKUP(CELL("contenido",K248),$A$26:$B$55),""))</f>
        <v/>
      </c>
      <c r="N248" s="588">
        <f>+RIGHT(N246,2)*1</f>
        <v>0</v>
      </c>
      <c r="O248" s="589" t="s">
        <v>349</v>
      </c>
      <c r="P248" s="590" t="str">
        <f ca="1">IF(CELL("contenido",N248)=1,"UN",IF(AND(N248&gt;0,N248&lt;30),LOOKUP(CELL("contenido",N248),$A$26:$B$55),""))</f>
        <v/>
      </c>
      <c r="Q248" s="591">
        <f>+RIGHT(Q246,2)*1</f>
        <v>0</v>
      </c>
      <c r="R248" s="592" t="s">
        <v>349</v>
      </c>
      <c r="S248" s="593" t="str">
        <f ca="1">IF(CELL("contenido",Q248)=1,"UN",IF(AND(Q248&gt;0,Q248&lt;30),LOOKUP(CELL("contenido",Q248),$A$26:$B$55),""))</f>
        <v/>
      </c>
      <c r="U248" s="572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4.4" thickBot="1">
      <c r="D249" s="575"/>
      <c r="E249" s="579">
        <f>+RIGHT(E246,2)*1-E247</f>
        <v>90</v>
      </c>
      <c r="F249" s="580" t="s">
        <v>351</v>
      </c>
      <c r="G249" s="581" t="str">
        <f ca="1">+IF(AND(E249&gt;0,E246&gt;=30),LOOKUP(CELL("contenido",E249),$C$26:$D$35),"")</f>
        <v>NOVENTA</v>
      </c>
      <c r="H249" s="582">
        <f>+RIGHT(H246,2)*1-H247</f>
        <v>0</v>
      </c>
      <c r="I249" s="583" t="s">
        <v>351</v>
      </c>
      <c r="J249" s="584" t="str">
        <f ca="1">+IF(AND(H249&gt;0,H246&gt;=30),LOOKUP(CELL("contenido",H249),$C$26:$D$35),"")</f>
        <v/>
      </c>
      <c r="K249" s="585">
        <f>+RIGHT(K246,2)*1-K247</f>
        <v>0</v>
      </c>
      <c r="L249" s="586" t="s">
        <v>351</v>
      </c>
      <c r="M249" s="587" t="str">
        <f ca="1">+IF(AND(K249&gt;0,K246&gt;=30),LOOKUP(CELL("contenido",K249),$C$26:$D$35),"")</f>
        <v/>
      </c>
      <c r="N249" s="588">
        <f>+RIGHT(N246,2)*1-N247</f>
        <v>0</v>
      </c>
      <c r="O249" s="589" t="s">
        <v>351</v>
      </c>
      <c r="P249" s="590" t="str">
        <f ca="1">+IF(AND(N249&gt;0,K251&gt;=30),LOOKUP(CELL("contenido",N249),$C$26:$D$35),"")</f>
        <v/>
      </c>
      <c r="Q249" s="591">
        <f>+RIGHT(Q246,2)*1-Q247</f>
        <v>0</v>
      </c>
      <c r="R249" s="592" t="s">
        <v>351</v>
      </c>
      <c r="S249" s="593" t="str">
        <f ca="1">+IF(AND(Q249&gt;0,N251&gt;=30),LOOKUP(CELL("contenido",Q249),$C$26:$D$35),"")</f>
        <v/>
      </c>
      <c r="U249" s="572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4.4" thickBot="1">
      <c r="D250" s="575"/>
      <c r="E250" s="579">
        <f>+RIGHT(E246,3)*1-E249-E247</f>
        <v>800</v>
      </c>
      <c r="F250" s="580" t="s">
        <v>353</v>
      </c>
      <c r="G250" s="581" t="str">
        <f ca="1">+IF((RIGHT(E246,3)*1)=100,"CIEN",IF(AND(E250&gt;0,E250&lt;1000),LOOKUP(CELL("contenido",E250),$E$26:$F$35),""))</f>
        <v>OCHOCIENTOS</v>
      </c>
      <c r="H250" s="582">
        <f>+RIGHT(H246,3)*1-H249-H247</f>
        <v>0</v>
      </c>
      <c r="I250" s="583" t="s">
        <v>353</v>
      </c>
      <c r="J250" s="584" t="str">
        <f ca="1">+IF(H246=100,"CIEN",IF(AND(H250&gt;0,H250&lt;1000),LOOKUP(CELL("contenido",H250),$E$26:$F$35),""))</f>
        <v/>
      </c>
      <c r="K250" s="585">
        <f>+RIGHT(K246,3)*1-K249-K247</f>
        <v>0</v>
      </c>
      <c r="L250" s="586" t="s">
        <v>353</v>
      </c>
      <c r="M250" s="587" t="str">
        <f ca="1">+IF(K246=100,"CIEN",IF(AND(K250&gt;0,K250&lt;1000),LOOKUP(CELL("contenido",K250),$E$26:$F$35),""))</f>
        <v/>
      </c>
      <c r="N250" s="588">
        <f>+RIGHT(N246,3)*1-N249-N247</f>
        <v>0</v>
      </c>
      <c r="O250" s="589" t="s">
        <v>353</v>
      </c>
      <c r="P250" s="590" t="str">
        <f ca="1">+IF(N246=100,"CIEN",IF(AND(N250&gt;0,N250&lt;1000),LOOKUP(CELL("contenido",N250),$E$26:$F$35),""))</f>
        <v/>
      </c>
      <c r="Q250" s="591">
        <f>+RIGHT(Q246,3)*1-Q249-Q247</f>
        <v>0</v>
      </c>
      <c r="R250" s="592" t="s">
        <v>353</v>
      </c>
      <c r="S250" s="593" t="str">
        <f ca="1">+IF(Q246=100,"CIEN",IF(AND(Q250&gt;0,Q250&lt;1000),LOOKUP(CELL("contenido",Q250),$E$26:$F$35),""))</f>
        <v/>
      </c>
      <c r="U250" s="572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4.4" thickBot="1">
      <c r="D251" s="575"/>
      <c r="E251" s="595">
        <f>+RIGHT(E246,4)*1-E250-E249-E247</f>
        <v>0</v>
      </c>
      <c r="F251" s="596" t="s">
        <v>355</v>
      </c>
      <c r="G251" s="597" t="str">
        <f ca="1">+IF(E246&gt;999,"MIL",IF(AND(E251&gt;0,E251&lt;10000),LOOKUP(CELL("contenido",E251),$E$26:$F$35),""))</f>
        <v/>
      </c>
      <c r="H251" s="598">
        <f>INT(E246/1000000)</f>
        <v>0</v>
      </c>
      <c r="I251" s="599" t="s">
        <v>356</v>
      </c>
      <c r="J251" s="600" t="str">
        <f ca="1">+IF(CELL("contenido",M248)=1,"MILLÓN",IF(H251=1,"MILLÓN",IF(H251&gt;1,"MILLONES","")))</f>
        <v/>
      </c>
      <c r="K251" s="601">
        <f>+RIGHT(K246,4)*1-K250-K249-K247</f>
        <v>0</v>
      </c>
      <c r="L251" s="602" t="s">
        <v>357</v>
      </c>
      <c r="M251" s="603" t="str">
        <f ca="1">+IF(AND(K251&gt;0,K251&lt;10000),LOOKUP(CELL("contenido",K251),$E$26:$F$35),"")</f>
        <v/>
      </c>
      <c r="N251" s="604">
        <f>+RIGHT(N246,4)*1-N250-N249-N247</f>
        <v>0</v>
      </c>
      <c r="O251" s="605" t="s">
        <v>358</v>
      </c>
      <c r="P251" s="606" t="str">
        <f>+IF(N251=1,"UN MILLARDO",IF(N246&gt;1,"MILLARDOS",""))</f>
        <v/>
      </c>
      <c r="Q251" s="607">
        <f>+RIGHT(Q246,4)*1-Q250-Q249-Q247</f>
        <v>0</v>
      </c>
      <c r="R251" s="608" t="s">
        <v>358</v>
      </c>
      <c r="S251" s="609" t="str">
        <f>+IF(Q251=1,"UN MILLARDO",IF(Q246&gt;1,"MILLARDOS",""))</f>
        <v/>
      </c>
      <c r="U251" s="572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4.4" thickTop="1">
      <c r="D252" s="575"/>
      <c r="E252" s="572"/>
      <c r="F252" s="572"/>
      <c r="G252" s="572"/>
      <c r="H252" s="572"/>
      <c r="I252" s="572"/>
      <c r="J252" s="610"/>
      <c r="K252" s="610"/>
      <c r="L252" s="610"/>
      <c r="M252" s="573"/>
      <c r="N252" s="573"/>
      <c r="O252" s="573"/>
      <c r="P252" s="572"/>
      <c r="Q252" s="573"/>
      <c r="R252" s="573"/>
      <c r="S252" s="572"/>
      <c r="U252" s="572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 ht="13.8">
      <c r="D253" s="572" t="s">
        <v>379</v>
      </c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U253" s="569"/>
    </row>
    <row r="254" spans="4:21" ht="13.8">
      <c r="D254" s="575"/>
      <c r="E254" s="576">
        <f>ROUND(100*(A20-INT(A20)),2)</f>
        <v>35</v>
      </c>
      <c r="F254" s="572" t="s">
        <v>337</v>
      </c>
      <c r="G254" s="572"/>
      <c r="H254" s="572"/>
      <c r="I254" s="572"/>
      <c r="J254" s="572"/>
      <c r="K254" s="572"/>
      <c r="L254" s="572"/>
      <c r="M254" s="572"/>
      <c r="N254" s="572"/>
      <c r="O254" s="572"/>
      <c r="P254" s="572"/>
      <c r="Q254" s="572"/>
      <c r="R254" s="572"/>
      <c r="S254" s="572"/>
    </row>
    <row r="255" spans="4:21" ht="13.8">
      <c r="D255" s="572"/>
      <c r="E255" s="572">
        <f>+LEN(E257)</f>
        <v>3</v>
      </c>
      <c r="F255" s="572" t="s">
        <v>338</v>
      </c>
      <c r="G255" s="572"/>
      <c r="H255" s="572"/>
      <c r="I255" s="572"/>
      <c r="J255" s="572"/>
      <c r="K255" s="572"/>
      <c r="L255" s="572"/>
      <c r="M255" s="572"/>
      <c r="N255" s="572"/>
      <c r="O255" s="572"/>
      <c r="P255" s="572"/>
      <c r="Q255" s="572"/>
      <c r="R255" s="572"/>
      <c r="S255" s="572"/>
    </row>
    <row r="256" spans="4:21" ht="14.4" thickBot="1">
      <c r="D256" s="575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2"/>
      <c r="P256" s="572"/>
      <c r="Q256" s="572"/>
      <c r="R256" s="572"/>
      <c r="S256" s="572"/>
    </row>
    <row r="257" spans="4:21" ht="15" thickTop="1" thickBot="1">
      <c r="D257" s="572"/>
      <c r="E257" s="577">
        <f>+A20-E254/100</f>
        <v>698</v>
      </c>
      <c r="F257" s="1387" t="s">
        <v>341</v>
      </c>
      <c r="G257" s="1388"/>
      <c r="H257" s="578">
        <f>+IF(E257&gt;1000,INT(E257/1000),0)</f>
        <v>0</v>
      </c>
      <c r="I257" s="1387" t="s">
        <v>342</v>
      </c>
      <c r="J257" s="1388"/>
      <c r="K257" s="578">
        <f>+INT(H257/1000)</f>
        <v>0</v>
      </c>
      <c r="L257" s="1387" t="s">
        <v>343</v>
      </c>
      <c r="M257" s="1388"/>
      <c r="N257" s="578">
        <f>+INT(K257/1000)</f>
        <v>0</v>
      </c>
      <c r="O257" s="1387" t="s">
        <v>344</v>
      </c>
      <c r="P257" s="1388"/>
      <c r="Q257" s="578">
        <f>+INT(N257)</f>
        <v>0</v>
      </c>
      <c r="R257" s="1387" t="s">
        <v>344</v>
      </c>
      <c r="S257" s="1388"/>
      <c r="U257" s="572" t="str">
        <f>+IF(E254=0,CONCATENATE("00",U258),IF(E254&lt;10,CONCATENATE(" 0",E254,U258),CONCATENATE(" ",E254,U258)))</f>
        <v xml:space="preserve"> 35/100 BOLIVIANOS</v>
      </c>
    </row>
    <row r="258" spans="4:21" ht="14.4" thickBot="1">
      <c r="D258" s="575"/>
      <c r="E258" s="579">
        <f>+RIGHT(E257)*1</f>
        <v>8</v>
      </c>
      <c r="F258" s="580" t="s">
        <v>346</v>
      </c>
      <c r="G258" s="581" t="str">
        <f ca="1">+IF(AND(E258&gt;0,E258&lt;10),LOOKUP(CELL("contenido",E258),$A$26:$B$35),"")</f>
        <v>OCHO</v>
      </c>
      <c r="H258" s="582">
        <f>+RIGHT(H257)*1</f>
        <v>0</v>
      </c>
      <c r="I258" s="583" t="s">
        <v>346</v>
      </c>
      <c r="J258" s="584" t="str">
        <f ca="1">IF(E257&lt;2000,"",IF(CELL("contenido",H258)=1,"UN",IF(AND(H258&gt;0,H258&lt;10),LOOKUP(CELL("contenido",H258),$A$26:$B$35),"")))</f>
        <v/>
      </c>
      <c r="K258" s="585">
        <f>+RIGHT(K257)*1</f>
        <v>0</v>
      </c>
      <c r="L258" s="586" t="s">
        <v>346</v>
      </c>
      <c r="M258" s="587" t="str">
        <f ca="1">+IF(CELL("contenido",K258)=1,"UN",IF(AND(K258&gt;0,K258&lt;10),LOOKUP(CELL("contenido",K258),$A$26:$B$35),""))</f>
        <v/>
      </c>
      <c r="N258" s="588">
        <f>+RIGHT(N257)*1</f>
        <v>0</v>
      </c>
      <c r="O258" s="589" t="s">
        <v>346</v>
      </c>
      <c r="P258" s="590" t="str">
        <f ca="1">+IF(CELL("contenido",N258)=1,"UN",IF(AND(N258&gt;0,N258&lt;10),LOOKUP(CELL("contenido",N258),$A$26:$B$35),""))</f>
        <v/>
      </c>
      <c r="Q258" s="591">
        <f>+RIGHT(Q257)*1</f>
        <v>0</v>
      </c>
      <c r="R258" s="592" t="s">
        <v>346</v>
      </c>
      <c r="S258" s="593" t="str">
        <f ca="1">+IF(CELL("contenido",Q258)=1,"UN",IF(AND(Q258&gt;0,Q258&lt;10),LOOKUP(CELL("contenido",Q258),$A$26:$B$35),""))</f>
        <v/>
      </c>
      <c r="U258" s="594" t="s">
        <v>347</v>
      </c>
    </row>
    <row r="259" spans="4:21" ht="14.4" thickBot="1">
      <c r="D259" s="575"/>
      <c r="E259" s="579">
        <f>+RIGHT(E257,2)*1</f>
        <v>98</v>
      </c>
      <c r="F259" s="580" t="s">
        <v>349</v>
      </c>
      <c r="G259" s="581" t="str">
        <f ca="1">IF(AND(E259&gt;0,E259&lt;30),LOOKUP(CELL("contenido",E259),$A$26:$B$55),"")</f>
        <v/>
      </c>
      <c r="H259" s="582">
        <f>+RIGHT(H257,2)*1</f>
        <v>0</v>
      </c>
      <c r="I259" s="583" t="s">
        <v>349</v>
      </c>
      <c r="J259" s="584" t="str">
        <f ca="1">IF(E257&lt;2000,"",IF(CELL("contenido",H259)=1,"UN",IF(AND(H259&gt;0,H259&lt;30),LOOKUP(CELL("contenido",H259),$A$26:$B$55),"")))</f>
        <v/>
      </c>
      <c r="K259" s="585">
        <f>+RIGHT(K257,2)*1</f>
        <v>0</v>
      </c>
      <c r="L259" s="586" t="s">
        <v>349</v>
      </c>
      <c r="M259" s="587" t="str">
        <f ca="1">IF(CELL("contenido",K259)=1,"UN",IF(AND(K259&gt;0,K259&lt;30),LOOKUP(CELL("contenido",K259),$A$26:$B$55),""))</f>
        <v/>
      </c>
      <c r="N259" s="588">
        <f>+RIGHT(N257,2)*1</f>
        <v>0</v>
      </c>
      <c r="O259" s="589" t="s">
        <v>349</v>
      </c>
      <c r="P259" s="590" t="str">
        <f ca="1">IF(CELL("contenido",N259)=1,"UN",IF(AND(N259&gt;0,N259&lt;30),LOOKUP(CELL("contenido",N259),$A$26:$B$55),""))</f>
        <v/>
      </c>
      <c r="Q259" s="591">
        <f>+RIGHT(Q257,2)*1</f>
        <v>0</v>
      </c>
      <c r="R259" s="592" t="s">
        <v>349</v>
      </c>
      <c r="S259" s="593" t="str">
        <f ca="1">IF(CELL("contenido",Q259)=1,"UN",IF(AND(Q259&gt;0,Q259&lt;30),LOOKUP(CELL("contenido",Q259),$A$26:$B$55),""))</f>
        <v/>
      </c>
      <c r="U259" s="572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4.4" thickBot="1">
      <c r="D260" s="575"/>
      <c r="E260" s="579">
        <f>+RIGHT(E257,2)*1-E258</f>
        <v>90</v>
      </c>
      <c r="F260" s="580" t="s">
        <v>351</v>
      </c>
      <c r="G260" s="581" t="str">
        <f ca="1">+IF(AND(E260&gt;0,E257&gt;=30),LOOKUP(CELL("contenido",E260),$C$26:$D$35),"")</f>
        <v>NOVENTA</v>
      </c>
      <c r="H260" s="582">
        <f>+RIGHT(H257,2)*1-H258</f>
        <v>0</v>
      </c>
      <c r="I260" s="583" t="s">
        <v>351</v>
      </c>
      <c r="J260" s="584" t="str">
        <f ca="1">+IF(AND(H260&gt;0,H257&gt;=30),LOOKUP(CELL("contenido",H260),$C$26:$D$35),"")</f>
        <v/>
      </c>
      <c r="K260" s="585">
        <f>+RIGHT(K257,2)*1-K258</f>
        <v>0</v>
      </c>
      <c r="L260" s="586" t="s">
        <v>351</v>
      </c>
      <c r="M260" s="587" t="str">
        <f ca="1">+IF(AND(K260&gt;0,K257&gt;=30),LOOKUP(CELL("contenido",K260),$C$26:$D$35),"")</f>
        <v/>
      </c>
      <c r="N260" s="588">
        <f>+RIGHT(N257,2)*1-N258</f>
        <v>0</v>
      </c>
      <c r="O260" s="589" t="s">
        <v>351</v>
      </c>
      <c r="P260" s="590" t="str">
        <f ca="1">+IF(AND(N260&gt;0,K262&gt;=30),LOOKUP(CELL("contenido",N260),$C$26:$D$35),"")</f>
        <v/>
      </c>
      <c r="Q260" s="591">
        <f>+RIGHT(Q257,2)*1-Q258</f>
        <v>0</v>
      </c>
      <c r="R260" s="592" t="s">
        <v>351</v>
      </c>
      <c r="S260" s="593" t="str">
        <f ca="1">+IF(AND(Q260&gt;0,N262&gt;=30),LOOKUP(CELL("contenido",Q260),$C$26:$D$35),"")</f>
        <v/>
      </c>
      <c r="U260" s="572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4.4" thickBot="1">
      <c r="D261" s="575"/>
      <c r="E261" s="579">
        <f>+RIGHT(E257,3)*1-E260-E258</f>
        <v>600</v>
      </c>
      <c r="F261" s="580" t="s">
        <v>353</v>
      </c>
      <c r="G261" s="581" t="str">
        <f ca="1">+IF((RIGHT(E257,3)*1)=100,"CIEN",IF(AND(E261&gt;0,E261&lt;1000),LOOKUP(CELL("contenido",E261),$E$26:$F$35),""))</f>
        <v>SEISCIENTOS</v>
      </c>
      <c r="H261" s="582">
        <f>+RIGHT(H257,3)*1-H260-H258</f>
        <v>0</v>
      </c>
      <c r="I261" s="583" t="s">
        <v>353</v>
      </c>
      <c r="J261" s="584" t="str">
        <f ca="1">+IF(H257=100,"CIEN",IF(AND(H261&gt;0,H261&lt;1000),LOOKUP(CELL("contenido",H261),$E$26:$F$35),""))</f>
        <v/>
      </c>
      <c r="K261" s="585">
        <f>+RIGHT(K257,3)*1-K260-K258</f>
        <v>0</v>
      </c>
      <c r="L261" s="586" t="s">
        <v>353</v>
      </c>
      <c r="M261" s="587" t="str">
        <f ca="1">+IF(K257=100,"CIEN",IF(AND(K261&gt;0,K261&lt;1000),LOOKUP(CELL("contenido",K261),$E$26:$F$35),""))</f>
        <v/>
      </c>
      <c r="N261" s="588">
        <f>+RIGHT(N257,3)*1-N260-N258</f>
        <v>0</v>
      </c>
      <c r="O261" s="589" t="s">
        <v>353</v>
      </c>
      <c r="P261" s="590" t="str">
        <f ca="1">+IF(N257=100,"CIEN",IF(AND(N261&gt;0,N261&lt;1000),LOOKUP(CELL("contenido",N261),$E$26:$F$35),""))</f>
        <v/>
      </c>
      <c r="Q261" s="591">
        <f>+RIGHT(Q257,3)*1-Q260-Q258</f>
        <v>0</v>
      </c>
      <c r="R261" s="592" t="s">
        <v>353</v>
      </c>
      <c r="S261" s="593" t="str">
        <f ca="1">+IF(Q257=100,"CIEN",IF(AND(Q261&gt;0,Q261&lt;1000),LOOKUP(CELL("contenido",Q261),$E$26:$F$35),""))</f>
        <v/>
      </c>
      <c r="U261" s="572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4.4" thickBot="1">
      <c r="D262" s="575"/>
      <c r="E262" s="595">
        <f>+RIGHT(E257,4)*1-E261-E260-E258</f>
        <v>0</v>
      </c>
      <c r="F262" s="596" t="s">
        <v>355</v>
      </c>
      <c r="G262" s="597" t="str">
        <f ca="1">+IF(E257&gt;999,"MIL",IF(AND(E262&gt;0,E262&lt;10000),LOOKUP(CELL("contenido",E262),$E$26:$F$35),""))</f>
        <v/>
      </c>
      <c r="H262" s="598">
        <f>INT(E257/1000000)</f>
        <v>0</v>
      </c>
      <c r="I262" s="599" t="s">
        <v>356</v>
      </c>
      <c r="J262" s="600" t="str">
        <f ca="1">+IF(CELL("contenido",M259)=1,"MILLÓN",IF(H262=1,"MILLÓN",IF(H262&gt;1,"MILLONES","")))</f>
        <v/>
      </c>
      <c r="K262" s="601">
        <f>+RIGHT(K257,4)*1-K261-K260-K258</f>
        <v>0</v>
      </c>
      <c r="L262" s="602" t="s">
        <v>357</v>
      </c>
      <c r="M262" s="603" t="str">
        <f ca="1">+IF(AND(K262&gt;0,K262&lt;10000),LOOKUP(CELL("contenido",K262),$E$26:$F$35),"")</f>
        <v/>
      </c>
      <c r="N262" s="604">
        <f>+RIGHT(N257,4)*1-N261-N260-N258</f>
        <v>0</v>
      </c>
      <c r="O262" s="605" t="s">
        <v>358</v>
      </c>
      <c r="P262" s="606" t="str">
        <f>+IF(N262=1,"UN MILLARDO",IF(N257&gt;1,"MILLARDOS",""))</f>
        <v/>
      </c>
      <c r="Q262" s="607">
        <f>+RIGHT(Q257,4)*1-Q261-Q260-Q258</f>
        <v>0</v>
      </c>
      <c r="R262" s="608" t="s">
        <v>358</v>
      </c>
      <c r="S262" s="609" t="str">
        <f>+IF(Q262=1,"UN MILLARDO",IF(Q257&gt;1,"MILLARDOS",""))</f>
        <v/>
      </c>
      <c r="U262" s="572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4.4" thickTop="1">
      <c r="D263" s="575"/>
      <c r="E263" s="572"/>
      <c r="F263" s="572"/>
      <c r="G263" s="572"/>
      <c r="H263" s="572"/>
      <c r="I263" s="572"/>
      <c r="J263" s="610"/>
      <c r="K263" s="610"/>
      <c r="L263" s="610"/>
      <c r="M263" s="573"/>
      <c r="N263" s="573"/>
      <c r="O263" s="573"/>
      <c r="P263" s="572"/>
      <c r="Q263" s="573"/>
      <c r="R263" s="573"/>
      <c r="S263" s="572"/>
      <c r="U263" s="572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 ht="13.8">
      <c r="D264" s="572" t="s">
        <v>380</v>
      </c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2"/>
      <c r="P264" s="572"/>
      <c r="Q264" s="572"/>
      <c r="R264" s="572"/>
      <c r="S264" s="572"/>
      <c r="U264" s="569"/>
    </row>
    <row r="265" spans="4:21" ht="13.8">
      <c r="D265" s="575"/>
      <c r="E265" s="576">
        <f>ROUND(100*(A21-INT(A21)),2)</f>
        <v>14</v>
      </c>
      <c r="F265" s="572" t="s">
        <v>337</v>
      </c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</row>
    <row r="266" spans="4:21" ht="13.8">
      <c r="D266" s="572"/>
      <c r="E266" s="572">
        <f>+LEN(E268)</f>
        <v>4</v>
      </c>
      <c r="F266" s="572" t="s">
        <v>338</v>
      </c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</row>
    <row r="267" spans="4:21" ht="14.4" thickBot="1">
      <c r="D267" s="575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</row>
    <row r="268" spans="4:21" ht="15" thickTop="1" thickBot="1">
      <c r="D268" s="572"/>
      <c r="E268" s="577">
        <f>+A21-E265/100</f>
        <v>1247</v>
      </c>
      <c r="F268" s="1387" t="s">
        <v>341</v>
      </c>
      <c r="G268" s="1388"/>
      <c r="H268" s="578">
        <f>+IF(E268&gt;1000,INT(E268/1000),0)</f>
        <v>1</v>
      </c>
      <c r="I268" s="1387" t="s">
        <v>342</v>
      </c>
      <c r="J268" s="1388"/>
      <c r="K268" s="578">
        <f>+INT(H268/1000)</f>
        <v>0</v>
      </c>
      <c r="L268" s="1387" t="s">
        <v>343</v>
      </c>
      <c r="M268" s="1388"/>
      <c r="N268" s="578">
        <f>+INT(K268/1000)</f>
        <v>0</v>
      </c>
      <c r="O268" s="1387" t="s">
        <v>344</v>
      </c>
      <c r="P268" s="1388"/>
      <c r="Q268" s="578">
        <f>+INT(N268)</f>
        <v>0</v>
      </c>
      <c r="R268" s="1387" t="s">
        <v>344</v>
      </c>
      <c r="S268" s="1388"/>
      <c r="U268" s="572" t="str">
        <f>+IF(E265=0,CONCATENATE("00",U269),IF(E265&lt;10,CONCATENATE(" 0",E265,U269),CONCATENATE(" ",E265,U269)))</f>
        <v xml:space="preserve"> 14/100 BOLIVIANOS</v>
      </c>
    </row>
    <row r="269" spans="4:21" ht="14.4" thickBot="1">
      <c r="D269" s="575"/>
      <c r="E269" s="579">
        <f>+RIGHT(E268)*1</f>
        <v>7</v>
      </c>
      <c r="F269" s="580" t="s">
        <v>346</v>
      </c>
      <c r="G269" s="581" t="str">
        <f ca="1">+IF(AND(E269&gt;0,E269&lt;10),LOOKUP(CELL("contenido",E269),$A$26:$B$35),"")</f>
        <v>SIETE</v>
      </c>
      <c r="H269" s="582">
        <f>+RIGHT(H268)*1</f>
        <v>1</v>
      </c>
      <c r="I269" s="583" t="s">
        <v>346</v>
      </c>
      <c r="J269" s="584" t="str">
        <f ca="1">IF(E268&lt;2000,"",IF(CELL("contenido",H269)=1,"UN",IF(AND(H269&gt;0,H269&lt;10),LOOKUP(CELL("contenido",H269),$A$26:$B$35),"")))</f>
        <v/>
      </c>
      <c r="K269" s="585">
        <f>+RIGHT(K268)*1</f>
        <v>0</v>
      </c>
      <c r="L269" s="586" t="s">
        <v>346</v>
      </c>
      <c r="M269" s="587" t="str">
        <f ca="1">+IF(CELL("contenido",K269)=1,"UN",IF(AND(K269&gt;0,K269&lt;10),LOOKUP(CELL("contenido",K269),$A$26:$B$35),""))</f>
        <v/>
      </c>
      <c r="N269" s="588">
        <f>+RIGHT(N268)*1</f>
        <v>0</v>
      </c>
      <c r="O269" s="589" t="s">
        <v>346</v>
      </c>
      <c r="P269" s="590" t="str">
        <f ca="1">+IF(CELL("contenido",N269)=1,"UN",IF(AND(N269&gt;0,N269&lt;10),LOOKUP(CELL("contenido",N269),$A$26:$B$35),""))</f>
        <v/>
      </c>
      <c r="Q269" s="591">
        <f>+RIGHT(Q268)*1</f>
        <v>0</v>
      </c>
      <c r="R269" s="592" t="s">
        <v>346</v>
      </c>
      <c r="S269" s="593" t="str">
        <f ca="1">+IF(CELL("contenido",Q269)=1,"UN",IF(AND(Q269&gt;0,Q269&lt;10),LOOKUP(CELL("contenido",Q269),$A$26:$B$35),""))</f>
        <v/>
      </c>
      <c r="U269" s="594" t="s">
        <v>347</v>
      </c>
    </row>
    <row r="270" spans="4:21" ht="14.4" thickBot="1">
      <c r="D270" s="575"/>
      <c r="E270" s="579">
        <f>+RIGHT(E268,2)*1</f>
        <v>47</v>
      </c>
      <c r="F270" s="580" t="s">
        <v>349</v>
      </c>
      <c r="G270" s="581" t="str">
        <f ca="1">IF(AND(E270&gt;0,E270&lt;30),LOOKUP(CELL("contenido",E270),$A$26:$B$55),"")</f>
        <v/>
      </c>
      <c r="H270" s="582">
        <f>+RIGHT(H268,2)*1</f>
        <v>1</v>
      </c>
      <c r="I270" s="583" t="s">
        <v>349</v>
      </c>
      <c r="J270" s="584" t="str">
        <f ca="1">IF(E268&lt;2000,"",IF(CELL("contenido",H270)=1,"UN",IF(AND(H270&gt;0,H270&lt;30),LOOKUP(CELL("contenido",H270),$A$26:$B$55),"")))</f>
        <v/>
      </c>
      <c r="K270" s="585">
        <f>+RIGHT(K268,2)*1</f>
        <v>0</v>
      </c>
      <c r="L270" s="586" t="s">
        <v>349</v>
      </c>
      <c r="M270" s="587" t="str">
        <f ca="1">IF(CELL("contenido",K270)=1,"UN",IF(AND(K270&gt;0,K270&lt;30),LOOKUP(CELL("contenido",K270),$A$26:$B$55),""))</f>
        <v/>
      </c>
      <c r="N270" s="588">
        <f>+RIGHT(N268,2)*1</f>
        <v>0</v>
      </c>
      <c r="O270" s="589" t="s">
        <v>349</v>
      </c>
      <c r="P270" s="590" t="str">
        <f ca="1">IF(CELL("contenido",N270)=1,"UN",IF(AND(N270&gt;0,N270&lt;30),LOOKUP(CELL("contenido",N270),$A$26:$B$55),""))</f>
        <v/>
      </c>
      <c r="Q270" s="591">
        <f>+RIGHT(Q268,2)*1</f>
        <v>0</v>
      </c>
      <c r="R270" s="592" t="s">
        <v>349</v>
      </c>
      <c r="S270" s="593" t="str">
        <f ca="1">IF(CELL("contenido",Q270)=1,"UN",IF(AND(Q270&gt;0,Q270&lt;30),LOOKUP(CELL("contenido",Q270),$A$26:$B$55),""))</f>
        <v/>
      </c>
      <c r="U270" s="572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4.4" thickBot="1">
      <c r="D271" s="575"/>
      <c r="E271" s="579">
        <f>+RIGHT(E268,2)*1-E269</f>
        <v>40</v>
      </c>
      <c r="F271" s="580" t="s">
        <v>351</v>
      </c>
      <c r="G271" s="581" t="str">
        <f ca="1">+IF(AND(E271&gt;0,E268&gt;=30),LOOKUP(CELL("contenido",E271),$C$26:$D$35),"")</f>
        <v>CUARENTA</v>
      </c>
      <c r="H271" s="582">
        <f>+RIGHT(H268,2)*1-H269</f>
        <v>0</v>
      </c>
      <c r="I271" s="583" t="s">
        <v>351</v>
      </c>
      <c r="J271" s="584" t="str">
        <f ca="1">+IF(AND(H271&gt;0,H268&gt;=30),LOOKUP(CELL("contenido",H271),$C$26:$D$35),"")</f>
        <v/>
      </c>
      <c r="K271" s="585">
        <f>+RIGHT(K268,2)*1-K269</f>
        <v>0</v>
      </c>
      <c r="L271" s="586" t="s">
        <v>351</v>
      </c>
      <c r="M271" s="587" t="str">
        <f ca="1">+IF(AND(K271&gt;0,K268&gt;=30),LOOKUP(CELL("contenido",K271),$C$26:$D$35),"")</f>
        <v/>
      </c>
      <c r="N271" s="588">
        <f>+RIGHT(N268,2)*1-N269</f>
        <v>0</v>
      </c>
      <c r="O271" s="589" t="s">
        <v>351</v>
      </c>
      <c r="P271" s="590" t="str">
        <f ca="1">+IF(AND(N271&gt;0,K273&gt;=30),LOOKUP(CELL("contenido",N271),$C$26:$D$35),"")</f>
        <v/>
      </c>
      <c r="Q271" s="591">
        <f>+RIGHT(Q268,2)*1-Q269</f>
        <v>0</v>
      </c>
      <c r="R271" s="592" t="s">
        <v>351</v>
      </c>
      <c r="S271" s="593" t="str">
        <f ca="1">+IF(AND(Q271&gt;0,N273&gt;=30),LOOKUP(CELL("contenido",Q271),$C$26:$D$35),"")</f>
        <v/>
      </c>
      <c r="U271" s="572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4.4" thickBot="1">
      <c r="D272" s="575"/>
      <c r="E272" s="579">
        <f>+RIGHT(E268,3)*1-E271-E269</f>
        <v>200</v>
      </c>
      <c r="F272" s="580" t="s">
        <v>353</v>
      </c>
      <c r="G272" s="581" t="str">
        <f ca="1">+IF((RIGHT(E268,3)*1)=100,"CIEN",IF(AND(E272&gt;0,E272&lt;1000),LOOKUP(CELL("contenido",E272),$E$26:$F$35),""))</f>
        <v>DOSCIENTOS</v>
      </c>
      <c r="H272" s="582">
        <f>+RIGHT(H268,3)*1-H271-H269</f>
        <v>0</v>
      </c>
      <c r="I272" s="583" t="s">
        <v>353</v>
      </c>
      <c r="J272" s="584" t="str">
        <f ca="1">+IF(H268=100,"CIEN",IF(AND(H272&gt;0,H272&lt;1000),LOOKUP(CELL("contenido",H272),$E$26:$F$35),""))</f>
        <v/>
      </c>
      <c r="K272" s="585">
        <f>+RIGHT(K268,3)*1-K271-K269</f>
        <v>0</v>
      </c>
      <c r="L272" s="586" t="s">
        <v>353</v>
      </c>
      <c r="M272" s="587" t="str">
        <f ca="1">+IF(K268=100,"CIEN",IF(AND(K272&gt;0,K272&lt;1000),LOOKUP(CELL("contenido",K272),$E$26:$F$35),""))</f>
        <v/>
      </c>
      <c r="N272" s="588">
        <f>+RIGHT(N268,3)*1-N271-N269</f>
        <v>0</v>
      </c>
      <c r="O272" s="589" t="s">
        <v>353</v>
      </c>
      <c r="P272" s="590" t="str">
        <f ca="1">+IF(N268=100,"CIEN",IF(AND(N272&gt;0,N272&lt;1000),LOOKUP(CELL("contenido",N272),$E$26:$F$35),""))</f>
        <v/>
      </c>
      <c r="Q272" s="591">
        <f>+RIGHT(Q268,3)*1-Q271-Q269</f>
        <v>0</v>
      </c>
      <c r="R272" s="592" t="s">
        <v>353</v>
      </c>
      <c r="S272" s="593" t="str">
        <f ca="1">+IF(Q268=100,"CIEN",IF(AND(Q272&gt;0,Q272&lt;1000),LOOKUP(CELL("contenido",Q272),$E$26:$F$35),""))</f>
        <v/>
      </c>
      <c r="U272" s="572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4.4" thickBot="1">
      <c r="D273" s="575"/>
      <c r="E273" s="595">
        <f>+RIGHT(E268,4)*1-E272-E271-E269</f>
        <v>1000</v>
      </c>
      <c r="F273" s="596" t="s">
        <v>355</v>
      </c>
      <c r="G273" s="597" t="str">
        <f ca="1">+IF(E268&gt;999,"MIL",IF(AND(E273&gt;0,E273&lt;10000),LOOKUP(CELL("contenido",E273),$E$26:$F$35),""))</f>
        <v>MIL</v>
      </c>
      <c r="H273" s="598">
        <f>INT(E268/1000000)</f>
        <v>0</v>
      </c>
      <c r="I273" s="599" t="s">
        <v>356</v>
      </c>
      <c r="J273" s="600" t="str">
        <f ca="1">+IF(CELL("contenido",M270)=1,"MILLÓN",IF(H273=1,"MILLÓN",IF(H273&gt;1,"MILLONES","")))</f>
        <v/>
      </c>
      <c r="K273" s="601">
        <f>+RIGHT(K268,4)*1-K272-K271-K269</f>
        <v>0</v>
      </c>
      <c r="L273" s="602" t="s">
        <v>357</v>
      </c>
      <c r="M273" s="603" t="str">
        <f ca="1">+IF(AND(K273&gt;0,K273&lt;10000),LOOKUP(CELL("contenido",K273),$E$26:$F$35),"")</f>
        <v/>
      </c>
      <c r="N273" s="604">
        <f>+RIGHT(N268,4)*1-N272-N271-N269</f>
        <v>0</v>
      </c>
      <c r="O273" s="605" t="s">
        <v>358</v>
      </c>
      <c r="P273" s="606" t="str">
        <f>+IF(N273=1,"UN MILLARDO",IF(N268&gt;1,"MILLARDOS",""))</f>
        <v/>
      </c>
      <c r="Q273" s="607">
        <f>+RIGHT(Q268,4)*1-Q272-Q271-Q269</f>
        <v>0</v>
      </c>
      <c r="R273" s="608" t="s">
        <v>358</v>
      </c>
      <c r="S273" s="609" t="str">
        <f>+IF(Q273=1,"UN MILLARDO",IF(Q268&gt;1,"MILLARDOS",""))</f>
        <v/>
      </c>
      <c r="U273" s="572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4.4" thickTop="1">
      <c r="D274" s="575"/>
      <c r="E274" s="572"/>
      <c r="F274" s="572"/>
      <c r="G274" s="572"/>
      <c r="H274" s="572"/>
      <c r="I274" s="572"/>
      <c r="J274" s="610"/>
      <c r="K274" s="610"/>
      <c r="L274" s="610"/>
      <c r="M274" s="573"/>
      <c r="N274" s="573"/>
      <c r="O274" s="573"/>
      <c r="P274" s="572"/>
      <c r="Q274" s="573"/>
      <c r="R274" s="573"/>
      <c r="S274" s="572"/>
      <c r="U274" s="572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 ht="13.8">
      <c r="D275" s="572" t="s">
        <v>381</v>
      </c>
      <c r="E275" s="572"/>
      <c r="F275" s="572"/>
      <c r="G275" s="572"/>
      <c r="H275" s="572"/>
      <c r="I275" s="572"/>
      <c r="J275" s="572"/>
      <c r="K275" s="572"/>
      <c r="L275" s="572"/>
      <c r="M275" s="572"/>
      <c r="N275" s="572"/>
      <c r="O275" s="572"/>
      <c r="P275" s="572"/>
      <c r="Q275" s="572"/>
      <c r="R275" s="572"/>
      <c r="S275" s="572"/>
      <c r="U275" s="569"/>
    </row>
    <row r="276" spans="4:21" ht="13.8">
      <c r="D276" s="575"/>
      <c r="E276" s="576" t="e">
        <f>ROUND(100*(A22-INT(A22)),2)</f>
        <v>#REF!</v>
      </c>
      <c r="F276" s="572" t="s">
        <v>337</v>
      </c>
      <c r="G276" s="572"/>
      <c r="H276" s="572"/>
      <c r="I276" s="572"/>
      <c r="J276" s="572"/>
      <c r="K276" s="572"/>
      <c r="L276" s="572"/>
      <c r="M276" s="572"/>
      <c r="N276" s="572"/>
      <c r="O276" s="572"/>
      <c r="P276" s="572"/>
      <c r="Q276" s="572"/>
      <c r="R276" s="572"/>
      <c r="S276" s="572"/>
    </row>
    <row r="277" spans="4:21" ht="13.8">
      <c r="D277" s="572"/>
      <c r="E277" s="572" t="e">
        <f>+LEN(E279)</f>
        <v>#REF!</v>
      </c>
      <c r="F277" s="572" t="s">
        <v>338</v>
      </c>
      <c r="G277" s="572"/>
      <c r="H277" s="572"/>
      <c r="I277" s="572"/>
      <c r="J277" s="572"/>
      <c r="K277" s="572"/>
      <c r="L277" s="572"/>
      <c r="M277" s="572"/>
      <c r="N277" s="572"/>
      <c r="O277" s="572"/>
      <c r="P277" s="572"/>
      <c r="Q277" s="572"/>
      <c r="R277" s="572"/>
      <c r="S277" s="572"/>
    </row>
    <row r="278" spans="4:21" ht="14.4" thickBot="1">
      <c r="D278" s="575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</row>
    <row r="279" spans="4:21" ht="15" thickTop="1" thickBot="1">
      <c r="D279" s="572"/>
      <c r="E279" s="577" t="e">
        <f>+A22-E276/100</f>
        <v>#REF!</v>
      </c>
      <c r="F279" s="1387" t="s">
        <v>341</v>
      </c>
      <c r="G279" s="1388"/>
      <c r="H279" s="578" t="e">
        <f>+IF(E279&gt;1000,INT(E279/1000),0)</f>
        <v>#REF!</v>
      </c>
      <c r="I279" s="1387" t="s">
        <v>342</v>
      </c>
      <c r="J279" s="1388"/>
      <c r="K279" s="578" t="e">
        <f>+INT(H279/1000)</f>
        <v>#REF!</v>
      </c>
      <c r="L279" s="1387" t="s">
        <v>343</v>
      </c>
      <c r="M279" s="1388"/>
      <c r="N279" s="578" t="e">
        <f>+INT(K279/1000)</f>
        <v>#REF!</v>
      </c>
      <c r="O279" s="1387" t="s">
        <v>344</v>
      </c>
      <c r="P279" s="1388"/>
      <c r="Q279" s="578" t="e">
        <f>+INT(N279)</f>
        <v>#REF!</v>
      </c>
      <c r="R279" s="1387" t="s">
        <v>344</v>
      </c>
      <c r="S279" s="1388"/>
      <c r="U279" s="572" t="e">
        <f>+IF(E276=0,CONCATENATE("00",U280),IF(E276&lt;10,CONCATENATE(" 0",E276,U280),CONCATENATE(" ",E276,U280)))</f>
        <v>#REF!</v>
      </c>
    </row>
    <row r="280" spans="4:21" ht="14.4" thickBot="1">
      <c r="D280" s="575"/>
      <c r="E280" s="579" t="e">
        <f>+RIGHT(E279)*1</f>
        <v>#REF!</v>
      </c>
      <c r="F280" s="580" t="s">
        <v>346</v>
      </c>
      <c r="G280" s="581" t="e">
        <f ca="1">+IF(AND(E280&gt;0,E280&lt;10),LOOKUP(CELL("contenido",E280),$A$26:$B$35),"")</f>
        <v>#REF!</v>
      </c>
      <c r="H280" s="582" t="e">
        <f>+RIGHT(H279)*1</f>
        <v>#REF!</v>
      </c>
      <c r="I280" s="583" t="s">
        <v>346</v>
      </c>
      <c r="J280" s="584" t="e">
        <f ca="1">IF(E279&lt;2000,"",IF(CELL("contenido",H280)=1,"UN",IF(AND(H280&gt;0,H280&lt;10),LOOKUP(CELL("contenido",H280),$A$26:$B$35),"")))</f>
        <v>#REF!</v>
      </c>
      <c r="K280" s="585" t="e">
        <f>+RIGHT(K279)*1</f>
        <v>#REF!</v>
      </c>
      <c r="L280" s="586" t="s">
        <v>346</v>
      </c>
      <c r="M280" s="587" t="e">
        <f ca="1">+IF(CELL("contenido",K280)=1,"UN",IF(AND(K280&gt;0,K280&lt;10),LOOKUP(CELL("contenido",K280),$A$26:$B$35),""))</f>
        <v>#REF!</v>
      </c>
      <c r="N280" s="588" t="e">
        <f>+RIGHT(N279)*1</f>
        <v>#REF!</v>
      </c>
      <c r="O280" s="589" t="s">
        <v>346</v>
      </c>
      <c r="P280" s="590" t="e">
        <f ca="1">+IF(CELL("contenido",N280)=1,"UN",IF(AND(N280&gt;0,N280&lt;10),LOOKUP(CELL("contenido",N280),$A$26:$B$35),""))</f>
        <v>#REF!</v>
      </c>
      <c r="Q280" s="591" t="e">
        <f>+RIGHT(Q279)*1</f>
        <v>#REF!</v>
      </c>
      <c r="R280" s="592" t="s">
        <v>346</v>
      </c>
      <c r="S280" s="593" t="e">
        <f ca="1">+IF(CELL("contenido",Q280)=1,"UN",IF(AND(Q280&gt;0,Q280&lt;10),LOOKUP(CELL("contenido",Q280),$A$26:$B$35),""))</f>
        <v>#REF!</v>
      </c>
      <c r="U280" s="594" t="s">
        <v>347</v>
      </c>
    </row>
    <row r="281" spans="4:21" ht="14.4" thickBot="1">
      <c r="D281" s="575"/>
      <c r="E281" s="579" t="e">
        <f>+RIGHT(E279,2)*1</f>
        <v>#REF!</v>
      </c>
      <c r="F281" s="580" t="s">
        <v>349</v>
      </c>
      <c r="G281" s="581" t="e">
        <f ca="1">IF(AND(E281&gt;0,E281&lt;30),LOOKUP(CELL("contenido",E281),$A$26:$B$55),"")</f>
        <v>#REF!</v>
      </c>
      <c r="H281" s="582" t="e">
        <f>+RIGHT(H279,2)*1</f>
        <v>#REF!</v>
      </c>
      <c r="I281" s="583" t="s">
        <v>349</v>
      </c>
      <c r="J281" s="584" t="e">
        <f ca="1">IF(E279&lt;2000,"",IF(CELL("contenido",H281)=1,"UN",IF(AND(H281&gt;0,H281&lt;30),LOOKUP(CELL("contenido",H281),$A$26:$B$55),"")))</f>
        <v>#REF!</v>
      </c>
      <c r="K281" s="585" t="e">
        <f>+RIGHT(K279,2)*1</f>
        <v>#REF!</v>
      </c>
      <c r="L281" s="586" t="s">
        <v>349</v>
      </c>
      <c r="M281" s="587" t="e">
        <f ca="1">IF(CELL("contenido",K281)=1,"UN",IF(AND(K281&gt;0,K281&lt;30),LOOKUP(CELL("contenido",K281),$A$26:$B$55),""))</f>
        <v>#REF!</v>
      </c>
      <c r="N281" s="588" t="e">
        <f>+RIGHT(N279,2)*1</f>
        <v>#REF!</v>
      </c>
      <c r="O281" s="589" t="s">
        <v>349</v>
      </c>
      <c r="P281" s="590" t="e">
        <f ca="1">IF(CELL("contenido",N281)=1,"UN",IF(AND(N281&gt;0,N281&lt;30),LOOKUP(CELL("contenido",N281),$A$26:$B$55),""))</f>
        <v>#REF!</v>
      </c>
      <c r="Q281" s="591" t="e">
        <f>+RIGHT(Q279,2)*1</f>
        <v>#REF!</v>
      </c>
      <c r="R281" s="592" t="s">
        <v>349</v>
      </c>
      <c r="S281" s="593" t="e">
        <f ca="1">IF(CELL("contenido",Q281)=1,"UN",IF(AND(Q281&gt;0,Q281&lt;30),LOOKUP(CELL("contenido",Q281),$A$26:$B$55),""))</f>
        <v>#REF!</v>
      </c>
      <c r="U281" s="572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4.4" thickBot="1">
      <c r="D282" s="575"/>
      <c r="E282" s="579" t="e">
        <f>+RIGHT(E279,2)*1-E280</f>
        <v>#REF!</v>
      </c>
      <c r="F282" s="580" t="s">
        <v>351</v>
      </c>
      <c r="G282" s="581" t="e">
        <f ca="1">+IF(AND(E282&gt;0,E279&gt;=30),LOOKUP(CELL("contenido",E282),$C$26:$D$35),"")</f>
        <v>#REF!</v>
      </c>
      <c r="H282" s="582" t="e">
        <f>+RIGHT(H279,2)*1-H280</f>
        <v>#REF!</v>
      </c>
      <c r="I282" s="583" t="s">
        <v>351</v>
      </c>
      <c r="J282" s="584" t="e">
        <f ca="1">+IF(AND(H282&gt;0,H279&gt;=30),LOOKUP(CELL("contenido",H282),$C$26:$D$35),"")</f>
        <v>#REF!</v>
      </c>
      <c r="K282" s="585" t="e">
        <f>+RIGHT(K279,2)*1-K280</f>
        <v>#REF!</v>
      </c>
      <c r="L282" s="586" t="s">
        <v>351</v>
      </c>
      <c r="M282" s="587" t="e">
        <f ca="1">+IF(AND(K282&gt;0,K279&gt;=30),LOOKUP(CELL("contenido",K282),$C$26:$D$35),"")</f>
        <v>#REF!</v>
      </c>
      <c r="N282" s="588" t="e">
        <f>+RIGHT(N279,2)*1-N280</f>
        <v>#REF!</v>
      </c>
      <c r="O282" s="589" t="s">
        <v>351</v>
      </c>
      <c r="P282" s="590" t="e">
        <f ca="1">+IF(AND(N282&gt;0,K284&gt;=30),LOOKUP(CELL("contenido",N282),$C$26:$D$35),"")</f>
        <v>#REF!</v>
      </c>
      <c r="Q282" s="591" t="e">
        <f>+RIGHT(Q279,2)*1-Q280</f>
        <v>#REF!</v>
      </c>
      <c r="R282" s="592" t="s">
        <v>351</v>
      </c>
      <c r="S282" s="593" t="e">
        <f ca="1">+IF(AND(Q282&gt;0,N284&gt;=30),LOOKUP(CELL("contenido",Q282),$C$26:$D$35),"")</f>
        <v>#REF!</v>
      </c>
      <c r="U282" s="572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4.4" thickBot="1">
      <c r="D283" s="575"/>
      <c r="E283" s="579" t="e">
        <f>+RIGHT(E279,3)*1-E282-E280</f>
        <v>#REF!</v>
      </c>
      <c r="F283" s="580" t="s">
        <v>353</v>
      </c>
      <c r="G283" s="581" t="e">
        <f ca="1">+IF((RIGHT(E279,3)*1)=100,"CIEN",IF(AND(E283&gt;0,E283&lt;1000),LOOKUP(CELL("contenido",E283),$E$26:$F$35),""))</f>
        <v>#REF!</v>
      </c>
      <c r="H283" s="582" t="e">
        <f>+RIGHT(H279,3)*1-H282-H280</f>
        <v>#REF!</v>
      </c>
      <c r="I283" s="583" t="s">
        <v>353</v>
      </c>
      <c r="J283" s="584" t="e">
        <f ca="1">+IF(H279=100,"CIEN",IF(AND(H283&gt;0,H283&lt;1000),LOOKUP(CELL("contenido",H283),$E$26:$F$35),""))</f>
        <v>#REF!</v>
      </c>
      <c r="K283" s="585" t="e">
        <f>+RIGHT(K279,3)*1-K282-K280</f>
        <v>#REF!</v>
      </c>
      <c r="L283" s="586" t="s">
        <v>353</v>
      </c>
      <c r="M283" s="587" t="e">
        <f ca="1">+IF(K279=100,"CIEN",IF(AND(K283&gt;0,K283&lt;1000),LOOKUP(CELL("contenido",K283),$E$26:$F$35),""))</f>
        <v>#REF!</v>
      </c>
      <c r="N283" s="588" t="e">
        <f>+RIGHT(N279,3)*1-N282-N280</f>
        <v>#REF!</v>
      </c>
      <c r="O283" s="589" t="s">
        <v>353</v>
      </c>
      <c r="P283" s="590" t="e">
        <f ca="1">+IF(N279=100,"CIEN",IF(AND(N283&gt;0,N283&lt;1000),LOOKUP(CELL("contenido",N283),$E$26:$F$35),""))</f>
        <v>#REF!</v>
      </c>
      <c r="Q283" s="591" t="e">
        <f>+RIGHT(Q279,3)*1-Q282-Q280</f>
        <v>#REF!</v>
      </c>
      <c r="R283" s="592" t="s">
        <v>353</v>
      </c>
      <c r="S283" s="593" t="e">
        <f ca="1">+IF(Q279=100,"CIEN",IF(AND(Q283&gt;0,Q283&lt;1000),LOOKUP(CELL("contenido",Q283),$E$26:$F$35),""))</f>
        <v>#REF!</v>
      </c>
      <c r="U283" s="572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4.4" thickBot="1">
      <c r="D284" s="575"/>
      <c r="E284" s="595" t="e">
        <f>+RIGHT(E279,4)*1-E283-E282-E280</f>
        <v>#REF!</v>
      </c>
      <c r="F284" s="596" t="s">
        <v>355</v>
      </c>
      <c r="G284" s="597" t="e">
        <f ca="1">+IF(E279&gt;999,"MIL",IF(AND(E284&gt;0,E284&lt;10000),LOOKUP(CELL("contenido",E284),$E$26:$F$35),""))</f>
        <v>#REF!</v>
      </c>
      <c r="H284" s="598" t="e">
        <f>INT(E279/1000000)</f>
        <v>#REF!</v>
      </c>
      <c r="I284" s="599" t="s">
        <v>356</v>
      </c>
      <c r="J284" s="600" t="e">
        <f ca="1">+IF(CELL("contenido",M281)=1,"MILLÓN",IF(H284=1,"MILLÓN",IF(H284&gt;1,"MILLONES","")))</f>
        <v>#REF!</v>
      </c>
      <c r="K284" s="601" t="e">
        <f>+RIGHT(K279,4)*1-K283-K282-K280</f>
        <v>#REF!</v>
      </c>
      <c r="L284" s="602" t="s">
        <v>357</v>
      </c>
      <c r="M284" s="603" t="e">
        <f ca="1">+IF(AND(K284&gt;0,K284&lt;10000),LOOKUP(CELL("contenido",K284),$E$26:$F$35),"")</f>
        <v>#REF!</v>
      </c>
      <c r="N284" s="604" t="e">
        <f>+RIGHT(N279,4)*1-N283-N282-N280</f>
        <v>#REF!</v>
      </c>
      <c r="O284" s="605" t="s">
        <v>358</v>
      </c>
      <c r="P284" s="606" t="e">
        <f>+IF(N284=1,"UN MILLARDO",IF(N279&gt;1,"MILLARDOS",""))</f>
        <v>#REF!</v>
      </c>
      <c r="Q284" s="607" t="e">
        <f>+RIGHT(Q279,4)*1-Q283-Q282-Q280</f>
        <v>#REF!</v>
      </c>
      <c r="R284" s="608" t="s">
        <v>358</v>
      </c>
      <c r="S284" s="609" t="e">
        <f>+IF(Q284=1,"UN MILLARDO",IF(Q279&gt;1,"MILLARDOS",""))</f>
        <v>#REF!</v>
      </c>
      <c r="U284" s="572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8" thickTop="1"/>
    <row r="286" spans="4:21" ht="13.8">
      <c r="D286" s="572" t="s">
        <v>382</v>
      </c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U286" s="569"/>
    </row>
    <row r="287" spans="4:21" ht="13.8">
      <c r="D287" s="575"/>
      <c r="E287" s="576">
        <f>ROUND(100*(G1-INT(G1)),0)</f>
        <v>1</v>
      </c>
      <c r="F287" s="572" t="s">
        <v>337</v>
      </c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</row>
    <row r="288" spans="4:21" ht="13.8">
      <c r="D288" s="572"/>
      <c r="E288" s="572">
        <f>+LEN(E290)</f>
        <v>5</v>
      </c>
      <c r="F288" s="572" t="s">
        <v>338</v>
      </c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</row>
    <row r="289" spans="4:21" ht="14.4" thickBot="1">
      <c r="D289" s="575"/>
      <c r="E289" s="572"/>
      <c r="F289" s="572"/>
      <c r="G289" s="572"/>
      <c r="H289" s="572"/>
      <c r="I289" s="572"/>
      <c r="J289" s="572"/>
      <c r="K289" s="572"/>
      <c r="L289" s="572"/>
      <c r="M289" s="572"/>
      <c r="N289" s="572"/>
      <c r="O289" s="572"/>
      <c r="P289" s="572"/>
      <c r="Q289" s="572"/>
      <c r="R289" s="572"/>
      <c r="S289" s="572"/>
    </row>
    <row r="290" spans="4:21" ht="15" thickTop="1" thickBot="1">
      <c r="D290" s="572"/>
      <c r="E290" s="577">
        <f>+G1-E287/100</f>
        <v>63445</v>
      </c>
      <c r="F290" s="1387" t="s">
        <v>341</v>
      </c>
      <c r="G290" s="1388"/>
      <c r="H290" s="578">
        <f>+IF(E290&gt;1000,INT(E290/1000),0)</f>
        <v>63</v>
      </c>
      <c r="I290" s="1387" t="s">
        <v>342</v>
      </c>
      <c r="J290" s="1388"/>
      <c r="K290" s="578">
        <f>+INT(H290/1000)</f>
        <v>0</v>
      </c>
      <c r="L290" s="1387" t="s">
        <v>343</v>
      </c>
      <c r="M290" s="1388"/>
      <c r="N290" s="578">
        <f>+INT(K290/1000)</f>
        <v>0</v>
      </c>
      <c r="O290" s="1387" t="s">
        <v>344</v>
      </c>
      <c r="P290" s="1388"/>
      <c r="Q290" s="578">
        <f>+INT(N290)</f>
        <v>0</v>
      </c>
      <c r="R290" s="1387" t="s">
        <v>344</v>
      </c>
      <c r="S290" s="1388"/>
      <c r="U290" s="572" t="str">
        <f>+IF(E287=0,CONCATENATE("00",U291),IF(E287&lt;10,CONCATENATE(" 0",E287,U291),CONCATENATE(" ",E287,U291)))</f>
        <v xml:space="preserve"> 01/100 BOLIVIANOS</v>
      </c>
    </row>
    <row r="291" spans="4:21" ht="14.4" thickBot="1">
      <c r="D291" s="575"/>
      <c r="E291" s="579">
        <f>+RIGHT(E290)*1</f>
        <v>5</v>
      </c>
      <c r="F291" s="580" t="s">
        <v>346</v>
      </c>
      <c r="G291" s="581" t="str">
        <f ca="1">+IF(AND(E291&gt;0,E291&lt;10),LOOKUP(CELL("contenido",E291),$A$26:$B$35),"")</f>
        <v>CINCO</v>
      </c>
      <c r="H291" s="582">
        <f>+RIGHT(H290)*1</f>
        <v>3</v>
      </c>
      <c r="I291" s="583" t="s">
        <v>346</v>
      </c>
      <c r="J291" s="584" t="str">
        <f ca="1">IF(E290&lt;2000,"",IF(CELL("contenido",H291)=1,"UN",IF(AND(H291&gt;0,H291&lt;10),LOOKUP(CELL("contenido",H291),$A$26:$B$35),"")))</f>
        <v>TRES</v>
      </c>
      <c r="K291" s="585">
        <f>+RIGHT(K290)*1</f>
        <v>0</v>
      </c>
      <c r="L291" s="586" t="s">
        <v>346</v>
      </c>
      <c r="M291" s="587" t="str">
        <f ca="1">+IF(CELL("contenido",K291)=1,"UN",IF(AND(K291&gt;0,K291&lt;10),LOOKUP(CELL("contenido",K291),$A$26:$B$35),""))</f>
        <v/>
      </c>
      <c r="N291" s="588">
        <f>+RIGHT(N290)*1</f>
        <v>0</v>
      </c>
      <c r="O291" s="589" t="s">
        <v>346</v>
      </c>
      <c r="P291" s="590" t="str">
        <f ca="1">+IF(CELL("contenido",N291)=1,"UN",IF(AND(N291&gt;0,N291&lt;10),LOOKUP(CELL("contenido",N291),$A$26:$B$35),""))</f>
        <v/>
      </c>
      <c r="Q291" s="591">
        <f>+RIGHT(Q290)*1</f>
        <v>0</v>
      </c>
      <c r="R291" s="592" t="s">
        <v>346</v>
      </c>
      <c r="S291" s="593" t="str">
        <f ca="1">+IF(CELL("contenido",Q291)=1,"UN",IF(AND(Q291&gt;0,Q291&lt;10),LOOKUP(CELL("contenido",Q291),$A$26:$B$35),""))</f>
        <v/>
      </c>
      <c r="U291" s="594" t="s">
        <v>347</v>
      </c>
    </row>
    <row r="292" spans="4:21" ht="14.4" thickBot="1">
      <c r="D292" s="575"/>
      <c r="E292" s="579">
        <f>+RIGHT(E290,2)*1</f>
        <v>45</v>
      </c>
      <c r="F292" s="580" t="s">
        <v>349</v>
      </c>
      <c r="G292" s="581" t="str">
        <f ca="1">IF(AND(E292&gt;0,E292&lt;30),LOOKUP(CELL("contenido",E292),$A$26:$B$55),"")</f>
        <v/>
      </c>
      <c r="H292" s="582">
        <f>+RIGHT(H290,2)*1</f>
        <v>63</v>
      </c>
      <c r="I292" s="583" t="s">
        <v>349</v>
      </c>
      <c r="J292" s="584" t="str">
        <f ca="1">IF(E290&lt;2000,"",IF(CELL("contenido",H292)=1,"UN",IF(AND(H292&gt;0,H292&lt;30),LOOKUP(CELL("contenido",H292),$A$26:$B$55),"")))</f>
        <v/>
      </c>
      <c r="K292" s="585">
        <f>+RIGHT(K290,2)*1</f>
        <v>0</v>
      </c>
      <c r="L292" s="586" t="s">
        <v>349</v>
      </c>
      <c r="M292" s="587" t="str">
        <f ca="1">IF(CELL("contenido",K292)=1,"UN",IF(AND(K292&gt;0,K292&lt;30),LOOKUP(CELL("contenido",K292),$A$26:$B$55),""))</f>
        <v/>
      </c>
      <c r="N292" s="588">
        <f>+RIGHT(N290,2)*1</f>
        <v>0</v>
      </c>
      <c r="O292" s="589" t="s">
        <v>349</v>
      </c>
      <c r="P292" s="590" t="str">
        <f ca="1">IF(CELL("contenido",N292)=1,"UN",IF(AND(N292&gt;0,N292&lt;30),LOOKUP(CELL("contenido",N292),$A$26:$B$55),""))</f>
        <v/>
      </c>
      <c r="Q292" s="591">
        <f>+RIGHT(Q290,2)*1</f>
        <v>0</v>
      </c>
      <c r="R292" s="592" t="s">
        <v>349</v>
      </c>
      <c r="S292" s="593" t="str">
        <f ca="1">IF(CELL("contenido",Q292)=1,"UN",IF(AND(Q292&gt;0,Q292&lt;30),LOOKUP(CELL("contenido",Q292),$A$26:$B$55),""))</f>
        <v/>
      </c>
      <c r="U292" s="572" t="str">
        <f ca="1">+IF(CELL("contenido",G292)&lt;&gt;"",CONCATENATE(G295," ",G294," ",G292," ",U290),IF(CELL("contenido",G291)="",CONCATENATE(G295," ",G294," ",G293," ",U290),CONCATENATE(G295," ",G294," ",G293," Y ",G291," ",U290)))</f>
        <v>MIL CUATROCIENTOS CUARENTA Y CINCO  01/100 BOLIVIANOS</v>
      </c>
    </row>
    <row r="293" spans="4:21" ht="14.4" thickBot="1">
      <c r="D293" s="575"/>
      <c r="E293" s="579">
        <f>+RIGHT(E290,2)*1-E291</f>
        <v>40</v>
      </c>
      <c r="F293" s="580" t="s">
        <v>351</v>
      </c>
      <c r="G293" s="581" t="str">
        <f ca="1">+IF(AND(E293&gt;0,E290&gt;=30),LOOKUP(CELL("contenido",E293),$C$26:$D$35),"")</f>
        <v>CUARENTA</v>
      </c>
      <c r="H293" s="582">
        <f>+RIGHT(H290,2)*1-H291</f>
        <v>60</v>
      </c>
      <c r="I293" s="583" t="s">
        <v>351</v>
      </c>
      <c r="J293" s="584" t="str">
        <f ca="1">+IF(AND(H293&gt;0,H290&gt;=30),LOOKUP(CELL("contenido",H293),$C$26:$D$35),"")</f>
        <v>SESENTA</v>
      </c>
      <c r="K293" s="585">
        <f>+RIGHT(K290,2)*1-K291</f>
        <v>0</v>
      </c>
      <c r="L293" s="586" t="s">
        <v>351</v>
      </c>
      <c r="M293" s="587" t="str">
        <f ca="1">+IF(AND(K293&gt;0,K290&gt;=30),LOOKUP(CELL("contenido",K293),$C$26:$D$35),"")</f>
        <v/>
      </c>
      <c r="N293" s="588">
        <f>+RIGHT(N290,2)*1-N291</f>
        <v>0</v>
      </c>
      <c r="O293" s="589" t="s">
        <v>351</v>
      </c>
      <c r="P293" s="590" t="str">
        <f ca="1">+IF(AND(N293&gt;0,K295&gt;=30),LOOKUP(CELL("contenido",N293),$C$26:$D$35),"")</f>
        <v/>
      </c>
      <c r="Q293" s="591">
        <f>+RIGHT(Q290,2)*1-Q291</f>
        <v>0</v>
      </c>
      <c r="R293" s="592" t="s">
        <v>351</v>
      </c>
      <c r="S293" s="593" t="str">
        <f ca="1">+IF(AND(Q293&gt;0,N295&gt;=30),LOOKUP(CELL("contenido",Q293),$C$26:$D$35),"")</f>
        <v/>
      </c>
      <c r="U293" s="572" t="str">
        <f ca="1">+IF(CELL("contenido",J292)&lt;&gt;"",CONCATENATE(J295," ",J294," ",J292," "),IF(CELL("contenido",J291)="",CONCATENATE(J295," ",J294," ",J293," "),CONCATENATE(J295," ",J294," ",J293," Y ",J291," ")))</f>
        <v xml:space="preserve">  SESENTA Y TRES </v>
      </c>
    </row>
    <row r="294" spans="4:21" ht="14.4" thickBot="1">
      <c r="D294" s="575"/>
      <c r="E294" s="579">
        <f>+RIGHT(E290,3)*1-E293-E291</f>
        <v>400</v>
      </c>
      <c r="F294" s="580" t="s">
        <v>353</v>
      </c>
      <c r="G294" s="581" t="str">
        <f ca="1">+IF((RIGHT(E290,3)*1)=100,"CIEN",IF(AND(E294&gt;0,E294&lt;1000),LOOKUP(CELL("contenido",E294),$E$26:$F$35),""))</f>
        <v>CUATROCIENTOS</v>
      </c>
      <c r="H294" s="582">
        <f>+RIGHT(H290,3)*1-H293-H291</f>
        <v>0</v>
      </c>
      <c r="I294" s="583" t="s">
        <v>353</v>
      </c>
      <c r="J294" s="584" t="str">
        <f ca="1">+IF(H290=100,"CIEN",IF(AND(H294&gt;0,H294&lt;1000),LOOKUP(CELL("contenido",H294),$E$26:$F$35),""))</f>
        <v/>
      </c>
      <c r="K294" s="585">
        <f>+RIGHT(K290,3)*1-K293-K291</f>
        <v>0</v>
      </c>
      <c r="L294" s="586" t="s">
        <v>353</v>
      </c>
      <c r="M294" s="587" t="str">
        <f ca="1">+IF(K290=100,"CIEN",IF(AND(K294&gt;0,K294&lt;1000),LOOKUP(CELL("contenido",K294),$E$26:$F$35),""))</f>
        <v/>
      </c>
      <c r="N294" s="588">
        <f>+RIGHT(N290,3)*1-N293-N291</f>
        <v>0</v>
      </c>
      <c r="O294" s="589" t="s">
        <v>353</v>
      </c>
      <c r="P294" s="590" t="str">
        <f ca="1">+IF(N290=100,"CIEN",IF(AND(N294&gt;0,N294&lt;1000),LOOKUP(CELL("contenido",N294),$E$26:$F$35),""))</f>
        <v/>
      </c>
      <c r="Q294" s="591">
        <f>+RIGHT(Q290,3)*1-Q293-Q291</f>
        <v>0</v>
      </c>
      <c r="R294" s="592" t="s">
        <v>353</v>
      </c>
      <c r="S294" s="593" t="str">
        <f ca="1">+IF(Q290=100,"CIEN",IF(AND(Q294&gt;0,Q294&lt;1000),LOOKUP(CELL("contenido",Q294),$E$26:$F$35),""))</f>
        <v/>
      </c>
      <c r="U294" s="572" t="str">
        <f ca="1">+IF(CELL("contenido",M292)&lt;&gt;"",CONCATENATE(M295," ",M294," ",M292," "),IF(CELL("contenido",M291)="",CONCATENATE(M295," ",M294," ",M293," "),CONCATENATE(M295," ",M294," ",M293," Y ",M291," ")))</f>
        <v xml:space="preserve">   </v>
      </c>
    </row>
    <row r="295" spans="4:21" ht="14.4" thickBot="1">
      <c r="D295" s="575"/>
      <c r="E295" s="595">
        <f>+RIGHT(E290,4)*1-E294-E293-E291</f>
        <v>3000</v>
      </c>
      <c r="F295" s="596" t="s">
        <v>355</v>
      </c>
      <c r="G295" s="597" t="str">
        <f ca="1">+IF(E290&gt;999,"MIL",IF(AND(E295&gt;0,E295&lt;10000),LOOKUP(CELL("contenido",E295),$E$26:$F$35),""))</f>
        <v>MIL</v>
      </c>
      <c r="H295" s="598">
        <f>INT(E290/1000000)</f>
        <v>0</v>
      </c>
      <c r="I295" s="599" t="s">
        <v>356</v>
      </c>
      <c r="J295" s="600" t="str">
        <f ca="1">+IF(CELL("contenido",M292)=1,"MILLÓN",IF(H295=1,"MILLÓN",IF(H295&gt;1,"MILLONES","")))</f>
        <v/>
      </c>
      <c r="K295" s="601">
        <f>+RIGHT(K290,4)*1-K294-K293-K291</f>
        <v>0</v>
      </c>
      <c r="L295" s="602" t="s">
        <v>357</v>
      </c>
      <c r="M295" s="603" t="str">
        <f ca="1">+IF(AND(K295&gt;0,K295&lt;10000),LOOKUP(CELL("contenido",K295),$E$26:$F$35),"")</f>
        <v/>
      </c>
      <c r="N295" s="604">
        <f>+RIGHT(N290,4)*1-N294-N293-N291</f>
        <v>0</v>
      </c>
      <c r="O295" s="605" t="s">
        <v>358</v>
      </c>
      <c r="P295" s="606" t="str">
        <f>+IF(N295=1,"UN MILLARDO",IF(N290&gt;1,"MILLARDOS",""))</f>
        <v/>
      </c>
      <c r="Q295" s="607">
        <f>+RIGHT(Q290,4)*1-Q294-Q293-Q291</f>
        <v>0</v>
      </c>
      <c r="R295" s="608" t="s">
        <v>358</v>
      </c>
      <c r="S295" s="609" t="str">
        <f>+IF(Q295=1,"UN MILLARDO",IF(Q290&gt;1,"MILLARDOS",""))</f>
        <v/>
      </c>
      <c r="U295" s="572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8" thickTop="1"/>
  </sheetData>
  <mergeCells count="115"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  <pageSetUpPr fitToPage="1"/>
  </sheetPr>
  <dimension ref="B2:R60"/>
  <sheetViews>
    <sheetView showGridLines="0" view="pageBreakPreview" topLeftCell="A12" zoomScaleNormal="75" zoomScaleSheetLayoutView="100" workbookViewId="0">
      <selection activeCell="M11" sqref="M11"/>
    </sheetView>
  </sheetViews>
  <sheetFormatPr baseColWidth="10" defaultColWidth="11.44140625" defaultRowHeight="13.8"/>
  <cols>
    <col min="1" max="1" width="1.44140625" style="206" customWidth="1"/>
    <col min="2" max="2" width="8.6640625" style="206" customWidth="1"/>
    <col min="3" max="3" width="11.44140625" style="206" customWidth="1"/>
    <col min="4" max="4" width="14.5546875" style="206" customWidth="1"/>
    <col min="5" max="5" width="12.6640625" style="206" customWidth="1"/>
    <col min="6" max="6" width="13" style="206" customWidth="1"/>
    <col min="7" max="7" width="13.109375" style="206" customWidth="1"/>
    <col min="8" max="8" width="12.88671875" style="206" customWidth="1"/>
    <col min="9" max="9" width="15.88671875" style="206" customWidth="1"/>
    <col min="10" max="10" width="20.33203125" style="206" customWidth="1"/>
    <col min="11" max="12" width="12.5546875" style="206" bestFit="1" customWidth="1"/>
    <col min="13" max="13" width="13.88671875" style="206" hidden="1" customWidth="1"/>
    <col min="14" max="14" width="28.44140625" style="206" customWidth="1"/>
    <col min="15" max="16384" width="11.44140625" style="206"/>
  </cols>
  <sheetData>
    <row r="2" spans="2:15">
      <c r="B2" s="1639"/>
      <c r="C2" s="1640"/>
      <c r="D2" s="1641"/>
      <c r="E2" s="1060"/>
      <c r="F2" s="1063"/>
      <c r="G2" s="1063"/>
      <c r="H2" s="1063"/>
      <c r="I2" s="1064"/>
      <c r="J2" s="1053"/>
    </row>
    <row r="3" spans="2:15">
      <c r="B3" s="231"/>
      <c r="C3" s="207"/>
      <c r="D3" s="262"/>
      <c r="E3" s="1642" t="str">
        <f>+Datos!C21</f>
        <v>CERTIFICADO DE PAGO Nº 4</v>
      </c>
      <c r="F3" s="1643"/>
      <c r="G3" s="1643"/>
      <c r="H3" s="1643"/>
      <c r="I3" s="1644"/>
      <c r="J3" s="235"/>
    </row>
    <row r="4" spans="2:15" ht="15" customHeight="1">
      <c r="B4" s="231"/>
      <c r="C4" s="207"/>
      <c r="D4" s="262"/>
      <c r="E4" s="1645" t="str">
        <f>+Datos!B2</f>
        <v>PROYECTO: CONSTRUCCION Y REHABILITACION TRAMO CARRETERO VILLA MONTES - LA VERTIENTE - PALO MARCADO</v>
      </c>
      <c r="F4" s="1646"/>
      <c r="G4" s="1646"/>
      <c r="H4" s="1646"/>
      <c r="I4" s="1647"/>
      <c r="J4" s="236"/>
    </row>
    <row r="5" spans="2:15" ht="15.75" customHeight="1">
      <c r="B5" s="232"/>
      <c r="C5" s="209"/>
      <c r="D5" s="1062"/>
      <c r="E5" s="1645"/>
      <c r="F5" s="1646"/>
      <c r="G5" s="1646"/>
      <c r="H5" s="1646"/>
      <c r="I5" s="1647"/>
      <c r="J5" s="1065"/>
    </row>
    <row r="6" spans="2:15" ht="17.25" customHeight="1">
      <c r="B6" s="1061"/>
      <c r="C6" s="221"/>
      <c r="D6" s="233"/>
      <c r="E6" s="1649" t="s">
        <v>455</v>
      </c>
      <c r="F6" s="1650"/>
      <c r="G6" s="1650"/>
      <c r="H6" s="1650"/>
      <c r="I6" s="1651"/>
      <c r="J6" s="1065"/>
    </row>
    <row r="7" spans="2:15" ht="19.5" customHeight="1">
      <c r="B7" s="1655" t="s">
        <v>155</v>
      </c>
      <c r="C7" s="1656"/>
      <c r="D7" s="1657"/>
      <c r="E7" s="1652"/>
      <c r="F7" s="1653"/>
      <c r="G7" s="1653"/>
      <c r="H7" s="1653"/>
      <c r="I7" s="1654"/>
      <c r="J7" s="1066" t="s">
        <v>244</v>
      </c>
    </row>
    <row r="8" spans="2:15" ht="27.75" customHeight="1">
      <c r="B8" s="256" t="s">
        <v>194</v>
      </c>
      <c r="C8" s="229"/>
      <c r="D8" s="817">
        <f>+Certificado!$J$16</f>
        <v>108397839.64</v>
      </c>
      <c r="F8" s="1637" t="s">
        <v>195</v>
      </c>
      <c r="G8" s="1637"/>
      <c r="H8" s="237">
        <f>ROUND(D8*0.2,2)</f>
        <v>21679567.93</v>
      </c>
      <c r="I8" s="229"/>
      <c r="J8" s="257"/>
      <c r="K8" s="1025"/>
    </row>
    <row r="9" spans="2:15" ht="15" customHeight="1">
      <c r="B9" s="1638" t="s">
        <v>626</v>
      </c>
      <c r="C9" s="1648" t="s">
        <v>193</v>
      </c>
      <c r="D9" s="1638" t="s">
        <v>657</v>
      </c>
      <c r="E9" s="1638" t="s">
        <v>620</v>
      </c>
      <c r="F9" s="1638" t="s">
        <v>624</v>
      </c>
      <c r="G9" s="1638"/>
      <c r="H9" s="1638"/>
      <c r="I9" s="1638" t="s">
        <v>625</v>
      </c>
      <c r="J9" s="1648" t="s">
        <v>161</v>
      </c>
    </row>
    <row r="10" spans="2:15" ht="26.25" customHeight="1">
      <c r="B10" s="1638"/>
      <c r="C10" s="1648"/>
      <c r="D10" s="1638"/>
      <c r="E10" s="1638"/>
      <c r="F10" s="1059" t="s">
        <v>621</v>
      </c>
      <c r="G10" s="1059" t="s">
        <v>622</v>
      </c>
      <c r="H10" s="1059" t="s">
        <v>623</v>
      </c>
      <c r="I10" s="1638"/>
      <c r="J10" s="1648"/>
      <c r="M10" s="210"/>
      <c r="N10" s="210"/>
    </row>
    <row r="11" spans="2:15" ht="18" customHeight="1">
      <c r="B11" s="252" t="s">
        <v>627</v>
      </c>
      <c r="C11" s="1130">
        <v>43726</v>
      </c>
      <c r="D11" s="211">
        <f>+D8</f>
        <v>108397839.64</v>
      </c>
      <c r="E11" s="819">
        <v>0.2</v>
      </c>
      <c r="F11" s="265">
        <v>0</v>
      </c>
      <c r="G11" s="266">
        <v>0</v>
      </c>
      <c r="H11" s="267">
        <f>G11</f>
        <v>0</v>
      </c>
      <c r="I11" s="263">
        <f>ROUND(D11*E11,2)</f>
        <v>21679567.93</v>
      </c>
      <c r="J11" s="786" t="s">
        <v>619</v>
      </c>
      <c r="K11" s="1017"/>
      <c r="L11" s="210"/>
      <c r="M11" s="210"/>
      <c r="N11" s="210"/>
      <c r="O11" s="210"/>
    </row>
    <row r="12" spans="2:15" ht="18" customHeight="1">
      <c r="B12" s="253">
        <v>1</v>
      </c>
      <c r="C12" s="1130" t="s">
        <v>656</v>
      </c>
      <c r="D12" s="212">
        <f>+'Avance Financiero'!C12</f>
        <v>230575.22</v>
      </c>
      <c r="E12" s="819">
        <v>0.2</v>
      </c>
      <c r="F12" s="268">
        <f t="shared" ref="F12:F15" si="0">+H11</f>
        <v>0</v>
      </c>
      <c r="G12" s="174">
        <f t="shared" ref="G12:G14" si="1">ROUND(D12*E12,2)</f>
        <v>46115.040000000001</v>
      </c>
      <c r="H12" s="269">
        <f>+F12+G12</f>
        <v>46115.040000000001</v>
      </c>
      <c r="I12" s="264">
        <f>+I11-G12</f>
        <v>21633452.890000001</v>
      </c>
      <c r="J12" s="258"/>
      <c r="K12" s="1017"/>
      <c r="L12" s="210"/>
      <c r="M12" s="210"/>
      <c r="N12" s="210"/>
      <c r="O12" s="210"/>
    </row>
    <row r="13" spans="2:15" ht="18" customHeight="1">
      <c r="B13" s="253">
        <v>2</v>
      </c>
      <c r="C13" s="1130">
        <v>44105</v>
      </c>
      <c r="D13" s="212">
        <f>+'Avance Financiero'!C13</f>
        <v>515942.20000000007</v>
      </c>
      <c r="E13" s="819">
        <v>0.2</v>
      </c>
      <c r="F13" s="268">
        <f t="shared" si="0"/>
        <v>46115.040000000001</v>
      </c>
      <c r="G13" s="174">
        <f t="shared" si="1"/>
        <v>103188.44</v>
      </c>
      <c r="H13" s="269">
        <f>+H12+G13</f>
        <v>149303.48000000001</v>
      </c>
      <c r="I13" s="264">
        <f>+I12-G13</f>
        <v>21530264.449999999</v>
      </c>
      <c r="J13" s="258"/>
      <c r="K13" s="1017"/>
      <c r="L13" s="210"/>
      <c r="M13" s="210"/>
      <c r="N13" s="210"/>
      <c r="O13" s="210"/>
    </row>
    <row r="14" spans="2:15" ht="18" customHeight="1">
      <c r="B14" s="253">
        <v>3</v>
      </c>
      <c r="C14" s="1130">
        <v>44136</v>
      </c>
      <c r="D14" s="212">
        <f>+'Avance Financiero'!C14</f>
        <v>778326.78</v>
      </c>
      <c r="E14" s="819">
        <v>0.2</v>
      </c>
      <c r="F14" s="268">
        <f t="shared" si="0"/>
        <v>149303.48000000001</v>
      </c>
      <c r="G14" s="174">
        <f t="shared" si="1"/>
        <v>155665.35999999999</v>
      </c>
      <c r="H14" s="269">
        <f>+H13+G14</f>
        <v>304968.83999999997</v>
      </c>
      <c r="I14" s="264">
        <f>+I13-G14</f>
        <v>21374599.09</v>
      </c>
      <c r="J14" s="258"/>
      <c r="K14" s="1017"/>
      <c r="L14" s="210"/>
      <c r="M14" s="210"/>
      <c r="N14" s="210"/>
      <c r="O14" s="210"/>
    </row>
    <row r="15" spans="2:15" ht="18" customHeight="1">
      <c r="B15" s="253">
        <v>4</v>
      </c>
      <c r="C15" s="1130" t="s">
        <v>670</v>
      </c>
      <c r="D15" s="212">
        <f>+'Avance Financiero'!C15</f>
        <v>86910.98</v>
      </c>
      <c r="E15" s="819">
        <v>0.2</v>
      </c>
      <c r="F15" s="268">
        <f t="shared" si="0"/>
        <v>304968.83999999997</v>
      </c>
      <c r="G15" s="174">
        <f>ROUND(D15*E15,2)</f>
        <v>17382.2</v>
      </c>
      <c r="H15" s="269">
        <f>+H14+G15</f>
        <v>322351.03999999998</v>
      </c>
      <c r="I15" s="264">
        <f>+I14-G15</f>
        <v>21357216.890000001</v>
      </c>
      <c r="J15" s="258"/>
      <c r="K15" s="1017"/>
      <c r="L15" s="210"/>
      <c r="M15" s="210"/>
      <c r="N15" s="210"/>
      <c r="O15" s="210"/>
    </row>
    <row r="16" spans="2:15" ht="18" customHeight="1">
      <c r="B16" s="253"/>
      <c r="C16" s="1130"/>
      <c r="D16" s="212"/>
      <c r="E16" s="819"/>
      <c r="F16" s="268"/>
      <c r="G16" s="174"/>
      <c r="H16" s="269"/>
      <c r="I16" s="264"/>
      <c r="J16" s="258"/>
      <c r="K16" s="1017"/>
      <c r="L16" s="210"/>
      <c r="M16" s="210"/>
      <c r="N16" s="210"/>
      <c r="O16" s="210"/>
    </row>
    <row r="17" spans="2:15" ht="18" customHeight="1">
      <c r="B17" s="253"/>
      <c r="C17" s="1130"/>
      <c r="D17" s="212"/>
      <c r="E17" s="819"/>
      <c r="F17" s="268"/>
      <c r="G17" s="174"/>
      <c r="H17" s="269"/>
      <c r="I17" s="264"/>
      <c r="J17" s="258"/>
      <c r="L17" s="510"/>
      <c r="M17" s="210"/>
      <c r="N17" s="210"/>
      <c r="O17" s="210"/>
    </row>
    <row r="18" spans="2:15" ht="18" customHeight="1">
      <c r="B18" s="253"/>
      <c r="C18" s="1130"/>
      <c r="D18" s="212"/>
      <c r="E18" s="819"/>
      <c r="F18" s="268"/>
      <c r="G18" s="174"/>
      <c r="H18" s="269"/>
      <c r="I18" s="264"/>
      <c r="J18" s="258"/>
      <c r="L18" s="210"/>
      <c r="M18" s="210"/>
      <c r="N18" s="210"/>
      <c r="O18" s="210"/>
    </row>
    <row r="19" spans="2:15" ht="18" customHeight="1">
      <c r="B19" s="253"/>
      <c r="C19" s="1130"/>
      <c r="D19" s="212"/>
      <c r="E19" s="819"/>
      <c r="F19" s="268"/>
      <c r="G19" s="174"/>
      <c r="H19" s="269"/>
      <c r="I19" s="264"/>
      <c r="J19" s="258"/>
      <c r="L19" s="210"/>
      <c r="M19" s="210"/>
      <c r="N19" s="210"/>
      <c r="O19" s="210"/>
    </row>
    <row r="20" spans="2:15" ht="18" customHeight="1">
      <c r="B20" s="253"/>
      <c r="C20" s="1130"/>
      <c r="D20" s="212"/>
      <c r="E20" s="819"/>
      <c r="F20" s="268"/>
      <c r="G20" s="174"/>
      <c r="H20" s="269"/>
      <c r="I20" s="264"/>
      <c r="J20" s="258"/>
      <c r="L20" s="210"/>
      <c r="M20" s="210"/>
      <c r="N20" s="210"/>
      <c r="O20" s="210"/>
    </row>
    <row r="21" spans="2:15" ht="18" customHeight="1">
      <c r="B21" s="253"/>
      <c r="C21" s="1130"/>
      <c r="D21" s="212"/>
      <c r="E21" s="819"/>
      <c r="F21" s="268"/>
      <c r="G21" s="174"/>
      <c r="H21" s="269"/>
      <c r="I21" s="264"/>
      <c r="J21" s="258"/>
      <c r="L21" s="210"/>
      <c r="M21" s="210"/>
      <c r="N21" s="210"/>
      <c r="O21" s="210"/>
    </row>
    <row r="22" spans="2:15" ht="18" customHeight="1">
      <c r="B22" s="253"/>
      <c r="C22" s="1130"/>
      <c r="D22" s="212"/>
      <c r="E22" s="819"/>
      <c r="F22" s="268"/>
      <c r="G22" s="174"/>
      <c r="H22" s="269"/>
      <c r="I22" s="264"/>
      <c r="J22" s="258"/>
      <c r="L22" s="210"/>
      <c r="M22" s="210"/>
      <c r="N22" s="210"/>
      <c r="O22" s="210"/>
    </row>
    <row r="23" spans="2:15" ht="18" customHeight="1">
      <c r="B23" s="253"/>
      <c r="C23" s="1130"/>
      <c r="D23" s="212"/>
      <c r="E23" s="819"/>
      <c r="F23" s="268"/>
      <c r="G23" s="174"/>
      <c r="H23" s="269"/>
      <c r="I23" s="264"/>
      <c r="J23" s="258"/>
      <c r="L23" s="210"/>
      <c r="M23" s="210"/>
      <c r="N23" s="210"/>
      <c r="O23" s="210"/>
    </row>
    <row r="24" spans="2:15" ht="18" customHeight="1">
      <c r="B24" s="253"/>
      <c r="C24" s="1130"/>
      <c r="D24" s="212"/>
      <c r="E24" s="819"/>
      <c r="F24" s="268"/>
      <c r="G24" s="174"/>
      <c r="H24" s="269"/>
      <c r="I24" s="264"/>
      <c r="J24" s="258"/>
      <c r="L24" s="210"/>
      <c r="M24" s="210"/>
      <c r="N24" s="210"/>
      <c r="O24" s="210"/>
    </row>
    <row r="25" spans="2:15" ht="18" customHeight="1">
      <c r="B25" s="253"/>
      <c r="C25" s="1130"/>
      <c r="D25" s="212"/>
      <c r="E25" s="819"/>
      <c r="F25" s="268"/>
      <c r="G25" s="174"/>
      <c r="H25" s="269"/>
      <c r="I25" s="264"/>
      <c r="J25" s="258"/>
      <c r="L25" s="210"/>
      <c r="M25" s="210"/>
      <c r="N25" s="210"/>
      <c r="O25" s="210"/>
    </row>
    <row r="26" spans="2:15" ht="18" customHeight="1">
      <c r="B26" s="253"/>
      <c r="C26" s="1130"/>
      <c r="D26" s="212"/>
      <c r="E26" s="819"/>
      <c r="F26" s="268"/>
      <c r="G26" s="174"/>
      <c r="H26" s="269"/>
      <c r="I26" s="264"/>
      <c r="J26" s="258"/>
      <c r="L26" s="210"/>
    </row>
    <row r="27" spans="2:15" ht="18" customHeight="1">
      <c r="B27" s="253"/>
      <c r="C27" s="1130"/>
      <c r="D27" s="212"/>
      <c r="E27" s="819"/>
      <c r="F27" s="268"/>
      <c r="G27" s="174"/>
      <c r="H27" s="269"/>
      <c r="I27" s="264"/>
      <c r="J27" s="258"/>
    </row>
    <row r="28" spans="2:15" ht="18" customHeight="1">
      <c r="B28" s="253"/>
      <c r="C28" s="1130"/>
      <c r="D28" s="212"/>
      <c r="E28" s="819"/>
      <c r="F28" s="268"/>
      <c r="G28" s="174"/>
      <c r="H28" s="269"/>
      <c r="I28" s="264"/>
      <c r="J28" s="258"/>
    </row>
    <row r="29" spans="2:15" ht="18" customHeight="1">
      <c r="B29" s="253"/>
      <c r="C29" s="1130"/>
      <c r="D29" s="212"/>
      <c r="E29" s="819"/>
      <c r="F29" s="268"/>
      <c r="G29" s="174"/>
      <c r="H29" s="269"/>
      <c r="I29" s="264"/>
      <c r="J29" s="258"/>
    </row>
    <row r="30" spans="2:15" ht="18" customHeight="1">
      <c r="B30" s="253"/>
      <c r="C30" s="1130"/>
      <c r="D30" s="212"/>
      <c r="E30" s="819"/>
      <c r="F30" s="268"/>
      <c r="G30" s="174"/>
      <c r="H30" s="269"/>
      <c r="I30" s="264"/>
      <c r="J30" s="258"/>
    </row>
    <row r="31" spans="2:15" ht="18" customHeight="1">
      <c r="B31" s="253"/>
      <c r="C31" s="1130"/>
      <c r="D31" s="212"/>
      <c r="E31" s="819"/>
      <c r="F31" s="268"/>
      <c r="G31" s="174"/>
      <c r="H31" s="269"/>
      <c r="I31" s="264"/>
      <c r="J31" s="258"/>
    </row>
    <row r="32" spans="2:15" ht="18" customHeight="1">
      <c r="B32" s="253"/>
      <c r="C32" s="202"/>
      <c r="D32" s="214"/>
      <c r="E32" s="214"/>
      <c r="F32" s="268"/>
      <c r="G32" s="272"/>
      <c r="H32" s="269"/>
      <c r="I32" s="264"/>
      <c r="J32" s="261"/>
    </row>
    <row r="33" spans="2:18" ht="18" customHeight="1">
      <c r="B33" s="253"/>
      <c r="C33" s="254"/>
      <c r="D33" s="214"/>
      <c r="E33" s="214"/>
      <c r="F33" s="268"/>
      <c r="G33" s="272"/>
      <c r="H33" s="269"/>
      <c r="I33" s="264"/>
      <c r="J33" s="261"/>
    </row>
    <row r="34" spans="2:18" ht="18" customHeight="1">
      <c r="B34" s="253"/>
      <c r="C34" s="254"/>
      <c r="D34" s="214"/>
      <c r="E34" s="214"/>
      <c r="F34" s="268"/>
      <c r="G34" s="272"/>
      <c r="H34" s="269"/>
      <c r="I34" s="264"/>
      <c r="J34" s="261"/>
    </row>
    <row r="35" spans="2:18" ht="18" customHeight="1">
      <c r="B35" s="253"/>
      <c r="C35" s="254"/>
      <c r="D35" s="214"/>
      <c r="E35" s="214"/>
      <c r="F35" s="268"/>
      <c r="G35" s="272"/>
      <c r="H35" s="269"/>
      <c r="I35" s="264"/>
      <c r="J35" s="261"/>
    </row>
    <row r="36" spans="2:18" ht="18" customHeight="1">
      <c r="B36" s="253"/>
      <c r="C36" s="254"/>
      <c r="D36" s="214"/>
      <c r="E36" s="214"/>
      <c r="F36" s="268"/>
      <c r="G36" s="272"/>
      <c r="H36" s="269"/>
      <c r="I36" s="264"/>
      <c r="J36" s="261"/>
    </row>
    <row r="37" spans="2:18" ht="18" customHeight="1">
      <c r="B37" s="253"/>
      <c r="C37" s="254"/>
      <c r="D37" s="214"/>
      <c r="E37" s="214"/>
      <c r="F37" s="268"/>
      <c r="G37" s="272"/>
      <c r="H37" s="269"/>
      <c r="I37" s="264"/>
      <c r="J37" s="261"/>
    </row>
    <row r="38" spans="2:18" ht="18" customHeight="1">
      <c r="B38" s="253"/>
      <c r="C38" s="254"/>
      <c r="D38" s="214"/>
      <c r="E38" s="214"/>
      <c r="F38" s="268"/>
      <c r="G38" s="272"/>
      <c r="H38" s="269"/>
      <c r="I38" s="264"/>
      <c r="J38" s="261"/>
    </row>
    <row r="39" spans="2:18" ht="18" customHeight="1">
      <c r="B39" s="255"/>
      <c r="C39" s="254"/>
      <c r="D39" s="214"/>
      <c r="E39" s="214"/>
      <c r="F39" s="268"/>
      <c r="G39" s="272"/>
      <c r="H39" s="269"/>
      <c r="I39" s="264"/>
      <c r="J39" s="261"/>
    </row>
    <row r="40" spans="2:18" ht="18" customHeight="1">
      <c r="B40" s="255"/>
      <c r="C40" s="254"/>
      <c r="D40" s="214"/>
      <c r="E40" s="214"/>
      <c r="F40" s="268"/>
      <c r="G40" s="272"/>
      <c r="H40" s="269"/>
      <c r="I40" s="264"/>
      <c r="J40" s="261"/>
    </row>
    <row r="41" spans="2:18" ht="18" customHeight="1">
      <c r="B41" s="1664" t="s">
        <v>297</v>
      </c>
      <c r="C41" s="1665"/>
      <c r="D41" s="1665"/>
      <c r="E41" s="1665"/>
      <c r="F41" s="277">
        <f>MAX(F11:F40)</f>
        <v>304968.83999999997</v>
      </c>
      <c r="G41" s="278">
        <f>+H41-F41</f>
        <v>17382.200000000012</v>
      </c>
      <c r="H41" s="279">
        <f>MAX(H11:H40)</f>
        <v>322351.03999999998</v>
      </c>
      <c r="I41" s="280">
        <f>H8-H41</f>
        <v>21357216.890000001</v>
      </c>
      <c r="J41" s="276"/>
    </row>
    <row r="42" spans="2:18" ht="18" customHeight="1">
      <c r="B42" s="1664" t="s">
        <v>685</v>
      </c>
      <c r="C42" s="1665"/>
      <c r="D42" s="1665"/>
      <c r="E42" s="1665"/>
      <c r="F42" s="1381">
        <f>+F41/$D$8</f>
        <v>2.8134217528027476E-3</v>
      </c>
      <c r="G42" s="1381">
        <f>+G41/$D$8</f>
        <v>1.6035559433405709E-4</v>
      </c>
      <c r="H42" s="1381">
        <f>+H41/$D$8</f>
        <v>2.9737773471368049E-3</v>
      </c>
      <c r="I42" s="1381">
        <f>+I41/$D$8</f>
        <v>0.19702622267131376</v>
      </c>
      <c r="J42" s="276"/>
    </row>
    <row r="43" spans="2:18" ht="8.25" customHeight="1">
      <c r="B43" s="231"/>
      <c r="C43" s="207"/>
      <c r="D43" s="207"/>
      <c r="E43" s="207"/>
      <c r="F43" s="207"/>
      <c r="G43" s="207"/>
      <c r="H43" s="207"/>
      <c r="I43" s="207"/>
      <c r="J43" s="262"/>
    </row>
    <row r="44" spans="2:18">
      <c r="B44" s="238"/>
      <c r="C44" s="239"/>
      <c r="D44" s="1057"/>
      <c r="E44" s="240"/>
      <c r="F44" s="240"/>
      <c r="G44" s="240"/>
      <c r="H44" s="240"/>
      <c r="I44" s="240"/>
      <c r="J44" s="241"/>
      <c r="K44" s="215"/>
      <c r="L44" s="215"/>
      <c r="M44" s="215"/>
      <c r="N44" s="216"/>
      <c r="O44" s="216"/>
      <c r="P44" s="216"/>
      <c r="Q44" s="216"/>
      <c r="R44" s="217"/>
    </row>
    <row r="45" spans="2:18">
      <c r="B45" s="242" t="s">
        <v>162</v>
      </c>
      <c r="C45" s="218"/>
      <c r="D45" s="218"/>
      <c r="E45" s="219"/>
      <c r="F45" s="207"/>
      <c r="G45" s="221" t="s">
        <v>157</v>
      </c>
      <c r="H45" s="222"/>
      <c r="I45" s="207"/>
      <c r="J45" s="243"/>
      <c r="K45" s="223"/>
      <c r="L45" s="207"/>
      <c r="M45" s="207"/>
      <c r="N45" s="222"/>
      <c r="O45" s="222"/>
      <c r="P45" s="222"/>
      <c r="Q45" s="222"/>
      <c r="R45" s="222"/>
    </row>
    <row r="46" spans="2:18">
      <c r="B46" s="244"/>
      <c r="C46" s="219"/>
      <c r="D46" s="219"/>
      <c r="E46" s="219"/>
      <c r="F46" s="207"/>
      <c r="G46" s="207"/>
      <c r="H46" s="222"/>
      <c r="I46" s="224"/>
      <c r="J46" s="243"/>
      <c r="K46" s="222"/>
      <c r="L46" s="222"/>
      <c r="M46" s="222"/>
      <c r="N46" s="222"/>
      <c r="O46" s="222"/>
      <c r="P46" s="222"/>
      <c r="Q46" s="222"/>
      <c r="R46" s="222"/>
    </row>
    <row r="47" spans="2:18">
      <c r="B47" s="244"/>
      <c r="C47" s="219"/>
      <c r="D47" s="219"/>
      <c r="E47" s="219"/>
      <c r="F47" s="207"/>
      <c r="G47" s="207"/>
      <c r="H47" s="222"/>
      <c r="I47" s="224"/>
      <c r="J47" s="243"/>
      <c r="K47" s="222"/>
      <c r="L47" s="222"/>
      <c r="M47" s="222"/>
      <c r="N47" s="222"/>
      <c r="O47" s="222"/>
      <c r="P47" s="222"/>
      <c r="Q47" s="222"/>
      <c r="R47" s="222"/>
    </row>
    <row r="48" spans="2:18">
      <c r="B48" s="244"/>
      <c r="C48" s="219"/>
      <c r="D48" s="219"/>
      <c r="E48" s="219"/>
      <c r="F48" s="207"/>
      <c r="G48" s="207"/>
      <c r="H48" s="222"/>
      <c r="I48" s="224"/>
      <c r="J48" s="243"/>
      <c r="K48" s="222"/>
      <c r="L48" s="222"/>
      <c r="M48" s="222"/>
      <c r="N48" s="222"/>
      <c r="O48" s="222"/>
      <c r="P48" s="222"/>
      <c r="Q48" s="222"/>
      <c r="R48" s="222"/>
    </row>
    <row r="49" spans="2:18">
      <c r="B49" s="244"/>
      <c r="C49" s="219"/>
      <c r="D49" s="219"/>
      <c r="E49" s="219"/>
      <c r="F49" s="207"/>
      <c r="G49" s="207"/>
      <c r="H49" s="222"/>
      <c r="I49" s="224"/>
      <c r="J49" s="243"/>
      <c r="K49" s="222"/>
      <c r="L49" s="222"/>
      <c r="M49" s="222"/>
      <c r="N49" s="222"/>
      <c r="O49" s="222"/>
      <c r="P49" s="222"/>
      <c r="Q49" s="222"/>
      <c r="R49" s="222"/>
    </row>
    <row r="50" spans="2:18">
      <c r="B50" s="245"/>
      <c r="C50" s="225"/>
      <c r="D50" s="225"/>
      <c r="E50" s="215"/>
      <c r="F50" s="207"/>
      <c r="G50" s="207"/>
      <c r="H50" s="215"/>
      <c r="I50" s="215"/>
      <c r="J50" s="246"/>
      <c r="K50" s="215"/>
      <c r="L50" s="215"/>
      <c r="M50" s="215"/>
      <c r="N50" s="215"/>
      <c r="O50" s="215"/>
      <c r="P50" s="215"/>
      <c r="Q50" s="215"/>
      <c r="R50" s="217"/>
    </row>
    <row r="51" spans="2:18">
      <c r="B51" s="245"/>
      <c r="C51" s="225"/>
      <c r="D51" s="225"/>
      <c r="E51" s="215"/>
      <c r="F51" s="207"/>
      <c r="G51" s="207"/>
      <c r="H51" s="215"/>
      <c r="I51" s="215"/>
      <c r="J51" s="246"/>
      <c r="K51" s="215"/>
      <c r="L51" s="215"/>
      <c r="M51" s="215"/>
      <c r="N51" s="215"/>
      <c r="O51" s="215"/>
      <c r="P51" s="215"/>
      <c r="Q51" s="215"/>
      <c r="R51" s="217"/>
    </row>
    <row r="52" spans="2:18">
      <c r="B52" s="1662" t="str">
        <f>+'Planilla de Avance'!F111</f>
        <v>Ing. Gabriel Daza Chavez</v>
      </c>
      <c r="C52" s="1663"/>
      <c r="D52" s="1663"/>
      <c r="E52" s="1663"/>
      <c r="F52" s="1663"/>
      <c r="G52" s="207"/>
      <c r="H52" s="207"/>
      <c r="I52" s="1154" t="str">
        <f>+'Planilla de Avance'!J111</f>
        <v>Ing. Herlan Rene Ramos Estrada</v>
      </c>
      <c r="J52" s="248"/>
      <c r="K52" s="228"/>
      <c r="L52" s="228"/>
      <c r="M52" s="228"/>
      <c r="N52" s="228"/>
      <c r="O52" s="207"/>
      <c r="P52" s="228"/>
      <c r="Q52" s="228"/>
      <c r="R52" s="228"/>
    </row>
    <row r="53" spans="2:18">
      <c r="B53" s="1660" t="str">
        <f>+'Planilla de Avance'!F112</f>
        <v>SUPERINTENDENTE DE OBRA</v>
      </c>
      <c r="C53" s="1661"/>
      <c r="D53" s="1661"/>
      <c r="E53" s="1661"/>
      <c r="F53" s="1661"/>
      <c r="G53" s="207"/>
      <c r="H53" s="207"/>
      <c r="I53" s="225" t="str">
        <f>+'Planilla de Avance'!J112</f>
        <v>SUPERVISOR DE OBRA</v>
      </c>
      <c r="J53" s="248"/>
      <c r="K53" s="225"/>
      <c r="L53" s="225"/>
      <c r="M53" s="225"/>
      <c r="N53" s="225"/>
      <c r="O53" s="207"/>
      <c r="P53" s="225"/>
      <c r="Q53" s="225"/>
      <c r="R53" s="225"/>
    </row>
    <row r="54" spans="2:18" ht="29.25" customHeight="1">
      <c r="B54" s="1658" t="str">
        <f>+'Planilla de Avance'!F113</f>
        <v>EMPRESA ESTRATÉGICA BOLIVIANA DE CONSTRUCCIÓN Y CONSERVACIÓN DE INFRAESTRUCTURA CIVIL (EBC)</v>
      </c>
      <c r="C54" s="1659"/>
      <c r="D54" s="1659"/>
      <c r="E54" s="1659"/>
      <c r="F54" s="1659"/>
      <c r="G54" s="250"/>
      <c r="H54" s="250"/>
      <c r="I54" s="1054" t="str">
        <f>+'Planilla de Avance'!J113</f>
        <v>ABC - REGIONAL TARIJA</v>
      </c>
      <c r="J54" s="251"/>
      <c r="K54" s="225"/>
      <c r="L54" s="225"/>
      <c r="M54" s="225"/>
      <c r="N54" s="225"/>
      <c r="O54" s="207"/>
      <c r="P54" s="225"/>
      <c r="Q54" s="225"/>
      <c r="R54" s="225"/>
    </row>
    <row r="60" spans="2:18">
      <c r="E60" s="210"/>
    </row>
  </sheetData>
  <mergeCells count="18">
    <mergeCell ref="B54:F54"/>
    <mergeCell ref="B53:F53"/>
    <mergeCell ref="B52:F52"/>
    <mergeCell ref="B41:E41"/>
    <mergeCell ref="J9:J10"/>
    <mergeCell ref="B42:E42"/>
    <mergeCell ref="F8:G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</mergeCells>
  <pageMargins left="0.59055118110236227" right="0.23622047244094491" top="0.59055118110236227" bottom="0.59055118110236227" header="0.31496062992125984" footer="0.31496062992125984"/>
  <pageSetup scale="79" orientation="portrait" horizontalDpi="4294967295" verticalDpi="4294967295" r:id="rId1"/>
  <headerFooter alignWithMargins="0"/>
  <rowBreaks count="1" manualBreakCount="1">
    <brk id="8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56"/>
  <sheetViews>
    <sheetView showGridLines="0" view="pageBreakPreview" zoomScaleNormal="75" zoomScaleSheetLayoutView="100" workbookViewId="0">
      <selection activeCell="M11" sqref="M11"/>
    </sheetView>
  </sheetViews>
  <sheetFormatPr baseColWidth="10" defaultColWidth="11.44140625" defaultRowHeight="13.8"/>
  <cols>
    <col min="1" max="1" width="1.44140625" style="206" customWidth="1"/>
    <col min="2" max="2" width="8.88671875" style="206" customWidth="1"/>
    <col min="3" max="3" width="13" style="206" customWidth="1"/>
    <col min="4" max="4" width="11.44140625" style="206" customWidth="1"/>
    <col min="5" max="5" width="10.5546875" style="206" customWidth="1"/>
    <col min="6" max="8" width="12.6640625" style="206" customWidth="1"/>
    <col min="9" max="9" width="15.88671875" style="206" customWidth="1"/>
    <col min="10" max="10" width="22.44140625" style="206" customWidth="1"/>
    <col min="11" max="12" width="12.5546875" style="206" bestFit="1" customWidth="1"/>
    <col min="13" max="13" width="13.88671875" style="206" hidden="1" customWidth="1"/>
    <col min="14" max="14" width="28.44140625" style="206" customWidth="1"/>
    <col min="15" max="16384" width="11.44140625" style="206"/>
  </cols>
  <sheetData>
    <row r="2" spans="2:15" ht="18" customHeight="1">
      <c r="B2" s="1639"/>
      <c r="C2" s="1669"/>
      <c r="D2" s="1670"/>
      <c r="E2" s="737"/>
      <c r="F2" s="737"/>
      <c r="G2" s="737"/>
      <c r="H2" s="737"/>
      <c r="I2" s="230"/>
      <c r="J2" s="1053"/>
    </row>
    <row r="3" spans="2:15" ht="18" customHeight="1">
      <c r="B3" s="231"/>
      <c r="C3" s="207"/>
      <c r="D3" s="233"/>
      <c r="E3" s="208"/>
      <c r="F3" s="208"/>
      <c r="G3" s="1067" t="str">
        <f>+Certificado!$C$1</f>
        <v>CERTIFICADO DE PAGO Nº 4</v>
      </c>
      <c r="H3" s="208"/>
      <c r="I3" s="208"/>
      <c r="J3" s="235"/>
    </row>
    <row r="4" spans="2:15" ht="18" customHeight="1">
      <c r="B4" s="231"/>
      <c r="C4" s="207"/>
      <c r="D4" s="234"/>
      <c r="E4" s="1645" t="str">
        <f>+Datos!B2</f>
        <v>PROYECTO: CONSTRUCCION Y REHABILITACION TRAMO CARRETERO VILLA MONTES - LA VERTIENTE - PALO MARCADO</v>
      </c>
      <c r="F4" s="1646"/>
      <c r="G4" s="1646"/>
      <c r="H4" s="1646"/>
      <c r="I4" s="1647"/>
      <c r="J4" s="236"/>
    </row>
    <row r="5" spans="2:15" ht="18" customHeight="1">
      <c r="B5" s="232"/>
      <c r="C5" s="209"/>
      <c r="D5" s="234"/>
      <c r="E5" s="1645"/>
      <c r="F5" s="1646"/>
      <c r="G5" s="1646"/>
      <c r="H5" s="1646"/>
      <c r="I5" s="1647"/>
      <c r="J5" s="1065"/>
    </row>
    <row r="6" spans="2:15" ht="18" customHeight="1">
      <c r="B6" s="1671"/>
      <c r="C6" s="1672"/>
      <c r="D6" s="1673"/>
      <c r="E6" s="1649" t="s">
        <v>468</v>
      </c>
      <c r="F6" s="1650"/>
      <c r="G6" s="1650"/>
      <c r="H6" s="1650"/>
      <c r="I6" s="1651"/>
      <c r="J6" s="1065"/>
    </row>
    <row r="7" spans="2:15" ht="18" customHeight="1">
      <c r="B7" s="1674" t="s">
        <v>155</v>
      </c>
      <c r="C7" s="1675"/>
      <c r="D7" s="1676"/>
      <c r="E7" s="1652"/>
      <c r="F7" s="1653"/>
      <c r="G7" s="1653"/>
      <c r="H7" s="1653"/>
      <c r="I7" s="1654"/>
      <c r="J7" s="1058" t="s">
        <v>244</v>
      </c>
    </row>
    <row r="8" spans="2:15" ht="27.75" customHeight="1">
      <c r="B8" s="256" t="s">
        <v>194</v>
      </c>
      <c r="C8" s="229"/>
      <c r="D8" s="817">
        <f>+Certificado!$J$16</f>
        <v>108397839.64</v>
      </c>
      <c r="E8" s="229"/>
      <c r="F8" s="1637" t="s">
        <v>469</v>
      </c>
      <c r="G8" s="1637"/>
      <c r="H8" s="237">
        <f>ROUND(D8*0.07,2)</f>
        <v>7587848.7699999996</v>
      </c>
      <c r="I8" s="229"/>
      <c r="J8" s="257"/>
    </row>
    <row r="9" spans="2:15" ht="19.5" customHeight="1">
      <c r="B9" s="1638" t="s">
        <v>626</v>
      </c>
      <c r="C9" s="1648" t="s">
        <v>193</v>
      </c>
      <c r="D9" s="1638" t="s">
        <v>657</v>
      </c>
      <c r="E9" s="1638" t="s">
        <v>620</v>
      </c>
      <c r="F9" s="1638" t="s">
        <v>624</v>
      </c>
      <c r="G9" s="1638"/>
      <c r="H9" s="1638"/>
      <c r="I9" s="1638" t="s">
        <v>625</v>
      </c>
      <c r="J9" s="1648" t="s">
        <v>161</v>
      </c>
    </row>
    <row r="10" spans="2:15" ht="33" customHeight="1">
      <c r="B10" s="1638"/>
      <c r="C10" s="1648"/>
      <c r="D10" s="1638"/>
      <c r="E10" s="1638"/>
      <c r="F10" s="1059" t="s">
        <v>621</v>
      </c>
      <c r="G10" s="1059" t="s">
        <v>622</v>
      </c>
      <c r="H10" s="1059" t="s">
        <v>623</v>
      </c>
      <c r="I10" s="1638"/>
      <c r="J10" s="1648"/>
    </row>
    <row r="11" spans="2:15" ht="18" customHeight="1">
      <c r="B11" s="252" t="s">
        <v>627</v>
      </c>
      <c r="C11" s="1130"/>
      <c r="D11" s="211"/>
      <c r="E11" s="819"/>
      <c r="F11" s="265"/>
      <c r="G11" s="266"/>
      <c r="H11" s="267"/>
      <c r="I11" s="263">
        <f>+H8</f>
        <v>7587848.7699999996</v>
      </c>
      <c r="J11" s="786"/>
      <c r="L11" s="210"/>
      <c r="M11" s="210"/>
      <c r="N11" s="210"/>
      <c r="O11" s="210"/>
    </row>
    <row r="12" spans="2:15" ht="18" customHeight="1">
      <c r="B12" s="253">
        <v>1</v>
      </c>
      <c r="C12" s="1130" t="s">
        <v>656</v>
      </c>
      <c r="D12" s="212">
        <f>+'Avance Financiero'!C12</f>
        <v>230575.22</v>
      </c>
      <c r="E12" s="819">
        <v>7.0000000000000007E-2</v>
      </c>
      <c r="F12" s="268">
        <f>+H11</f>
        <v>0</v>
      </c>
      <c r="G12" s="174">
        <f t="shared" ref="G12:G15" si="0">ROUND(D12*E12,2)</f>
        <v>16140.27</v>
      </c>
      <c r="H12" s="269">
        <f>+G12+H11</f>
        <v>16140.27</v>
      </c>
      <c r="I12" s="264">
        <f>+I11-G12</f>
        <v>7571708.5</v>
      </c>
      <c r="J12" s="258"/>
      <c r="L12" s="210"/>
      <c r="M12" s="210"/>
      <c r="N12" s="210"/>
      <c r="O12" s="210"/>
    </row>
    <row r="13" spans="2:15" ht="18" customHeight="1">
      <c r="B13" s="253">
        <v>2</v>
      </c>
      <c r="C13" s="1130">
        <v>44105</v>
      </c>
      <c r="D13" s="212">
        <f>+'Avance Financiero'!C13</f>
        <v>515942.20000000007</v>
      </c>
      <c r="E13" s="819">
        <v>7.0000000000000007E-2</v>
      </c>
      <c r="F13" s="268">
        <f>+H12</f>
        <v>16140.27</v>
      </c>
      <c r="G13" s="174">
        <f t="shared" si="0"/>
        <v>36115.949999999997</v>
      </c>
      <c r="H13" s="269">
        <f>+G13+H12</f>
        <v>52256.22</v>
      </c>
      <c r="I13" s="264">
        <f>+I12-G13</f>
        <v>7535592.5499999998</v>
      </c>
      <c r="J13" s="258"/>
      <c r="L13" s="210"/>
      <c r="M13" s="210"/>
      <c r="N13" s="210"/>
      <c r="O13" s="210"/>
    </row>
    <row r="14" spans="2:15" ht="18" customHeight="1">
      <c r="B14" s="253">
        <v>3</v>
      </c>
      <c r="C14" s="1130">
        <v>44136</v>
      </c>
      <c r="D14" s="212">
        <f>+'Avance Financiero'!C14</f>
        <v>778326.78</v>
      </c>
      <c r="E14" s="819">
        <v>7.0000000000000007E-2</v>
      </c>
      <c r="F14" s="268">
        <f>+H13</f>
        <v>52256.22</v>
      </c>
      <c r="G14" s="174">
        <f t="shared" si="0"/>
        <v>54482.87</v>
      </c>
      <c r="H14" s="269">
        <f>+G14+H13</f>
        <v>106739.09</v>
      </c>
      <c r="I14" s="264">
        <f>+I13-G14</f>
        <v>7481109.6799999997</v>
      </c>
      <c r="J14" s="258"/>
      <c r="L14" s="210"/>
      <c r="M14" s="210"/>
      <c r="N14" s="210"/>
      <c r="O14" s="210"/>
    </row>
    <row r="15" spans="2:15" ht="18" customHeight="1">
      <c r="B15" s="253">
        <v>4</v>
      </c>
      <c r="C15" s="1130" t="s">
        <v>670</v>
      </c>
      <c r="D15" s="212">
        <f>+'Avance Financiero'!C15</f>
        <v>86910.98</v>
      </c>
      <c r="E15" s="819">
        <v>7.0000000000000007E-2</v>
      </c>
      <c r="F15" s="268">
        <f>+H14</f>
        <v>106739.09</v>
      </c>
      <c r="G15" s="174">
        <f t="shared" si="0"/>
        <v>6083.77</v>
      </c>
      <c r="H15" s="269">
        <f>+G15+H14</f>
        <v>112822.86</v>
      </c>
      <c r="I15" s="264">
        <f>+I14-G15</f>
        <v>7475025.9100000001</v>
      </c>
      <c r="J15" s="258"/>
      <c r="L15" s="210"/>
      <c r="M15" s="210"/>
      <c r="N15" s="210"/>
      <c r="O15" s="210"/>
    </row>
    <row r="16" spans="2:15" ht="18" customHeight="1">
      <c r="B16" s="253"/>
      <c r="C16" s="1130"/>
      <c r="D16" s="212"/>
      <c r="E16" s="819"/>
      <c r="F16" s="268"/>
      <c r="G16" s="174"/>
      <c r="H16" s="269"/>
      <c r="I16" s="264"/>
      <c r="J16" s="258"/>
      <c r="L16" s="210"/>
      <c r="M16" s="210"/>
      <c r="N16" s="210"/>
      <c r="O16" s="210"/>
    </row>
    <row r="17" spans="2:15" ht="18" customHeight="1">
      <c r="B17" s="253"/>
      <c r="C17" s="1130"/>
      <c r="D17" s="212"/>
      <c r="E17" s="819"/>
      <c r="F17" s="268"/>
      <c r="G17" s="174"/>
      <c r="H17" s="269"/>
      <c r="I17" s="264"/>
      <c r="J17" s="258"/>
      <c r="K17" s="1264">
        <f>+I17/D8</f>
        <v>0</v>
      </c>
      <c r="L17" s="1264"/>
      <c r="M17" s="1264"/>
      <c r="N17" s="1287"/>
      <c r="O17" s="210"/>
    </row>
    <row r="18" spans="2:15" ht="18" customHeight="1">
      <c r="B18" s="253"/>
      <c r="C18" s="1130"/>
      <c r="D18" s="212"/>
      <c r="E18" s="819"/>
      <c r="F18" s="268"/>
      <c r="G18" s="174"/>
      <c r="H18" s="269"/>
      <c r="I18" s="264"/>
      <c r="J18" s="259"/>
      <c r="L18" s="210"/>
      <c r="M18" s="210"/>
      <c r="N18" s="210"/>
      <c r="O18" s="210"/>
    </row>
    <row r="19" spans="2:15" ht="18" customHeight="1">
      <c r="B19" s="253"/>
      <c r="C19" s="1130"/>
      <c r="D19" s="212"/>
      <c r="E19" s="547"/>
      <c r="F19" s="268"/>
      <c r="G19" s="270"/>
      <c r="H19" s="269"/>
      <c r="I19" s="264"/>
      <c r="J19" s="259"/>
      <c r="L19" s="210"/>
      <c r="M19" s="210"/>
      <c r="N19" s="210"/>
      <c r="O19" s="210"/>
    </row>
    <row r="20" spans="2:15" ht="18" customHeight="1">
      <c r="B20" s="253"/>
      <c r="C20" s="1130"/>
      <c r="D20" s="212"/>
      <c r="E20" s="547"/>
      <c r="F20" s="268"/>
      <c r="G20" s="270"/>
      <c r="H20" s="269"/>
      <c r="I20" s="264"/>
      <c r="J20" s="259"/>
      <c r="L20" s="210"/>
      <c r="M20" s="210"/>
      <c r="N20" s="210"/>
      <c r="O20" s="210"/>
    </row>
    <row r="21" spans="2:15" ht="18" customHeight="1">
      <c r="B21" s="253"/>
      <c r="C21" s="1130"/>
      <c r="D21" s="212"/>
      <c r="E21" s="547"/>
      <c r="F21" s="268"/>
      <c r="G21" s="271"/>
      <c r="H21" s="269"/>
      <c r="I21" s="264"/>
      <c r="J21" s="259"/>
      <c r="L21" s="210"/>
      <c r="M21" s="210"/>
      <c r="N21" s="210"/>
      <c r="O21" s="210"/>
    </row>
    <row r="22" spans="2:15" ht="18" customHeight="1">
      <c r="B22" s="253"/>
      <c r="C22" s="1130"/>
      <c r="D22" s="212"/>
      <c r="E22" s="547"/>
      <c r="F22" s="268"/>
      <c r="G22" s="271"/>
      <c r="H22" s="269"/>
      <c r="I22" s="264"/>
      <c r="J22" s="259"/>
      <c r="L22" s="210"/>
      <c r="M22" s="210"/>
      <c r="N22" s="210"/>
      <c r="O22" s="210"/>
    </row>
    <row r="23" spans="2:15" ht="18" customHeight="1">
      <c r="B23" s="253"/>
      <c r="C23" s="1130"/>
      <c r="D23" s="155"/>
      <c r="E23" s="547"/>
      <c r="F23" s="268"/>
      <c r="G23" s="271"/>
      <c r="H23" s="269"/>
      <c r="I23" s="264"/>
      <c r="J23" s="259"/>
      <c r="L23" s="210"/>
      <c r="M23" s="210"/>
      <c r="N23" s="210"/>
      <c r="O23" s="210"/>
    </row>
    <row r="24" spans="2:15" ht="18" customHeight="1">
      <c r="B24" s="253"/>
      <c r="C24" s="1130"/>
      <c r="D24" s="213"/>
      <c r="E24" s="547"/>
      <c r="F24" s="268"/>
      <c r="G24" s="271"/>
      <c r="H24" s="269"/>
      <c r="I24" s="264"/>
      <c r="J24" s="259"/>
      <c r="L24" s="210"/>
      <c r="M24" s="210"/>
      <c r="N24" s="210"/>
      <c r="O24" s="210"/>
    </row>
    <row r="25" spans="2:15" ht="18" customHeight="1">
      <c r="B25" s="253"/>
      <c r="C25" s="1130"/>
      <c r="D25" s="213"/>
      <c r="E25" s="547"/>
      <c r="F25" s="268"/>
      <c r="G25" s="271"/>
      <c r="H25" s="269"/>
      <c r="I25" s="264"/>
      <c r="J25" s="260"/>
      <c r="L25" s="210"/>
      <c r="M25" s="210"/>
      <c r="N25" s="210"/>
      <c r="O25" s="210"/>
    </row>
    <row r="26" spans="2:15" ht="18" customHeight="1">
      <c r="B26" s="253"/>
      <c r="C26" s="1130"/>
      <c r="D26" s="213"/>
      <c r="E26" s="547"/>
      <c r="F26" s="268"/>
      <c r="G26" s="271"/>
      <c r="H26" s="269"/>
      <c r="I26" s="264"/>
      <c r="J26" s="259"/>
      <c r="L26" s="210"/>
    </row>
    <row r="27" spans="2:15" ht="18" customHeight="1">
      <c r="B27" s="253"/>
      <c r="C27" s="1130"/>
      <c r="D27" s="213"/>
      <c r="E27" s="547"/>
      <c r="F27" s="268"/>
      <c r="G27" s="271"/>
      <c r="H27" s="269"/>
      <c r="I27" s="264"/>
      <c r="J27" s="259"/>
    </row>
    <row r="28" spans="2:15" ht="18" customHeight="1">
      <c r="B28" s="253"/>
      <c r="C28" s="1130"/>
      <c r="D28" s="213"/>
      <c r="E28" s="547"/>
      <c r="F28" s="268"/>
      <c r="G28" s="271"/>
      <c r="H28" s="269"/>
      <c r="I28" s="264"/>
      <c r="J28" s="259"/>
    </row>
    <row r="29" spans="2:15" ht="18" customHeight="1">
      <c r="B29" s="253"/>
      <c r="C29" s="1130"/>
      <c r="D29" s="213"/>
      <c r="E29" s="547"/>
      <c r="F29" s="268"/>
      <c r="G29" s="271"/>
      <c r="H29" s="269"/>
      <c r="I29" s="264"/>
      <c r="J29" s="259"/>
    </row>
    <row r="30" spans="2:15" ht="18" customHeight="1">
      <c r="B30" s="253"/>
      <c r="C30" s="1130"/>
      <c r="D30" s="214"/>
      <c r="E30" s="547"/>
      <c r="F30" s="268"/>
      <c r="G30" s="272"/>
      <c r="H30" s="269"/>
      <c r="I30" s="264"/>
      <c r="J30" s="261"/>
    </row>
    <row r="31" spans="2:15" ht="18" customHeight="1">
      <c r="B31" s="253"/>
      <c r="C31" s="1130"/>
      <c r="D31" s="214"/>
      <c r="E31" s="547"/>
      <c r="F31" s="268"/>
      <c r="G31" s="272"/>
      <c r="H31" s="269"/>
      <c r="I31" s="264"/>
      <c r="J31" s="261"/>
    </row>
    <row r="32" spans="2:15" ht="18" customHeight="1">
      <c r="B32" s="253"/>
      <c r="C32" s="254"/>
      <c r="D32" s="214"/>
      <c r="E32" s="548"/>
      <c r="F32" s="268"/>
      <c r="G32" s="272"/>
      <c r="H32" s="269"/>
      <c r="I32" s="264"/>
      <c r="J32" s="261"/>
    </row>
    <row r="33" spans="2:18" ht="18" customHeight="1">
      <c r="B33" s="253"/>
      <c r="C33" s="254"/>
      <c r="D33" s="214"/>
      <c r="E33" s="549"/>
      <c r="F33" s="268"/>
      <c r="G33" s="272"/>
      <c r="H33" s="269"/>
      <c r="I33" s="264"/>
      <c r="J33" s="261"/>
    </row>
    <row r="34" spans="2:18" ht="18" customHeight="1">
      <c r="B34" s="253"/>
      <c r="C34" s="254"/>
      <c r="D34" s="214"/>
      <c r="E34" s="549"/>
      <c r="F34" s="268"/>
      <c r="G34" s="272"/>
      <c r="H34" s="269"/>
      <c r="I34" s="264"/>
      <c r="J34" s="261"/>
    </row>
    <row r="35" spans="2:18" ht="18" customHeight="1">
      <c r="B35" s="253"/>
      <c r="C35" s="254"/>
      <c r="D35" s="214"/>
      <c r="E35" s="549"/>
      <c r="F35" s="268"/>
      <c r="G35" s="272"/>
      <c r="H35" s="269"/>
      <c r="I35" s="264"/>
      <c r="J35" s="261"/>
    </row>
    <row r="36" spans="2:18" ht="18" customHeight="1">
      <c r="B36" s="253"/>
      <c r="C36" s="254"/>
      <c r="D36" s="214"/>
      <c r="E36" s="549"/>
      <c r="F36" s="268"/>
      <c r="G36" s="272"/>
      <c r="H36" s="269"/>
      <c r="I36" s="264"/>
      <c r="J36" s="261"/>
    </row>
    <row r="37" spans="2:18" ht="18" customHeight="1">
      <c r="B37" s="255"/>
      <c r="C37" s="254"/>
      <c r="D37" s="214"/>
      <c r="E37" s="549"/>
      <c r="F37" s="268"/>
      <c r="G37" s="272"/>
      <c r="H37" s="269"/>
      <c r="I37" s="264"/>
      <c r="J37" s="261"/>
    </row>
    <row r="38" spans="2:18" ht="18" customHeight="1">
      <c r="B38" s="255"/>
      <c r="C38" s="254"/>
      <c r="D38" s="214"/>
      <c r="E38" s="549"/>
      <c r="F38" s="268"/>
      <c r="G38" s="272"/>
      <c r="H38" s="269"/>
      <c r="I38" s="264"/>
      <c r="J38" s="261"/>
    </row>
    <row r="39" spans="2:18" ht="17.100000000000001" customHeight="1">
      <c r="B39" s="1664" t="s">
        <v>297</v>
      </c>
      <c r="C39" s="1668"/>
      <c r="D39" s="1668"/>
      <c r="E39" s="1668"/>
      <c r="F39" s="277">
        <f>MAX(F11:F38)</f>
        <v>106739.09</v>
      </c>
      <c r="G39" s="278">
        <f>+H39-F39</f>
        <v>6083.7700000000041</v>
      </c>
      <c r="H39" s="279">
        <f>MAX(H11:H38)</f>
        <v>112822.86</v>
      </c>
      <c r="I39" s="280">
        <f>H8-H39</f>
        <v>7475025.9099999992</v>
      </c>
      <c r="J39" s="276"/>
    </row>
    <row r="40" spans="2:18" ht="17.100000000000001" customHeight="1">
      <c r="B40" s="1664" t="s">
        <v>685</v>
      </c>
      <c r="C40" s="1668"/>
      <c r="D40" s="1668"/>
      <c r="E40" s="1668"/>
      <c r="F40" s="1381">
        <f>+F39/$D$8</f>
        <v>9.846975765798573E-4</v>
      </c>
      <c r="G40" s="1381">
        <f>+G39/$D$8</f>
        <v>5.6124458016919977E-5</v>
      </c>
      <c r="H40" s="1381">
        <f>+H39/$D$8</f>
        <v>1.0408220345967773E-3</v>
      </c>
      <c r="I40" s="1381">
        <f>+I39/$D$8</f>
        <v>6.8959177921121884E-2</v>
      </c>
      <c r="J40" s="276"/>
    </row>
    <row r="41" spans="2:18" ht="8.25" customHeight="1">
      <c r="B41" s="231"/>
      <c r="C41" s="207"/>
      <c r="D41" s="207"/>
      <c r="E41" s="207"/>
      <c r="F41" s="207"/>
      <c r="G41" s="207"/>
      <c r="H41" s="207"/>
      <c r="I41" s="207"/>
      <c r="J41" s="262"/>
    </row>
    <row r="42" spans="2:18">
      <c r="B42" s="238"/>
      <c r="C42" s="239"/>
      <c r="D42" s="240"/>
      <c r="E42" s="239"/>
      <c r="F42" s="240"/>
      <c r="G42" s="240"/>
      <c r="H42" s="240"/>
      <c r="I42" s="240"/>
      <c r="J42" s="241"/>
      <c r="K42" s="215"/>
      <c r="L42" s="215"/>
      <c r="M42" s="215"/>
      <c r="N42" s="216"/>
      <c r="O42" s="216"/>
      <c r="P42" s="216"/>
      <c r="Q42" s="216"/>
      <c r="R42" s="217"/>
    </row>
    <row r="43" spans="2:18">
      <c r="B43" s="242" t="s">
        <v>162</v>
      </c>
      <c r="C43" s="218"/>
      <c r="D43" s="219"/>
      <c r="E43" s="220"/>
      <c r="F43" s="207"/>
      <c r="G43" s="221" t="s">
        <v>157</v>
      </c>
      <c r="H43" s="222"/>
      <c r="I43" s="207"/>
      <c r="J43" s="243"/>
      <c r="K43" s="223"/>
      <c r="L43" s="207"/>
      <c r="M43" s="207"/>
      <c r="N43" s="222"/>
      <c r="O43" s="222"/>
      <c r="P43" s="222"/>
      <c r="Q43" s="222"/>
      <c r="R43" s="222"/>
    </row>
    <row r="44" spans="2:18">
      <c r="B44" s="244"/>
      <c r="C44" s="219"/>
      <c r="D44" s="219"/>
      <c r="E44" s="222"/>
      <c r="F44" s="207"/>
      <c r="G44" s="207"/>
      <c r="H44" s="222"/>
      <c r="I44" s="224"/>
      <c r="J44" s="243"/>
      <c r="K44" s="222"/>
      <c r="L44" s="222"/>
      <c r="M44" s="222"/>
      <c r="N44" s="222"/>
      <c r="O44" s="222"/>
      <c r="P44" s="222"/>
      <c r="Q44" s="222"/>
      <c r="R44" s="222"/>
    </row>
    <row r="45" spans="2:18">
      <c r="B45" s="244"/>
      <c r="C45" s="219"/>
      <c r="D45" s="219"/>
      <c r="E45" s="222"/>
      <c r="F45" s="207"/>
      <c r="G45" s="207"/>
      <c r="H45" s="222"/>
      <c r="I45" s="224"/>
      <c r="J45" s="243"/>
      <c r="K45" s="222"/>
      <c r="L45" s="222"/>
      <c r="M45" s="222"/>
      <c r="N45" s="222"/>
      <c r="O45" s="222"/>
      <c r="P45" s="222"/>
      <c r="Q45" s="222"/>
      <c r="R45" s="222"/>
    </row>
    <row r="46" spans="2:18">
      <c r="B46" s="245"/>
      <c r="C46" s="225"/>
      <c r="D46" s="215"/>
      <c r="E46" s="225"/>
      <c r="F46" s="207"/>
      <c r="G46" s="207"/>
      <c r="H46" s="215"/>
      <c r="I46" s="215"/>
      <c r="J46" s="246"/>
      <c r="K46" s="215"/>
      <c r="L46" s="215"/>
      <c r="M46" s="215"/>
      <c r="N46" s="215"/>
      <c r="O46" s="215"/>
      <c r="P46" s="215"/>
      <c r="Q46" s="215"/>
      <c r="R46" s="217"/>
    </row>
    <row r="47" spans="2:18">
      <c r="B47" s="245"/>
      <c r="C47" s="225"/>
      <c r="D47" s="215"/>
      <c r="E47" s="225"/>
      <c r="F47" s="207"/>
      <c r="G47" s="207"/>
      <c r="H47" s="215"/>
      <c r="I47" s="215"/>
      <c r="J47" s="246"/>
      <c r="K47" s="215"/>
      <c r="L47" s="215"/>
      <c r="M47" s="215"/>
      <c r="N47" s="215"/>
      <c r="O47" s="215"/>
      <c r="P47" s="215"/>
      <c r="Q47" s="215"/>
      <c r="R47" s="217"/>
    </row>
    <row r="48" spans="2:18">
      <c r="B48" s="247"/>
      <c r="C48" s="226"/>
      <c r="D48" s="1154" t="str">
        <f>+'Planilla de Avance'!F111</f>
        <v>Ing. Gabriel Daza Chavez</v>
      </c>
      <c r="E48" s="151"/>
      <c r="F48" s="227"/>
      <c r="G48" s="207"/>
      <c r="H48" s="207"/>
      <c r="I48" s="1154" t="str">
        <f>+'Planilla de Avance'!J111</f>
        <v>Ing. Herlan Rene Ramos Estrada</v>
      </c>
      <c r="J48" s="248"/>
      <c r="K48" s="228"/>
      <c r="L48" s="228"/>
      <c r="M48" s="228"/>
      <c r="N48" s="228"/>
      <c r="O48" s="207"/>
      <c r="P48" s="228"/>
      <c r="Q48" s="228"/>
      <c r="R48" s="228"/>
    </row>
    <row r="49" spans="2:18">
      <c r="B49" s="249"/>
      <c r="C49" s="215"/>
      <c r="D49" s="225" t="str">
        <f>+'Planilla de Avance'!F112</f>
        <v>SUPERINTENDENTE DE OBRA</v>
      </c>
      <c r="E49" s="151"/>
      <c r="F49" s="227"/>
      <c r="G49" s="207"/>
      <c r="H49" s="207"/>
      <c r="I49" s="225" t="str">
        <f>+'Planilla de Avance'!J112</f>
        <v>SUPERVISOR DE OBRA</v>
      </c>
      <c r="J49" s="248"/>
      <c r="K49" s="225"/>
      <c r="L49" s="225"/>
      <c r="M49" s="225"/>
      <c r="N49" s="225"/>
      <c r="O49" s="207"/>
      <c r="P49" s="225"/>
      <c r="Q49" s="225"/>
      <c r="R49" s="225"/>
    </row>
    <row r="50" spans="2:18" ht="33" customHeight="1">
      <c r="B50" s="1666" t="str">
        <f>+'Planilla de Avance'!F113</f>
        <v>EMPRESA ESTRATÉGICA BOLIVIANA DE CONSTRUCCIÓN Y CONSERVACIÓN DE INFRAESTRUCTURA CIVIL (EBC)</v>
      </c>
      <c r="C50" s="1667"/>
      <c r="D50" s="1667"/>
      <c r="E50" s="1667"/>
      <c r="F50" s="1667"/>
      <c r="G50" s="250"/>
      <c r="H50" s="250"/>
      <c r="I50" s="1054" t="str">
        <f>+'Planilla de Avance'!J113</f>
        <v>ABC - REGIONAL TARIJA</v>
      </c>
      <c r="J50" s="251"/>
      <c r="K50" s="225"/>
      <c r="L50" s="225"/>
      <c r="M50" s="225"/>
      <c r="N50" s="225"/>
      <c r="O50" s="207"/>
      <c r="P50" s="225"/>
      <c r="Q50" s="225"/>
      <c r="R50" s="225"/>
    </row>
    <row r="56" spans="2:18">
      <c r="D56" s="210"/>
    </row>
  </sheetData>
  <mergeCells count="16">
    <mergeCell ref="B50:F50"/>
    <mergeCell ref="J9:J10"/>
    <mergeCell ref="I9:I10"/>
    <mergeCell ref="B39:E39"/>
    <mergeCell ref="B2:D2"/>
    <mergeCell ref="B6:D6"/>
    <mergeCell ref="F8:G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ageMargins left="0.59055118110236227" right="0.23622047244094491" top="0.59055118110236227" bottom="0.59055118110236227" header="0.31496062992125984" footer="0.31496062992125984"/>
  <pageSetup scale="80" orientation="portrait" horizontalDpi="4294967295" verticalDpi="4294967295" r:id="rId1"/>
  <headerFooter alignWithMargins="0"/>
  <rowBreaks count="1" manualBreakCount="1">
    <brk id="81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</sheetPr>
  <dimension ref="B1:P45"/>
  <sheetViews>
    <sheetView showGridLines="0" view="pageBreakPreview" zoomScale="85" zoomScaleNormal="75" zoomScaleSheetLayoutView="85" workbookViewId="0">
      <selection activeCell="M11" sqref="M11"/>
    </sheetView>
  </sheetViews>
  <sheetFormatPr baseColWidth="10" defaultColWidth="11.44140625" defaultRowHeight="13.8"/>
  <cols>
    <col min="1" max="1" width="1.44140625" style="661" customWidth="1"/>
    <col min="2" max="3" width="20.6640625" style="661" customWidth="1"/>
    <col min="4" max="4" width="5.6640625" style="661" customWidth="1"/>
    <col min="5" max="5" width="20.6640625" style="661" customWidth="1"/>
    <col min="6" max="7" width="25.6640625" style="661" customWidth="1"/>
    <col min="8" max="8" width="40.6640625" style="661" customWidth="1"/>
    <col min="9" max="10" width="12.5546875" style="661" bestFit="1" customWidth="1"/>
    <col min="11" max="11" width="13.88671875" style="661" customWidth="1"/>
    <col min="12" max="12" width="28.44140625" style="661" customWidth="1"/>
    <col min="13" max="13" width="0" style="661" hidden="1" customWidth="1"/>
    <col min="14" max="16384" width="11.44140625" style="661"/>
  </cols>
  <sheetData>
    <row r="1" spans="2:15" ht="14.4" thickBot="1"/>
    <row r="2" spans="2:15">
      <c r="B2" s="681"/>
      <c r="C2" s="682"/>
      <c r="D2" s="683"/>
      <c r="E2" s="683"/>
      <c r="F2" s="683"/>
      <c r="G2" s="736"/>
      <c r="H2" s="684"/>
    </row>
    <row r="3" spans="2:15">
      <c r="B3" s="1001"/>
      <c r="C3" s="1002"/>
      <c r="D3" s="1003"/>
      <c r="E3" s="1003"/>
      <c r="F3" s="1003"/>
      <c r="G3" s="664"/>
      <c r="H3" s="687"/>
    </row>
    <row r="4" spans="2:15" ht="18">
      <c r="B4" s="1001"/>
      <c r="C4" s="1002"/>
      <c r="D4" s="1003"/>
      <c r="E4" s="1003"/>
      <c r="F4" s="208" t="s">
        <v>418</v>
      </c>
      <c r="G4" s="664"/>
      <c r="H4" s="687"/>
    </row>
    <row r="5" spans="2:15">
      <c r="B5" s="685"/>
      <c r="C5" s="662"/>
      <c r="D5" s="663"/>
      <c r="E5" s="663"/>
      <c r="G5" s="1129"/>
      <c r="H5" s="686"/>
    </row>
    <row r="6" spans="2:15" ht="15" customHeight="1">
      <c r="B6" s="685"/>
      <c r="C6" s="662"/>
      <c r="D6" s="1687" t="str">
        <f>+Datos!B2</f>
        <v>PROYECTO: CONSTRUCCION Y REHABILITACION TRAMO CARRETERO VILLA MONTES - LA VERTIENTE - PALO MARCADO</v>
      </c>
      <c r="E6" s="1688"/>
      <c r="F6" s="1688"/>
      <c r="G6" s="1689"/>
      <c r="H6" s="687"/>
    </row>
    <row r="7" spans="2:15" ht="19.5" customHeight="1">
      <c r="B7" s="1679" t="s">
        <v>155</v>
      </c>
      <c r="C7" s="1680"/>
      <c r="D7" s="1690"/>
      <c r="E7" s="1691"/>
      <c r="F7" s="1691"/>
      <c r="G7" s="1692"/>
      <c r="H7" s="1195" t="s">
        <v>244</v>
      </c>
    </row>
    <row r="8" spans="2:15" ht="15" customHeight="1">
      <c r="B8" s="821"/>
      <c r="C8" s="822"/>
      <c r="D8" s="666"/>
      <c r="E8" s="666"/>
      <c r="F8" s="667"/>
      <c r="G8" s="666"/>
      <c r="H8" s="688"/>
    </row>
    <row r="9" spans="2:15" ht="15" customHeight="1">
      <c r="B9" s="820"/>
      <c r="C9" s="823"/>
      <c r="D9" s="665"/>
      <c r="E9" s="665"/>
      <c r="F9" s="668"/>
      <c r="G9" s="665"/>
      <c r="H9" s="689"/>
    </row>
    <row r="10" spans="2:15" ht="39.9" customHeight="1">
      <c r="B10" s="690" t="s">
        <v>416</v>
      </c>
      <c r="C10" s="1677" t="s">
        <v>193</v>
      </c>
      <c r="D10" s="1677"/>
      <c r="E10" s="1678"/>
      <c r="F10" s="1185" t="s">
        <v>419</v>
      </c>
      <c r="G10" s="1185" t="s">
        <v>417</v>
      </c>
      <c r="H10" s="1186" t="s">
        <v>161</v>
      </c>
    </row>
    <row r="11" spans="2:15" ht="15" customHeight="1">
      <c r="B11" s="691"/>
      <c r="C11" s="1681"/>
      <c r="D11" s="1682"/>
      <c r="E11" s="1683"/>
      <c r="F11" s="1187"/>
      <c r="G11" s="1081"/>
      <c r="H11" s="740"/>
      <c r="J11" s="669"/>
      <c r="K11" s="669"/>
      <c r="L11" s="669"/>
      <c r="M11" s="669"/>
    </row>
    <row r="12" spans="2:15" ht="15" customHeight="1">
      <c r="B12" s="692"/>
      <c r="C12" s="732"/>
      <c r="D12" s="701"/>
      <c r="E12" s="733"/>
      <c r="F12" s="670"/>
      <c r="G12" s="671"/>
      <c r="H12" s="755"/>
      <c r="J12" s="669"/>
      <c r="K12" s="669"/>
      <c r="L12" s="669"/>
      <c r="M12" s="669"/>
    </row>
    <row r="13" spans="2:15" ht="15" customHeight="1">
      <c r="B13" s="692"/>
      <c r="C13" s="732"/>
      <c r="D13" s="701"/>
      <c r="E13" s="733"/>
      <c r="F13" s="670"/>
      <c r="G13" s="671"/>
      <c r="H13" s="755"/>
      <c r="J13" s="669"/>
      <c r="K13" s="669" t="s">
        <v>427</v>
      </c>
      <c r="L13" s="669">
        <v>42035</v>
      </c>
      <c r="M13" s="669">
        <v>15000</v>
      </c>
      <c r="N13" s="661">
        <v>75000</v>
      </c>
      <c r="O13" s="661" t="s">
        <v>441</v>
      </c>
    </row>
    <row r="14" spans="2:15" ht="15" customHeight="1">
      <c r="B14" s="692"/>
      <c r="C14" s="732"/>
      <c r="D14" s="701"/>
      <c r="E14" s="733"/>
      <c r="F14" s="670"/>
      <c r="G14" s="671"/>
      <c r="H14" s="755"/>
      <c r="J14" s="669"/>
      <c r="K14" s="669" t="s">
        <v>427</v>
      </c>
      <c r="L14" s="669">
        <v>42035</v>
      </c>
      <c r="M14" s="669">
        <v>15000</v>
      </c>
      <c r="N14" s="661">
        <v>90000</v>
      </c>
      <c r="O14" s="661" t="s">
        <v>442</v>
      </c>
    </row>
    <row r="15" spans="2:15" ht="15" customHeight="1">
      <c r="B15" s="692"/>
      <c r="C15" s="732"/>
      <c r="D15" s="701"/>
      <c r="E15" s="733"/>
      <c r="F15" s="670"/>
      <c r="G15" s="671"/>
      <c r="H15" s="755"/>
      <c r="J15" s="669"/>
      <c r="K15" s="669" t="s">
        <v>427</v>
      </c>
      <c r="L15" s="669">
        <v>42124</v>
      </c>
      <c r="M15" s="669">
        <v>15000</v>
      </c>
      <c r="N15" s="661">
        <v>105000</v>
      </c>
      <c r="O15" s="661" t="s">
        <v>441</v>
      </c>
    </row>
    <row r="16" spans="2:15" ht="15" customHeight="1">
      <c r="B16" s="692"/>
      <c r="C16" s="732"/>
      <c r="D16" s="701"/>
      <c r="E16" s="733"/>
      <c r="F16" s="670"/>
      <c r="G16" s="671"/>
      <c r="H16" s="755"/>
      <c r="J16" s="669"/>
      <c r="K16" s="669" t="s">
        <v>427</v>
      </c>
      <c r="L16" s="669">
        <v>42124</v>
      </c>
      <c r="M16" s="669">
        <v>15000</v>
      </c>
      <c r="N16" s="661">
        <v>120000</v>
      </c>
      <c r="O16" s="661" t="s">
        <v>442</v>
      </c>
    </row>
    <row r="17" spans="2:13" ht="15" customHeight="1">
      <c r="B17" s="692"/>
      <c r="C17" s="732"/>
      <c r="D17" s="781"/>
      <c r="E17" s="733"/>
      <c r="F17" s="670"/>
      <c r="G17" s="671"/>
      <c r="H17" s="755"/>
      <c r="J17" s="669"/>
      <c r="K17" s="669"/>
      <c r="L17" s="669"/>
      <c r="M17" s="669"/>
    </row>
    <row r="18" spans="2:13" ht="15" customHeight="1">
      <c r="B18" s="692"/>
      <c r="C18" s="732"/>
      <c r="D18" s="701"/>
      <c r="E18" s="733"/>
      <c r="F18" s="670"/>
      <c r="G18" s="671"/>
      <c r="H18" s="765"/>
      <c r="J18" s="669"/>
      <c r="K18" s="669"/>
      <c r="L18" s="669"/>
      <c r="M18" s="669"/>
    </row>
    <row r="19" spans="2:13" ht="15" customHeight="1">
      <c r="B19" s="692"/>
      <c r="C19" s="732"/>
      <c r="D19" s="701"/>
      <c r="E19" s="733"/>
      <c r="F19" s="670"/>
      <c r="G19" s="671"/>
      <c r="H19" s="765"/>
      <c r="J19" s="669"/>
      <c r="K19" s="669"/>
      <c r="L19" s="669"/>
      <c r="M19" s="669"/>
    </row>
    <row r="20" spans="2:13" ht="15" customHeight="1">
      <c r="B20" s="692"/>
      <c r="C20" s="732"/>
      <c r="D20" s="701"/>
      <c r="E20" s="733"/>
      <c r="F20" s="670"/>
      <c r="G20" s="671"/>
      <c r="H20" s="765"/>
      <c r="J20" s="669"/>
      <c r="K20" s="669"/>
      <c r="L20" s="669"/>
      <c r="M20" s="669"/>
    </row>
    <row r="21" spans="2:13" ht="15" customHeight="1">
      <c r="B21" s="692"/>
      <c r="C21" s="732"/>
      <c r="D21" s="782"/>
      <c r="E21" s="733"/>
      <c r="F21" s="670"/>
      <c r="G21" s="671"/>
      <c r="H21" s="765"/>
      <c r="J21" s="669"/>
      <c r="K21" s="669"/>
      <c r="L21" s="669"/>
      <c r="M21" s="669"/>
    </row>
    <row r="22" spans="2:13" ht="15" customHeight="1">
      <c r="B22" s="692"/>
      <c r="C22" s="732"/>
      <c r="D22" s="788"/>
      <c r="E22" s="733"/>
      <c r="F22" s="670"/>
      <c r="G22" s="671"/>
      <c r="H22" s="765"/>
      <c r="J22" s="669"/>
      <c r="K22" s="669"/>
      <c r="L22" s="669"/>
      <c r="M22" s="669"/>
    </row>
    <row r="23" spans="2:13" ht="15" customHeight="1">
      <c r="B23" s="692"/>
      <c r="C23" s="732"/>
      <c r="D23" s="701"/>
      <c r="E23" s="733"/>
      <c r="F23" s="670"/>
      <c r="G23" s="671"/>
      <c r="H23" s="765"/>
      <c r="J23" s="669"/>
      <c r="K23" s="669"/>
      <c r="L23" s="669"/>
      <c r="M23" s="669"/>
    </row>
    <row r="24" spans="2:13" ht="15" customHeight="1">
      <c r="B24" s="692"/>
      <c r="C24" s="732"/>
      <c r="D24" s="701"/>
      <c r="E24" s="733"/>
      <c r="F24" s="670"/>
      <c r="G24" s="671"/>
      <c r="H24" s="765"/>
      <c r="J24" s="669"/>
      <c r="K24" s="669"/>
      <c r="L24" s="669"/>
      <c r="M24" s="669"/>
    </row>
    <row r="25" spans="2:13" ht="15" customHeight="1">
      <c r="B25" s="692"/>
      <c r="C25" s="732"/>
      <c r="D25" s="701"/>
      <c r="E25" s="733"/>
      <c r="F25" s="670"/>
      <c r="G25" s="671"/>
      <c r="H25" s="765"/>
      <c r="J25" s="669"/>
      <c r="K25" s="669"/>
      <c r="L25" s="669"/>
      <c r="M25" s="669"/>
    </row>
    <row r="26" spans="2:13" ht="15" customHeight="1">
      <c r="B26" s="692"/>
      <c r="C26" s="732"/>
      <c r="D26" s="701"/>
      <c r="E26" s="733"/>
      <c r="F26" s="670"/>
      <c r="G26" s="671"/>
      <c r="H26" s="766"/>
      <c r="J26" s="669"/>
      <c r="K26" s="669"/>
      <c r="L26" s="669"/>
      <c r="M26" s="669"/>
    </row>
    <row r="27" spans="2:13" ht="15" customHeight="1">
      <c r="B27" s="692"/>
      <c r="C27" s="732"/>
      <c r="D27" s="701"/>
      <c r="E27" s="733"/>
      <c r="F27" s="670"/>
      <c r="G27" s="671"/>
      <c r="H27" s="766"/>
      <c r="J27" s="669"/>
      <c r="K27" s="669"/>
      <c r="L27" s="669"/>
      <c r="M27" s="669"/>
    </row>
    <row r="28" spans="2:13" ht="15" customHeight="1">
      <c r="B28" s="692"/>
      <c r="C28" s="732"/>
      <c r="D28" s="701"/>
      <c r="E28" s="733"/>
      <c r="F28" s="670"/>
      <c r="G28" s="671"/>
      <c r="H28" s="766"/>
      <c r="J28" s="669"/>
      <c r="K28" s="669"/>
      <c r="L28" s="669"/>
      <c r="M28" s="669"/>
    </row>
    <row r="29" spans="2:13" ht="15" customHeight="1">
      <c r="B29" s="692"/>
      <c r="C29" s="732"/>
      <c r="D29" s="701"/>
      <c r="E29" s="733"/>
      <c r="F29" s="670"/>
      <c r="G29" s="671"/>
      <c r="H29" s="766"/>
      <c r="J29" s="669"/>
      <c r="K29" s="669"/>
      <c r="L29" s="669"/>
      <c r="M29" s="669"/>
    </row>
    <row r="30" spans="2:13" ht="15" customHeight="1">
      <c r="B30" s="692"/>
      <c r="C30" s="732"/>
      <c r="D30" s="701"/>
      <c r="E30" s="733"/>
      <c r="F30" s="670"/>
      <c r="G30" s="671"/>
      <c r="H30" s="766"/>
      <c r="J30" s="669"/>
      <c r="K30" s="669"/>
      <c r="L30" s="669"/>
      <c r="M30" s="669"/>
    </row>
    <row r="31" spans="2:13" ht="15" customHeight="1">
      <c r="B31" s="749"/>
      <c r="C31" s="750"/>
      <c r="D31" s="751"/>
      <c r="E31" s="752"/>
      <c r="F31" s="753"/>
      <c r="G31" s="754"/>
      <c r="H31" s="767"/>
    </row>
    <row r="32" spans="2:13" ht="15" customHeight="1">
      <c r="B32" s="1188"/>
      <c r="C32" s="1189"/>
      <c r="D32" s="1190"/>
      <c r="E32" s="1191" t="s">
        <v>429</v>
      </c>
      <c r="F32" s="1192">
        <v>0</v>
      </c>
      <c r="G32" s="1082">
        <v>0</v>
      </c>
      <c r="H32" s="1193"/>
    </row>
    <row r="33" spans="2:16" ht="15" customHeight="1">
      <c r="B33" s="693"/>
      <c r="C33" s="672"/>
      <c r="D33" s="672"/>
      <c r="E33" s="672"/>
      <c r="F33" s="694"/>
      <c r="G33" s="672"/>
      <c r="H33" s="695"/>
      <c r="I33" s="673"/>
      <c r="J33" s="673"/>
      <c r="K33" s="673"/>
      <c r="L33" s="674"/>
      <c r="M33" s="674"/>
      <c r="N33" s="674"/>
      <c r="O33" s="674"/>
      <c r="P33" s="675"/>
    </row>
    <row r="34" spans="2:16" ht="15" customHeight="1">
      <c r="B34" s="697" t="s">
        <v>162</v>
      </c>
      <c r="C34" s="678"/>
      <c r="D34" s="678"/>
      <c r="E34" s="678"/>
      <c r="F34" s="673" t="s">
        <v>157</v>
      </c>
      <c r="G34" s="678"/>
      <c r="H34" s="699"/>
      <c r="I34" s="673"/>
      <c r="J34" s="673"/>
      <c r="K34" s="673"/>
      <c r="L34" s="674"/>
      <c r="M34" s="674"/>
      <c r="N34" s="674"/>
      <c r="O34" s="674"/>
      <c r="P34" s="675"/>
    </row>
    <row r="35" spans="2:16" ht="15" customHeight="1">
      <c r="B35" s="698"/>
      <c r="C35" s="678"/>
      <c r="D35" s="678"/>
      <c r="E35" s="678"/>
      <c r="F35" s="673"/>
      <c r="G35" s="678"/>
      <c r="H35" s="699"/>
      <c r="I35" s="673"/>
      <c r="J35" s="673"/>
      <c r="K35" s="673"/>
      <c r="L35" s="674"/>
      <c r="M35" s="674"/>
      <c r="N35" s="674"/>
      <c r="O35" s="674"/>
      <c r="P35" s="675"/>
    </row>
    <row r="36" spans="2:16" ht="15" customHeight="1">
      <c r="B36" s="697"/>
      <c r="C36" s="676"/>
      <c r="D36" s="676"/>
      <c r="E36" s="676"/>
      <c r="F36" s="676"/>
      <c r="G36" s="677"/>
      <c r="H36" s="696"/>
      <c r="I36" s="677"/>
      <c r="J36" s="677"/>
      <c r="K36" s="677"/>
      <c r="L36" s="677"/>
      <c r="M36" s="677"/>
      <c r="N36" s="677"/>
      <c r="O36" s="677"/>
      <c r="P36" s="677"/>
    </row>
    <row r="37" spans="2:16" ht="15" customHeight="1">
      <c r="B37" s="698"/>
      <c r="C37" s="678"/>
      <c r="D37" s="678"/>
      <c r="E37" s="678"/>
      <c r="F37" s="673"/>
      <c r="G37" s="678"/>
      <c r="H37" s="699"/>
      <c r="I37" s="673"/>
      <c r="J37" s="673"/>
      <c r="K37" s="673"/>
      <c r="L37" s="673"/>
      <c r="M37" s="673"/>
      <c r="N37" s="673"/>
      <c r="O37" s="673"/>
      <c r="P37" s="675"/>
    </row>
    <row r="38" spans="2:16" ht="15" customHeight="1">
      <c r="B38" s="1196"/>
      <c r="C38" s="1686" t="str">
        <f>+'Planilla de Avance'!F111</f>
        <v>Ing. Gabriel Daza Chavez</v>
      </c>
      <c r="D38" s="1686"/>
      <c r="E38" s="1686"/>
      <c r="F38" s="663"/>
      <c r="G38" s="679" t="str">
        <f>+'Planilla de Avance'!J111</f>
        <v>Ing. Herlan Rene Ramos Estrada</v>
      </c>
      <c r="H38" s="700"/>
      <c r="I38" s="680"/>
      <c r="J38" s="680"/>
      <c r="K38" s="680"/>
      <c r="L38" s="680"/>
      <c r="M38" s="663"/>
      <c r="N38" s="680"/>
      <c r="O38" s="680"/>
      <c r="P38" s="680"/>
    </row>
    <row r="39" spans="2:16" ht="15" customHeight="1">
      <c r="B39" s="703"/>
      <c r="C39" s="1685" t="str">
        <f>+'Planilla de Avance'!F112</f>
        <v>SUPERINTENDENTE DE OBRA</v>
      </c>
      <c r="D39" s="1685"/>
      <c r="E39" s="1685"/>
      <c r="F39" s="663"/>
      <c r="G39" s="704" t="str">
        <f>+'Planilla de Avance'!J112</f>
        <v>SUPERVISOR DE OBRA</v>
      </c>
      <c r="H39" s="700"/>
      <c r="I39" s="678"/>
      <c r="J39" s="678"/>
      <c r="K39" s="678"/>
      <c r="L39" s="678"/>
      <c r="M39" s="663"/>
      <c r="N39" s="678"/>
      <c r="O39" s="678"/>
      <c r="P39" s="678"/>
    </row>
    <row r="40" spans="2:16" ht="34.5" customHeight="1" thickBot="1">
      <c r="B40" s="1194"/>
      <c r="C40" s="1684" t="str">
        <f>+'Planilla de Avance'!F113</f>
        <v>EMPRESA ESTRATÉGICA BOLIVIANA DE CONSTRUCCIÓN Y CONSERVACIÓN DE INFRAESTRUCTURA CIVIL (EBC)</v>
      </c>
      <c r="D40" s="1684"/>
      <c r="E40" s="1684"/>
      <c r="F40" s="702"/>
      <c r="G40" s="1197" t="str">
        <f>+'Planilla de Avance'!J113</f>
        <v>ABC - REGIONAL TARIJA</v>
      </c>
      <c r="H40" s="705"/>
    </row>
    <row r="45" spans="2:16">
      <c r="F45" s="669"/>
    </row>
  </sheetData>
  <mergeCells count="7">
    <mergeCell ref="C10:E10"/>
    <mergeCell ref="B7:C7"/>
    <mergeCell ref="C11:E11"/>
    <mergeCell ref="C40:E40"/>
    <mergeCell ref="C39:E39"/>
    <mergeCell ref="C38:E38"/>
    <mergeCell ref="D6:G7"/>
  </mergeCells>
  <printOptions horizontalCentered="1"/>
  <pageMargins left="0.39370078740157483" right="0.39370078740157483" top="0.78740157480314965" bottom="0.39370078740157483" header="0.31496062992125984" footer="0.31496062992125984"/>
  <pageSetup scale="80" orientation="landscape" r:id="rId1"/>
  <headerFooter alignWithMargins="0"/>
  <rowBreaks count="1" manualBreakCount="1">
    <brk id="7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217"/>
  <sheetViews>
    <sheetView showGridLines="0" tabSelected="1" view="pageBreakPreview" topLeftCell="E4" zoomScale="130" zoomScaleNormal="85" zoomScaleSheetLayoutView="130" workbookViewId="0">
      <selection activeCell="F16" sqref="F16"/>
    </sheetView>
  </sheetViews>
  <sheetFormatPr baseColWidth="10" defaultColWidth="12.6640625" defaultRowHeight="10.199999999999999"/>
  <cols>
    <col min="1" max="4" width="0" style="19" hidden="1" customWidth="1"/>
    <col min="5" max="5" width="3.88671875" style="20" bestFit="1" customWidth="1"/>
    <col min="6" max="6" width="51.33203125" style="19" customWidth="1"/>
    <col min="7" max="7" width="9.44140625" style="20" customWidth="1"/>
    <col min="8" max="8" width="10.33203125" style="20" customWidth="1"/>
    <col min="9" max="9" width="10.33203125" style="19" customWidth="1"/>
    <col min="10" max="10" width="12.6640625" style="19"/>
    <col min="11" max="11" width="11" style="19" customWidth="1"/>
    <col min="12" max="12" width="12.6640625" style="19"/>
    <col min="13" max="13" width="11.44140625" style="19" customWidth="1"/>
    <col min="14" max="14" width="12.6640625" style="19"/>
    <col min="15" max="15" width="12" style="19" customWidth="1"/>
    <col min="16" max="16" width="12.6640625" style="19"/>
    <col min="17" max="17" width="11" style="19" customWidth="1"/>
    <col min="18" max="18" width="12.6640625" style="19"/>
    <col min="19" max="21" width="6.6640625" style="19" customWidth="1"/>
    <col min="22" max="22" width="12.6640625" style="19"/>
    <col min="23" max="23" width="6.33203125" style="106" customWidth="1"/>
    <col min="24" max="16384" width="12.6640625" style="19"/>
  </cols>
  <sheetData>
    <row r="1" spans="1:25">
      <c r="J1" s="940">
        <f>+J104</f>
        <v>108397839.64</v>
      </c>
      <c r="L1" s="940">
        <f>+L104</f>
        <v>1524844.2</v>
      </c>
      <c r="N1" s="940">
        <f>+N104</f>
        <v>86910.98</v>
      </c>
      <c r="P1" s="940">
        <f>+P104</f>
        <v>1611755.18</v>
      </c>
      <c r="R1" s="940">
        <f>+R104</f>
        <v>106786084.46000001</v>
      </c>
    </row>
    <row r="2" spans="1:25" ht="15" customHeight="1">
      <c r="E2" s="286"/>
      <c r="F2" s="831"/>
      <c r="G2" s="1697" t="s">
        <v>241</v>
      </c>
      <c r="H2" s="1698"/>
      <c r="I2" s="1698"/>
      <c r="J2" s="1698"/>
      <c r="K2" s="1698"/>
      <c r="L2" s="1698"/>
      <c r="M2" s="1698"/>
      <c r="N2" s="1698"/>
      <c r="O2" s="1698"/>
      <c r="P2" s="1699"/>
      <c r="Q2" s="1700"/>
      <c r="R2" s="1701"/>
      <c r="S2" s="1701"/>
      <c r="T2" s="1701"/>
      <c r="U2" s="1702"/>
      <c r="V2" s="442"/>
    </row>
    <row r="3" spans="1:25" ht="15" customHeight="1">
      <c r="E3" s="1219"/>
      <c r="F3" s="1220"/>
      <c r="G3" s="1703" t="str">
        <f>+Datos!C23</f>
        <v>DICIEMBRE 2020, ENERO 2021 Y FEBRERO 2021</v>
      </c>
      <c r="H3" s="1704"/>
      <c r="I3" s="1704"/>
      <c r="J3" s="1704"/>
      <c r="K3" s="1704"/>
      <c r="L3" s="1704"/>
      <c r="M3" s="1704"/>
      <c r="N3" s="1704"/>
      <c r="O3" s="1704"/>
      <c r="P3" s="1705"/>
      <c r="Q3" s="1221"/>
      <c r="R3" s="442"/>
      <c r="S3" s="442"/>
      <c r="T3" s="442"/>
      <c r="U3" s="1222"/>
      <c r="V3" s="442"/>
    </row>
    <row r="4" spans="1:25" ht="15" customHeight="1">
      <c r="E4" s="92"/>
      <c r="F4" s="1223" t="s">
        <v>155</v>
      </c>
      <c r="G4" s="1711" t="str">
        <f>+Certificado!C4</f>
        <v>PROYECTO: CONSTRUCCION Y REHABILITACION TRAMO CARRETERO VILLA MONTES - LA VERTIENTE - PALO MARCADO</v>
      </c>
      <c r="H4" s="1712"/>
      <c r="I4" s="1712"/>
      <c r="J4" s="1712"/>
      <c r="K4" s="1712"/>
      <c r="L4" s="1712"/>
      <c r="M4" s="1712"/>
      <c r="N4" s="1712"/>
      <c r="O4" s="1712"/>
      <c r="P4" s="1713"/>
      <c r="Q4" s="1212"/>
      <c r="S4" s="1214" t="s">
        <v>244</v>
      </c>
      <c r="T4" s="658"/>
      <c r="U4" s="1213"/>
      <c r="V4" s="941"/>
    </row>
    <row r="5" spans="1:25" ht="15" customHeight="1">
      <c r="E5" s="814"/>
      <c r="F5" s="815"/>
      <c r="G5" s="1708" t="s">
        <v>163</v>
      </c>
      <c r="H5" s="1709"/>
      <c r="I5" s="1709"/>
      <c r="J5" s="1709"/>
      <c r="K5" s="1709"/>
      <c r="L5" s="1709"/>
      <c r="M5" s="1709"/>
      <c r="N5" s="1709"/>
      <c r="O5" s="1709"/>
      <c r="P5" s="1710"/>
      <c r="Q5" s="1209"/>
      <c r="R5" s="1210"/>
      <c r="S5" s="1210"/>
      <c r="T5" s="1210"/>
      <c r="U5" s="1211"/>
      <c r="V5" s="1297"/>
    </row>
    <row r="6" spans="1:25" ht="12" customHeight="1">
      <c r="E6" s="654"/>
      <c r="F6" s="824"/>
      <c r="G6" s="825"/>
      <c r="H6" s="655"/>
      <c r="I6" s="655"/>
      <c r="J6" s="655"/>
      <c r="K6" s="655"/>
      <c r="L6" s="655"/>
      <c r="M6" s="655"/>
      <c r="N6" s="655"/>
      <c r="O6" s="655"/>
      <c r="P6" s="655"/>
      <c r="Q6" s="656"/>
      <c r="R6" s="656"/>
      <c r="S6" s="656"/>
      <c r="T6" s="656"/>
      <c r="U6" s="657"/>
      <c r="V6" s="941"/>
    </row>
    <row r="7" spans="1:25" s="77" customFormat="1" ht="15" customHeight="1">
      <c r="E7" s="1693" t="s">
        <v>2</v>
      </c>
      <c r="F7" s="1694" t="s">
        <v>612</v>
      </c>
      <c r="G7" s="1696" t="s">
        <v>4</v>
      </c>
      <c r="H7" s="1696"/>
      <c r="I7" s="1696"/>
      <c r="J7" s="1696"/>
      <c r="K7" s="1695" t="s">
        <v>400</v>
      </c>
      <c r="L7" s="1695"/>
      <c r="M7" s="1695" t="s">
        <v>401</v>
      </c>
      <c r="N7" s="1695"/>
      <c r="O7" s="1695" t="s">
        <v>402</v>
      </c>
      <c r="P7" s="1695"/>
      <c r="Q7" s="1695" t="s">
        <v>403</v>
      </c>
      <c r="R7" s="1695"/>
      <c r="S7" s="1706" t="s">
        <v>187</v>
      </c>
      <c r="T7" s="1706"/>
      <c r="U7" s="1706"/>
      <c r="V7" s="942"/>
      <c r="W7" s="107"/>
    </row>
    <row r="8" spans="1:25" s="77" customFormat="1" ht="21.9" customHeight="1">
      <c r="E8" s="1693"/>
      <c r="F8" s="1694"/>
      <c r="G8" s="1356" t="s">
        <v>398</v>
      </c>
      <c r="H8" s="1357" t="s">
        <v>383</v>
      </c>
      <c r="I8" s="1357" t="s">
        <v>399</v>
      </c>
      <c r="J8" s="1357" t="s">
        <v>191</v>
      </c>
      <c r="K8" s="1358" t="s">
        <v>383</v>
      </c>
      <c r="L8" s="1359" t="s">
        <v>191</v>
      </c>
      <c r="M8" s="1358" t="s">
        <v>383</v>
      </c>
      <c r="N8" s="1358" t="s">
        <v>191</v>
      </c>
      <c r="O8" s="1358" t="s">
        <v>383</v>
      </c>
      <c r="P8" s="1359" t="s">
        <v>191</v>
      </c>
      <c r="Q8" s="1358" t="s">
        <v>383</v>
      </c>
      <c r="R8" s="1359" t="s">
        <v>191</v>
      </c>
      <c r="S8" s="1359" t="s">
        <v>404</v>
      </c>
      <c r="T8" s="1359" t="s">
        <v>275</v>
      </c>
      <c r="U8" s="1359" t="s">
        <v>655</v>
      </c>
      <c r="V8" s="944"/>
      <c r="W8" s="107"/>
    </row>
    <row r="9" spans="1:25" ht="13.5" customHeight="1">
      <c r="A9" s="931"/>
      <c r="B9" s="932"/>
      <c r="C9" s="932">
        <v>0</v>
      </c>
      <c r="D9" s="933"/>
      <c r="E9" s="979" t="s">
        <v>614</v>
      </c>
      <c r="F9" s="945" t="s">
        <v>289</v>
      </c>
      <c r="G9" s="946"/>
      <c r="H9" s="947"/>
      <c r="I9" s="947"/>
      <c r="J9" s="947"/>
      <c r="K9" s="936"/>
      <c r="L9" s="948"/>
      <c r="M9" s="936"/>
      <c r="N9" s="936"/>
      <c r="O9" s="936"/>
      <c r="P9" s="948"/>
      <c r="Q9" s="936"/>
      <c r="R9" s="948"/>
      <c r="S9" s="948"/>
      <c r="T9" s="948"/>
      <c r="U9" s="949"/>
      <c r="V9" s="1120" t="s">
        <v>655</v>
      </c>
    </row>
    <row r="10" spans="1:25" ht="13.5" customHeight="1">
      <c r="A10" s="931">
        <f>+IF(B10&gt;0,B10+C9,IF(C10&gt;C9,C10,0))</f>
        <v>1</v>
      </c>
      <c r="B10" s="932">
        <f>+IF(M10&gt;=0.01,1,0)</f>
        <v>1</v>
      </c>
      <c r="C10" s="934">
        <f>+B10+C9</f>
        <v>1</v>
      </c>
      <c r="D10" s="935" t="str">
        <f>+E9&amp;". "&amp;F9</f>
        <v>1. MOVIMIENTO DE TIERRAS</v>
      </c>
      <c r="E10" s="980">
        <v>1</v>
      </c>
      <c r="F10" s="807" t="s">
        <v>528</v>
      </c>
      <c r="G10" s="804" t="s">
        <v>456</v>
      </c>
      <c r="H10" s="63">
        <v>94.18</v>
      </c>
      <c r="I10" s="801">
        <v>5442.14</v>
      </c>
      <c r="J10" s="66">
        <f>ROUND(H10*I10,2)</f>
        <v>512540.75</v>
      </c>
      <c r="K10" s="61">
        <f>+'Cant. Ejec,'!K6</f>
        <v>34.630000000000003</v>
      </c>
      <c r="L10" s="71">
        <f>+ROUND(K10*I10,2)+5.03</f>
        <v>188466.34</v>
      </c>
      <c r="M10" s="72">
        <f>+'Cant. Ejec,'!M6</f>
        <v>15.97</v>
      </c>
      <c r="N10" s="73">
        <f>+ROUND(I10*M10,2)</f>
        <v>86910.98</v>
      </c>
      <c r="O10" s="61">
        <f>K10+M10</f>
        <v>50.6</v>
      </c>
      <c r="P10" s="73">
        <f>L10+N10</f>
        <v>275377.32</v>
      </c>
      <c r="Q10" s="61">
        <f>H10-O10</f>
        <v>43.580000000000005</v>
      </c>
      <c r="R10" s="73">
        <f>+J10-P10</f>
        <v>237163.43</v>
      </c>
      <c r="S10" s="978">
        <f>(N10/J10)</f>
        <v>0.16956891720316872</v>
      </c>
      <c r="T10" s="1122">
        <f>(P10/J10)</f>
        <v>0.53727887977687627</v>
      </c>
      <c r="U10" s="1125">
        <f>(R10/J10)</f>
        <v>0.46272112022312373</v>
      </c>
      <c r="V10" s="943">
        <f>1-U10</f>
        <v>0.53727887977687627</v>
      </c>
      <c r="W10" s="308" t="str">
        <f t="shared" ref="W10:W41" si="0">IF((P10+R10)=J10,"ok","MAL")</f>
        <v>ok</v>
      </c>
      <c r="X10" s="19">
        <v>10.6</v>
      </c>
      <c r="Y10" s="787">
        <f>+X10-Q10</f>
        <v>-32.980000000000004</v>
      </c>
    </row>
    <row r="11" spans="1:25" ht="13.5" customHeight="1">
      <c r="A11" s="931">
        <f t="shared" ref="A11:A74" si="1">+IF(B11&gt;0,B11+C10,IF(C11&gt;C10,C11,0))</f>
        <v>0</v>
      </c>
      <c r="B11" s="932">
        <f t="shared" ref="B11:B74" si="2">+IF(M11&gt;=0.01,1,0)</f>
        <v>0</v>
      </c>
      <c r="C11" s="934">
        <f t="shared" ref="C11:C74" si="3">+B11+C10</f>
        <v>1</v>
      </c>
      <c r="D11" s="935"/>
      <c r="E11" s="991"/>
      <c r="F11" s="992" t="s">
        <v>457</v>
      </c>
      <c r="G11" s="993"/>
      <c r="H11" s="994"/>
      <c r="I11" s="995"/>
      <c r="J11" s="996">
        <f>SUM(J10)</f>
        <v>512540.75</v>
      </c>
      <c r="K11" s="997"/>
      <c r="L11" s="996">
        <f>SUM(L10)</f>
        <v>188466.34</v>
      </c>
      <c r="M11" s="998"/>
      <c r="N11" s="996">
        <f>SUM(N10)</f>
        <v>86910.98</v>
      </c>
      <c r="O11" s="997"/>
      <c r="P11" s="996">
        <f>SUM(P10)</f>
        <v>275377.32</v>
      </c>
      <c r="Q11" s="998"/>
      <c r="R11" s="996">
        <f>SUM(R10)</f>
        <v>237163.43</v>
      </c>
      <c r="S11" s="1020">
        <f>(N11/J11)</f>
        <v>0.16956891720316872</v>
      </c>
      <c r="T11" s="1123">
        <f>(P11/J11)</f>
        <v>0.53727887977687627</v>
      </c>
      <c r="U11" s="1126">
        <f>(R11/J11)</f>
        <v>0.46272112022312373</v>
      </c>
      <c r="V11" s="943">
        <f t="shared" ref="V11:V74" si="4">1-U11</f>
        <v>0.53727887977687627</v>
      </c>
      <c r="W11" s="308" t="str">
        <f t="shared" si="0"/>
        <v>ok</v>
      </c>
      <c r="Y11" s="787"/>
    </row>
    <row r="12" spans="1:25" ht="13.5" customHeight="1">
      <c r="A12" s="931">
        <f t="shared" si="1"/>
        <v>0</v>
      </c>
      <c r="B12" s="932">
        <f t="shared" si="2"/>
        <v>0</v>
      </c>
      <c r="C12" s="934">
        <f t="shared" si="3"/>
        <v>1</v>
      </c>
      <c r="D12" s="935"/>
      <c r="E12" s="979" t="s">
        <v>615</v>
      </c>
      <c r="F12" s="945" t="s">
        <v>540</v>
      </c>
      <c r="G12" s="950"/>
      <c r="H12" s="951"/>
      <c r="I12" s="951"/>
      <c r="J12" s="938"/>
      <c r="K12" s="937"/>
      <c r="L12" s="937"/>
      <c r="M12" s="937"/>
      <c r="N12" s="937"/>
      <c r="O12" s="937"/>
      <c r="P12" s="937"/>
      <c r="Q12" s="937"/>
      <c r="R12" s="937"/>
      <c r="S12" s="952"/>
      <c r="T12" s="952"/>
      <c r="U12" s="953"/>
      <c r="V12" s="943">
        <f t="shared" si="4"/>
        <v>1</v>
      </c>
      <c r="W12" s="308" t="str">
        <f t="shared" si="0"/>
        <v>ok</v>
      </c>
      <c r="Y12" s="787"/>
    </row>
    <row r="13" spans="1:25" ht="13.5" customHeight="1">
      <c r="A13" s="931">
        <f t="shared" si="1"/>
        <v>0</v>
      </c>
      <c r="B13" s="932">
        <f t="shared" si="2"/>
        <v>0</v>
      </c>
      <c r="C13" s="934">
        <f t="shared" si="3"/>
        <v>1</v>
      </c>
      <c r="D13" s="935" t="str">
        <f>+E12&amp;". "&amp;F12</f>
        <v>2. PAVIMENTACION</v>
      </c>
      <c r="E13" s="980">
        <v>2</v>
      </c>
      <c r="F13" s="807" t="s">
        <v>529</v>
      </c>
      <c r="G13" s="968" t="s">
        <v>291</v>
      </c>
      <c r="H13" s="969">
        <v>266002</v>
      </c>
      <c r="I13" s="970">
        <v>1.46</v>
      </c>
      <c r="J13" s="66">
        <f t="shared" ref="J13:J22" si="5">ROUND(H13*I13,2)</f>
        <v>388362.92</v>
      </c>
      <c r="K13" s="61">
        <f>+'Cant. Ejec,'!K8</f>
        <v>0</v>
      </c>
      <c r="L13" s="71">
        <f t="shared" ref="L13:L22" si="6">+ROUND(K13*I13,2)</f>
        <v>0</v>
      </c>
      <c r="M13" s="72">
        <f>+'Cant. Ejec,'!M8</f>
        <v>0</v>
      </c>
      <c r="N13" s="73">
        <f t="shared" ref="N13:N22" si="7">+ROUND(I13*M13,2)</f>
        <v>0</v>
      </c>
      <c r="O13" s="61">
        <f t="shared" ref="O13:O22" si="8">K13+M13</f>
        <v>0</v>
      </c>
      <c r="P13" s="73">
        <f t="shared" ref="P13:P22" si="9">L13+N13</f>
        <v>0</v>
      </c>
      <c r="Q13" s="61">
        <f t="shared" ref="Q13:Q22" si="10">H13-O13</f>
        <v>266002</v>
      </c>
      <c r="R13" s="73">
        <f t="shared" ref="R13:R22" si="11">+J13-P13</f>
        <v>388362.92</v>
      </c>
      <c r="S13" s="827">
        <f>(N13/J13)</f>
        <v>0</v>
      </c>
      <c r="T13" s="827">
        <f t="shared" ref="T13:T23" si="12">(P13/J13)</f>
        <v>0</v>
      </c>
      <c r="U13" s="830">
        <f t="shared" ref="U13:U23" si="13">(R13/J13)</f>
        <v>1</v>
      </c>
      <c r="V13" s="943">
        <f t="shared" si="4"/>
        <v>0</v>
      </c>
      <c r="W13" s="308" t="str">
        <f t="shared" si="0"/>
        <v>ok</v>
      </c>
      <c r="Y13" s="787"/>
    </row>
    <row r="14" spans="1:25" ht="13.5" customHeight="1">
      <c r="A14" s="931">
        <f t="shared" si="1"/>
        <v>0</v>
      </c>
      <c r="B14" s="932">
        <f t="shared" si="2"/>
        <v>0</v>
      </c>
      <c r="C14" s="934">
        <f t="shared" si="3"/>
        <v>1</v>
      </c>
      <c r="D14" s="935" t="str">
        <f>+D13</f>
        <v>2. PAVIMENTACION</v>
      </c>
      <c r="E14" s="980">
        <v>3</v>
      </c>
      <c r="F14" s="807" t="s">
        <v>530</v>
      </c>
      <c r="G14" s="968" t="s">
        <v>290</v>
      </c>
      <c r="H14" s="969">
        <v>34368.400000000001</v>
      </c>
      <c r="I14" s="970">
        <v>96.9</v>
      </c>
      <c r="J14" s="66">
        <f t="shared" si="5"/>
        <v>3330297.96</v>
      </c>
      <c r="K14" s="61">
        <f>+'Cant. Ejec,'!K9</f>
        <v>0</v>
      </c>
      <c r="L14" s="71">
        <f t="shared" si="6"/>
        <v>0</v>
      </c>
      <c r="M14" s="971">
        <f>+'Cant. Ejec,'!M9</f>
        <v>0</v>
      </c>
      <c r="N14" s="939">
        <f t="shared" si="7"/>
        <v>0</v>
      </c>
      <c r="O14" s="61">
        <f t="shared" si="8"/>
        <v>0</v>
      </c>
      <c r="P14" s="939">
        <f t="shared" si="9"/>
        <v>0</v>
      </c>
      <c r="Q14" s="61">
        <f>H14-O14</f>
        <v>34368.400000000001</v>
      </c>
      <c r="R14" s="939">
        <f t="shared" si="11"/>
        <v>3330297.96</v>
      </c>
      <c r="S14" s="827">
        <f t="shared" ref="S14:S23" si="14">(N14/J14)</f>
        <v>0</v>
      </c>
      <c r="T14" s="827">
        <f t="shared" si="12"/>
        <v>0</v>
      </c>
      <c r="U14" s="830">
        <f t="shared" si="13"/>
        <v>1</v>
      </c>
      <c r="V14" s="943">
        <f t="shared" si="4"/>
        <v>0</v>
      </c>
      <c r="W14" s="308" t="str">
        <f t="shared" si="0"/>
        <v>ok</v>
      </c>
      <c r="Y14" s="787"/>
    </row>
    <row r="15" spans="1:25" ht="13.5" customHeight="1">
      <c r="A15" s="931">
        <f t="shared" si="1"/>
        <v>0</v>
      </c>
      <c r="B15" s="932">
        <f t="shared" si="2"/>
        <v>0</v>
      </c>
      <c r="C15" s="934">
        <f t="shared" si="3"/>
        <v>1</v>
      </c>
      <c r="D15" s="935" t="str">
        <f t="shared" ref="D15:D22" si="15">+D14</f>
        <v>2. PAVIMENTACION</v>
      </c>
      <c r="E15" s="980">
        <v>4</v>
      </c>
      <c r="F15" s="807" t="s">
        <v>531</v>
      </c>
      <c r="G15" s="968" t="s">
        <v>290</v>
      </c>
      <c r="H15" s="999">
        <v>18832</v>
      </c>
      <c r="I15" s="970">
        <v>96.9</v>
      </c>
      <c r="J15" s="66">
        <f t="shared" si="5"/>
        <v>1824820.8</v>
      </c>
      <c r="K15" s="61">
        <f>+'Cant. Ejec,'!K10</f>
        <v>0</v>
      </c>
      <c r="L15" s="71">
        <f t="shared" si="6"/>
        <v>0</v>
      </c>
      <c r="M15" s="971">
        <f>+'Cant. Ejec,'!M10</f>
        <v>0</v>
      </c>
      <c r="N15" s="939">
        <f t="shared" si="7"/>
        <v>0</v>
      </c>
      <c r="O15" s="61">
        <f t="shared" si="8"/>
        <v>0</v>
      </c>
      <c r="P15" s="939">
        <f t="shared" si="9"/>
        <v>0</v>
      </c>
      <c r="Q15" s="61">
        <f t="shared" si="10"/>
        <v>18832</v>
      </c>
      <c r="R15" s="939">
        <f t="shared" si="11"/>
        <v>1824820.8</v>
      </c>
      <c r="S15" s="827">
        <f t="shared" si="14"/>
        <v>0</v>
      </c>
      <c r="T15" s="827">
        <f t="shared" si="12"/>
        <v>0</v>
      </c>
      <c r="U15" s="830">
        <f t="shared" si="13"/>
        <v>1</v>
      </c>
      <c r="V15" s="943">
        <f t="shared" si="4"/>
        <v>0</v>
      </c>
      <c r="W15" s="308" t="str">
        <f t="shared" si="0"/>
        <v>ok</v>
      </c>
      <c r="Y15" s="787"/>
    </row>
    <row r="16" spans="1:25" ht="13.5" customHeight="1">
      <c r="A16" s="931">
        <f t="shared" si="1"/>
        <v>0</v>
      </c>
      <c r="B16" s="932">
        <f t="shared" si="2"/>
        <v>0</v>
      </c>
      <c r="C16" s="934">
        <f t="shared" si="3"/>
        <v>1</v>
      </c>
      <c r="D16" s="935" t="str">
        <f t="shared" si="15"/>
        <v>2. PAVIMENTACION</v>
      </c>
      <c r="E16" s="980">
        <v>5</v>
      </c>
      <c r="F16" s="807" t="s">
        <v>532</v>
      </c>
      <c r="G16" s="968" t="s">
        <v>665</v>
      </c>
      <c r="H16" s="969">
        <v>439169.3</v>
      </c>
      <c r="I16" s="970">
        <v>3.74</v>
      </c>
      <c r="J16" s="66">
        <f t="shared" si="5"/>
        <v>1642493.18</v>
      </c>
      <c r="K16" s="61">
        <f>+'Cant. Ejec,'!K11</f>
        <v>346422.9</v>
      </c>
      <c r="L16" s="71">
        <f t="shared" si="6"/>
        <v>1295621.6499999999</v>
      </c>
      <c r="M16" s="971">
        <f>+'Cant. Ejec,'!M11</f>
        <v>0</v>
      </c>
      <c r="N16" s="939">
        <f t="shared" si="7"/>
        <v>0</v>
      </c>
      <c r="O16" s="61">
        <f t="shared" si="8"/>
        <v>346422.9</v>
      </c>
      <c r="P16" s="939">
        <f t="shared" si="9"/>
        <v>1295621.6499999999</v>
      </c>
      <c r="Q16" s="61">
        <f t="shared" si="10"/>
        <v>92746.399999999965</v>
      </c>
      <c r="R16" s="939">
        <f t="shared" si="11"/>
        <v>346871.53</v>
      </c>
      <c r="S16" s="827">
        <f t="shared" si="14"/>
        <v>0</v>
      </c>
      <c r="T16" s="827">
        <f t="shared" si="12"/>
        <v>0.78881402113340893</v>
      </c>
      <c r="U16" s="830">
        <f t="shared" si="13"/>
        <v>0.21118597886659113</v>
      </c>
      <c r="V16" s="943">
        <f t="shared" si="4"/>
        <v>0.78881402113340893</v>
      </c>
      <c r="W16" s="308" t="str">
        <f t="shared" si="0"/>
        <v>ok</v>
      </c>
      <c r="Y16" s="787"/>
    </row>
    <row r="17" spans="1:25" ht="13.5" customHeight="1">
      <c r="A17" s="931">
        <f t="shared" si="1"/>
        <v>0</v>
      </c>
      <c r="B17" s="932">
        <f t="shared" si="2"/>
        <v>0</v>
      </c>
      <c r="C17" s="934">
        <f t="shared" si="3"/>
        <v>1</v>
      </c>
      <c r="D17" s="935" t="str">
        <f t="shared" si="15"/>
        <v>2. PAVIMENTACION</v>
      </c>
      <c r="E17" s="980">
        <v>6</v>
      </c>
      <c r="F17" s="807" t="s">
        <v>533</v>
      </c>
      <c r="G17" s="968" t="s">
        <v>290</v>
      </c>
      <c r="H17" s="969">
        <v>41713.949999999997</v>
      </c>
      <c r="I17" s="970">
        <v>191.25</v>
      </c>
      <c r="J17" s="66">
        <f t="shared" si="5"/>
        <v>7977792.9400000004</v>
      </c>
      <c r="K17" s="61">
        <f>+'Cant. Ejec,'!K12</f>
        <v>0</v>
      </c>
      <c r="L17" s="71">
        <f t="shared" si="6"/>
        <v>0</v>
      </c>
      <c r="M17" s="971">
        <f>+'Cant. Ejec,'!M12</f>
        <v>0</v>
      </c>
      <c r="N17" s="939">
        <f t="shared" si="7"/>
        <v>0</v>
      </c>
      <c r="O17" s="61">
        <f t="shared" si="8"/>
        <v>0</v>
      </c>
      <c r="P17" s="939">
        <f t="shared" si="9"/>
        <v>0</v>
      </c>
      <c r="Q17" s="61">
        <f t="shared" si="10"/>
        <v>41713.949999999997</v>
      </c>
      <c r="R17" s="939">
        <f t="shared" si="11"/>
        <v>7977792.9400000004</v>
      </c>
      <c r="S17" s="827">
        <f t="shared" si="14"/>
        <v>0</v>
      </c>
      <c r="T17" s="827">
        <f t="shared" si="12"/>
        <v>0</v>
      </c>
      <c r="U17" s="830">
        <f t="shared" si="13"/>
        <v>1</v>
      </c>
      <c r="V17" s="943">
        <f t="shared" si="4"/>
        <v>0</v>
      </c>
      <c r="W17" s="308" t="str">
        <f t="shared" si="0"/>
        <v>ok</v>
      </c>
      <c r="Y17" s="787"/>
    </row>
    <row r="18" spans="1:25" ht="13.5" customHeight="1">
      <c r="A18" s="931">
        <f t="shared" si="1"/>
        <v>0</v>
      </c>
      <c r="B18" s="932">
        <f t="shared" si="2"/>
        <v>0</v>
      </c>
      <c r="C18" s="934">
        <f t="shared" si="3"/>
        <v>1</v>
      </c>
      <c r="D18" s="935" t="str">
        <f t="shared" si="15"/>
        <v>2. PAVIMENTACION</v>
      </c>
      <c r="E18" s="980">
        <v>7</v>
      </c>
      <c r="F18" s="807" t="s">
        <v>534</v>
      </c>
      <c r="G18" s="968" t="s">
        <v>290</v>
      </c>
      <c r="H18" s="969">
        <v>17411.04</v>
      </c>
      <c r="I18" s="970">
        <v>594.04999999999995</v>
      </c>
      <c r="J18" s="66">
        <f t="shared" si="5"/>
        <v>10343028.310000001</v>
      </c>
      <c r="K18" s="61">
        <f>+'Cant. Ejec,'!K13</f>
        <v>0</v>
      </c>
      <c r="L18" s="71">
        <f t="shared" si="6"/>
        <v>0</v>
      </c>
      <c r="M18" s="971">
        <f>+'Cant. Ejec,'!M13</f>
        <v>0</v>
      </c>
      <c r="N18" s="939">
        <f t="shared" si="7"/>
        <v>0</v>
      </c>
      <c r="O18" s="61">
        <f t="shared" si="8"/>
        <v>0</v>
      </c>
      <c r="P18" s="939">
        <f t="shared" si="9"/>
        <v>0</v>
      </c>
      <c r="Q18" s="61">
        <f t="shared" si="10"/>
        <v>17411.04</v>
      </c>
      <c r="R18" s="939">
        <f t="shared" si="11"/>
        <v>10343028.310000001</v>
      </c>
      <c r="S18" s="827">
        <f t="shared" si="14"/>
        <v>0</v>
      </c>
      <c r="T18" s="827">
        <f t="shared" si="12"/>
        <v>0</v>
      </c>
      <c r="U18" s="830">
        <f t="shared" si="13"/>
        <v>1</v>
      </c>
      <c r="V18" s="943">
        <f t="shared" si="4"/>
        <v>0</v>
      </c>
      <c r="W18" s="308" t="str">
        <f t="shared" si="0"/>
        <v>ok</v>
      </c>
      <c r="Y18" s="787"/>
    </row>
    <row r="19" spans="1:25" ht="13.5" customHeight="1">
      <c r="A19" s="931">
        <f t="shared" si="1"/>
        <v>0</v>
      </c>
      <c r="B19" s="932">
        <f t="shared" si="2"/>
        <v>0</v>
      </c>
      <c r="C19" s="934">
        <f t="shared" si="3"/>
        <v>1</v>
      </c>
      <c r="D19" s="935" t="str">
        <f t="shared" si="15"/>
        <v>2. PAVIMENTACION</v>
      </c>
      <c r="E19" s="980">
        <v>8</v>
      </c>
      <c r="F19" s="807" t="s">
        <v>535</v>
      </c>
      <c r="G19" s="968" t="s">
        <v>174</v>
      </c>
      <c r="H19" s="969">
        <v>399003</v>
      </c>
      <c r="I19" s="970">
        <v>12.04</v>
      </c>
      <c r="J19" s="66">
        <f t="shared" si="5"/>
        <v>4803996.12</v>
      </c>
      <c r="K19" s="61">
        <f>+'Cant. Ejec,'!K14</f>
        <v>0</v>
      </c>
      <c r="L19" s="71">
        <f t="shared" si="6"/>
        <v>0</v>
      </c>
      <c r="M19" s="971">
        <f>+'Cant. Ejec,'!M14</f>
        <v>0</v>
      </c>
      <c r="N19" s="939">
        <f t="shared" si="7"/>
        <v>0</v>
      </c>
      <c r="O19" s="61">
        <f t="shared" si="8"/>
        <v>0</v>
      </c>
      <c r="P19" s="939">
        <f t="shared" si="9"/>
        <v>0</v>
      </c>
      <c r="Q19" s="61">
        <f t="shared" si="10"/>
        <v>399003</v>
      </c>
      <c r="R19" s="939">
        <f t="shared" si="11"/>
        <v>4803996.12</v>
      </c>
      <c r="S19" s="827">
        <f t="shared" si="14"/>
        <v>0</v>
      </c>
      <c r="T19" s="827">
        <f t="shared" si="12"/>
        <v>0</v>
      </c>
      <c r="U19" s="830">
        <f t="shared" si="13"/>
        <v>1</v>
      </c>
      <c r="V19" s="943">
        <f t="shared" si="4"/>
        <v>0</v>
      </c>
      <c r="W19" s="308" t="str">
        <f t="shared" si="0"/>
        <v>ok</v>
      </c>
      <c r="X19" s="19">
        <v>23</v>
      </c>
      <c r="Y19" s="787">
        <f>SUM(W19:X19)</f>
        <v>23</v>
      </c>
    </row>
    <row r="20" spans="1:25" ht="13.5" customHeight="1">
      <c r="A20" s="931">
        <f t="shared" si="1"/>
        <v>0</v>
      </c>
      <c r="B20" s="932">
        <f t="shared" si="2"/>
        <v>0</v>
      </c>
      <c r="C20" s="934">
        <f t="shared" si="3"/>
        <v>1</v>
      </c>
      <c r="D20" s="935" t="str">
        <f t="shared" si="15"/>
        <v>2. PAVIMENTACION</v>
      </c>
      <c r="E20" s="980">
        <v>9</v>
      </c>
      <c r="F20" s="807" t="s">
        <v>536</v>
      </c>
      <c r="G20" s="968" t="s">
        <v>537</v>
      </c>
      <c r="H20" s="969">
        <v>2437.5500000000002</v>
      </c>
      <c r="I20" s="970">
        <v>9167.4599999999991</v>
      </c>
      <c r="J20" s="66">
        <f>ROUND(H20*I20,2)</f>
        <v>22346142.120000001</v>
      </c>
      <c r="K20" s="61">
        <f>+'Cant. Ejec,'!K15</f>
        <v>0</v>
      </c>
      <c r="L20" s="71">
        <f t="shared" si="6"/>
        <v>0</v>
      </c>
      <c r="M20" s="971">
        <f>+'Cant. Ejec,'!M15</f>
        <v>0</v>
      </c>
      <c r="N20" s="939">
        <f t="shared" si="7"/>
        <v>0</v>
      </c>
      <c r="O20" s="61">
        <f t="shared" si="8"/>
        <v>0</v>
      </c>
      <c r="P20" s="939">
        <f t="shared" si="9"/>
        <v>0</v>
      </c>
      <c r="Q20" s="61">
        <f t="shared" si="10"/>
        <v>2437.5500000000002</v>
      </c>
      <c r="R20" s="939">
        <f t="shared" si="11"/>
        <v>22346142.120000001</v>
      </c>
      <c r="S20" s="827">
        <f t="shared" si="14"/>
        <v>0</v>
      </c>
      <c r="T20" s="827">
        <f t="shared" si="12"/>
        <v>0</v>
      </c>
      <c r="U20" s="830">
        <f t="shared" si="13"/>
        <v>1</v>
      </c>
      <c r="V20" s="943">
        <f t="shared" si="4"/>
        <v>0</v>
      </c>
      <c r="W20" s="308" t="str">
        <f t="shared" si="0"/>
        <v>ok</v>
      </c>
      <c r="Y20" s="787">
        <f>SUM(N20:X20)</f>
        <v>22348580.670000002</v>
      </c>
    </row>
    <row r="21" spans="1:25" ht="13.5" customHeight="1">
      <c r="A21" s="931">
        <f t="shared" si="1"/>
        <v>0</v>
      </c>
      <c r="B21" s="932">
        <f t="shared" si="2"/>
        <v>0</v>
      </c>
      <c r="C21" s="934">
        <f t="shared" si="3"/>
        <v>1</v>
      </c>
      <c r="D21" s="935" t="str">
        <f t="shared" si="15"/>
        <v>2. PAVIMENTACION</v>
      </c>
      <c r="E21" s="980">
        <v>10</v>
      </c>
      <c r="F21" s="807" t="s">
        <v>538</v>
      </c>
      <c r="G21" s="968" t="s">
        <v>665</v>
      </c>
      <c r="H21" s="969">
        <v>510143.47</v>
      </c>
      <c r="I21" s="970">
        <v>2.72</v>
      </c>
      <c r="J21" s="66">
        <f t="shared" si="5"/>
        <v>1387590.24</v>
      </c>
      <c r="K21" s="61">
        <f>+'Cant. Ejec,'!K16</f>
        <v>0</v>
      </c>
      <c r="L21" s="71">
        <f t="shared" si="6"/>
        <v>0</v>
      </c>
      <c r="M21" s="971">
        <f>+'Cant. Ejec,'!M16</f>
        <v>0</v>
      </c>
      <c r="N21" s="939">
        <f t="shared" si="7"/>
        <v>0</v>
      </c>
      <c r="O21" s="61">
        <f t="shared" si="8"/>
        <v>0</v>
      </c>
      <c r="P21" s="939">
        <f t="shared" si="9"/>
        <v>0</v>
      </c>
      <c r="Q21" s="61">
        <f t="shared" si="10"/>
        <v>510143.47</v>
      </c>
      <c r="R21" s="939">
        <f t="shared" si="11"/>
        <v>1387590.24</v>
      </c>
      <c r="S21" s="827">
        <f t="shared" si="14"/>
        <v>0</v>
      </c>
      <c r="T21" s="827">
        <f t="shared" si="12"/>
        <v>0</v>
      </c>
      <c r="U21" s="830">
        <f t="shared" si="13"/>
        <v>1</v>
      </c>
      <c r="V21" s="943">
        <f t="shared" si="4"/>
        <v>0</v>
      </c>
      <c r="W21" s="308" t="str">
        <f t="shared" si="0"/>
        <v>ok</v>
      </c>
      <c r="Y21" s="787"/>
    </row>
    <row r="22" spans="1:25" ht="13.5" customHeight="1">
      <c r="A22" s="931">
        <f t="shared" si="1"/>
        <v>0</v>
      </c>
      <c r="B22" s="932">
        <f t="shared" si="2"/>
        <v>0</v>
      </c>
      <c r="C22" s="934">
        <f t="shared" si="3"/>
        <v>1</v>
      </c>
      <c r="D22" s="935" t="str">
        <f t="shared" si="15"/>
        <v>2. PAVIMENTACION</v>
      </c>
      <c r="E22" s="980">
        <v>11</v>
      </c>
      <c r="F22" s="807" t="s">
        <v>539</v>
      </c>
      <c r="G22" s="968" t="s">
        <v>665</v>
      </c>
      <c r="H22" s="969">
        <v>1222218.74</v>
      </c>
      <c r="I22" s="970">
        <v>2.72</v>
      </c>
      <c r="J22" s="66">
        <f t="shared" si="5"/>
        <v>3324434.97</v>
      </c>
      <c r="K22" s="61">
        <f>+'Cant. Ejec,'!K17</f>
        <v>0</v>
      </c>
      <c r="L22" s="71">
        <f t="shared" si="6"/>
        <v>0</v>
      </c>
      <c r="M22" s="971">
        <f>+'Cant. Ejec,'!M17</f>
        <v>0</v>
      </c>
      <c r="N22" s="939">
        <f t="shared" si="7"/>
        <v>0</v>
      </c>
      <c r="O22" s="61">
        <f t="shared" si="8"/>
        <v>0</v>
      </c>
      <c r="P22" s="939">
        <f t="shared" si="9"/>
        <v>0</v>
      </c>
      <c r="Q22" s="61">
        <f t="shared" si="10"/>
        <v>1222218.74</v>
      </c>
      <c r="R22" s="939">
        <f t="shared" si="11"/>
        <v>3324434.97</v>
      </c>
      <c r="S22" s="975">
        <f t="shared" si="14"/>
        <v>0</v>
      </c>
      <c r="T22" s="975">
        <f t="shared" si="12"/>
        <v>0</v>
      </c>
      <c r="U22" s="976">
        <f t="shared" si="13"/>
        <v>1</v>
      </c>
      <c r="V22" s="943">
        <f t="shared" si="4"/>
        <v>0</v>
      </c>
      <c r="W22" s="308" t="str">
        <f t="shared" si="0"/>
        <v>ok</v>
      </c>
      <c r="Y22" s="787"/>
    </row>
    <row r="23" spans="1:25" ht="13.5" customHeight="1">
      <c r="A23" s="931">
        <f t="shared" si="1"/>
        <v>0</v>
      </c>
      <c r="B23" s="932">
        <f t="shared" si="2"/>
        <v>0</v>
      </c>
      <c r="C23" s="934">
        <f t="shared" si="3"/>
        <v>1</v>
      </c>
      <c r="D23" s="935"/>
      <c r="E23" s="991"/>
      <c r="F23" s="992" t="s">
        <v>457</v>
      </c>
      <c r="G23" s="993"/>
      <c r="H23" s="994"/>
      <c r="I23" s="995"/>
      <c r="J23" s="996">
        <f>SUM(J13:J22)</f>
        <v>57368959.560000002</v>
      </c>
      <c r="K23" s="997"/>
      <c r="L23" s="996">
        <f>SUM(L13:L22)</f>
        <v>1295621.6499999999</v>
      </c>
      <c r="M23" s="998"/>
      <c r="N23" s="996">
        <f>SUM(N13:N22)</f>
        <v>0</v>
      </c>
      <c r="O23" s="997"/>
      <c r="P23" s="996">
        <f>SUM(P13:P22)</f>
        <v>1295621.6499999999</v>
      </c>
      <c r="Q23" s="998"/>
      <c r="R23" s="996">
        <f>SUM(R13:R22)</f>
        <v>56073337.910000004</v>
      </c>
      <c r="S23" s="1020">
        <f t="shared" si="14"/>
        <v>0</v>
      </c>
      <c r="T23" s="1123">
        <f t="shared" si="12"/>
        <v>2.2584018604084301E-2</v>
      </c>
      <c r="U23" s="1126">
        <f t="shared" si="13"/>
        <v>0.97741598139591568</v>
      </c>
      <c r="V23" s="943">
        <f t="shared" si="4"/>
        <v>2.2584018604084322E-2</v>
      </c>
      <c r="W23" s="308" t="str">
        <f t="shared" si="0"/>
        <v>ok</v>
      </c>
      <c r="Y23" s="787"/>
    </row>
    <row r="24" spans="1:25" ht="13.5" customHeight="1">
      <c r="A24" s="931">
        <f t="shared" si="1"/>
        <v>0</v>
      </c>
      <c r="B24" s="932">
        <f t="shared" si="2"/>
        <v>0</v>
      </c>
      <c r="C24" s="934">
        <f t="shared" si="3"/>
        <v>1</v>
      </c>
      <c r="D24" s="935"/>
      <c r="E24" s="979" t="s">
        <v>613</v>
      </c>
      <c r="F24" s="945" t="s">
        <v>541</v>
      </c>
      <c r="G24" s="950"/>
      <c r="H24" s="951"/>
      <c r="I24" s="951"/>
      <c r="J24" s="938"/>
      <c r="K24" s="937"/>
      <c r="L24" s="937"/>
      <c r="M24" s="937"/>
      <c r="N24" s="937"/>
      <c r="O24" s="937"/>
      <c r="P24" s="937"/>
      <c r="Q24" s="937"/>
      <c r="R24" s="937"/>
      <c r="S24" s="952"/>
      <c r="T24" s="952"/>
      <c r="U24" s="953"/>
      <c r="V24" s="943">
        <f t="shared" si="4"/>
        <v>1</v>
      </c>
      <c r="W24" s="308" t="str">
        <f t="shared" si="0"/>
        <v>ok</v>
      </c>
      <c r="Y24" s="787"/>
    </row>
    <row r="25" spans="1:25" ht="13.5" customHeight="1">
      <c r="A25" s="931">
        <f t="shared" si="1"/>
        <v>0</v>
      </c>
      <c r="B25" s="932">
        <f t="shared" si="2"/>
        <v>0</v>
      </c>
      <c r="C25" s="934">
        <f t="shared" si="3"/>
        <v>1</v>
      </c>
      <c r="D25" s="935" t="str">
        <f t="shared" ref="D25:D33" si="16">+E24&amp;". "&amp;F24</f>
        <v>3. REHABILITACION Y MANTENIMIENTO</v>
      </c>
      <c r="E25" s="980">
        <v>12</v>
      </c>
      <c r="F25" s="807" t="s">
        <v>542</v>
      </c>
      <c r="G25" s="968" t="s">
        <v>293</v>
      </c>
      <c r="H25" s="969">
        <v>61360</v>
      </c>
      <c r="I25" s="970">
        <v>18.399999999999999</v>
      </c>
      <c r="J25" s="66">
        <f t="shared" ref="J25:J30" si="17">ROUND(H25*I25,2)</f>
        <v>1129024</v>
      </c>
      <c r="K25" s="61">
        <v>0</v>
      </c>
      <c r="L25" s="71">
        <f t="shared" ref="L25:L30" si="18">+ROUND(K25*I25,2)</f>
        <v>0</v>
      </c>
      <c r="M25" s="971">
        <f>+'Cant. Ejec,'!M19</f>
        <v>0</v>
      </c>
      <c r="N25" s="939">
        <f t="shared" ref="N25:N30" si="19">+ROUND(I25*M25,2)</f>
        <v>0</v>
      </c>
      <c r="O25" s="61">
        <f t="shared" ref="O25:O30" si="20">K25+M25</f>
        <v>0</v>
      </c>
      <c r="P25" s="939">
        <f t="shared" ref="P25:P30" si="21">L25+N25</f>
        <v>0</v>
      </c>
      <c r="Q25" s="61">
        <f t="shared" ref="Q25:Q30" si="22">H25-O25</f>
        <v>61360</v>
      </c>
      <c r="R25" s="939">
        <f t="shared" ref="R25:R30" si="23">+J25-P25</f>
        <v>1129024</v>
      </c>
      <c r="S25" s="827">
        <f t="shared" ref="S25:S31" si="24">(N25/J25)</f>
        <v>0</v>
      </c>
      <c r="T25" s="827">
        <f t="shared" ref="T25:T31" si="25">(P25/J25)</f>
        <v>0</v>
      </c>
      <c r="U25" s="830">
        <f t="shared" ref="U25:U31" si="26">(R25/J25)</f>
        <v>1</v>
      </c>
      <c r="V25" s="943">
        <f t="shared" si="4"/>
        <v>0</v>
      </c>
      <c r="W25" s="308" t="str">
        <f t="shared" si="0"/>
        <v>ok</v>
      </c>
      <c r="Y25" s="787"/>
    </row>
    <row r="26" spans="1:25" ht="13.5" customHeight="1">
      <c r="A26" s="931">
        <f t="shared" si="1"/>
        <v>0</v>
      </c>
      <c r="B26" s="932">
        <f t="shared" si="2"/>
        <v>0</v>
      </c>
      <c r="C26" s="934">
        <f t="shared" si="3"/>
        <v>1</v>
      </c>
      <c r="D26" s="935" t="str">
        <f>+D25</f>
        <v>3. REHABILITACION Y MANTENIMIENTO</v>
      </c>
      <c r="E26" s="980">
        <v>13</v>
      </c>
      <c r="F26" s="807" t="s">
        <v>543</v>
      </c>
      <c r="G26" s="968" t="s">
        <v>291</v>
      </c>
      <c r="H26" s="969">
        <v>9907</v>
      </c>
      <c r="I26" s="970">
        <v>129.19</v>
      </c>
      <c r="J26" s="66">
        <f t="shared" si="17"/>
        <v>1279885.33</v>
      </c>
      <c r="K26" s="61">
        <v>0</v>
      </c>
      <c r="L26" s="71">
        <f t="shared" si="18"/>
        <v>0</v>
      </c>
      <c r="M26" s="971">
        <f>+'Cant. Ejec,'!M20</f>
        <v>0</v>
      </c>
      <c r="N26" s="939">
        <f t="shared" si="19"/>
        <v>0</v>
      </c>
      <c r="O26" s="61">
        <f t="shared" si="20"/>
        <v>0</v>
      </c>
      <c r="P26" s="939">
        <f t="shared" si="21"/>
        <v>0</v>
      </c>
      <c r="Q26" s="61">
        <f t="shared" si="22"/>
        <v>9907</v>
      </c>
      <c r="R26" s="939">
        <f t="shared" si="23"/>
        <v>1279885.33</v>
      </c>
      <c r="S26" s="827">
        <f t="shared" si="24"/>
        <v>0</v>
      </c>
      <c r="T26" s="827">
        <f t="shared" si="25"/>
        <v>0</v>
      </c>
      <c r="U26" s="830">
        <f t="shared" si="26"/>
        <v>1</v>
      </c>
      <c r="V26" s="943">
        <f t="shared" si="4"/>
        <v>0</v>
      </c>
      <c r="W26" s="308" t="str">
        <f t="shared" si="0"/>
        <v>ok</v>
      </c>
      <c r="Y26" s="787"/>
    </row>
    <row r="27" spans="1:25" ht="13.5" customHeight="1">
      <c r="A27" s="931">
        <f t="shared" si="1"/>
        <v>0</v>
      </c>
      <c r="B27" s="932">
        <f t="shared" si="2"/>
        <v>0</v>
      </c>
      <c r="C27" s="934">
        <f t="shared" si="3"/>
        <v>1</v>
      </c>
      <c r="D27" s="935" t="str">
        <f t="shared" ref="D27:D30" si="27">+D26</f>
        <v>3. REHABILITACION Y MANTENIMIENTO</v>
      </c>
      <c r="E27" s="980">
        <v>14</v>
      </c>
      <c r="F27" s="810" t="s">
        <v>544</v>
      </c>
      <c r="G27" s="806" t="s">
        <v>537</v>
      </c>
      <c r="H27" s="36">
        <v>6.14</v>
      </c>
      <c r="I27" s="800">
        <v>8520.98</v>
      </c>
      <c r="J27" s="66">
        <f t="shared" si="17"/>
        <v>52318.82</v>
      </c>
      <c r="K27" s="61">
        <v>0</v>
      </c>
      <c r="L27" s="71">
        <f t="shared" si="18"/>
        <v>0</v>
      </c>
      <c r="M27" s="971">
        <f>+'Cant. Ejec,'!M21</f>
        <v>0</v>
      </c>
      <c r="N27" s="939">
        <f t="shared" si="19"/>
        <v>0</v>
      </c>
      <c r="O27" s="61">
        <f t="shared" si="20"/>
        <v>0</v>
      </c>
      <c r="P27" s="939">
        <f t="shared" si="21"/>
        <v>0</v>
      </c>
      <c r="Q27" s="61">
        <f t="shared" si="22"/>
        <v>6.14</v>
      </c>
      <c r="R27" s="939">
        <f t="shared" si="23"/>
        <v>52318.82</v>
      </c>
      <c r="S27" s="827">
        <f t="shared" si="24"/>
        <v>0</v>
      </c>
      <c r="T27" s="827">
        <f t="shared" si="25"/>
        <v>0</v>
      </c>
      <c r="U27" s="830">
        <f t="shared" si="26"/>
        <v>1</v>
      </c>
      <c r="V27" s="943">
        <f t="shared" si="4"/>
        <v>0</v>
      </c>
      <c r="W27" s="308" t="str">
        <f t="shared" si="0"/>
        <v>ok</v>
      </c>
      <c r="X27" s="19">
        <v>109039.37000000001</v>
      </c>
      <c r="Y27" s="787">
        <f t="shared" ref="Y27:Y77" si="28">+X27-Q27</f>
        <v>109033.23000000001</v>
      </c>
    </row>
    <row r="28" spans="1:25" ht="13.5" customHeight="1">
      <c r="A28" s="931">
        <f t="shared" si="1"/>
        <v>0</v>
      </c>
      <c r="B28" s="932">
        <f t="shared" si="2"/>
        <v>0</v>
      </c>
      <c r="C28" s="934">
        <f t="shared" si="3"/>
        <v>1</v>
      </c>
      <c r="D28" s="935" t="str">
        <f t="shared" si="27"/>
        <v>3. REHABILITACION Y MANTENIMIENTO</v>
      </c>
      <c r="E28" s="980">
        <v>15</v>
      </c>
      <c r="F28" s="803" t="s">
        <v>545</v>
      </c>
      <c r="G28" s="806" t="s">
        <v>537</v>
      </c>
      <c r="H28" s="36">
        <v>69.349999999999994</v>
      </c>
      <c r="I28" s="800">
        <v>8520.98</v>
      </c>
      <c r="J28" s="66">
        <f t="shared" si="17"/>
        <v>590929.96</v>
      </c>
      <c r="K28" s="61">
        <v>0</v>
      </c>
      <c r="L28" s="71">
        <f t="shared" si="18"/>
        <v>0</v>
      </c>
      <c r="M28" s="971">
        <f>+'Cant. Ejec,'!M22</f>
        <v>0</v>
      </c>
      <c r="N28" s="939">
        <f t="shared" si="19"/>
        <v>0</v>
      </c>
      <c r="O28" s="61">
        <f t="shared" si="20"/>
        <v>0</v>
      </c>
      <c r="P28" s="939">
        <f t="shared" si="21"/>
        <v>0</v>
      </c>
      <c r="Q28" s="61">
        <f t="shared" si="22"/>
        <v>69.349999999999994</v>
      </c>
      <c r="R28" s="939">
        <f t="shared" si="23"/>
        <v>590929.96</v>
      </c>
      <c r="S28" s="827">
        <f t="shared" si="24"/>
        <v>0</v>
      </c>
      <c r="T28" s="827">
        <f t="shared" si="25"/>
        <v>0</v>
      </c>
      <c r="U28" s="830">
        <f t="shared" si="26"/>
        <v>1</v>
      </c>
      <c r="V28" s="943">
        <f t="shared" si="4"/>
        <v>0</v>
      </c>
      <c r="W28" s="308" t="str">
        <f t="shared" si="0"/>
        <v>ok</v>
      </c>
      <c r="X28" s="19">
        <v>7944.42</v>
      </c>
      <c r="Y28" s="787">
        <f t="shared" si="28"/>
        <v>7875.07</v>
      </c>
    </row>
    <row r="29" spans="1:25" ht="13.5" customHeight="1">
      <c r="A29" s="931">
        <f t="shared" si="1"/>
        <v>0</v>
      </c>
      <c r="B29" s="932">
        <f t="shared" si="2"/>
        <v>0</v>
      </c>
      <c r="C29" s="934">
        <f t="shared" si="3"/>
        <v>1</v>
      </c>
      <c r="D29" s="935" t="str">
        <f t="shared" si="27"/>
        <v>3. REHABILITACION Y MANTENIMIENTO</v>
      </c>
      <c r="E29" s="980">
        <v>16</v>
      </c>
      <c r="F29" s="803" t="s">
        <v>546</v>
      </c>
      <c r="G29" s="806" t="s">
        <v>291</v>
      </c>
      <c r="H29" s="36">
        <v>180894</v>
      </c>
      <c r="I29" s="800">
        <v>65.069999999999993</v>
      </c>
      <c r="J29" s="66">
        <f t="shared" si="17"/>
        <v>11770772.58</v>
      </c>
      <c r="K29" s="61">
        <v>0</v>
      </c>
      <c r="L29" s="71">
        <f t="shared" si="18"/>
        <v>0</v>
      </c>
      <c r="M29" s="971">
        <f>+'Cant. Ejec,'!M23</f>
        <v>0</v>
      </c>
      <c r="N29" s="939">
        <f t="shared" si="19"/>
        <v>0</v>
      </c>
      <c r="O29" s="61">
        <f t="shared" si="20"/>
        <v>0</v>
      </c>
      <c r="P29" s="939">
        <f t="shared" si="21"/>
        <v>0</v>
      </c>
      <c r="Q29" s="61">
        <f t="shared" si="22"/>
        <v>180894</v>
      </c>
      <c r="R29" s="939">
        <f t="shared" si="23"/>
        <v>11770772.58</v>
      </c>
      <c r="S29" s="827">
        <f t="shared" si="24"/>
        <v>0</v>
      </c>
      <c r="T29" s="827">
        <f t="shared" si="25"/>
        <v>0</v>
      </c>
      <c r="U29" s="830">
        <f t="shared" si="26"/>
        <v>1</v>
      </c>
      <c r="V29" s="943">
        <f t="shared" si="4"/>
        <v>0</v>
      </c>
      <c r="W29" s="308" t="str">
        <f t="shared" si="0"/>
        <v>ok</v>
      </c>
      <c r="X29" s="19">
        <v>90669.700000000012</v>
      </c>
      <c r="Y29" s="787">
        <f t="shared" si="28"/>
        <v>-90224.299999999988</v>
      </c>
    </row>
    <row r="30" spans="1:25" ht="13.5" customHeight="1">
      <c r="A30" s="931">
        <f t="shared" si="1"/>
        <v>0</v>
      </c>
      <c r="B30" s="932">
        <f t="shared" si="2"/>
        <v>0</v>
      </c>
      <c r="C30" s="934">
        <f t="shared" si="3"/>
        <v>1</v>
      </c>
      <c r="D30" s="935" t="str">
        <f t="shared" si="27"/>
        <v>3. REHABILITACION Y MANTENIMIENTO</v>
      </c>
      <c r="E30" s="982">
        <v>17</v>
      </c>
      <c r="F30" s="808" t="s">
        <v>547</v>
      </c>
      <c r="G30" s="809" t="s">
        <v>291</v>
      </c>
      <c r="H30" s="46">
        <v>99120</v>
      </c>
      <c r="I30" s="802">
        <v>36.15</v>
      </c>
      <c r="J30" s="68">
        <f t="shared" si="17"/>
        <v>3583188</v>
      </c>
      <c r="K30" s="972">
        <v>0</v>
      </c>
      <c r="L30" s="973">
        <f t="shared" si="18"/>
        <v>0</v>
      </c>
      <c r="M30" s="974">
        <f>+'Cant. Ejec,'!M24</f>
        <v>0</v>
      </c>
      <c r="N30" s="96">
        <f t="shared" si="19"/>
        <v>0</v>
      </c>
      <c r="O30" s="972">
        <f t="shared" si="20"/>
        <v>0</v>
      </c>
      <c r="P30" s="96">
        <f t="shared" si="21"/>
        <v>0</v>
      </c>
      <c r="Q30" s="972">
        <f t="shared" si="22"/>
        <v>99120</v>
      </c>
      <c r="R30" s="96">
        <f t="shared" si="23"/>
        <v>3583188</v>
      </c>
      <c r="S30" s="975">
        <f t="shared" si="24"/>
        <v>0</v>
      </c>
      <c r="T30" s="975">
        <f t="shared" si="25"/>
        <v>0</v>
      </c>
      <c r="U30" s="976">
        <f t="shared" si="26"/>
        <v>1</v>
      </c>
      <c r="V30" s="943">
        <f t="shared" si="4"/>
        <v>0</v>
      </c>
      <c r="W30" s="308" t="str">
        <f t="shared" si="0"/>
        <v>ok</v>
      </c>
      <c r="X30" s="19">
        <v>614495.43000000005</v>
      </c>
      <c r="Y30" s="787">
        <f t="shared" si="28"/>
        <v>515375.43000000005</v>
      </c>
    </row>
    <row r="31" spans="1:25" ht="13.5" customHeight="1">
      <c r="A31" s="931">
        <f t="shared" si="1"/>
        <v>0</v>
      </c>
      <c r="B31" s="932">
        <f t="shared" si="2"/>
        <v>0</v>
      </c>
      <c r="C31" s="934">
        <f t="shared" si="3"/>
        <v>1</v>
      </c>
      <c r="D31" s="935"/>
      <c r="E31" s="991"/>
      <c r="F31" s="992" t="s">
        <v>457</v>
      </c>
      <c r="G31" s="993"/>
      <c r="H31" s="994"/>
      <c r="I31" s="995"/>
      <c r="J31" s="996">
        <f>SUM(J25:J30)</f>
        <v>18406118.689999998</v>
      </c>
      <c r="K31" s="997"/>
      <c r="L31" s="996">
        <f>SUM(L25:L30)</f>
        <v>0</v>
      </c>
      <c r="M31" s="998"/>
      <c r="N31" s="996">
        <f>SUM(N25:N30)</f>
        <v>0</v>
      </c>
      <c r="O31" s="997"/>
      <c r="P31" s="996">
        <f>SUM(P25:P30)</f>
        <v>0</v>
      </c>
      <c r="Q31" s="998"/>
      <c r="R31" s="996">
        <f>SUM(R25:R30)</f>
        <v>18406118.689999998</v>
      </c>
      <c r="S31" s="1020">
        <f t="shared" si="24"/>
        <v>0</v>
      </c>
      <c r="T31" s="1123">
        <f t="shared" si="25"/>
        <v>0</v>
      </c>
      <c r="U31" s="1126">
        <f t="shared" si="26"/>
        <v>1</v>
      </c>
      <c r="V31" s="943">
        <f t="shared" si="4"/>
        <v>0</v>
      </c>
      <c r="W31" s="308" t="str">
        <f t="shared" si="0"/>
        <v>ok</v>
      </c>
      <c r="X31" s="19">
        <v>38577</v>
      </c>
      <c r="Y31" s="787">
        <f t="shared" si="28"/>
        <v>38577</v>
      </c>
    </row>
    <row r="32" spans="1:25" s="77" customFormat="1" ht="13.5" customHeight="1">
      <c r="A32" s="931">
        <f t="shared" si="1"/>
        <v>0</v>
      </c>
      <c r="B32" s="932">
        <f t="shared" si="2"/>
        <v>0</v>
      </c>
      <c r="C32" s="934">
        <f t="shared" si="3"/>
        <v>1</v>
      </c>
      <c r="D32" s="935"/>
      <c r="E32" s="979">
        <v>4</v>
      </c>
      <c r="F32" s="945" t="s">
        <v>292</v>
      </c>
      <c r="G32" s="950"/>
      <c r="H32" s="951"/>
      <c r="I32" s="951"/>
      <c r="J32" s="938"/>
      <c r="K32" s="937"/>
      <c r="L32" s="937"/>
      <c r="M32" s="937"/>
      <c r="N32" s="937"/>
      <c r="O32" s="937"/>
      <c r="P32" s="937"/>
      <c r="Q32" s="937"/>
      <c r="R32" s="937"/>
      <c r="S32" s="952"/>
      <c r="T32" s="952"/>
      <c r="U32" s="953"/>
      <c r="V32" s="943">
        <f t="shared" si="4"/>
        <v>1</v>
      </c>
      <c r="W32" s="308" t="str">
        <f t="shared" si="0"/>
        <v>ok</v>
      </c>
      <c r="Y32" s="826">
        <f>+X32-Q11</f>
        <v>0</v>
      </c>
    </row>
    <row r="33" spans="1:25" ht="13.5" customHeight="1">
      <c r="A33" s="931">
        <f t="shared" si="1"/>
        <v>0</v>
      </c>
      <c r="B33" s="932">
        <f t="shared" si="2"/>
        <v>0</v>
      </c>
      <c r="C33" s="934">
        <f t="shared" si="3"/>
        <v>1</v>
      </c>
      <c r="D33" s="935" t="str">
        <f t="shared" si="16"/>
        <v>4. OBRAS DE DRENAJE</v>
      </c>
      <c r="E33" s="980">
        <v>18</v>
      </c>
      <c r="F33" s="807" t="s">
        <v>548</v>
      </c>
      <c r="G33" s="829" t="s">
        <v>456</v>
      </c>
      <c r="H33" s="63">
        <v>5</v>
      </c>
      <c r="I33" s="63">
        <v>5170.03</v>
      </c>
      <c r="J33" s="64">
        <f>ROUND(H33*I33,2)</f>
        <v>25850.15</v>
      </c>
      <c r="K33" s="61">
        <v>0</v>
      </c>
      <c r="L33" s="71">
        <f t="shared" ref="L33:L72" si="29">+ROUND(K33*I33,2)</f>
        <v>0</v>
      </c>
      <c r="M33" s="62">
        <f>+'Cant. Ejec,'!M26</f>
        <v>0</v>
      </c>
      <c r="N33" s="73">
        <f t="shared" ref="N33:N72" si="30">+ROUND(I33*M33,2)</f>
        <v>0</v>
      </c>
      <c r="O33" s="61">
        <f t="shared" ref="O33:O38" si="31">K33+M33</f>
        <v>0</v>
      </c>
      <c r="P33" s="939">
        <f t="shared" ref="P33:P38" si="32">L33+N33</f>
        <v>0</v>
      </c>
      <c r="Q33" s="61">
        <f t="shared" ref="Q33:Q72" si="33">H33-O33</f>
        <v>5</v>
      </c>
      <c r="R33" s="939">
        <f t="shared" ref="R33:R72" si="34">+J33-P33</f>
        <v>25850.15</v>
      </c>
      <c r="S33" s="827">
        <f t="shared" ref="S33:S73" si="35">(N33/J33)</f>
        <v>0</v>
      </c>
      <c r="T33" s="827">
        <f t="shared" ref="T33:T58" si="36">(P33/J33)</f>
        <v>0</v>
      </c>
      <c r="U33" s="830">
        <f t="shared" ref="U33:U73" si="37">(R33/J33)</f>
        <v>1</v>
      </c>
      <c r="V33" s="943">
        <f t="shared" si="4"/>
        <v>0</v>
      </c>
      <c r="W33" s="308" t="str">
        <f t="shared" si="0"/>
        <v>ok</v>
      </c>
      <c r="Y33" s="787">
        <f>+X33-Q12</f>
        <v>0</v>
      </c>
    </row>
    <row r="34" spans="1:25" ht="13.5" customHeight="1">
      <c r="A34" s="931">
        <f t="shared" si="1"/>
        <v>0</v>
      </c>
      <c r="B34" s="932">
        <f t="shared" si="2"/>
        <v>0</v>
      </c>
      <c r="C34" s="934">
        <f t="shared" si="3"/>
        <v>1</v>
      </c>
      <c r="D34" s="935" t="str">
        <f>+D33</f>
        <v>4. OBRAS DE DRENAJE</v>
      </c>
      <c r="E34" s="980">
        <v>19</v>
      </c>
      <c r="F34" s="807" t="s">
        <v>549</v>
      </c>
      <c r="G34" s="977" t="s">
        <v>290</v>
      </c>
      <c r="H34" s="36">
        <v>15078</v>
      </c>
      <c r="I34" s="36">
        <v>34.61</v>
      </c>
      <c r="J34" s="66">
        <f t="shared" ref="J34:J72" si="38">ROUND(H34*I34,2)</f>
        <v>521849.58</v>
      </c>
      <c r="K34" s="61">
        <v>0</v>
      </c>
      <c r="L34" s="71">
        <f t="shared" si="29"/>
        <v>0</v>
      </c>
      <c r="M34" s="65">
        <f>+'Cant. Ejec,'!M27</f>
        <v>0</v>
      </c>
      <c r="N34" s="939">
        <f t="shared" si="30"/>
        <v>0</v>
      </c>
      <c r="O34" s="61">
        <f t="shared" si="31"/>
        <v>0</v>
      </c>
      <c r="P34" s="939">
        <f t="shared" si="32"/>
        <v>0</v>
      </c>
      <c r="Q34" s="61">
        <f t="shared" si="33"/>
        <v>15078</v>
      </c>
      <c r="R34" s="939">
        <f t="shared" si="34"/>
        <v>521849.58</v>
      </c>
      <c r="S34" s="827">
        <f t="shared" si="35"/>
        <v>0</v>
      </c>
      <c r="T34" s="827">
        <f t="shared" si="36"/>
        <v>0</v>
      </c>
      <c r="U34" s="830">
        <f t="shared" si="37"/>
        <v>1</v>
      </c>
      <c r="V34" s="943">
        <f t="shared" si="4"/>
        <v>0</v>
      </c>
      <c r="W34" s="308" t="str">
        <f t="shared" si="0"/>
        <v>ok</v>
      </c>
      <c r="X34" s="19">
        <v>66957</v>
      </c>
      <c r="Y34" s="787">
        <f t="shared" si="28"/>
        <v>51879</v>
      </c>
    </row>
    <row r="35" spans="1:25" ht="13.5" customHeight="1">
      <c r="A35" s="931">
        <f t="shared" si="1"/>
        <v>0</v>
      </c>
      <c r="B35" s="932">
        <f t="shared" si="2"/>
        <v>0</v>
      </c>
      <c r="C35" s="934">
        <f t="shared" si="3"/>
        <v>1</v>
      </c>
      <c r="D35" s="935" t="str">
        <f t="shared" ref="D35:D72" si="39">+D34</f>
        <v>4. OBRAS DE DRENAJE</v>
      </c>
      <c r="E35" s="980">
        <v>20</v>
      </c>
      <c r="F35" s="803" t="s">
        <v>550</v>
      </c>
      <c r="G35" s="977" t="s">
        <v>290</v>
      </c>
      <c r="H35" s="36">
        <v>4958</v>
      </c>
      <c r="I35" s="36">
        <v>72.510000000000005</v>
      </c>
      <c r="J35" s="66">
        <f t="shared" si="38"/>
        <v>359504.58</v>
      </c>
      <c r="K35" s="61">
        <v>0</v>
      </c>
      <c r="L35" s="71">
        <f t="shared" si="29"/>
        <v>0</v>
      </c>
      <c r="M35" s="65">
        <f>+'Cant. Ejec,'!M28</f>
        <v>0</v>
      </c>
      <c r="N35" s="939">
        <f t="shared" si="30"/>
        <v>0</v>
      </c>
      <c r="O35" s="61">
        <f t="shared" si="31"/>
        <v>0</v>
      </c>
      <c r="P35" s="939">
        <f t="shared" si="32"/>
        <v>0</v>
      </c>
      <c r="Q35" s="61">
        <f t="shared" si="33"/>
        <v>4958</v>
      </c>
      <c r="R35" s="939">
        <f t="shared" si="34"/>
        <v>359504.58</v>
      </c>
      <c r="S35" s="827">
        <f t="shared" si="35"/>
        <v>0</v>
      </c>
      <c r="T35" s="827">
        <f t="shared" si="36"/>
        <v>0</v>
      </c>
      <c r="U35" s="830">
        <f t="shared" si="37"/>
        <v>1</v>
      </c>
      <c r="V35" s="943">
        <f t="shared" si="4"/>
        <v>0</v>
      </c>
      <c r="W35" s="308" t="str">
        <f t="shared" si="0"/>
        <v>ok</v>
      </c>
      <c r="X35" s="19">
        <v>31321.13</v>
      </c>
      <c r="Y35" s="787">
        <f t="shared" si="28"/>
        <v>26363.13</v>
      </c>
    </row>
    <row r="36" spans="1:25" ht="13.8">
      <c r="A36" s="931">
        <f t="shared" si="1"/>
        <v>0</v>
      </c>
      <c r="B36" s="932">
        <f t="shared" si="2"/>
        <v>0</v>
      </c>
      <c r="C36" s="934">
        <f t="shared" si="3"/>
        <v>1</v>
      </c>
      <c r="D36" s="935" t="str">
        <f t="shared" si="39"/>
        <v>4. OBRAS DE DRENAJE</v>
      </c>
      <c r="E36" s="980">
        <v>21</v>
      </c>
      <c r="F36" s="803" t="s">
        <v>551</v>
      </c>
      <c r="G36" s="977" t="s">
        <v>290</v>
      </c>
      <c r="H36" s="36">
        <v>1786</v>
      </c>
      <c r="I36" s="36">
        <v>2112.84</v>
      </c>
      <c r="J36" s="66">
        <f t="shared" si="38"/>
        <v>3773532.24</v>
      </c>
      <c r="K36" s="61">
        <v>0</v>
      </c>
      <c r="L36" s="71">
        <f t="shared" si="29"/>
        <v>0</v>
      </c>
      <c r="M36" s="65">
        <f>+'Cant. Ejec,'!M29</f>
        <v>0</v>
      </c>
      <c r="N36" s="939">
        <f t="shared" si="30"/>
        <v>0</v>
      </c>
      <c r="O36" s="61">
        <f t="shared" si="31"/>
        <v>0</v>
      </c>
      <c r="P36" s="939">
        <f t="shared" si="32"/>
        <v>0</v>
      </c>
      <c r="Q36" s="61">
        <f t="shared" si="33"/>
        <v>1786</v>
      </c>
      <c r="R36" s="939">
        <f t="shared" si="34"/>
        <v>3773532.24</v>
      </c>
      <c r="S36" s="827">
        <f t="shared" si="35"/>
        <v>0</v>
      </c>
      <c r="T36" s="827">
        <f t="shared" si="36"/>
        <v>0</v>
      </c>
      <c r="U36" s="830">
        <f t="shared" si="37"/>
        <v>1</v>
      </c>
      <c r="V36" s="943">
        <f t="shared" si="4"/>
        <v>0</v>
      </c>
      <c r="W36" s="308" t="str">
        <f t="shared" si="0"/>
        <v>ok</v>
      </c>
      <c r="X36" s="19">
        <v>7612</v>
      </c>
      <c r="Y36" s="787">
        <f t="shared" si="28"/>
        <v>5826</v>
      </c>
    </row>
    <row r="37" spans="1:25" ht="13.5" customHeight="1">
      <c r="A37" s="931">
        <f t="shared" si="1"/>
        <v>0</v>
      </c>
      <c r="B37" s="932">
        <f t="shared" si="2"/>
        <v>0</v>
      </c>
      <c r="C37" s="934">
        <f t="shared" si="3"/>
        <v>1</v>
      </c>
      <c r="D37" s="935" t="str">
        <f t="shared" si="39"/>
        <v>4. OBRAS DE DRENAJE</v>
      </c>
      <c r="E37" s="980">
        <v>22</v>
      </c>
      <c r="F37" s="810" t="s">
        <v>552</v>
      </c>
      <c r="G37" s="977" t="s">
        <v>295</v>
      </c>
      <c r="H37" s="36">
        <v>224933</v>
      </c>
      <c r="I37" s="36">
        <v>17.21</v>
      </c>
      <c r="J37" s="66">
        <f t="shared" si="38"/>
        <v>3871096.93</v>
      </c>
      <c r="K37" s="61">
        <v>0</v>
      </c>
      <c r="L37" s="71">
        <f t="shared" si="29"/>
        <v>0</v>
      </c>
      <c r="M37" s="65">
        <f>+'Cant. Ejec,'!M30</f>
        <v>0</v>
      </c>
      <c r="N37" s="939">
        <f t="shared" si="30"/>
        <v>0</v>
      </c>
      <c r="O37" s="61">
        <f t="shared" si="31"/>
        <v>0</v>
      </c>
      <c r="P37" s="939">
        <f t="shared" si="32"/>
        <v>0</v>
      </c>
      <c r="Q37" s="61">
        <f t="shared" si="33"/>
        <v>224933</v>
      </c>
      <c r="R37" s="939">
        <f t="shared" si="34"/>
        <v>3871096.93</v>
      </c>
      <c r="S37" s="827">
        <f t="shared" si="35"/>
        <v>0</v>
      </c>
      <c r="T37" s="827">
        <f t="shared" si="36"/>
        <v>0</v>
      </c>
      <c r="U37" s="830">
        <f t="shared" si="37"/>
        <v>1</v>
      </c>
      <c r="V37" s="943">
        <f t="shared" si="4"/>
        <v>0</v>
      </c>
      <c r="W37" s="308" t="str">
        <f t="shared" si="0"/>
        <v>ok</v>
      </c>
      <c r="X37" s="19">
        <v>164595.1</v>
      </c>
      <c r="Y37" s="787">
        <f t="shared" si="28"/>
        <v>-60337.899999999994</v>
      </c>
    </row>
    <row r="38" spans="1:25" ht="13.8">
      <c r="A38" s="931">
        <f t="shared" si="1"/>
        <v>0</v>
      </c>
      <c r="B38" s="932">
        <f t="shared" si="2"/>
        <v>0</v>
      </c>
      <c r="C38" s="934">
        <f t="shared" si="3"/>
        <v>1</v>
      </c>
      <c r="D38" s="935" t="str">
        <f t="shared" si="39"/>
        <v>4. OBRAS DE DRENAJE</v>
      </c>
      <c r="E38" s="980">
        <v>23</v>
      </c>
      <c r="F38" s="803" t="s">
        <v>553</v>
      </c>
      <c r="G38" s="977" t="s">
        <v>290</v>
      </c>
      <c r="H38" s="36">
        <v>20</v>
      </c>
      <c r="I38" s="38">
        <v>1634.17</v>
      </c>
      <c r="J38" s="66">
        <f t="shared" si="38"/>
        <v>32683.4</v>
      </c>
      <c r="K38" s="61">
        <v>0</v>
      </c>
      <c r="L38" s="71">
        <f t="shared" si="29"/>
        <v>0</v>
      </c>
      <c r="M38" s="65">
        <f>+'Cant. Ejec,'!M31</f>
        <v>0</v>
      </c>
      <c r="N38" s="939">
        <f t="shared" si="30"/>
        <v>0</v>
      </c>
      <c r="O38" s="61">
        <f t="shared" si="31"/>
        <v>0</v>
      </c>
      <c r="P38" s="939">
        <f t="shared" si="32"/>
        <v>0</v>
      </c>
      <c r="Q38" s="61">
        <f t="shared" si="33"/>
        <v>20</v>
      </c>
      <c r="R38" s="939">
        <f t="shared" si="34"/>
        <v>32683.4</v>
      </c>
      <c r="S38" s="827">
        <f t="shared" si="35"/>
        <v>0</v>
      </c>
      <c r="T38" s="827">
        <f t="shared" si="36"/>
        <v>0</v>
      </c>
      <c r="U38" s="830">
        <f t="shared" si="37"/>
        <v>1</v>
      </c>
      <c r="V38" s="943">
        <f t="shared" si="4"/>
        <v>0</v>
      </c>
      <c r="W38" s="308" t="str">
        <f t="shared" si="0"/>
        <v>ok</v>
      </c>
      <c r="X38" s="19">
        <v>164595.1</v>
      </c>
      <c r="Y38" s="787">
        <f t="shared" si="28"/>
        <v>164575.1</v>
      </c>
    </row>
    <row r="39" spans="1:25" ht="13.5" customHeight="1">
      <c r="A39" s="931">
        <f t="shared" si="1"/>
        <v>0</v>
      </c>
      <c r="B39" s="932">
        <f t="shared" si="2"/>
        <v>0</v>
      </c>
      <c r="C39" s="934">
        <f t="shared" si="3"/>
        <v>1</v>
      </c>
      <c r="D39" s="935" t="str">
        <f t="shared" si="39"/>
        <v>4. OBRAS DE DRENAJE</v>
      </c>
      <c r="E39" s="980">
        <v>24</v>
      </c>
      <c r="F39" s="803" t="s">
        <v>554</v>
      </c>
      <c r="G39" s="977" t="s">
        <v>290</v>
      </c>
      <c r="H39" s="36">
        <v>116</v>
      </c>
      <c r="I39" s="38">
        <v>1729.01</v>
      </c>
      <c r="J39" s="66">
        <f t="shared" si="38"/>
        <v>200565.16</v>
      </c>
      <c r="K39" s="61">
        <v>0</v>
      </c>
      <c r="L39" s="71">
        <f t="shared" si="29"/>
        <v>0</v>
      </c>
      <c r="M39" s="65">
        <f>+'Cant. Ejec,'!M32</f>
        <v>0</v>
      </c>
      <c r="N39" s="939">
        <f t="shared" si="30"/>
        <v>0</v>
      </c>
      <c r="O39" s="61">
        <f t="shared" ref="O39:O72" si="40">K39+M39</f>
        <v>0</v>
      </c>
      <c r="P39" s="939">
        <f t="shared" ref="P39:P72" si="41">L39+N39</f>
        <v>0</v>
      </c>
      <c r="Q39" s="61">
        <f t="shared" si="33"/>
        <v>116</v>
      </c>
      <c r="R39" s="939">
        <f t="shared" si="34"/>
        <v>200565.16</v>
      </c>
      <c r="S39" s="827">
        <f t="shared" si="35"/>
        <v>0</v>
      </c>
      <c r="T39" s="827">
        <f t="shared" si="36"/>
        <v>0</v>
      </c>
      <c r="U39" s="830">
        <f t="shared" si="37"/>
        <v>1</v>
      </c>
      <c r="V39" s="943">
        <f t="shared" si="4"/>
        <v>0</v>
      </c>
      <c r="W39" s="308" t="str">
        <f t="shared" si="0"/>
        <v>ok</v>
      </c>
      <c r="X39" s="19">
        <v>6090</v>
      </c>
      <c r="Y39" s="787">
        <f t="shared" si="28"/>
        <v>5974</v>
      </c>
    </row>
    <row r="40" spans="1:25" ht="13.5" customHeight="1">
      <c r="A40" s="931">
        <f t="shared" si="1"/>
        <v>0</v>
      </c>
      <c r="B40" s="932">
        <f t="shared" si="2"/>
        <v>0</v>
      </c>
      <c r="C40" s="934">
        <f t="shared" si="3"/>
        <v>1</v>
      </c>
      <c r="D40" s="935" t="str">
        <f t="shared" si="39"/>
        <v>4. OBRAS DE DRENAJE</v>
      </c>
      <c r="E40" s="980">
        <v>25</v>
      </c>
      <c r="F40" s="803" t="s">
        <v>555</v>
      </c>
      <c r="G40" s="977" t="s">
        <v>293</v>
      </c>
      <c r="H40" s="36">
        <v>63</v>
      </c>
      <c r="I40" s="38">
        <v>2244.69</v>
      </c>
      <c r="J40" s="66">
        <f t="shared" si="38"/>
        <v>141415.47</v>
      </c>
      <c r="K40" s="61">
        <v>0</v>
      </c>
      <c r="L40" s="71">
        <f t="shared" si="29"/>
        <v>0</v>
      </c>
      <c r="M40" s="65">
        <f>+'Cant. Ejec,'!M33</f>
        <v>0</v>
      </c>
      <c r="N40" s="939">
        <f t="shared" si="30"/>
        <v>0</v>
      </c>
      <c r="O40" s="61">
        <f t="shared" si="40"/>
        <v>0</v>
      </c>
      <c r="P40" s="939">
        <f t="shared" si="41"/>
        <v>0</v>
      </c>
      <c r="Q40" s="61">
        <f t="shared" si="33"/>
        <v>63</v>
      </c>
      <c r="R40" s="939">
        <f t="shared" si="34"/>
        <v>141415.47</v>
      </c>
      <c r="S40" s="827">
        <f t="shared" si="35"/>
        <v>0</v>
      </c>
      <c r="T40" s="827">
        <f t="shared" si="36"/>
        <v>0</v>
      </c>
      <c r="U40" s="830">
        <f t="shared" si="37"/>
        <v>1</v>
      </c>
      <c r="V40" s="943">
        <f t="shared" si="4"/>
        <v>0</v>
      </c>
      <c r="W40" s="308" t="str">
        <f t="shared" si="0"/>
        <v>ok</v>
      </c>
      <c r="X40" s="19">
        <v>181054.6</v>
      </c>
      <c r="Y40" s="787">
        <f t="shared" si="28"/>
        <v>180991.6</v>
      </c>
    </row>
    <row r="41" spans="1:25" ht="13.5" customHeight="1">
      <c r="A41" s="931">
        <f t="shared" si="1"/>
        <v>0</v>
      </c>
      <c r="B41" s="932">
        <f t="shared" si="2"/>
        <v>0</v>
      </c>
      <c r="C41" s="934">
        <f t="shared" si="3"/>
        <v>1</v>
      </c>
      <c r="D41" s="935" t="str">
        <f t="shared" si="39"/>
        <v>4. OBRAS DE DRENAJE</v>
      </c>
      <c r="E41" s="980">
        <v>26</v>
      </c>
      <c r="F41" s="810" t="s">
        <v>556</v>
      </c>
      <c r="G41" s="977" t="s">
        <v>290</v>
      </c>
      <c r="H41" s="36">
        <v>52</v>
      </c>
      <c r="I41" s="36">
        <v>1393.68</v>
      </c>
      <c r="J41" s="66">
        <f t="shared" si="38"/>
        <v>72471.360000000001</v>
      </c>
      <c r="K41" s="61">
        <v>0</v>
      </c>
      <c r="L41" s="71">
        <f t="shared" si="29"/>
        <v>0</v>
      </c>
      <c r="M41" s="65">
        <f>+'Cant. Ejec,'!M34</f>
        <v>0</v>
      </c>
      <c r="N41" s="939">
        <f t="shared" si="30"/>
        <v>0</v>
      </c>
      <c r="O41" s="61">
        <f t="shared" si="40"/>
        <v>0</v>
      </c>
      <c r="P41" s="939">
        <f t="shared" si="41"/>
        <v>0</v>
      </c>
      <c r="Q41" s="61">
        <f t="shared" si="33"/>
        <v>52</v>
      </c>
      <c r="R41" s="939">
        <f t="shared" si="34"/>
        <v>72471.360000000001</v>
      </c>
      <c r="S41" s="827">
        <f t="shared" si="35"/>
        <v>0</v>
      </c>
      <c r="T41" s="827">
        <f t="shared" si="36"/>
        <v>0</v>
      </c>
      <c r="U41" s="830">
        <f t="shared" si="37"/>
        <v>1</v>
      </c>
      <c r="V41" s="943">
        <f t="shared" si="4"/>
        <v>0</v>
      </c>
      <c r="W41" s="308" t="str">
        <f t="shared" si="0"/>
        <v>ok</v>
      </c>
      <c r="X41" s="19">
        <v>65838.05</v>
      </c>
      <c r="Y41" s="787">
        <f t="shared" si="28"/>
        <v>65786.05</v>
      </c>
    </row>
    <row r="42" spans="1:25" ht="13.5" customHeight="1">
      <c r="A42" s="931">
        <f t="shared" si="1"/>
        <v>0</v>
      </c>
      <c r="B42" s="932">
        <f t="shared" si="2"/>
        <v>0</v>
      </c>
      <c r="C42" s="934">
        <f t="shared" si="3"/>
        <v>1</v>
      </c>
      <c r="D42" s="935" t="str">
        <f t="shared" si="39"/>
        <v>4. OBRAS DE DRENAJE</v>
      </c>
      <c r="E42" s="980">
        <v>27</v>
      </c>
      <c r="F42" s="803" t="s">
        <v>557</v>
      </c>
      <c r="G42" s="977" t="s">
        <v>290</v>
      </c>
      <c r="H42" s="36">
        <v>959</v>
      </c>
      <c r="I42" s="36">
        <v>1483.78</v>
      </c>
      <c r="J42" s="66">
        <f t="shared" si="38"/>
        <v>1422945.02</v>
      </c>
      <c r="K42" s="61">
        <v>0</v>
      </c>
      <c r="L42" s="71">
        <f t="shared" si="29"/>
        <v>0</v>
      </c>
      <c r="M42" s="65">
        <f>+'Cant. Ejec,'!M35</f>
        <v>0</v>
      </c>
      <c r="N42" s="939">
        <f t="shared" si="30"/>
        <v>0</v>
      </c>
      <c r="O42" s="61">
        <f t="shared" si="40"/>
        <v>0</v>
      </c>
      <c r="P42" s="939">
        <f t="shared" si="41"/>
        <v>0</v>
      </c>
      <c r="Q42" s="61">
        <f t="shared" si="33"/>
        <v>959</v>
      </c>
      <c r="R42" s="939">
        <f t="shared" si="34"/>
        <v>1422945.02</v>
      </c>
      <c r="S42" s="827">
        <f t="shared" si="35"/>
        <v>0</v>
      </c>
      <c r="T42" s="827">
        <f t="shared" si="36"/>
        <v>0</v>
      </c>
      <c r="U42" s="830">
        <f t="shared" si="37"/>
        <v>1</v>
      </c>
      <c r="V42" s="943">
        <f t="shared" si="4"/>
        <v>0</v>
      </c>
      <c r="W42" s="308" t="str">
        <f t="shared" ref="W42:W73" si="42">IF((P42+R42)=J42,"ok","MAL")</f>
        <v>ok</v>
      </c>
      <c r="Y42" s="787">
        <f t="shared" si="28"/>
        <v>-959</v>
      </c>
    </row>
    <row r="43" spans="1:25" ht="13.5" customHeight="1">
      <c r="A43" s="931">
        <f t="shared" si="1"/>
        <v>0</v>
      </c>
      <c r="B43" s="932">
        <f t="shared" si="2"/>
        <v>0</v>
      </c>
      <c r="C43" s="934">
        <f t="shared" si="3"/>
        <v>1</v>
      </c>
      <c r="D43" s="935" t="str">
        <f t="shared" si="39"/>
        <v>4. OBRAS DE DRENAJE</v>
      </c>
      <c r="E43" s="980">
        <v>28</v>
      </c>
      <c r="F43" s="803" t="s">
        <v>558</v>
      </c>
      <c r="G43" s="977" t="s">
        <v>290</v>
      </c>
      <c r="H43" s="36">
        <v>1578</v>
      </c>
      <c r="I43" s="36">
        <v>1483.78</v>
      </c>
      <c r="J43" s="66">
        <f t="shared" si="38"/>
        <v>2341404.84</v>
      </c>
      <c r="K43" s="61">
        <v>0</v>
      </c>
      <c r="L43" s="71">
        <f t="shared" si="29"/>
        <v>0</v>
      </c>
      <c r="M43" s="65">
        <f>+'Cant. Ejec,'!M36</f>
        <v>0</v>
      </c>
      <c r="N43" s="939">
        <f t="shared" si="30"/>
        <v>0</v>
      </c>
      <c r="O43" s="61">
        <f t="shared" si="40"/>
        <v>0</v>
      </c>
      <c r="P43" s="939">
        <f t="shared" si="41"/>
        <v>0</v>
      </c>
      <c r="Q43" s="61">
        <f t="shared" si="33"/>
        <v>1578</v>
      </c>
      <c r="R43" s="939">
        <f t="shared" si="34"/>
        <v>2341404.84</v>
      </c>
      <c r="S43" s="827">
        <f t="shared" si="35"/>
        <v>0</v>
      </c>
      <c r="T43" s="827">
        <f t="shared" si="36"/>
        <v>0</v>
      </c>
      <c r="U43" s="830">
        <f t="shared" si="37"/>
        <v>1</v>
      </c>
      <c r="V43" s="943">
        <f t="shared" si="4"/>
        <v>0</v>
      </c>
      <c r="W43" s="308" t="str">
        <f t="shared" si="42"/>
        <v>ok</v>
      </c>
      <c r="Y43" s="787">
        <f t="shared" si="28"/>
        <v>-1578</v>
      </c>
    </row>
    <row r="44" spans="1:25" ht="13.5" customHeight="1">
      <c r="A44" s="931">
        <f t="shared" si="1"/>
        <v>0</v>
      </c>
      <c r="B44" s="932">
        <f t="shared" si="2"/>
        <v>0</v>
      </c>
      <c r="C44" s="934">
        <f t="shared" si="3"/>
        <v>1</v>
      </c>
      <c r="D44" s="935" t="str">
        <f t="shared" si="39"/>
        <v>4. OBRAS DE DRENAJE</v>
      </c>
      <c r="E44" s="980">
        <v>29</v>
      </c>
      <c r="F44" s="810" t="s">
        <v>559</v>
      </c>
      <c r="G44" s="977" t="s">
        <v>290</v>
      </c>
      <c r="H44" s="36">
        <v>182</v>
      </c>
      <c r="I44" s="36">
        <v>1483.78</v>
      </c>
      <c r="J44" s="66">
        <f t="shared" si="38"/>
        <v>270047.96000000002</v>
      </c>
      <c r="K44" s="61">
        <v>0</v>
      </c>
      <c r="L44" s="71">
        <f t="shared" si="29"/>
        <v>0</v>
      </c>
      <c r="M44" s="65">
        <f>+'Cant. Ejec,'!M37</f>
        <v>0</v>
      </c>
      <c r="N44" s="939">
        <f t="shared" si="30"/>
        <v>0</v>
      </c>
      <c r="O44" s="61">
        <f t="shared" si="40"/>
        <v>0</v>
      </c>
      <c r="P44" s="939">
        <f t="shared" si="41"/>
        <v>0</v>
      </c>
      <c r="Q44" s="61">
        <f t="shared" si="33"/>
        <v>182</v>
      </c>
      <c r="R44" s="939">
        <f t="shared" si="34"/>
        <v>270047.96000000002</v>
      </c>
      <c r="S44" s="827">
        <f t="shared" si="35"/>
        <v>0</v>
      </c>
      <c r="T44" s="827">
        <f t="shared" si="36"/>
        <v>0</v>
      </c>
      <c r="U44" s="830">
        <f t="shared" si="37"/>
        <v>1</v>
      </c>
      <c r="V44" s="943">
        <f t="shared" si="4"/>
        <v>0</v>
      </c>
      <c r="W44" s="308" t="str">
        <f t="shared" si="42"/>
        <v>ok</v>
      </c>
      <c r="X44" s="19">
        <v>0</v>
      </c>
      <c r="Y44" s="787">
        <f t="shared" si="28"/>
        <v>-182</v>
      </c>
    </row>
    <row r="45" spans="1:25" ht="13.5" customHeight="1">
      <c r="A45" s="931">
        <f t="shared" si="1"/>
        <v>0</v>
      </c>
      <c r="B45" s="932">
        <f t="shared" si="2"/>
        <v>0</v>
      </c>
      <c r="C45" s="934">
        <f t="shared" si="3"/>
        <v>1</v>
      </c>
      <c r="D45" s="935" t="str">
        <f t="shared" si="39"/>
        <v>4. OBRAS DE DRENAJE</v>
      </c>
      <c r="E45" s="980">
        <v>30</v>
      </c>
      <c r="F45" s="803" t="s">
        <v>560</v>
      </c>
      <c r="G45" s="977" t="s">
        <v>290</v>
      </c>
      <c r="H45" s="36">
        <v>324</v>
      </c>
      <c r="I45" s="38">
        <v>1483.78</v>
      </c>
      <c r="J45" s="66">
        <f t="shared" si="38"/>
        <v>480744.72</v>
      </c>
      <c r="K45" s="61">
        <v>0</v>
      </c>
      <c r="L45" s="71">
        <f t="shared" si="29"/>
        <v>0</v>
      </c>
      <c r="M45" s="65">
        <f>+'Cant. Ejec,'!M38</f>
        <v>0</v>
      </c>
      <c r="N45" s="939">
        <f t="shared" si="30"/>
        <v>0</v>
      </c>
      <c r="O45" s="61">
        <f t="shared" si="40"/>
        <v>0</v>
      </c>
      <c r="P45" s="939">
        <f t="shared" si="41"/>
        <v>0</v>
      </c>
      <c r="Q45" s="61">
        <f t="shared" si="33"/>
        <v>324</v>
      </c>
      <c r="R45" s="939">
        <f t="shared" si="34"/>
        <v>480744.72</v>
      </c>
      <c r="S45" s="827">
        <f t="shared" si="35"/>
        <v>0</v>
      </c>
      <c r="T45" s="827">
        <f t="shared" si="36"/>
        <v>0</v>
      </c>
      <c r="U45" s="830">
        <f t="shared" si="37"/>
        <v>1</v>
      </c>
      <c r="V45" s="943">
        <f t="shared" si="4"/>
        <v>0</v>
      </c>
      <c r="W45" s="308" t="str">
        <f t="shared" si="42"/>
        <v>ok</v>
      </c>
      <c r="X45" s="19">
        <v>235</v>
      </c>
      <c r="Y45" s="787">
        <f t="shared" si="28"/>
        <v>-89</v>
      </c>
    </row>
    <row r="46" spans="1:25" ht="13.5" customHeight="1">
      <c r="A46" s="931">
        <f t="shared" si="1"/>
        <v>0</v>
      </c>
      <c r="B46" s="932">
        <f t="shared" si="2"/>
        <v>0</v>
      </c>
      <c r="C46" s="934">
        <f t="shared" si="3"/>
        <v>1</v>
      </c>
      <c r="D46" s="935" t="str">
        <f t="shared" si="39"/>
        <v>4. OBRAS DE DRENAJE</v>
      </c>
      <c r="E46" s="980">
        <v>31</v>
      </c>
      <c r="F46" s="803" t="s">
        <v>561</v>
      </c>
      <c r="G46" s="977" t="s">
        <v>290</v>
      </c>
      <c r="H46" s="36">
        <v>915</v>
      </c>
      <c r="I46" s="36">
        <v>1483.78</v>
      </c>
      <c r="J46" s="66">
        <f t="shared" si="38"/>
        <v>1357658.7</v>
      </c>
      <c r="K46" s="61">
        <v>0</v>
      </c>
      <c r="L46" s="71">
        <f t="shared" si="29"/>
        <v>0</v>
      </c>
      <c r="M46" s="65">
        <f>+'Cant. Ejec,'!M39</f>
        <v>0</v>
      </c>
      <c r="N46" s="939">
        <f t="shared" si="30"/>
        <v>0</v>
      </c>
      <c r="O46" s="61">
        <f t="shared" si="40"/>
        <v>0</v>
      </c>
      <c r="P46" s="939">
        <f t="shared" si="41"/>
        <v>0</v>
      </c>
      <c r="Q46" s="61">
        <f t="shared" si="33"/>
        <v>915</v>
      </c>
      <c r="R46" s="939">
        <f t="shared" si="34"/>
        <v>1357658.7</v>
      </c>
      <c r="S46" s="827">
        <f t="shared" si="35"/>
        <v>0</v>
      </c>
      <c r="T46" s="827">
        <f t="shared" si="36"/>
        <v>0</v>
      </c>
      <c r="U46" s="830">
        <f t="shared" si="37"/>
        <v>1</v>
      </c>
      <c r="V46" s="943">
        <f t="shared" si="4"/>
        <v>0</v>
      </c>
      <c r="W46" s="308" t="str">
        <f t="shared" si="42"/>
        <v>ok</v>
      </c>
      <c r="X46" s="19">
        <v>470</v>
      </c>
      <c r="Y46" s="787">
        <f t="shared" si="28"/>
        <v>-445</v>
      </c>
    </row>
    <row r="47" spans="1:25" ht="13.5" customHeight="1">
      <c r="A47" s="931">
        <f t="shared" si="1"/>
        <v>0</v>
      </c>
      <c r="B47" s="932">
        <f t="shared" si="2"/>
        <v>0</v>
      </c>
      <c r="C47" s="934">
        <f t="shared" si="3"/>
        <v>1</v>
      </c>
      <c r="D47" s="935" t="str">
        <f t="shared" si="39"/>
        <v>4. OBRAS DE DRENAJE</v>
      </c>
      <c r="E47" s="980">
        <v>32</v>
      </c>
      <c r="F47" s="803" t="s">
        <v>562</v>
      </c>
      <c r="G47" s="977" t="s">
        <v>290</v>
      </c>
      <c r="H47" s="36">
        <v>173</v>
      </c>
      <c r="I47" s="36">
        <v>1483.78</v>
      </c>
      <c r="J47" s="66">
        <f t="shared" si="38"/>
        <v>256693.94</v>
      </c>
      <c r="K47" s="61">
        <v>0</v>
      </c>
      <c r="L47" s="71">
        <f t="shared" si="29"/>
        <v>0</v>
      </c>
      <c r="M47" s="65">
        <f>+'Cant. Ejec,'!M40</f>
        <v>0</v>
      </c>
      <c r="N47" s="939">
        <f t="shared" si="30"/>
        <v>0</v>
      </c>
      <c r="O47" s="61">
        <f t="shared" si="40"/>
        <v>0</v>
      </c>
      <c r="P47" s="939">
        <f t="shared" si="41"/>
        <v>0</v>
      </c>
      <c r="Q47" s="61">
        <f t="shared" si="33"/>
        <v>173</v>
      </c>
      <c r="R47" s="939">
        <f t="shared" si="34"/>
        <v>256693.94</v>
      </c>
      <c r="S47" s="827">
        <f t="shared" si="35"/>
        <v>0</v>
      </c>
      <c r="T47" s="827">
        <f t="shared" si="36"/>
        <v>0</v>
      </c>
      <c r="U47" s="830">
        <f t="shared" si="37"/>
        <v>1</v>
      </c>
      <c r="V47" s="943">
        <f t="shared" si="4"/>
        <v>0</v>
      </c>
      <c r="W47" s="308" t="str">
        <f t="shared" si="42"/>
        <v>ok</v>
      </c>
      <c r="Y47" s="787"/>
    </row>
    <row r="48" spans="1:25" ht="13.5" customHeight="1">
      <c r="A48" s="931">
        <f t="shared" si="1"/>
        <v>0</v>
      </c>
      <c r="B48" s="932">
        <f t="shared" si="2"/>
        <v>0</v>
      </c>
      <c r="C48" s="934">
        <f t="shared" si="3"/>
        <v>1</v>
      </c>
      <c r="D48" s="935" t="str">
        <f t="shared" si="39"/>
        <v>4. OBRAS DE DRENAJE</v>
      </c>
      <c r="E48" s="980">
        <v>33</v>
      </c>
      <c r="F48" s="803" t="s">
        <v>563</v>
      </c>
      <c r="G48" s="977" t="s">
        <v>293</v>
      </c>
      <c r="H48" s="36">
        <v>1320</v>
      </c>
      <c r="I48" s="36">
        <v>298.16000000000003</v>
      </c>
      <c r="J48" s="66">
        <f t="shared" si="38"/>
        <v>393571.2</v>
      </c>
      <c r="K48" s="61">
        <v>0</v>
      </c>
      <c r="L48" s="71">
        <f t="shared" si="29"/>
        <v>0</v>
      </c>
      <c r="M48" s="65">
        <f>+'Cant. Ejec,'!M41</f>
        <v>0</v>
      </c>
      <c r="N48" s="939">
        <f t="shared" si="30"/>
        <v>0</v>
      </c>
      <c r="O48" s="61">
        <f t="shared" si="40"/>
        <v>0</v>
      </c>
      <c r="P48" s="939">
        <f t="shared" si="41"/>
        <v>0</v>
      </c>
      <c r="Q48" s="61">
        <f t="shared" si="33"/>
        <v>1320</v>
      </c>
      <c r="R48" s="939">
        <f t="shared" si="34"/>
        <v>393571.2</v>
      </c>
      <c r="S48" s="827">
        <f t="shared" si="35"/>
        <v>0</v>
      </c>
      <c r="T48" s="827">
        <f t="shared" si="36"/>
        <v>0</v>
      </c>
      <c r="U48" s="830">
        <f t="shared" si="37"/>
        <v>1</v>
      </c>
      <c r="V48" s="943">
        <f t="shared" si="4"/>
        <v>0</v>
      </c>
      <c r="W48" s="308" t="str">
        <f t="shared" si="42"/>
        <v>ok</v>
      </c>
      <c r="X48" s="19">
        <v>639</v>
      </c>
      <c r="Y48" s="787">
        <f t="shared" si="28"/>
        <v>-681</v>
      </c>
    </row>
    <row r="49" spans="1:25" ht="13.8">
      <c r="A49" s="931">
        <f t="shared" si="1"/>
        <v>0</v>
      </c>
      <c r="B49" s="932">
        <f t="shared" si="2"/>
        <v>0</v>
      </c>
      <c r="C49" s="934">
        <f t="shared" si="3"/>
        <v>1</v>
      </c>
      <c r="D49" s="935" t="str">
        <f t="shared" si="39"/>
        <v>4. OBRAS DE DRENAJE</v>
      </c>
      <c r="E49" s="980">
        <v>34</v>
      </c>
      <c r="F49" s="803" t="s">
        <v>564</v>
      </c>
      <c r="G49" s="977" t="s">
        <v>293</v>
      </c>
      <c r="H49" s="36">
        <v>14</v>
      </c>
      <c r="I49" s="36">
        <v>1943.4</v>
      </c>
      <c r="J49" s="66">
        <f t="shared" si="38"/>
        <v>27207.599999999999</v>
      </c>
      <c r="K49" s="61">
        <v>0</v>
      </c>
      <c r="L49" s="71">
        <f t="shared" si="29"/>
        <v>0</v>
      </c>
      <c r="M49" s="65">
        <f>+'Cant. Ejec,'!M42</f>
        <v>0</v>
      </c>
      <c r="N49" s="939">
        <f t="shared" si="30"/>
        <v>0</v>
      </c>
      <c r="O49" s="61">
        <f t="shared" si="40"/>
        <v>0</v>
      </c>
      <c r="P49" s="939">
        <f t="shared" si="41"/>
        <v>0</v>
      </c>
      <c r="Q49" s="61">
        <f t="shared" si="33"/>
        <v>14</v>
      </c>
      <c r="R49" s="939">
        <f t="shared" si="34"/>
        <v>27207.599999999999</v>
      </c>
      <c r="S49" s="827">
        <f t="shared" si="35"/>
        <v>0</v>
      </c>
      <c r="T49" s="827">
        <f t="shared" si="36"/>
        <v>0</v>
      </c>
      <c r="U49" s="830">
        <f t="shared" si="37"/>
        <v>1</v>
      </c>
      <c r="V49" s="943">
        <f t="shared" si="4"/>
        <v>0</v>
      </c>
      <c r="W49" s="308" t="str">
        <f t="shared" si="42"/>
        <v>ok</v>
      </c>
      <c r="X49" s="19">
        <v>67223.95</v>
      </c>
      <c r="Y49" s="787">
        <f t="shared" si="28"/>
        <v>67209.95</v>
      </c>
    </row>
    <row r="50" spans="1:25" ht="13.5" customHeight="1">
      <c r="A50" s="931">
        <f t="shared" si="1"/>
        <v>0</v>
      </c>
      <c r="B50" s="932">
        <f t="shared" si="2"/>
        <v>0</v>
      </c>
      <c r="C50" s="934">
        <f t="shared" si="3"/>
        <v>1</v>
      </c>
      <c r="D50" s="935" t="str">
        <f t="shared" si="39"/>
        <v>4. OBRAS DE DRENAJE</v>
      </c>
      <c r="E50" s="980">
        <v>35</v>
      </c>
      <c r="F50" s="803" t="s">
        <v>565</v>
      </c>
      <c r="G50" s="977" t="s">
        <v>290</v>
      </c>
      <c r="H50" s="36">
        <v>8800</v>
      </c>
      <c r="I50" s="36">
        <v>34.61</v>
      </c>
      <c r="J50" s="66">
        <f t="shared" si="38"/>
        <v>304568</v>
      </c>
      <c r="K50" s="61">
        <v>0</v>
      </c>
      <c r="L50" s="71">
        <f t="shared" si="29"/>
        <v>0</v>
      </c>
      <c r="M50" s="65">
        <f>+'Cant. Ejec,'!M43</f>
        <v>0</v>
      </c>
      <c r="N50" s="939">
        <f t="shared" si="30"/>
        <v>0</v>
      </c>
      <c r="O50" s="61">
        <f t="shared" si="40"/>
        <v>0</v>
      </c>
      <c r="P50" s="939">
        <f t="shared" si="41"/>
        <v>0</v>
      </c>
      <c r="Q50" s="61">
        <f t="shared" si="33"/>
        <v>8800</v>
      </c>
      <c r="R50" s="939">
        <f t="shared" si="34"/>
        <v>304568</v>
      </c>
      <c r="S50" s="827">
        <f t="shared" si="35"/>
        <v>0</v>
      </c>
      <c r="T50" s="827">
        <f t="shared" si="36"/>
        <v>0</v>
      </c>
      <c r="U50" s="830">
        <f t="shared" si="37"/>
        <v>1</v>
      </c>
      <c r="V50" s="943">
        <f t="shared" si="4"/>
        <v>0</v>
      </c>
      <c r="W50" s="308" t="str">
        <f t="shared" si="42"/>
        <v>ok</v>
      </c>
      <c r="X50" s="19">
        <v>766.59</v>
      </c>
      <c r="Y50" s="787">
        <f t="shared" si="28"/>
        <v>-8033.41</v>
      </c>
    </row>
    <row r="51" spans="1:25" ht="13.5" customHeight="1">
      <c r="A51" s="931">
        <f t="shared" si="1"/>
        <v>0</v>
      </c>
      <c r="B51" s="932">
        <f t="shared" si="2"/>
        <v>0</v>
      </c>
      <c r="C51" s="934">
        <f t="shared" si="3"/>
        <v>1</v>
      </c>
      <c r="D51" s="935" t="str">
        <f t="shared" si="39"/>
        <v>4. OBRAS DE DRENAJE</v>
      </c>
      <c r="E51" s="980">
        <v>36</v>
      </c>
      <c r="F51" s="803" t="s">
        <v>566</v>
      </c>
      <c r="G51" s="977" t="s">
        <v>291</v>
      </c>
      <c r="H51" s="36">
        <v>1200</v>
      </c>
      <c r="I51" s="36">
        <v>106.62</v>
      </c>
      <c r="J51" s="66">
        <f t="shared" si="38"/>
        <v>127944</v>
      </c>
      <c r="K51" s="61">
        <v>0</v>
      </c>
      <c r="L51" s="71">
        <f t="shared" si="29"/>
        <v>0</v>
      </c>
      <c r="M51" s="65">
        <f>+'Cant. Ejec,'!M44</f>
        <v>0</v>
      </c>
      <c r="N51" s="939">
        <f t="shared" si="30"/>
        <v>0</v>
      </c>
      <c r="O51" s="61">
        <f t="shared" si="40"/>
        <v>0</v>
      </c>
      <c r="P51" s="939">
        <f t="shared" si="41"/>
        <v>0</v>
      </c>
      <c r="Q51" s="61">
        <f t="shared" si="33"/>
        <v>1200</v>
      </c>
      <c r="R51" s="939">
        <f t="shared" si="34"/>
        <v>127944</v>
      </c>
      <c r="S51" s="827">
        <f t="shared" si="35"/>
        <v>0</v>
      </c>
      <c r="T51" s="827">
        <f t="shared" si="36"/>
        <v>0</v>
      </c>
      <c r="U51" s="830">
        <f t="shared" si="37"/>
        <v>1</v>
      </c>
      <c r="V51" s="943">
        <f t="shared" si="4"/>
        <v>0</v>
      </c>
      <c r="W51" s="308" t="str">
        <f t="shared" si="42"/>
        <v>ok</v>
      </c>
      <c r="X51" s="19">
        <v>130.56</v>
      </c>
      <c r="Y51" s="787">
        <f t="shared" si="28"/>
        <v>-1069.44</v>
      </c>
    </row>
    <row r="52" spans="1:25" ht="13.5" customHeight="1">
      <c r="A52" s="931">
        <f t="shared" si="1"/>
        <v>0</v>
      </c>
      <c r="B52" s="932">
        <f t="shared" si="2"/>
        <v>0</v>
      </c>
      <c r="C52" s="934">
        <f t="shared" si="3"/>
        <v>1</v>
      </c>
      <c r="D52" s="935" t="str">
        <f t="shared" si="39"/>
        <v>4. OBRAS DE DRENAJE</v>
      </c>
      <c r="E52" s="980">
        <v>37</v>
      </c>
      <c r="F52" s="803" t="s">
        <v>567</v>
      </c>
      <c r="G52" s="977" t="s">
        <v>290</v>
      </c>
      <c r="H52" s="36">
        <v>44</v>
      </c>
      <c r="I52" s="36">
        <v>761.21</v>
      </c>
      <c r="J52" s="66">
        <f t="shared" si="38"/>
        <v>33493.24</v>
      </c>
      <c r="K52" s="61">
        <v>0</v>
      </c>
      <c r="L52" s="71">
        <f t="shared" si="29"/>
        <v>0</v>
      </c>
      <c r="M52" s="65">
        <f>+'Cant. Ejec,'!M45</f>
        <v>0</v>
      </c>
      <c r="N52" s="939">
        <f t="shared" si="30"/>
        <v>0</v>
      </c>
      <c r="O52" s="61">
        <f t="shared" si="40"/>
        <v>0</v>
      </c>
      <c r="P52" s="939">
        <f t="shared" si="41"/>
        <v>0</v>
      </c>
      <c r="Q52" s="61">
        <f t="shared" si="33"/>
        <v>44</v>
      </c>
      <c r="R52" s="939">
        <f t="shared" si="34"/>
        <v>33493.24</v>
      </c>
      <c r="S52" s="827">
        <f t="shared" si="35"/>
        <v>0</v>
      </c>
      <c r="T52" s="827">
        <f t="shared" si="36"/>
        <v>0</v>
      </c>
      <c r="U52" s="830">
        <f t="shared" si="37"/>
        <v>1</v>
      </c>
      <c r="V52" s="943">
        <f t="shared" si="4"/>
        <v>0</v>
      </c>
      <c r="W52" s="308" t="str">
        <f t="shared" si="42"/>
        <v>ok</v>
      </c>
      <c r="X52" s="19">
        <v>6503.2</v>
      </c>
      <c r="Y52" s="787">
        <f t="shared" si="28"/>
        <v>6459.2</v>
      </c>
    </row>
    <row r="53" spans="1:25" ht="13.5" customHeight="1">
      <c r="A53" s="931">
        <f t="shared" si="1"/>
        <v>0</v>
      </c>
      <c r="B53" s="932">
        <f t="shared" si="2"/>
        <v>0</v>
      </c>
      <c r="C53" s="934">
        <f t="shared" si="3"/>
        <v>1</v>
      </c>
      <c r="D53" s="935" t="str">
        <f t="shared" si="39"/>
        <v>4. OBRAS DE DRENAJE</v>
      </c>
      <c r="E53" s="980">
        <v>38</v>
      </c>
      <c r="F53" s="803" t="s">
        <v>568</v>
      </c>
      <c r="G53" s="977" t="s">
        <v>290</v>
      </c>
      <c r="H53" s="36">
        <v>8</v>
      </c>
      <c r="I53" s="36">
        <v>941.82</v>
      </c>
      <c r="J53" s="66">
        <f t="shared" si="38"/>
        <v>7534.56</v>
      </c>
      <c r="K53" s="61">
        <v>0</v>
      </c>
      <c r="L53" s="71">
        <f t="shared" si="29"/>
        <v>0</v>
      </c>
      <c r="M53" s="65">
        <f>+'Cant. Ejec,'!M46</f>
        <v>0</v>
      </c>
      <c r="N53" s="939">
        <f t="shared" si="30"/>
        <v>0</v>
      </c>
      <c r="O53" s="61">
        <f t="shared" si="40"/>
        <v>0</v>
      </c>
      <c r="P53" s="939">
        <f t="shared" si="41"/>
        <v>0</v>
      </c>
      <c r="Q53" s="61">
        <f t="shared" si="33"/>
        <v>8</v>
      </c>
      <c r="R53" s="939">
        <f t="shared" si="34"/>
        <v>7534.56</v>
      </c>
      <c r="S53" s="827">
        <f t="shared" si="35"/>
        <v>0</v>
      </c>
      <c r="T53" s="827">
        <f t="shared" si="36"/>
        <v>0</v>
      </c>
      <c r="U53" s="830">
        <f t="shared" si="37"/>
        <v>1</v>
      </c>
      <c r="V53" s="943">
        <f t="shared" si="4"/>
        <v>0</v>
      </c>
      <c r="W53" s="308" t="str">
        <f t="shared" si="42"/>
        <v>ok</v>
      </c>
      <c r="X53" s="19">
        <v>460</v>
      </c>
      <c r="Y53" s="787">
        <f t="shared" si="28"/>
        <v>452</v>
      </c>
    </row>
    <row r="54" spans="1:25" ht="13.5" customHeight="1">
      <c r="A54" s="931">
        <f t="shared" si="1"/>
        <v>0</v>
      </c>
      <c r="B54" s="932">
        <f t="shared" si="2"/>
        <v>0</v>
      </c>
      <c r="C54" s="934">
        <f t="shared" si="3"/>
        <v>1</v>
      </c>
      <c r="D54" s="935" t="str">
        <f t="shared" si="39"/>
        <v>4. OBRAS DE DRENAJE</v>
      </c>
      <c r="E54" s="980">
        <v>39</v>
      </c>
      <c r="F54" s="803" t="s">
        <v>569</v>
      </c>
      <c r="G54" s="977" t="s">
        <v>290</v>
      </c>
      <c r="H54" s="36">
        <v>4</v>
      </c>
      <c r="I54" s="36">
        <v>110.15</v>
      </c>
      <c r="J54" s="66">
        <f t="shared" si="38"/>
        <v>440.6</v>
      </c>
      <c r="K54" s="61">
        <v>0</v>
      </c>
      <c r="L54" s="71">
        <f t="shared" si="29"/>
        <v>0</v>
      </c>
      <c r="M54" s="65">
        <f>+'Cant. Ejec,'!M47</f>
        <v>0</v>
      </c>
      <c r="N54" s="939">
        <f t="shared" si="30"/>
        <v>0</v>
      </c>
      <c r="O54" s="61">
        <f t="shared" si="40"/>
        <v>0</v>
      </c>
      <c r="P54" s="939">
        <f t="shared" si="41"/>
        <v>0</v>
      </c>
      <c r="Q54" s="61">
        <f t="shared" si="33"/>
        <v>4</v>
      </c>
      <c r="R54" s="939">
        <f t="shared" si="34"/>
        <v>440.6</v>
      </c>
      <c r="S54" s="827">
        <f t="shared" si="35"/>
        <v>0</v>
      </c>
      <c r="T54" s="827">
        <f t="shared" si="36"/>
        <v>0</v>
      </c>
      <c r="U54" s="830">
        <f t="shared" si="37"/>
        <v>1</v>
      </c>
      <c r="V54" s="943">
        <f t="shared" si="4"/>
        <v>0</v>
      </c>
      <c r="W54" s="308" t="str">
        <f t="shared" si="42"/>
        <v>ok</v>
      </c>
      <c r="X54" s="19">
        <v>356</v>
      </c>
      <c r="Y54" s="787">
        <f t="shared" si="28"/>
        <v>352</v>
      </c>
    </row>
    <row r="55" spans="1:25" ht="13.5" customHeight="1">
      <c r="A55" s="931">
        <f t="shared" si="1"/>
        <v>0</v>
      </c>
      <c r="B55" s="932">
        <f t="shared" si="2"/>
        <v>0</v>
      </c>
      <c r="C55" s="934">
        <f t="shared" si="3"/>
        <v>1</v>
      </c>
      <c r="D55" s="935" t="str">
        <f t="shared" si="39"/>
        <v>4. OBRAS DE DRENAJE</v>
      </c>
      <c r="E55" s="980">
        <v>40</v>
      </c>
      <c r="F55" s="803" t="s">
        <v>570</v>
      </c>
      <c r="G55" s="977" t="s">
        <v>291</v>
      </c>
      <c r="H55" s="36">
        <v>4</v>
      </c>
      <c r="I55" s="36">
        <v>107.87</v>
      </c>
      <c r="J55" s="66">
        <f t="shared" si="38"/>
        <v>431.48</v>
      </c>
      <c r="K55" s="61">
        <v>0</v>
      </c>
      <c r="L55" s="71">
        <f t="shared" si="29"/>
        <v>0</v>
      </c>
      <c r="M55" s="65">
        <f>+'Cant. Ejec,'!M48</f>
        <v>0</v>
      </c>
      <c r="N55" s="939">
        <f t="shared" si="30"/>
        <v>0</v>
      </c>
      <c r="O55" s="61">
        <f t="shared" si="40"/>
        <v>0</v>
      </c>
      <c r="P55" s="939">
        <f t="shared" si="41"/>
        <v>0</v>
      </c>
      <c r="Q55" s="61">
        <f t="shared" si="33"/>
        <v>4</v>
      </c>
      <c r="R55" s="939">
        <f t="shared" si="34"/>
        <v>431.48</v>
      </c>
      <c r="S55" s="827">
        <f t="shared" si="35"/>
        <v>0</v>
      </c>
      <c r="T55" s="827">
        <f t="shared" si="36"/>
        <v>0</v>
      </c>
      <c r="U55" s="830">
        <f t="shared" si="37"/>
        <v>1</v>
      </c>
      <c r="V55" s="943">
        <f t="shared" si="4"/>
        <v>0</v>
      </c>
      <c r="W55" s="308" t="str">
        <f t="shared" si="42"/>
        <v>ok</v>
      </c>
      <c r="X55" s="19">
        <v>4013.73</v>
      </c>
      <c r="Y55" s="787">
        <f t="shared" si="28"/>
        <v>4009.73</v>
      </c>
    </row>
    <row r="56" spans="1:25" ht="13.5" customHeight="1">
      <c r="A56" s="931">
        <f t="shared" si="1"/>
        <v>0</v>
      </c>
      <c r="B56" s="932">
        <f t="shared" si="2"/>
        <v>0</v>
      </c>
      <c r="C56" s="934">
        <f t="shared" si="3"/>
        <v>1</v>
      </c>
      <c r="D56" s="935" t="str">
        <f t="shared" si="39"/>
        <v>4. OBRAS DE DRENAJE</v>
      </c>
      <c r="E56" s="980">
        <v>41</v>
      </c>
      <c r="F56" s="803" t="s">
        <v>566</v>
      </c>
      <c r="G56" s="977" t="s">
        <v>291</v>
      </c>
      <c r="H56" s="36">
        <v>132</v>
      </c>
      <c r="I56" s="36">
        <v>127.01</v>
      </c>
      <c r="J56" s="66">
        <f t="shared" si="38"/>
        <v>16765.32</v>
      </c>
      <c r="K56" s="61">
        <v>0</v>
      </c>
      <c r="L56" s="71">
        <f t="shared" si="29"/>
        <v>0</v>
      </c>
      <c r="M56" s="65">
        <f>+'Cant. Ejec,'!M49</f>
        <v>0</v>
      </c>
      <c r="N56" s="939">
        <f t="shared" si="30"/>
        <v>0</v>
      </c>
      <c r="O56" s="61">
        <f t="shared" si="40"/>
        <v>0</v>
      </c>
      <c r="P56" s="939">
        <f t="shared" si="41"/>
        <v>0</v>
      </c>
      <c r="Q56" s="61">
        <f t="shared" si="33"/>
        <v>132</v>
      </c>
      <c r="R56" s="939">
        <f t="shared" si="34"/>
        <v>16765.32</v>
      </c>
      <c r="S56" s="827">
        <f t="shared" si="35"/>
        <v>0</v>
      </c>
      <c r="T56" s="827">
        <f t="shared" si="36"/>
        <v>0</v>
      </c>
      <c r="U56" s="830">
        <f t="shared" si="37"/>
        <v>1</v>
      </c>
      <c r="V56" s="943">
        <f t="shared" si="4"/>
        <v>0</v>
      </c>
      <c r="W56" s="308" t="str">
        <f t="shared" si="42"/>
        <v>ok</v>
      </c>
      <c r="X56" s="19">
        <v>50</v>
      </c>
      <c r="Y56" s="787">
        <f t="shared" si="28"/>
        <v>-82</v>
      </c>
    </row>
    <row r="57" spans="1:25" ht="13.5" customHeight="1">
      <c r="A57" s="931">
        <f t="shared" si="1"/>
        <v>0</v>
      </c>
      <c r="B57" s="932">
        <f t="shared" si="2"/>
        <v>0</v>
      </c>
      <c r="C57" s="934">
        <f t="shared" si="3"/>
        <v>1</v>
      </c>
      <c r="D57" s="935" t="str">
        <f t="shared" si="39"/>
        <v>4. OBRAS DE DRENAJE</v>
      </c>
      <c r="E57" s="980">
        <v>42</v>
      </c>
      <c r="F57" s="803" t="s">
        <v>571</v>
      </c>
      <c r="G57" s="977" t="s">
        <v>291</v>
      </c>
      <c r="H57" s="36">
        <v>27</v>
      </c>
      <c r="I57" s="38">
        <v>174.55</v>
      </c>
      <c r="J57" s="66">
        <f t="shared" si="38"/>
        <v>4712.8500000000004</v>
      </c>
      <c r="K57" s="61">
        <v>0</v>
      </c>
      <c r="L57" s="71">
        <f t="shared" si="29"/>
        <v>0</v>
      </c>
      <c r="M57" s="65">
        <f>+'Cant. Ejec,'!M50</f>
        <v>0</v>
      </c>
      <c r="N57" s="939">
        <f t="shared" si="30"/>
        <v>0</v>
      </c>
      <c r="O57" s="61">
        <f t="shared" si="40"/>
        <v>0</v>
      </c>
      <c r="P57" s="939">
        <f t="shared" si="41"/>
        <v>0</v>
      </c>
      <c r="Q57" s="61">
        <f t="shared" si="33"/>
        <v>27</v>
      </c>
      <c r="R57" s="939">
        <f t="shared" si="34"/>
        <v>4712.8500000000004</v>
      </c>
      <c r="S57" s="827">
        <f t="shared" si="35"/>
        <v>0</v>
      </c>
      <c r="T57" s="827">
        <f t="shared" si="36"/>
        <v>0</v>
      </c>
      <c r="U57" s="830">
        <f t="shared" si="37"/>
        <v>1</v>
      </c>
      <c r="V57" s="943">
        <f t="shared" si="4"/>
        <v>0</v>
      </c>
      <c r="W57" s="308" t="str">
        <f t="shared" si="42"/>
        <v>ok</v>
      </c>
      <c r="X57" s="19">
        <v>1091.2</v>
      </c>
      <c r="Y57" s="787">
        <f t="shared" si="28"/>
        <v>1064.2</v>
      </c>
    </row>
    <row r="58" spans="1:25" ht="13.5" customHeight="1">
      <c r="A58" s="931">
        <f t="shared" si="1"/>
        <v>0</v>
      </c>
      <c r="B58" s="932">
        <f t="shared" si="2"/>
        <v>0</v>
      </c>
      <c r="C58" s="934">
        <f t="shared" si="3"/>
        <v>1</v>
      </c>
      <c r="D58" s="935" t="str">
        <f t="shared" si="39"/>
        <v>4. OBRAS DE DRENAJE</v>
      </c>
      <c r="E58" s="1311">
        <v>43</v>
      </c>
      <c r="F58" s="1312" t="s">
        <v>572</v>
      </c>
      <c r="G58" s="1313" t="s">
        <v>290</v>
      </c>
      <c r="H58" s="543">
        <v>66</v>
      </c>
      <c r="I58" s="1314">
        <v>72.510000000000005</v>
      </c>
      <c r="J58" s="1315">
        <f t="shared" si="38"/>
        <v>4785.66</v>
      </c>
      <c r="K58" s="1316">
        <v>0</v>
      </c>
      <c r="L58" s="1317">
        <f t="shared" si="29"/>
        <v>0</v>
      </c>
      <c r="M58" s="431">
        <f>+'Cant. Ejec,'!M51</f>
        <v>0</v>
      </c>
      <c r="N58" s="1022">
        <f t="shared" si="30"/>
        <v>0</v>
      </c>
      <c r="O58" s="1316">
        <f t="shared" si="40"/>
        <v>0</v>
      </c>
      <c r="P58" s="1022">
        <f t="shared" si="41"/>
        <v>0</v>
      </c>
      <c r="Q58" s="1316">
        <f t="shared" si="33"/>
        <v>66</v>
      </c>
      <c r="R58" s="1022">
        <f t="shared" si="34"/>
        <v>4785.66</v>
      </c>
      <c r="S58" s="1318">
        <f t="shared" si="35"/>
        <v>0</v>
      </c>
      <c r="T58" s="1318">
        <f t="shared" si="36"/>
        <v>0</v>
      </c>
      <c r="U58" s="1319">
        <f t="shared" si="37"/>
        <v>1</v>
      </c>
      <c r="V58" s="943">
        <f t="shared" si="4"/>
        <v>0</v>
      </c>
      <c r="W58" s="308" t="str">
        <f t="shared" si="42"/>
        <v>ok</v>
      </c>
      <c r="X58" s="19">
        <v>284.8</v>
      </c>
      <c r="Y58" s="787">
        <f t="shared" si="28"/>
        <v>218.8</v>
      </c>
    </row>
    <row r="59" spans="1:25" ht="13.5" customHeight="1">
      <c r="A59" s="931">
        <f t="shared" si="1"/>
        <v>0</v>
      </c>
      <c r="B59" s="932">
        <f t="shared" si="2"/>
        <v>0</v>
      </c>
      <c r="C59" s="934">
        <f t="shared" si="3"/>
        <v>1</v>
      </c>
      <c r="D59" s="935" t="str">
        <f t="shared" si="39"/>
        <v>4. OBRAS DE DRENAJE</v>
      </c>
      <c r="E59" s="1306">
        <v>44</v>
      </c>
      <c r="F59" s="807" t="s">
        <v>573</v>
      </c>
      <c r="G59" s="1307" t="s">
        <v>291</v>
      </c>
      <c r="H59" s="969">
        <v>4400</v>
      </c>
      <c r="I59" s="1308">
        <v>33.590000000000003</v>
      </c>
      <c r="J59" s="1309">
        <f t="shared" si="38"/>
        <v>147796</v>
      </c>
      <c r="K59" s="61">
        <v>0</v>
      </c>
      <c r="L59" s="1310">
        <f t="shared" si="29"/>
        <v>0</v>
      </c>
      <c r="M59" s="528">
        <f>+'Cant. Ejec,'!M52</f>
        <v>0</v>
      </c>
      <c r="N59" s="939">
        <f t="shared" si="30"/>
        <v>0</v>
      </c>
      <c r="O59" s="61">
        <f t="shared" si="40"/>
        <v>0</v>
      </c>
      <c r="P59" s="939">
        <f t="shared" si="41"/>
        <v>0</v>
      </c>
      <c r="Q59" s="61">
        <f t="shared" si="33"/>
        <v>4400</v>
      </c>
      <c r="R59" s="939">
        <f t="shared" si="34"/>
        <v>147796</v>
      </c>
      <c r="S59" s="827">
        <f t="shared" si="35"/>
        <v>0</v>
      </c>
      <c r="T59" s="827">
        <f t="shared" ref="T59:T73" si="43">(P59/J59)</f>
        <v>0</v>
      </c>
      <c r="U59" s="830">
        <f t="shared" si="37"/>
        <v>1</v>
      </c>
      <c r="V59" s="943">
        <f t="shared" si="4"/>
        <v>0</v>
      </c>
      <c r="W59" s="308" t="str">
        <f t="shared" si="42"/>
        <v>ok</v>
      </c>
      <c r="X59" s="19">
        <v>446.6</v>
      </c>
      <c r="Y59" s="787">
        <f t="shared" si="28"/>
        <v>-3953.4</v>
      </c>
    </row>
    <row r="60" spans="1:25" ht="13.5" customHeight="1">
      <c r="A60" s="931">
        <f t="shared" si="1"/>
        <v>0</v>
      </c>
      <c r="B60" s="932">
        <f t="shared" si="2"/>
        <v>0</v>
      </c>
      <c r="C60" s="934">
        <f t="shared" si="3"/>
        <v>1</v>
      </c>
      <c r="D60" s="935" t="str">
        <f t="shared" si="39"/>
        <v>4. OBRAS DE DRENAJE</v>
      </c>
      <c r="E60" s="980">
        <v>45</v>
      </c>
      <c r="F60" s="803" t="s">
        <v>574</v>
      </c>
      <c r="G60" s="977" t="s">
        <v>291</v>
      </c>
      <c r="H60" s="36">
        <v>6072</v>
      </c>
      <c r="I60" s="36">
        <v>33.82</v>
      </c>
      <c r="J60" s="66">
        <f t="shared" si="38"/>
        <v>205355.04</v>
      </c>
      <c r="K60" s="61">
        <v>0</v>
      </c>
      <c r="L60" s="71">
        <f t="shared" si="29"/>
        <v>0</v>
      </c>
      <c r="M60" s="65">
        <f>+'Cant. Ejec,'!M53</f>
        <v>0</v>
      </c>
      <c r="N60" s="939">
        <f t="shared" si="30"/>
        <v>0</v>
      </c>
      <c r="O60" s="61">
        <f t="shared" si="40"/>
        <v>0</v>
      </c>
      <c r="P60" s="939">
        <f t="shared" si="41"/>
        <v>0</v>
      </c>
      <c r="Q60" s="61">
        <f t="shared" si="33"/>
        <v>6072</v>
      </c>
      <c r="R60" s="939">
        <f t="shared" si="34"/>
        <v>205355.04</v>
      </c>
      <c r="S60" s="827">
        <f t="shared" si="35"/>
        <v>0</v>
      </c>
      <c r="T60" s="827">
        <f t="shared" si="43"/>
        <v>0</v>
      </c>
      <c r="U60" s="830">
        <f t="shared" si="37"/>
        <v>1</v>
      </c>
      <c r="V60" s="943">
        <f t="shared" si="4"/>
        <v>0</v>
      </c>
      <c r="W60" s="308" t="str">
        <f t="shared" si="42"/>
        <v>ok</v>
      </c>
      <c r="X60" s="19">
        <v>426.92</v>
      </c>
      <c r="Y60" s="787">
        <f t="shared" si="28"/>
        <v>-5645.08</v>
      </c>
    </row>
    <row r="61" spans="1:25" ht="13.5" customHeight="1">
      <c r="A61" s="931">
        <f t="shared" si="1"/>
        <v>0</v>
      </c>
      <c r="B61" s="932">
        <f t="shared" si="2"/>
        <v>0</v>
      </c>
      <c r="C61" s="934">
        <f t="shared" si="3"/>
        <v>1</v>
      </c>
      <c r="D61" s="935" t="str">
        <f t="shared" si="39"/>
        <v>4. OBRAS DE DRENAJE</v>
      </c>
      <c r="E61" s="980">
        <v>46</v>
      </c>
      <c r="F61" s="810" t="s">
        <v>575</v>
      </c>
      <c r="G61" s="977" t="s">
        <v>291</v>
      </c>
      <c r="H61" s="36">
        <v>2200</v>
      </c>
      <c r="I61" s="36">
        <v>18.82</v>
      </c>
      <c r="J61" s="66">
        <f t="shared" si="38"/>
        <v>41404</v>
      </c>
      <c r="K61" s="61">
        <v>0</v>
      </c>
      <c r="L61" s="71">
        <f t="shared" si="29"/>
        <v>0</v>
      </c>
      <c r="M61" s="65">
        <f>+'Cant. Ejec,'!M54</f>
        <v>0</v>
      </c>
      <c r="N61" s="939">
        <f t="shared" si="30"/>
        <v>0</v>
      </c>
      <c r="O61" s="61">
        <f t="shared" si="40"/>
        <v>0</v>
      </c>
      <c r="P61" s="939">
        <f t="shared" si="41"/>
        <v>0</v>
      </c>
      <c r="Q61" s="61">
        <f t="shared" si="33"/>
        <v>2200</v>
      </c>
      <c r="R61" s="939">
        <f t="shared" si="34"/>
        <v>41404</v>
      </c>
      <c r="S61" s="827">
        <f t="shared" si="35"/>
        <v>0</v>
      </c>
      <c r="T61" s="827">
        <f t="shared" si="43"/>
        <v>0</v>
      </c>
      <c r="U61" s="830">
        <f t="shared" si="37"/>
        <v>1</v>
      </c>
      <c r="V61" s="943">
        <f t="shared" si="4"/>
        <v>0</v>
      </c>
      <c r="W61" s="308" t="str">
        <f t="shared" si="42"/>
        <v>ok</v>
      </c>
      <c r="X61" s="19">
        <v>23.016500000000001</v>
      </c>
      <c r="Y61" s="787">
        <f t="shared" si="28"/>
        <v>-2176.9834999999998</v>
      </c>
    </row>
    <row r="62" spans="1:25" ht="13.5" customHeight="1">
      <c r="A62" s="931">
        <f t="shared" si="1"/>
        <v>0</v>
      </c>
      <c r="B62" s="932">
        <f t="shared" si="2"/>
        <v>0</v>
      </c>
      <c r="C62" s="934">
        <f t="shared" si="3"/>
        <v>1</v>
      </c>
      <c r="D62" s="935" t="str">
        <f t="shared" si="39"/>
        <v>4. OBRAS DE DRENAJE</v>
      </c>
      <c r="E62" s="980">
        <v>47</v>
      </c>
      <c r="F62" s="803" t="s">
        <v>576</v>
      </c>
      <c r="G62" s="977" t="s">
        <v>290</v>
      </c>
      <c r="H62" s="36">
        <v>44</v>
      </c>
      <c r="I62" s="36">
        <v>85.23</v>
      </c>
      <c r="J62" s="66">
        <f t="shared" si="38"/>
        <v>3750.12</v>
      </c>
      <c r="K62" s="61">
        <v>0</v>
      </c>
      <c r="L62" s="71">
        <f t="shared" si="29"/>
        <v>0</v>
      </c>
      <c r="M62" s="65">
        <f>+'Cant. Ejec,'!M55</f>
        <v>0</v>
      </c>
      <c r="N62" s="939">
        <f t="shared" si="30"/>
        <v>0</v>
      </c>
      <c r="O62" s="61">
        <f t="shared" si="40"/>
        <v>0</v>
      </c>
      <c r="P62" s="939">
        <f t="shared" si="41"/>
        <v>0</v>
      </c>
      <c r="Q62" s="61">
        <f t="shared" si="33"/>
        <v>44</v>
      </c>
      <c r="R62" s="939">
        <f t="shared" si="34"/>
        <v>3750.12</v>
      </c>
      <c r="S62" s="827">
        <f t="shared" si="35"/>
        <v>0</v>
      </c>
      <c r="T62" s="827">
        <f t="shared" si="43"/>
        <v>0</v>
      </c>
      <c r="U62" s="830">
        <f t="shared" si="37"/>
        <v>1</v>
      </c>
      <c r="V62" s="943">
        <f t="shared" si="4"/>
        <v>0</v>
      </c>
      <c r="W62" s="308" t="str">
        <f t="shared" si="42"/>
        <v>ok</v>
      </c>
      <c r="Y62" s="787">
        <f t="shared" si="28"/>
        <v>-44</v>
      </c>
    </row>
    <row r="63" spans="1:25" ht="13.5" customHeight="1">
      <c r="A63" s="931">
        <f t="shared" si="1"/>
        <v>0</v>
      </c>
      <c r="B63" s="932">
        <f t="shared" si="2"/>
        <v>0</v>
      </c>
      <c r="C63" s="934">
        <f t="shared" si="3"/>
        <v>1</v>
      </c>
      <c r="D63" s="935" t="str">
        <f t="shared" si="39"/>
        <v>4. OBRAS DE DRENAJE</v>
      </c>
      <c r="E63" s="980">
        <v>48</v>
      </c>
      <c r="F63" s="803" t="s">
        <v>577</v>
      </c>
      <c r="G63" s="977" t="s">
        <v>293</v>
      </c>
      <c r="H63" s="36">
        <v>55</v>
      </c>
      <c r="I63" s="36">
        <v>130.9</v>
      </c>
      <c r="J63" s="66">
        <f t="shared" si="38"/>
        <v>7199.5</v>
      </c>
      <c r="K63" s="61">
        <v>0</v>
      </c>
      <c r="L63" s="71">
        <f t="shared" si="29"/>
        <v>0</v>
      </c>
      <c r="M63" s="65">
        <f>+'Cant. Ejec,'!M56</f>
        <v>0</v>
      </c>
      <c r="N63" s="939">
        <f t="shared" si="30"/>
        <v>0</v>
      </c>
      <c r="O63" s="61">
        <f t="shared" si="40"/>
        <v>0</v>
      </c>
      <c r="P63" s="939">
        <f t="shared" si="41"/>
        <v>0</v>
      </c>
      <c r="Q63" s="61">
        <f t="shared" si="33"/>
        <v>55</v>
      </c>
      <c r="R63" s="939">
        <f t="shared" si="34"/>
        <v>7199.5</v>
      </c>
      <c r="S63" s="827">
        <f t="shared" si="35"/>
        <v>0</v>
      </c>
      <c r="T63" s="827">
        <f t="shared" si="43"/>
        <v>0</v>
      </c>
      <c r="U63" s="830">
        <f t="shared" si="37"/>
        <v>1</v>
      </c>
      <c r="V63" s="943">
        <f t="shared" si="4"/>
        <v>0</v>
      </c>
      <c r="W63" s="308" t="str">
        <f t="shared" si="42"/>
        <v>ok</v>
      </c>
      <c r="Y63" s="787">
        <f t="shared" si="28"/>
        <v>-55</v>
      </c>
    </row>
    <row r="64" spans="1:25" s="30" customFormat="1" ht="13.5" customHeight="1">
      <c r="A64" s="931">
        <f t="shared" si="1"/>
        <v>0</v>
      </c>
      <c r="B64" s="932">
        <f t="shared" si="2"/>
        <v>0</v>
      </c>
      <c r="C64" s="934">
        <f t="shared" si="3"/>
        <v>1</v>
      </c>
      <c r="D64" s="935" t="str">
        <f t="shared" si="39"/>
        <v>4. OBRAS DE DRENAJE</v>
      </c>
      <c r="E64" s="980">
        <v>49</v>
      </c>
      <c r="F64" s="810" t="s">
        <v>578</v>
      </c>
      <c r="G64" s="977" t="s">
        <v>290</v>
      </c>
      <c r="H64" s="36">
        <v>66</v>
      </c>
      <c r="I64" s="38">
        <v>104.01</v>
      </c>
      <c r="J64" s="66">
        <f t="shared" si="38"/>
        <v>6864.66</v>
      </c>
      <c r="K64" s="61">
        <v>0</v>
      </c>
      <c r="L64" s="71">
        <f t="shared" si="29"/>
        <v>0</v>
      </c>
      <c r="M64" s="65">
        <f>+'Cant. Ejec,'!M57</f>
        <v>0</v>
      </c>
      <c r="N64" s="939">
        <f t="shared" si="30"/>
        <v>0</v>
      </c>
      <c r="O64" s="61">
        <f t="shared" si="40"/>
        <v>0</v>
      </c>
      <c r="P64" s="939">
        <f t="shared" si="41"/>
        <v>0</v>
      </c>
      <c r="Q64" s="61">
        <f t="shared" si="33"/>
        <v>66</v>
      </c>
      <c r="R64" s="939">
        <f t="shared" si="34"/>
        <v>6864.66</v>
      </c>
      <c r="S64" s="827">
        <f t="shared" si="35"/>
        <v>0</v>
      </c>
      <c r="T64" s="827">
        <f t="shared" si="43"/>
        <v>0</v>
      </c>
      <c r="U64" s="830">
        <f t="shared" si="37"/>
        <v>1</v>
      </c>
      <c r="V64" s="943">
        <f t="shared" si="4"/>
        <v>0</v>
      </c>
      <c r="W64" s="308" t="str">
        <f t="shared" si="42"/>
        <v>ok</v>
      </c>
      <c r="X64" s="30">
        <v>2315</v>
      </c>
      <c r="Y64" s="828">
        <f t="shared" si="28"/>
        <v>2249</v>
      </c>
    </row>
    <row r="65" spans="1:25" s="30" customFormat="1" ht="13.5" customHeight="1">
      <c r="A65" s="931">
        <f t="shared" si="1"/>
        <v>0</v>
      </c>
      <c r="B65" s="932">
        <f t="shared" si="2"/>
        <v>0</v>
      </c>
      <c r="C65" s="934">
        <f t="shared" si="3"/>
        <v>1</v>
      </c>
      <c r="D65" s="935" t="str">
        <f t="shared" si="39"/>
        <v>4. OBRAS DE DRENAJE</v>
      </c>
      <c r="E65" s="980">
        <v>50</v>
      </c>
      <c r="F65" s="810" t="s">
        <v>579</v>
      </c>
      <c r="G65" s="977" t="s">
        <v>290</v>
      </c>
      <c r="H65" s="36">
        <v>11</v>
      </c>
      <c r="I65" s="38">
        <v>286.33</v>
      </c>
      <c r="J65" s="66">
        <f t="shared" si="38"/>
        <v>3149.63</v>
      </c>
      <c r="K65" s="61">
        <v>0</v>
      </c>
      <c r="L65" s="71">
        <f t="shared" si="29"/>
        <v>0</v>
      </c>
      <c r="M65" s="65">
        <f>+'Cant. Ejec,'!M58</f>
        <v>0</v>
      </c>
      <c r="N65" s="939">
        <f t="shared" si="30"/>
        <v>0</v>
      </c>
      <c r="O65" s="61">
        <f t="shared" si="40"/>
        <v>0</v>
      </c>
      <c r="P65" s="939">
        <f t="shared" si="41"/>
        <v>0</v>
      </c>
      <c r="Q65" s="61">
        <f t="shared" si="33"/>
        <v>11</v>
      </c>
      <c r="R65" s="939">
        <f t="shared" si="34"/>
        <v>3149.63</v>
      </c>
      <c r="S65" s="827">
        <f t="shared" si="35"/>
        <v>0</v>
      </c>
      <c r="T65" s="827">
        <f t="shared" si="43"/>
        <v>0</v>
      </c>
      <c r="U65" s="830">
        <f t="shared" si="37"/>
        <v>1</v>
      </c>
      <c r="V65" s="943">
        <f t="shared" si="4"/>
        <v>0</v>
      </c>
      <c r="W65" s="308" t="str">
        <f t="shared" si="42"/>
        <v>ok</v>
      </c>
      <c r="X65" s="30">
        <v>2422.52</v>
      </c>
      <c r="Y65" s="828">
        <f t="shared" si="28"/>
        <v>2411.52</v>
      </c>
    </row>
    <row r="66" spans="1:25" s="30" customFormat="1" ht="13.5" customHeight="1">
      <c r="A66" s="931">
        <f t="shared" si="1"/>
        <v>0</v>
      </c>
      <c r="B66" s="932">
        <f t="shared" si="2"/>
        <v>0</v>
      </c>
      <c r="C66" s="934">
        <f t="shared" si="3"/>
        <v>1</v>
      </c>
      <c r="D66" s="935" t="str">
        <f t="shared" si="39"/>
        <v>4. OBRAS DE DRENAJE</v>
      </c>
      <c r="E66" s="980">
        <v>51</v>
      </c>
      <c r="F66" s="803" t="s">
        <v>580</v>
      </c>
      <c r="G66" s="977" t="s">
        <v>290</v>
      </c>
      <c r="H66" s="36">
        <v>11</v>
      </c>
      <c r="I66" s="38">
        <v>120.83</v>
      </c>
      <c r="J66" s="66">
        <f t="shared" si="38"/>
        <v>1329.13</v>
      </c>
      <c r="K66" s="61">
        <v>0</v>
      </c>
      <c r="L66" s="71">
        <f t="shared" si="29"/>
        <v>0</v>
      </c>
      <c r="M66" s="65">
        <f>+'Cant. Ejec,'!M59</f>
        <v>0</v>
      </c>
      <c r="N66" s="939">
        <f t="shared" si="30"/>
        <v>0</v>
      </c>
      <c r="O66" s="61">
        <f t="shared" si="40"/>
        <v>0</v>
      </c>
      <c r="P66" s="939">
        <f t="shared" si="41"/>
        <v>0</v>
      </c>
      <c r="Q66" s="61">
        <f t="shared" si="33"/>
        <v>11</v>
      </c>
      <c r="R66" s="939">
        <f t="shared" si="34"/>
        <v>1329.13</v>
      </c>
      <c r="S66" s="827">
        <f t="shared" si="35"/>
        <v>0</v>
      </c>
      <c r="T66" s="827">
        <f t="shared" si="43"/>
        <v>0</v>
      </c>
      <c r="U66" s="830">
        <f t="shared" si="37"/>
        <v>1</v>
      </c>
      <c r="V66" s="943">
        <f t="shared" si="4"/>
        <v>0</v>
      </c>
      <c r="W66" s="308" t="str">
        <f t="shared" si="42"/>
        <v>ok</v>
      </c>
      <c r="Y66" s="828"/>
    </row>
    <row r="67" spans="1:25" s="30" customFormat="1" ht="13.5" customHeight="1">
      <c r="A67" s="931">
        <f t="shared" si="1"/>
        <v>0</v>
      </c>
      <c r="B67" s="932">
        <f t="shared" si="2"/>
        <v>0</v>
      </c>
      <c r="C67" s="934">
        <f t="shared" si="3"/>
        <v>1</v>
      </c>
      <c r="D67" s="935" t="str">
        <f t="shared" si="39"/>
        <v>4. OBRAS DE DRENAJE</v>
      </c>
      <c r="E67" s="980">
        <v>52</v>
      </c>
      <c r="F67" s="803" t="s">
        <v>581</v>
      </c>
      <c r="G67" s="977" t="s">
        <v>290</v>
      </c>
      <c r="H67" s="36">
        <v>11</v>
      </c>
      <c r="I67" s="38">
        <v>104.01</v>
      </c>
      <c r="J67" s="66">
        <f t="shared" si="38"/>
        <v>1144.1099999999999</v>
      </c>
      <c r="K67" s="61">
        <v>0</v>
      </c>
      <c r="L67" s="71">
        <f t="shared" si="29"/>
        <v>0</v>
      </c>
      <c r="M67" s="65">
        <f>+'Cant. Ejec,'!M60</f>
        <v>0</v>
      </c>
      <c r="N67" s="939">
        <f t="shared" si="30"/>
        <v>0</v>
      </c>
      <c r="O67" s="61">
        <f t="shared" si="40"/>
        <v>0</v>
      </c>
      <c r="P67" s="939">
        <f t="shared" si="41"/>
        <v>0</v>
      </c>
      <c r="Q67" s="61">
        <f t="shared" si="33"/>
        <v>11</v>
      </c>
      <c r="R67" s="939">
        <f t="shared" si="34"/>
        <v>1144.1099999999999</v>
      </c>
      <c r="S67" s="827">
        <f t="shared" si="35"/>
        <v>0</v>
      </c>
      <c r="T67" s="827">
        <f t="shared" si="43"/>
        <v>0</v>
      </c>
      <c r="U67" s="830">
        <f t="shared" si="37"/>
        <v>1</v>
      </c>
      <c r="V67" s="943">
        <f t="shared" si="4"/>
        <v>0</v>
      </c>
      <c r="W67" s="308" t="str">
        <f t="shared" si="42"/>
        <v>ok</v>
      </c>
      <c r="Y67" s="828"/>
    </row>
    <row r="68" spans="1:25" s="30" customFormat="1" ht="13.5" customHeight="1">
      <c r="A68" s="931">
        <f t="shared" si="1"/>
        <v>0</v>
      </c>
      <c r="B68" s="932">
        <f t="shared" si="2"/>
        <v>0</v>
      </c>
      <c r="C68" s="934">
        <f t="shared" si="3"/>
        <v>1</v>
      </c>
      <c r="D68" s="935" t="str">
        <f t="shared" si="39"/>
        <v>4. OBRAS DE DRENAJE</v>
      </c>
      <c r="E68" s="980">
        <v>53</v>
      </c>
      <c r="F68" s="810" t="s">
        <v>582</v>
      </c>
      <c r="G68" s="977" t="s">
        <v>290</v>
      </c>
      <c r="H68" s="36">
        <v>11</v>
      </c>
      <c r="I68" s="38">
        <v>104.01</v>
      </c>
      <c r="J68" s="66">
        <f t="shared" si="38"/>
        <v>1144.1099999999999</v>
      </c>
      <c r="K68" s="61">
        <v>0</v>
      </c>
      <c r="L68" s="71">
        <f t="shared" si="29"/>
        <v>0</v>
      </c>
      <c r="M68" s="65">
        <f>+'Cant. Ejec,'!M61</f>
        <v>0</v>
      </c>
      <c r="N68" s="939">
        <f t="shared" si="30"/>
        <v>0</v>
      </c>
      <c r="O68" s="61">
        <f t="shared" si="40"/>
        <v>0</v>
      </c>
      <c r="P68" s="939">
        <f t="shared" si="41"/>
        <v>0</v>
      </c>
      <c r="Q68" s="61">
        <f t="shared" si="33"/>
        <v>11</v>
      </c>
      <c r="R68" s="939">
        <f t="shared" si="34"/>
        <v>1144.1099999999999</v>
      </c>
      <c r="S68" s="827">
        <f t="shared" si="35"/>
        <v>0</v>
      </c>
      <c r="T68" s="827">
        <f t="shared" si="43"/>
        <v>0</v>
      </c>
      <c r="U68" s="830">
        <f t="shared" si="37"/>
        <v>1</v>
      </c>
      <c r="V68" s="943">
        <f t="shared" si="4"/>
        <v>0</v>
      </c>
      <c r="W68" s="308" t="str">
        <f t="shared" si="42"/>
        <v>ok</v>
      </c>
      <c r="Y68" s="828"/>
    </row>
    <row r="69" spans="1:25" s="30" customFormat="1" ht="13.5" customHeight="1">
      <c r="A69" s="931">
        <f t="shared" si="1"/>
        <v>0</v>
      </c>
      <c r="B69" s="932">
        <f t="shared" si="2"/>
        <v>0</v>
      </c>
      <c r="C69" s="934">
        <f t="shared" si="3"/>
        <v>1</v>
      </c>
      <c r="D69" s="935" t="str">
        <f t="shared" si="39"/>
        <v>4. OBRAS DE DRENAJE</v>
      </c>
      <c r="E69" s="980">
        <v>54</v>
      </c>
      <c r="F69" s="810" t="s">
        <v>583</v>
      </c>
      <c r="G69" s="977" t="s">
        <v>291</v>
      </c>
      <c r="H69" s="36">
        <v>1600</v>
      </c>
      <c r="I69" s="38">
        <v>7.53</v>
      </c>
      <c r="J69" s="66">
        <f t="shared" si="38"/>
        <v>12048</v>
      </c>
      <c r="K69" s="61">
        <v>0</v>
      </c>
      <c r="L69" s="71">
        <f t="shared" si="29"/>
        <v>0</v>
      </c>
      <c r="M69" s="65">
        <f>+'Cant. Ejec,'!M62</f>
        <v>0</v>
      </c>
      <c r="N69" s="939">
        <f t="shared" si="30"/>
        <v>0</v>
      </c>
      <c r="O69" s="61">
        <f t="shared" si="40"/>
        <v>0</v>
      </c>
      <c r="P69" s="939">
        <f t="shared" si="41"/>
        <v>0</v>
      </c>
      <c r="Q69" s="61">
        <f t="shared" si="33"/>
        <v>1600</v>
      </c>
      <c r="R69" s="939">
        <f t="shared" si="34"/>
        <v>12048</v>
      </c>
      <c r="S69" s="827">
        <f t="shared" si="35"/>
        <v>0</v>
      </c>
      <c r="T69" s="827">
        <f t="shared" si="43"/>
        <v>0</v>
      </c>
      <c r="U69" s="830">
        <f t="shared" si="37"/>
        <v>1</v>
      </c>
      <c r="V69" s="943">
        <f t="shared" si="4"/>
        <v>0</v>
      </c>
      <c r="W69" s="308" t="str">
        <f t="shared" si="42"/>
        <v>ok</v>
      </c>
      <c r="Y69" s="828"/>
    </row>
    <row r="70" spans="1:25" s="30" customFormat="1" ht="13.5" customHeight="1">
      <c r="A70" s="931">
        <f t="shared" si="1"/>
        <v>0</v>
      </c>
      <c r="B70" s="932">
        <f t="shared" si="2"/>
        <v>0</v>
      </c>
      <c r="C70" s="934">
        <f t="shared" si="3"/>
        <v>1</v>
      </c>
      <c r="D70" s="935" t="str">
        <f t="shared" si="39"/>
        <v>4. OBRAS DE DRENAJE</v>
      </c>
      <c r="E70" s="980">
        <v>55</v>
      </c>
      <c r="F70" s="803" t="s">
        <v>584</v>
      </c>
      <c r="G70" s="977" t="s">
        <v>293</v>
      </c>
      <c r="H70" s="36">
        <v>17</v>
      </c>
      <c r="I70" s="38">
        <v>104.01</v>
      </c>
      <c r="J70" s="66">
        <f t="shared" si="38"/>
        <v>1768.17</v>
      </c>
      <c r="K70" s="61">
        <v>0</v>
      </c>
      <c r="L70" s="71">
        <f t="shared" si="29"/>
        <v>0</v>
      </c>
      <c r="M70" s="65">
        <f>+'Cant. Ejec,'!M63</f>
        <v>0</v>
      </c>
      <c r="N70" s="939">
        <f t="shared" si="30"/>
        <v>0</v>
      </c>
      <c r="O70" s="61">
        <f t="shared" si="40"/>
        <v>0</v>
      </c>
      <c r="P70" s="939">
        <f t="shared" si="41"/>
        <v>0</v>
      </c>
      <c r="Q70" s="61">
        <f t="shared" si="33"/>
        <v>17</v>
      </c>
      <c r="R70" s="939">
        <f t="shared" si="34"/>
        <v>1768.17</v>
      </c>
      <c r="S70" s="827">
        <f t="shared" si="35"/>
        <v>0</v>
      </c>
      <c r="T70" s="827">
        <f t="shared" si="43"/>
        <v>0</v>
      </c>
      <c r="U70" s="830">
        <f t="shared" si="37"/>
        <v>1</v>
      </c>
      <c r="V70" s="943">
        <f t="shared" si="4"/>
        <v>0</v>
      </c>
      <c r="W70" s="308" t="str">
        <f t="shared" si="42"/>
        <v>ok</v>
      </c>
      <c r="Y70" s="828"/>
    </row>
    <row r="71" spans="1:25" s="30" customFormat="1" ht="13.5" customHeight="1">
      <c r="A71" s="931">
        <f t="shared" si="1"/>
        <v>0</v>
      </c>
      <c r="B71" s="932">
        <f t="shared" si="2"/>
        <v>0</v>
      </c>
      <c r="C71" s="934">
        <f t="shared" si="3"/>
        <v>1</v>
      </c>
      <c r="D71" s="935" t="str">
        <f t="shared" si="39"/>
        <v>4. OBRAS DE DRENAJE</v>
      </c>
      <c r="E71" s="980">
        <v>56</v>
      </c>
      <c r="F71" s="803" t="s">
        <v>585</v>
      </c>
      <c r="G71" s="977" t="s">
        <v>293</v>
      </c>
      <c r="H71" s="36">
        <v>8250</v>
      </c>
      <c r="I71" s="38">
        <v>26.74</v>
      </c>
      <c r="J71" s="66">
        <f t="shared" si="38"/>
        <v>220605</v>
      </c>
      <c r="K71" s="61">
        <v>0</v>
      </c>
      <c r="L71" s="71">
        <f t="shared" si="29"/>
        <v>0</v>
      </c>
      <c r="M71" s="65">
        <f>+'Cant. Ejec,'!M64</f>
        <v>0</v>
      </c>
      <c r="N71" s="939">
        <f t="shared" si="30"/>
        <v>0</v>
      </c>
      <c r="O71" s="61">
        <f t="shared" si="40"/>
        <v>0</v>
      </c>
      <c r="P71" s="939">
        <f t="shared" si="41"/>
        <v>0</v>
      </c>
      <c r="Q71" s="61">
        <f t="shared" si="33"/>
        <v>8250</v>
      </c>
      <c r="R71" s="939">
        <f t="shared" si="34"/>
        <v>220605</v>
      </c>
      <c r="S71" s="827">
        <f t="shared" si="35"/>
        <v>0</v>
      </c>
      <c r="T71" s="827">
        <f t="shared" si="43"/>
        <v>0</v>
      </c>
      <c r="U71" s="830">
        <f t="shared" si="37"/>
        <v>1</v>
      </c>
      <c r="V71" s="943">
        <f t="shared" si="4"/>
        <v>0</v>
      </c>
      <c r="W71" s="308" t="str">
        <f t="shared" si="42"/>
        <v>ok</v>
      </c>
      <c r="Y71" s="828"/>
    </row>
    <row r="72" spans="1:25" s="30" customFormat="1" ht="13.5" customHeight="1">
      <c r="A72" s="931">
        <f t="shared" si="1"/>
        <v>0</v>
      </c>
      <c r="B72" s="932">
        <f t="shared" si="2"/>
        <v>0</v>
      </c>
      <c r="C72" s="934">
        <f t="shared" si="3"/>
        <v>1</v>
      </c>
      <c r="D72" s="935" t="str">
        <f t="shared" si="39"/>
        <v>4. OBRAS DE DRENAJE</v>
      </c>
      <c r="E72" s="980">
        <v>57</v>
      </c>
      <c r="F72" s="810" t="s">
        <v>586</v>
      </c>
      <c r="G72" s="977" t="s">
        <v>665</v>
      </c>
      <c r="H72" s="36">
        <v>27500</v>
      </c>
      <c r="I72" s="38">
        <v>2.72</v>
      </c>
      <c r="J72" s="66">
        <f t="shared" si="38"/>
        <v>74800</v>
      </c>
      <c r="K72" s="61">
        <v>0</v>
      </c>
      <c r="L72" s="71">
        <f t="shared" si="29"/>
        <v>0</v>
      </c>
      <c r="M72" s="431">
        <f>+'Cant. Ejec,'!M65</f>
        <v>0</v>
      </c>
      <c r="N72" s="1021">
        <f t="shared" si="30"/>
        <v>0</v>
      </c>
      <c r="O72" s="61">
        <f t="shared" si="40"/>
        <v>0</v>
      </c>
      <c r="P72" s="939">
        <f t="shared" si="41"/>
        <v>0</v>
      </c>
      <c r="Q72" s="61">
        <f t="shared" si="33"/>
        <v>27500</v>
      </c>
      <c r="R72" s="939">
        <f t="shared" si="34"/>
        <v>74800</v>
      </c>
      <c r="S72" s="975">
        <f t="shared" si="35"/>
        <v>0</v>
      </c>
      <c r="T72" s="975">
        <f t="shared" si="43"/>
        <v>0</v>
      </c>
      <c r="U72" s="976">
        <f t="shared" si="37"/>
        <v>1</v>
      </c>
      <c r="V72" s="943">
        <f t="shared" si="4"/>
        <v>0</v>
      </c>
      <c r="W72" s="308" t="str">
        <f t="shared" si="42"/>
        <v>ok</v>
      </c>
      <c r="Y72" s="828"/>
    </row>
    <row r="73" spans="1:25" s="30" customFormat="1" ht="13.5" customHeight="1">
      <c r="A73" s="931">
        <f t="shared" si="1"/>
        <v>0</v>
      </c>
      <c r="B73" s="932">
        <f t="shared" si="2"/>
        <v>0</v>
      </c>
      <c r="C73" s="934">
        <f t="shared" si="3"/>
        <v>1</v>
      </c>
      <c r="D73" s="935"/>
      <c r="E73" s="991"/>
      <c r="F73" s="992" t="s">
        <v>457</v>
      </c>
      <c r="G73" s="993"/>
      <c r="H73" s="994"/>
      <c r="I73" s="995"/>
      <c r="J73" s="996">
        <f>SUM(J33:J72)</f>
        <v>16778276.030000001</v>
      </c>
      <c r="K73" s="997"/>
      <c r="L73" s="996">
        <f>SUM(L33:L72)</f>
        <v>0</v>
      </c>
      <c r="M73" s="998"/>
      <c r="N73" s="996">
        <f>SUM(N33:N72)</f>
        <v>0</v>
      </c>
      <c r="O73" s="997"/>
      <c r="P73" s="996">
        <f>SUM(P33:P72)</f>
        <v>0</v>
      </c>
      <c r="Q73" s="998"/>
      <c r="R73" s="996">
        <f>SUM(R33:R72)</f>
        <v>16778276.030000001</v>
      </c>
      <c r="S73" s="1020">
        <f t="shared" si="35"/>
        <v>0</v>
      </c>
      <c r="T73" s="1123">
        <f t="shared" si="43"/>
        <v>0</v>
      </c>
      <c r="U73" s="1126">
        <f t="shared" si="37"/>
        <v>1</v>
      </c>
      <c r="V73" s="943">
        <f t="shared" si="4"/>
        <v>0</v>
      </c>
      <c r="W73" s="308" t="str">
        <f t="shared" si="42"/>
        <v>ok</v>
      </c>
      <c r="Y73" s="828"/>
    </row>
    <row r="74" spans="1:25" s="30" customFormat="1" ht="13.5" customHeight="1">
      <c r="A74" s="931">
        <f t="shared" si="1"/>
        <v>0</v>
      </c>
      <c r="B74" s="932">
        <f t="shared" si="2"/>
        <v>0</v>
      </c>
      <c r="C74" s="934">
        <f t="shared" si="3"/>
        <v>1</v>
      </c>
      <c r="D74" s="935"/>
      <c r="E74" s="981">
        <v>5</v>
      </c>
      <c r="F74" s="957" t="s">
        <v>587</v>
      </c>
      <c r="G74" s="954"/>
      <c r="H74" s="955"/>
      <c r="I74" s="955"/>
      <c r="J74" s="955"/>
      <c r="K74" s="937"/>
      <c r="L74" s="937"/>
      <c r="M74" s="937"/>
      <c r="N74" s="937"/>
      <c r="O74" s="937"/>
      <c r="P74" s="937"/>
      <c r="Q74" s="937"/>
      <c r="R74" s="937"/>
      <c r="S74" s="937"/>
      <c r="T74" s="937"/>
      <c r="U74" s="956"/>
      <c r="V74" s="943">
        <f t="shared" si="4"/>
        <v>1</v>
      </c>
      <c r="W74" s="308" t="str">
        <f t="shared" ref="W74:W104" si="44">IF((P74+R74)=J74,"ok","MAL")</f>
        <v>ok</v>
      </c>
      <c r="Y74" s="828"/>
    </row>
    <row r="75" spans="1:25" ht="13.5" customHeight="1">
      <c r="A75" s="931">
        <f t="shared" ref="A75:A101" si="45">+IF(B75&gt;0,B75+C74,IF(C75&gt;C74,C75,0))</f>
        <v>0</v>
      </c>
      <c r="B75" s="932">
        <f t="shared" ref="B75:B101" si="46">+IF(M75&gt;=0.01,1,0)</f>
        <v>0</v>
      </c>
      <c r="C75" s="934">
        <f t="shared" ref="C75:C101" si="47">+B75+C74</f>
        <v>1</v>
      </c>
      <c r="D75" s="935" t="str">
        <f t="shared" ref="D75:D96" si="48">+E74&amp;". "&amp;F74</f>
        <v>5. SEÑALIZACION Y SEGURIDAD VIAL</v>
      </c>
      <c r="E75" s="980">
        <v>58</v>
      </c>
      <c r="F75" s="803" t="s">
        <v>588</v>
      </c>
      <c r="G75" s="804" t="s">
        <v>293</v>
      </c>
      <c r="H75" s="63">
        <v>14232</v>
      </c>
      <c r="I75" s="801">
        <v>659.99</v>
      </c>
      <c r="J75" s="66">
        <f t="shared" ref="J75:J90" si="49">ROUND(H75*I75,2)</f>
        <v>9392977.6799999997</v>
      </c>
      <c r="K75" s="63">
        <v>0</v>
      </c>
      <c r="L75" s="71">
        <f t="shared" ref="L75:L90" si="50">+ROUND(K75*I75,2)</f>
        <v>0</v>
      </c>
      <c r="M75" s="1265">
        <f>+'Cant. Ejec,'!M67</f>
        <v>0</v>
      </c>
      <c r="N75" s="73">
        <f t="shared" ref="N75:N90" si="51">+ROUND(I75*M75,2)</f>
        <v>0</v>
      </c>
      <c r="O75" s="61">
        <f t="shared" ref="O75:O76" si="52">K75+M75</f>
        <v>0</v>
      </c>
      <c r="P75" s="73">
        <f t="shared" ref="P75" si="53">L75+N75</f>
        <v>0</v>
      </c>
      <c r="Q75" s="61">
        <f t="shared" ref="Q75:Q90" si="54">H75-O75</f>
        <v>14232</v>
      </c>
      <c r="R75" s="939">
        <f t="shared" ref="R75:R90" si="55">+J75-P75</f>
        <v>9392977.6799999997</v>
      </c>
      <c r="S75" s="827">
        <f t="shared" ref="S75:S91" si="56">(N75/J75)</f>
        <v>0</v>
      </c>
      <c r="T75" s="827">
        <f t="shared" ref="T75:T91" si="57">(P75/J75)</f>
        <v>0</v>
      </c>
      <c r="U75" s="830">
        <f t="shared" ref="U75:U91" si="58">(R75/J75)</f>
        <v>1</v>
      </c>
      <c r="V75" s="943">
        <f t="shared" ref="V75:V104" si="59">1-U75</f>
        <v>0</v>
      </c>
      <c r="W75" s="308" t="str">
        <f t="shared" si="44"/>
        <v>ok</v>
      </c>
      <c r="Y75" s="787">
        <f>+X75-Q75</f>
        <v>-14232</v>
      </c>
    </row>
    <row r="76" spans="1:25" ht="13.5" customHeight="1">
      <c r="A76" s="931">
        <f t="shared" si="45"/>
        <v>0</v>
      </c>
      <c r="B76" s="932">
        <f t="shared" si="46"/>
        <v>0</v>
      </c>
      <c r="C76" s="934">
        <f t="shared" si="47"/>
        <v>1</v>
      </c>
      <c r="D76" s="935" t="str">
        <f>+D75</f>
        <v>5. SEÑALIZACION Y SEGURIDAD VIAL</v>
      </c>
      <c r="E76" s="982">
        <v>59</v>
      </c>
      <c r="F76" s="808" t="s">
        <v>458</v>
      </c>
      <c r="G76" s="809" t="s">
        <v>293</v>
      </c>
      <c r="H76" s="46">
        <v>31500</v>
      </c>
      <c r="I76" s="802">
        <v>8.27</v>
      </c>
      <c r="J76" s="66">
        <f t="shared" si="49"/>
        <v>260505</v>
      </c>
      <c r="K76" s="46">
        <v>0</v>
      </c>
      <c r="L76" s="71">
        <f t="shared" si="50"/>
        <v>0</v>
      </c>
      <c r="M76" s="1266">
        <f>+'Cant. Ejec,'!M68</f>
        <v>0</v>
      </c>
      <c r="N76" s="37">
        <f t="shared" si="51"/>
        <v>0</v>
      </c>
      <c r="O76" s="61">
        <f t="shared" si="52"/>
        <v>0</v>
      </c>
      <c r="P76" s="939">
        <f t="shared" ref="P76:P90" si="60">L76+N76</f>
        <v>0</v>
      </c>
      <c r="Q76" s="61">
        <f t="shared" si="54"/>
        <v>31500</v>
      </c>
      <c r="R76" s="939">
        <f t="shared" si="55"/>
        <v>260505</v>
      </c>
      <c r="S76" s="827">
        <f t="shared" si="56"/>
        <v>0</v>
      </c>
      <c r="T76" s="827">
        <f t="shared" si="57"/>
        <v>0</v>
      </c>
      <c r="U76" s="830">
        <f t="shared" si="58"/>
        <v>1</v>
      </c>
      <c r="V76" s="943">
        <f t="shared" si="59"/>
        <v>0</v>
      </c>
      <c r="W76" s="308" t="str">
        <f t="shared" si="44"/>
        <v>ok</v>
      </c>
      <c r="X76" s="19">
        <v>350.7</v>
      </c>
      <c r="Y76" s="787">
        <f t="shared" si="28"/>
        <v>-31149.3</v>
      </c>
    </row>
    <row r="77" spans="1:25" ht="13.5" customHeight="1">
      <c r="A77" s="931">
        <f t="shared" si="45"/>
        <v>0</v>
      </c>
      <c r="B77" s="932">
        <f t="shared" si="46"/>
        <v>0</v>
      </c>
      <c r="C77" s="934">
        <f t="shared" si="47"/>
        <v>1</v>
      </c>
      <c r="D77" s="935" t="str">
        <f t="shared" ref="D77:D90" si="61">+D76</f>
        <v>5. SEÑALIZACION Y SEGURIDAD VIAL</v>
      </c>
      <c r="E77" s="980">
        <v>60</v>
      </c>
      <c r="F77" s="803" t="s">
        <v>589</v>
      </c>
      <c r="G77" s="806" t="s">
        <v>293</v>
      </c>
      <c r="H77" s="36">
        <v>90000</v>
      </c>
      <c r="I77" s="800">
        <v>10.4</v>
      </c>
      <c r="J77" s="66">
        <f t="shared" si="49"/>
        <v>936000</v>
      </c>
      <c r="K77" s="36">
        <v>0</v>
      </c>
      <c r="L77" s="71">
        <f t="shared" si="50"/>
        <v>0</v>
      </c>
      <c r="M77" s="1267">
        <f>+'Cant. Ejec,'!M69</f>
        <v>0</v>
      </c>
      <c r="N77" s="37">
        <f t="shared" si="51"/>
        <v>0</v>
      </c>
      <c r="O77" s="61">
        <f t="shared" ref="O77:O90" si="62">K77+M77</f>
        <v>0</v>
      </c>
      <c r="P77" s="939">
        <f t="shared" si="60"/>
        <v>0</v>
      </c>
      <c r="Q77" s="61">
        <f t="shared" si="54"/>
        <v>90000</v>
      </c>
      <c r="R77" s="939">
        <f t="shared" si="55"/>
        <v>936000</v>
      </c>
      <c r="S77" s="827">
        <f t="shared" si="56"/>
        <v>0</v>
      </c>
      <c r="T77" s="827">
        <f t="shared" si="57"/>
        <v>0</v>
      </c>
      <c r="U77" s="830">
        <f t="shared" si="58"/>
        <v>1</v>
      </c>
      <c r="V77" s="943">
        <f t="shared" si="59"/>
        <v>0</v>
      </c>
      <c r="W77" s="308" t="str">
        <f t="shared" si="44"/>
        <v>ok</v>
      </c>
      <c r="X77" s="19">
        <v>68445.63</v>
      </c>
      <c r="Y77" s="787">
        <f t="shared" si="28"/>
        <v>-21554.369999999995</v>
      </c>
    </row>
    <row r="78" spans="1:25" ht="13.5" customHeight="1">
      <c r="A78" s="931">
        <f t="shared" si="45"/>
        <v>0</v>
      </c>
      <c r="B78" s="932">
        <f t="shared" si="46"/>
        <v>0</v>
      </c>
      <c r="C78" s="934">
        <f t="shared" si="47"/>
        <v>1</v>
      </c>
      <c r="D78" s="935" t="str">
        <f t="shared" si="61"/>
        <v>5. SEÑALIZACION Y SEGURIDAD VIAL</v>
      </c>
      <c r="E78" s="980">
        <v>61</v>
      </c>
      <c r="F78" s="803" t="s">
        <v>590</v>
      </c>
      <c r="G78" s="806" t="s">
        <v>291</v>
      </c>
      <c r="H78" s="36">
        <v>250</v>
      </c>
      <c r="I78" s="800">
        <v>72.150000000000006</v>
      </c>
      <c r="J78" s="66">
        <f t="shared" si="49"/>
        <v>18037.5</v>
      </c>
      <c r="K78" s="36">
        <v>0</v>
      </c>
      <c r="L78" s="71">
        <f t="shared" si="50"/>
        <v>0</v>
      </c>
      <c r="M78" s="1267">
        <f>+'Cant. Ejec,'!M70</f>
        <v>0</v>
      </c>
      <c r="N78" s="37">
        <f t="shared" si="51"/>
        <v>0</v>
      </c>
      <c r="O78" s="61">
        <f t="shared" si="62"/>
        <v>0</v>
      </c>
      <c r="P78" s="939">
        <f t="shared" si="60"/>
        <v>0</v>
      </c>
      <c r="Q78" s="61">
        <f t="shared" si="54"/>
        <v>250</v>
      </c>
      <c r="R78" s="939">
        <f t="shared" si="55"/>
        <v>18037.5</v>
      </c>
      <c r="S78" s="827">
        <f t="shared" si="56"/>
        <v>0</v>
      </c>
      <c r="T78" s="827">
        <f t="shared" si="57"/>
        <v>0</v>
      </c>
      <c r="U78" s="830">
        <f t="shared" si="58"/>
        <v>1</v>
      </c>
      <c r="V78" s="943">
        <f t="shared" si="59"/>
        <v>0</v>
      </c>
      <c r="W78" s="308" t="str">
        <f t="shared" si="44"/>
        <v>ok</v>
      </c>
      <c r="X78" s="19">
        <v>123</v>
      </c>
      <c r="Y78" s="787">
        <f t="shared" ref="Y78:Y91" si="63">+X78-Q78</f>
        <v>-127</v>
      </c>
    </row>
    <row r="79" spans="1:25" ht="13.5" customHeight="1">
      <c r="A79" s="931">
        <f t="shared" si="45"/>
        <v>0</v>
      </c>
      <c r="B79" s="932">
        <f t="shared" si="46"/>
        <v>0</v>
      </c>
      <c r="C79" s="934">
        <f t="shared" si="47"/>
        <v>1</v>
      </c>
      <c r="D79" s="935" t="str">
        <f t="shared" si="61"/>
        <v>5. SEÑALIZACION Y SEGURIDAD VIAL</v>
      </c>
      <c r="E79" s="980">
        <v>62</v>
      </c>
      <c r="F79" s="803" t="s">
        <v>591</v>
      </c>
      <c r="G79" s="806" t="s">
        <v>592</v>
      </c>
      <c r="H79" s="36">
        <v>180</v>
      </c>
      <c r="I79" s="800">
        <v>1283.31</v>
      </c>
      <c r="J79" s="66">
        <f t="shared" si="49"/>
        <v>230995.8</v>
      </c>
      <c r="K79" s="36">
        <v>0</v>
      </c>
      <c r="L79" s="71">
        <f t="shared" si="50"/>
        <v>0</v>
      </c>
      <c r="M79" s="1267">
        <f>+'Cant. Ejec,'!M71</f>
        <v>0</v>
      </c>
      <c r="N79" s="37">
        <f t="shared" si="51"/>
        <v>0</v>
      </c>
      <c r="O79" s="61">
        <f t="shared" si="62"/>
        <v>0</v>
      </c>
      <c r="P79" s="939">
        <f t="shared" si="60"/>
        <v>0</v>
      </c>
      <c r="Q79" s="61">
        <f t="shared" si="54"/>
        <v>180</v>
      </c>
      <c r="R79" s="939">
        <f t="shared" si="55"/>
        <v>230995.8</v>
      </c>
      <c r="S79" s="827">
        <f t="shared" si="56"/>
        <v>0</v>
      </c>
      <c r="T79" s="827">
        <f t="shared" si="57"/>
        <v>0</v>
      </c>
      <c r="U79" s="830">
        <f t="shared" si="58"/>
        <v>1</v>
      </c>
      <c r="V79" s="943">
        <f t="shared" si="59"/>
        <v>0</v>
      </c>
      <c r="W79" s="308" t="str">
        <f t="shared" si="44"/>
        <v>ok</v>
      </c>
      <c r="Y79" s="787"/>
    </row>
    <row r="80" spans="1:25" ht="13.5" customHeight="1">
      <c r="A80" s="931">
        <f t="shared" si="45"/>
        <v>0</v>
      </c>
      <c r="B80" s="932">
        <f t="shared" si="46"/>
        <v>0</v>
      </c>
      <c r="C80" s="934">
        <f t="shared" si="47"/>
        <v>1</v>
      </c>
      <c r="D80" s="935" t="str">
        <f t="shared" si="61"/>
        <v>5. SEÑALIZACION Y SEGURIDAD VIAL</v>
      </c>
      <c r="E80" s="980">
        <v>63</v>
      </c>
      <c r="F80" s="803" t="s">
        <v>593</v>
      </c>
      <c r="G80" s="806" t="s">
        <v>592</v>
      </c>
      <c r="H80" s="36">
        <v>30</v>
      </c>
      <c r="I80" s="800">
        <v>1283.31</v>
      </c>
      <c r="J80" s="66">
        <f t="shared" si="49"/>
        <v>38499.300000000003</v>
      </c>
      <c r="K80" s="36">
        <v>0</v>
      </c>
      <c r="L80" s="71">
        <f t="shared" si="50"/>
        <v>0</v>
      </c>
      <c r="M80" s="1267">
        <f>+'Cant. Ejec,'!M72</f>
        <v>0</v>
      </c>
      <c r="N80" s="37">
        <f t="shared" si="51"/>
        <v>0</v>
      </c>
      <c r="O80" s="61">
        <f t="shared" si="62"/>
        <v>0</v>
      </c>
      <c r="P80" s="939">
        <f t="shared" si="60"/>
        <v>0</v>
      </c>
      <c r="Q80" s="61">
        <f t="shared" si="54"/>
        <v>30</v>
      </c>
      <c r="R80" s="939">
        <f t="shared" si="55"/>
        <v>38499.300000000003</v>
      </c>
      <c r="S80" s="827">
        <f t="shared" si="56"/>
        <v>0</v>
      </c>
      <c r="T80" s="827">
        <f t="shared" si="57"/>
        <v>0</v>
      </c>
      <c r="U80" s="830">
        <f t="shared" si="58"/>
        <v>1</v>
      </c>
      <c r="V80" s="943">
        <f t="shared" si="59"/>
        <v>0</v>
      </c>
      <c r="W80" s="308" t="str">
        <f t="shared" si="44"/>
        <v>ok</v>
      </c>
      <c r="Y80" s="787"/>
    </row>
    <row r="81" spans="1:25" ht="13.5" customHeight="1">
      <c r="A81" s="931">
        <f t="shared" si="45"/>
        <v>0</v>
      </c>
      <c r="B81" s="932">
        <f t="shared" si="46"/>
        <v>0</v>
      </c>
      <c r="C81" s="934">
        <f t="shared" si="47"/>
        <v>1</v>
      </c>
      <c r="D81" s="935" t="str">
        <f t="shared" si="61"/>
        <v>5. SEÑALIZACION Y SEGURIDAD VIAL</v>
      </c>
      <c r="E81" s="980">
        <v>64</v>
      </c>
      <c r="F81" s="803" t="s">
        <v>594</v>
      </c>
      <c r="G81" s="806" t="s">
        <v>592</v>
      </c>
      <c r="H81" s="36">
        <v>30</v>
      </c>
      <c r="I81" s="800">
        <v>1839.02</v>
      </c>
      <c r="J81" s="66">
        <f t="shared" si="49"/>
        <v>55170.6</v>
      </c>
      <c r="K81" s="36">
        <v>0</v>
      </c>
      <c r="L81" s="71">
        <f t="shared" si="50"/>
        <v>0</v>
      </c>
      <c r="M81" s="1267">
        <f>+'Cant. Ejec,'!M73</f>
        <v>0</v>
      </c>
      <c r="N81" s="37">
        <f t="shared" si="51"/>
        <v>0</v>
      </c>
      <c r="O81" s="61">
        <f t="shared" si="62"/>
        <v>0</v>
      </c>
      <c r="P81" s="939">
        <f t="shared" si="60"/>
        <v>0</v>
      </c>
      <c r="Q81" s="61">
        <f t="shared" si="54"/>
        <v>30</v>
      </c>
      <c r="R81" s="939">
        <f t="shared" si="55"/>
        <v>55170.6</v>
      </c>
      <c r="S81" s="827">
        <f t="shared" si="56"/>
        <v>0</v>
      </c>
      <c r="T81" s="827">
        <f t="shared" si="57"/>
        <v>0</v>
      </c>
      <c r="U81" s="830">
        <f t="shared" si="58"/>
        <v>1</v>
      </c>
      <c r="V81" s="943">
        <f t="shared" si="59"/>
        <v>0</v>
      </c>
      <c r="W81" s="308" t="str">
        <f t="shared" si="44"/>
        <v>ok</v>
      </c>
      <c r="X81" s="19">
        <v>98</v>
      </c>
      <c r="Y81" s="787">
        <f t="shared" si="63"/>
        <v>68</v>
      </c>
    </row>
    <row r="82" spans="1:25" ht="13.5" customHeight="1">
      <c r="A82" s="931">
        <f t="shared" si="45"/>
        <v>0</v>
      </c>
      <c r="B82" s="932">
        <f t="shared" si="46"/>
        <v>0</v>
      </c>
      <c r="C82" s="934">
        <f t="shared" si="47"/>
        <v>1</v>
      </c>
      <c r="D82" s="935" t="str">
        <f t="shared" si="61"/>
        <v>5. SEÑALIZACION Y SEGURIDAD VIAL</v>
      </c>
      <c r="E82" s="980">
        <v>65</v>
      </c>
      <c r="F82" s="803" t="s">
        <v>595</v>
      </c>
      <c r="G82" s="806" t="s">
        <v>592</v>
      </c>
      <c r="H82" s="36">
        <v>65</v>
      </c>
      <c r="I82" s="800">
        <v>1542.64</v>
      </c>
      <c r="J82" s="66">
        <f t="shared" si="49"/>
        <v>100271.6</v>
      </c>
      <c r="K82" s="36">
        <v>0</v>
      </c>
      <c r="L82" s="71">
        <f t="shared" si="50"/>
        <v>0</v>
      </c>
      <c r="M82" s="1267">
        <f>+'Cant. Ejec,'!M74</f>
        <v>0</v>
      </c>
      <c r="N82" s="37">
        <f t="shared" si="51"/>
        <v>0</v>
      </c>
      <c r="O82" s="61">
        <f t="shared" si="62"/>
        <v>0</v>
      </c>
      <c r="P82" s="939">
        <f t="shared" si="60"/>
        <v>0</v>
      </c>
      <c r="Q82" s="61">
        <f t="shared" si="54"/>
        <v>65</v>
      </c>
      <c r="R82" s="939">
        <f t="shared" si="55"/>
        <v>100271.6</v>
      </c>
      <c r="S82" s="827">
        <f t="shared" si="56"/>
        <v>0</v>
      </c>
      <c r="T82" s="827">
        <f t="shared" si="57"/>
        <v>0</v>
      </c>
      <c r="U82" s="830">
        <f t="shared" si="58"/>
        <v>1</v>
      </c>
      <c r="V82" s="943">
        <f t="shared" si="59"/>
        <v>0</v>
      </c>
      <c r="W82" s="308" t="str">
        <f t="shared" si="44"/>
        <v>ok</v>
      </c>
      <c r="X82" s="19">
        <v>30</v>
      </c>
      <c r="Y82" s="787">
        <f t="shared" si="63"/>
        <v>-35</v>
      </c>
    </row>
    <row r="83" spans="1:25" ht="13.5" customHeight="1">
      <c r="A83" s="931">
        <f t="shared" si="45"/>
        <v>0</v>
      </c>
      <c r="B83" s="932">
        <f t="shared" si="46"/>
        <v>0</v>
      </c>
      <c r="C83" s="934">
        <f t="shared" si="47"/>
        <v>1</v>
      </c>
      <c r="D83" s="935" t="str">
        <f t="shared" si="61"/>
        <v>5. SEÑALIZACION Y SEGURIDAD VIAL</v>
      </c>
      <c r="E83" s="980">
        <v>66</v>
      </c>
      <c r="F83" s="803" t="s">
        <v>596</v>
      </c>
      <c r="G83" s="806" t="s">
        <v>592</v>
      </c>
      <c r="H83" s="36">
        <v>2</v>
      </c>
      <c r="I83" s="800">
        <v>4225.3900000000003</v>
      </c>
      <c r="J83" s="66">
        <f t="shared" si="49"/>
        <v>8450.7800000000007</v>
      </c>
      <c r="K83" s="36">
        <v>0</v>
      </c>
      <c r="L83" s="71">
        <f t="shared" si="50"/>
        <v>0</v>
      </c>
      <c r="M83" s="1267">
        <f>+'Cant. Ejec,'!M75</f>
        <v>0</v>
      </c>
      <c r="N83" s="37">
        <f t="shared" si="51"/>
        <v>0</v>
      </c>
      <c r="O83" s="61">
        <f t="shared" si="62"/>
        <v>0</v>
      </c>
      <c r="P83" s="939">
        <f t="shared" si="60"/>
        <v>0</v>
      </c>
      <c r="Q83" s="61">
        <f t="shared" si="54"/>
        <v>2</v>
      </c>
      <c r="R83" s="939">
        <f t="shared" si="55"/>
        <v>8450.7800000000007</v>
      </c>
      <c r="S83" s="827">
        <f t="shared" si="56"/>
        <v>0</v>
      </c>
      <c r="T83" s="827">
        <f t="shared" si="57"/>
        <v>0</v>
      </c>
      <c r="U83" s="830">
        <f t="shared" si="58"/>
        <v>1</v>
      </c>
      <c r="V83" s="943">
        <f t="shared" si="59"/>
        <v>0</v>
      </c>
      <c r="W83" s="308" t="str">
        <f t="shared" si="44"/>
        <v>ok</v>
      </c>
      <c r="Y83" s="787">
        <f t="shared" si="63"/>
        <v>-2</v>
      </c>
    </row>
    <row r="84" spans="1:25" ht="13.5" customHeight="1">
      <c r="A84" s="931">
        <f t="shared" si="45"/>
        <v>0</v>
      </c>
      <c r="B84" s="932">
        <f t="shared" si="46"/>
        <v>0</v>
      </c>
      <c r="C84" s="934">
        <f t="shared" si="47"/>
        <v>1</v>
      </c>
      <c r="D84" s="935" t="str">
        <f t="shared" si="61"/>
        <v>5. SEÑALIZACION Y SEGURIDAD VIAL</v>
      </c>
      <c r="E84" s="980">
        <v>67</v>
      </c>
      <c r="F84" s="803" t="s">
        <v>597</v>
      </c>
      <c r="G84" s="806" t="s">
        <v>592</v>
      </c>
      <c r="H84" s="36">
        <v>6</v>
      </c>
      <c r="I84" s="800">
        <v>3521.48</v>
      </c>
      <c r="J84" s="66">
        <f t="shared" si="49"/>
        <v>21128.880000000001</v>
      </c>
      <c r="K84" s="36">
        <v>0</v>
      </c>
      <c r="L84" s="71">
        <f t="shared" si="50"/>
        <v>0</v>
      </c>
      <c r="M84" s="1267">
        <f>+'Cant. Ejec,'!M76</f>
        <v>0</v>
      </c>
      <c r="N84" s="37">
        <f t="shared" si="51"/>
        <v>0</v>
      </c>
      <c r="O84" s="61">
        <f t="shared" si="62"/>
        <v>0</v>
      </c>
      <c r="P84" s="939">
        <f t="shared" si="60"/>
        <v>0</v>
      </c>
      <c r="Q84" s="61">
        <f t="shared" si="54"/>
        <v>6</v>
      </c>
      <c r="R84" s="939">
        <f t="shared" si="55"/>
        <v>21128.880000000001</v>
      </c>
      <c r="S84" s="827">
        <f t="shared" si="56"/>
        <v>0</v>
      </c>
      <c r="T84" s="827">
        <f t="shared" si="57"/>
        <v>0</v>
      </c>
      <c r="U84" s="830">
        <f t="shared" si="58"/>
        <v>1</v>
      </c>
      <c r="V84" s="943">
        <f t="shared" si="59"/>
        <v>0</v>
      </c>
      <c r="W84" s="308" t="str">
        <f t="shared" si="44"/>
        <v>ok</v>
      </c>
      <c r="Y84" s="787">
        <f t="shared" si="63"/>
        <v>-6</v>
      </c>
    </row>
    <row r="85" spans="1:25" ht="13.5" customHeight="1">
      <c r="A85" s="931">
        <f t="shared" si="45"/>
        <v>0</v>
      </c>
      <c r="B85" s="932">
        <f t="shared" si="46"/>
        <v>0</v>
      </c>
      <c r="C85" s="934">
        <f t="shared" si="47"/>
        <v>1</v>
      </c>
      <c r="D85" s="935" t="str">
        <f t="shared" si="61"/>
        <v>5. SEÑALIZACION Y SEGURIDAD VIAL</v>
      </c>
      <c r="E85" s="980">
        <v>68</v>
      </c>
      <c r="F85" s="803" t="s">
        <v>598</v>
      </c>
      <c r="G85" s="806" t="s">
        <v>592</v>
      </c>
      <c r="H85" s="36">
        <v>4</v>
      </c>
      <c r="I85" s="800">
        <v>5040.4399999999996</v>
      </c>
      <c r="J85" s="66">
        <f t="shared" si="49"/>
        <v>20161.759999999998</v>
      </c>
      <c r="K85" s="36">
        <v>0</v>
      </c>
      <c r="L85" s="71">
        <f t="shared" si="50"/>
        <v>0</v>
      </c>
      <c r="M85" s="1267">
        <f>+'Cant. Ejec,'!M77</f>
        <v>0</v>
      </c>
      <c r="N85" s="37">
        <f t="shared" si="51"/>
        <v>0</v>
      </c>
      <c r="O85" s="61">
        <f t="shared" si="62"/>
        <v>0</v>
      </c>
      <c r="P85" s="939">
        <f t="shared" si="60"/>
        <v>0</v>
      </c>
      <c r="Q85" s="61">
        <f t="shared" si="54"/>
        <v>4</v>
      </c>
      <c r="R85" s="939">
        <f t="shared" si="55"/>
        <v>20161.759999999998</v>
      </c>
      <c r="S85" s="827">
        <f t="shared" si="56"/>
        <v>0</v>
      </c>
      <c r="T85" s="827">
        <f t="shared" si="57"/>
        <v>0</v>
      </c>
      <c r="U85" s="830">
        <f t="shared" si="58"/>
        <v>1</v>
      </c>
      <c r="V85" s="943">
        <f t="shared" si="59"/>
        <v>0</v>
      </c>
      <c r="W85" s="308" t="str">
        <f t="shared" si="44"/>
        <v>ok</v>
      </c>
      <c r="X85" s="19">
        <v>12495</v>
      </c>
      <c r="Y85" s="787">
        <f t="shared" si="63"/>
        <v>12491</v>
      </c>
    </row>
    <row r="86" spans="1:25" ht="13.5" customHeight="1">
      <c r="A86" s="931">
        <f t="shared" si="45"/>
        <v>0</v>
      </c>
      <c r="B86" s="932">
        <f t="shared" si="46"/>
        <v>0</v>
      </c>
      <c r="C86" s="934">
        <f t="shared" si="47"/>
        <v>1</v>
      </c>
      <c r="D86" s="935" t="str">
        <f t="shared" si="61"/>
        <v>5. SEÑALIZACION Y SEGURIDAD VIAL</v>
      </c>
      <c r="E86" s="980">
        <v>69</v>
      </c>
      <c r="F86" s="803" t="s">
        <v>599</v>
      </c>
      <c r="G86" s="806" t="s">
        <v>592</v>
      </c>
      <c r="H86" s="36">
        <v>1</v>
      </c>
      <c r="I86" s="800">
        <v>5892.53</v>
      </c>
      <c r="J86" s="66">
        <f t="shared" si="49"/>
        <v>5892.53</v>
      </c>
      <c r="K86" s="36">
        <v>0</v>
      </c>
      <c r="L86" s="71">
        <f t="shared" si="50"/>
        <v>0</v>
      </c>
      <c r="M86" s="1267">
        <f>+'Cant. Ejec,'!M78</f>
        <v>0</v>
      </c>
      <c r="N86" s="37">
        <f t="shared" si="51"/>
        <v>0</v>
      </c>
      <c r="O86" s="61">
        <f t="shared" si="62"/>
        <v>0</v>
      </c>
      <c r="P86" s="939">
        <f t="shared" si="60"/>
        <v>0</v>
      </c>
      <c r="Q86" s="61">
        <f t="shared" si="54"/>
        <v>1</v>
      </c>
      <c r="R86" s="939">
        <f t="shared" si="55"/>
        <v>5892.53</v>
      </c>
      <c r="S86" s="827">
        <f t="shared" si="56"/>
        <v>0</v>
      </c>
      <c r="T86" s="827">
        <f t="shared" si="57"/>
        <v>0</v>
      </c>
      <c r="U86" s="830">
        <f t="shared" si="58"/>
        <v>1</v>
      </c>
      <c r="V86" s="943">
        <f t="shared" si="59"/>
        <v>0</v>
      </c>
      <c r="W86" s="308" t="str">
        <f t="shared" si="44"/>
        <v>ok</v>
      </c>
      <c r="X86" s="19">
        <v>7064.4</v>
      </c>
      <c r="Y86" s="787">
        <f t="shared" si="63"/>
        <v>7063.4</v>
      </c>
    </row>
    <row r="87" spans="1:25" ht="13.5" customHeight="1">
      <c r="A87" s="931">
        <f t="shared" si="45"/>
        <v>0</v>
      </c>
      <c r="B87" s="932">
        <f t="shared" si="46"/>
        <v>0</v>
      </c>
      <c r="C87" s="934">
        <f t="shared" si="47"/>
        <v>1</v>
      </c>
      <c r="D87" s="935" t="str">
        <f t="shared" si="61"/>
        <v>5. SEÑALIZACION Y SEGURIDAD VIAL</v>
      </c>
      <c r="E87" s="980">
        <v>70</v>
      </c>
      <c r="F87" s="803" t="s">
        <v>600</v>
      </c>
      <c r="G87" s="806" t="s">
        <v>592</v>
      </c>
      <c r="H87" s="36">
        <v>8</v>
      </c>
      <c r="I87" s="800">
        <v>5216.41</v>
      </c>
      <c r="J87" s="66">
        <f t="shared" si="49"/>
        <v>41731.279999999999</v>
      </c>
      <c r="K87" s="36">
        <v>0</v>
      </c>
      <c r="L87" s="71">
        <f t="shared" si="50"/>
        <v>0</v>
      </c>
      <c r="M87" s="1267">
        <f>+'Cant. Ejec,'!M79</f>
        <v>0</v>
      </c>
      <c r="N87" s="37">
        <f t="shared" si="51"/>
        <v>0</v>
      </c>
      <c r="O87" s="61">
        <f t="shared" si="62"/>
        <v>0</v>
      </c>
      <c r="P87" s="939">
        <f t="shared" si="60"/>
        <v>0</v>
      </c>
      <c r="Q87" s="61">
        <f t="shared" si="54"/>
        <v>8</v>
      </c>
      <c r="R87" s="939">
        <f t="shared" si="55"/>
        <v>41731.279999999999</v>
      </c>
      <c r="S87" s="827">
        <f t="shared" si="56"/>
        <v>0</v>
      </c>
      <c r="T87" s="827">
        <f t="shared" si="57"/>
        <v>0</v>
      </c>
      <c r="U87" s="830">
        <f t="shared" si="58"/>
        <v>1</v>
      </c>
      <c r="V87" s="943">
        <f t="shared" si="59"/>
        <v>0</v>
      </c>
      <c r="W87" s="308" t="str">
        <f t="shared" si="44"/>
        <v>ok</v>
      </c>
      <c r="Y87" s="787">
        <f t="shared" si="63"/>
        <v>-8</v>
      </c>
    </row>
    <row r="88" spans="1:25" ht="13.5" customHeight="1">
      <c r="A88" s="931">
        <f t="shared" si="45"/>
        <v>0</v>
      </c>
      <c r="B88" s="932">
        <f t="shared" si="46"/>
        <v>0</v>
      </c>
      <c r="C88" s="934">
        <f t="shared" si="47"/>
        <v>1</v>
      </c>
      <c r="D88" s="935" t="str">
        <f t="shared" si="61"/>
        <v>5. SEÑALIZACION Y SEGURIDAD VIAL</v>
      </c>
      <c r="E88" s="980">
        <v>71</v>
      </c>
      <c r="F88" s="803" t="s">
        <v>601</v>
      </c>
      <c r="G88" s="806" t="s">
        <v>592</v>
      </c>
      <c r="H88" s="36">
        <v>22</v>
      </c>
      <c r="I88" s="800">
        <v>2141.4499999999998</v>
      </c>
      <c r="J88" s="66">
        <f t="shared" si="49"/>
        <v>47111.9</v>
      </c>
      <c r="K88" s="36">
        <v>0</v>
      </c>
      <c r="L88" s="71">
        <f t="shared" si="50"/>
        <v>0</v>
      </c>
      <c r="M88" s="1267">
        <f>+'Cant. Ejec,'!M80</f>
        <v>0</v>
      </c>
      <c r="N88" s="37">
        <f t="shared" si="51"/>
        <v>0</v>
      </c>
      <c r="O88" s="61">
        <f t="shared" si="62"/>
        <v>0</v>
      </c>
      <c r="P88" s="939">
        <f t="shared" si="60"/>
        <v>0</v>
      </c>
      <c r="Q88" s="61">
        <f t="shared" si="54"/>
        <v>22</v>
      </c>
      <c r="R88" s="939">
        <f t="shared" si="55"/>
        <v>47111.9</v>
      </c>
      <c r="S88" s="827">
        <f t="shared" si="56"/>
        <v>0</v>
      </c>
      <c r="T88" s="827">
        <f t="shared" si="57"/>
        <v>0</v>
      </c>
      <c r="U88" s="830">
        <f t="shared" si="58"/>
        <v>1</v>
      </c>
      <c r="V88" s="943">
        <f t="shared" si="59"/>
        <v>0</v>
      </c>
      <c r="W88" s="308" t="str">
        <f t="shared" si="44"/>
        <v>ok</v>
      </c>
      <c r="Y88" s="787">
        <f t="shared" si="63"/>
        <v>-22</v>
      </c>
    </row>
    <row r="89" spans="1:25" ht="13.5" customHeight="1">
      <c r="A89" s="931">
        <f t="shared" si="45"/>
        <v>0</v>
      </c>
      <c r="B89" s="932">
        <f t="shared" si="46"/>
        <v>0</v>
      </c>
      <c r="C89" s="934">
        <f t="shared" si="47"/>
        <v>1</v>
      </c>
      <c r="D89" s="935" t="str">
        <f t="shared" si="61"/>
        <v>5. SEÑALIZACION Y SEGURIDAD VIAL</v>
      </c>
      <c r="E89" s="980">
        <v>72</v>
      </c>
      <c r="F89" s="803" t="s">
        <v>602</v>
      </c>
      <c r="G89" s="806" t="s">
        <v>592</v>
      </c>
      <c r="H89" s="36">
        <v>16875</v>
      </c>
      <c r="I89" s="800">
        <v>52.22</v>
      </c>
      <c r="J89" s="66">
        <f t="shared" si="49"/>
        <v>881212.5</v>
      </c>
      <c r="K89" s="36">
        <v>0</v>
      </c>
      <c r="L89" s="71">
        <f t="shared" si="50"/>
        <v>0</v>
      </c>
      <c r="M89" s="1267">
        <f>+'Cant. Ejec,'!M81</f>
        <v>0</v>
      </c>
      <c r="N89" s="37">
        <f t="shared" si="51"/>
        <v>0</v>
      </c>
      <c r="O89" s="61">
        <f t="shared" si="62"/>
        <v>0</v>
      </c>
      <c r="P89" s="939">
        <f t="shared" si="60"/>
        <v>0</v>
      </c>
      <c r="Q89" s="61">
        <f t="shared" si="54"/>
        <v>16875</v>
      </c>
      <c r="R89" s="939">
        <f t="shared" si="55"/>
        <v>881212.5</v>
      </c>
      <c r="S89" s="827">
        <f t="shared" si="56"/>
        <v>0</v>
      </c>
      <c r="T89" s="827">
        <f t="shared" si="57"/>
        <v>0</v>
      </c>
      <c r="U89" s="830">
        <f t="shared" si="58"/>
        <v>1</v>
      </c>
      <c r="V89" s="943">
        <f t="shared" si="59"/>
        <v>0</v>
      </c>
      <c r="W89" s="308" t="str">
        <f t="shared" si="44"/>
        <v>ok</v>
      </c>
      <c r="X89" s="19">
        <v>69.53</v>
      </c>
      <c r="Y89" s="787">
        <f t="shared" si="63"/>
        <v>-16805.47</v>
      </c>
    </row>
    <row r="90" spans="1:25" ht="13.5" customHeight="1">
      <c r="A90" s="931">
        <f t="shared" si="45"/>
        <v>0</v>
      </c>
      <c r="B90" s="932">
        <f t="shared" si="46"/>
        <v>0</v>
      </c>
      <c r="C90" s="934">
        <f t="shared" si="47"/>
        <v>1</v>
      </c>
      <c r="D90" s="935" t="str">
        <f t="shared" si="61"/>
        <v>5. SEÑALIZACION Y SEGURIDAD VIAL</v>
      </c>
      <c r="E90" s="980">
        <v>73</v>
      </c>
      <c r="F90" s="803" t="s">
        <v>603</v>
      </c>
      <c r="G90" s="806" t="s">
        <v>294</v>
      </c>
      <c r="H90" s="36">
        <v>109</v>
      </c>
      <c r="I90" s="800">
        <v>56.7</v>
      </c>
      <c r="J90" s="66">
        <f t="shared" si="49"/>
        <v>6180.3</v>
      </c>
      <c r="K90" s="36">
        <v>0</v>
      </c>
      <c r="L90" s="71">
        <f t="shared" si="50"/>
        <v>0</v>
      </c>
      <c r="M90" s="1268">
        <f>+'Cant. Ejec,'!M82</f>
        <v>0</v>
      </c>
      <c r="N90" s="1022">
        <f t="shared" si="51"/>
        <v>0</v>
      </c>
      <c r="O90" s="61">
        <f t="shared" si="62"/>
        <v>0</v>
      </c>
      <c r="P90" s="939">
        <f t="shared" si="60"/>
        <v>0</v>
      </c>
      <c r="Q90" s="61">
        <f t="shared" si="54"/>
        <v>109</v>
      </c>
      <c r="R90" s="939">
        <f t="shared" si="55"/>
        <v>6180.3</v>
      </c>
      <c r="S90" s="975">
        <f t="shared" si="56"/>
        <v>0</v>
      </c>
      <c r="T90" s="975">
        <f t="shared" si="57"/>
        <v>0</v>
      </c>
      <c r="U90" s="976">
        <f t="shared" si="58"/>
        <v>1</v>
      </c>
      <c r="V90" s="943">
        <f t="shared" si="59"/>
        <v>0</v>
      </c>
      <c r="W90" s="308" t="str">
        <f t="shared" si="44"/>
        <v>ok</v>
      </c>
      <c r="X90" s="19">
        <v>296433.56999999995</v>
      </c>
      <c r="Y90" s="787">
        <f t="shared" si="63"/>
        <v>296324.56999999995</v>
      </c>
    </row>
    <row r="91" spans="1:25" ht="13.5" customHeight="1">
      <c r="A91" s="931">
        <f t="shared" si="45"/>
        <v>0</v>
      </c>
      <c r="B91" s="932">
        <f t="shared" si="46"/>
        <v>0</v>
      </c>
      <c r="C91" s="934">
        <f t="shared" si="47"/>
        <v>1</v>
      </c>
      <c r="D91" s="935"/>
      <c r="E91" s="991"/>
      <c r="F91" s="992" t="s">
        <v>457</v>
      </c>
      <c r="G91" s="993"/>
      <c r="H91" s="994"/>
      <c r="I91" s="995"/>
      <c r="J91" s="996">
        <f>SUM(J75:J90)</f>
        <v>12064327.41</v>
      </c>
      <c r="K91" s="997"/>
      <c r="L91" s="996">
        <f>SUM(L75:L90)</f>
        <v>0</v>
      </c>
      <c r="M91" s="998"/>
      <c r="N91" s="996">
        <f>SUM(N75:N90)</f>
        <v>0</v>
      </c>
      <c r="O91" s="997"/>
      <c r="P91" s="996">
        <f>SUM(P75:P90)</f>
        <v>0</v>
      </c>
      <c r="Q91" s="998"/>
      <c r="R91" s="996">
        <f>SUM(R75:R90)</f>
        <v>12064327.41</v>
      </c>
      <c r="S91" s="1020">
        <f t="shared" si="56"/>
        <v>0</v>
      </c>
      <c r="T91" s="1123">
        <f t="shared" si="57"/>
        <v>0</v>
      </c>
      <c r="U91" s="1126">
        <f t="shared" si="58"/>
        <v>1</v>
      </c>
      <c r="V91" s="943">
        <f t="shared" si="59"/>
        <v>0</v>
      </c>
      <c r="W91" s="308" t="str">
        <f t="shared" si="44"/>
        <v>ok</v>
      </c>
      <c r="X91" s="19">
        <v>153499.76</v>
      </c>
      <c r="Y91" s="787">
        <f t="shared" si="63"/>
        <v>153499.76</v>
      </c>
    </row>
    <row r="92" spans="1:25" ht="13.5" customHeight="1">
      <c r="A92" s="931">
        <f t="shared" si="45"/>
        <v>0</v>
      </c>
      <c r="B92" s="932">
        <f t="shared" si="46"/>
        <v>0</v>
      </c>
      <c r="C92" s="934">
        <f t="shared" si="47"/>
        <v>1</v>
      </c>
      <c r="D92" s="935"/>
      <c r="E92" s="981">
        <v>6</v>
      </c>
      <c r="F92" s="957" t="s">
        <v>461</v>
      </c>
      <c r="G92" s="954"/>
      <c r="H92" s="955"/>
      <c r="I92" s="955"/>
      <c r="J92" s="955"/>
      <c r="K92" s="937"/>
      <c r="L92" s="937"/>
      <c r="M92" s="937"/>
      <c r="N92" s="937"/>
      <c r="O92" s="937"/>
      <c r="P92" s="937"/>
      <c r="Q92" s="937"/>
      <c r="R92" s="937"/>
      <c r="S92" s="937"/>
      <c r="T92" s="937"/>
      <c r="U92" s="956"/>
      <c r="V92" s="943">
        <f t="shared" si="59"/>
        <v>1</v>
      </c>
      <c r="W92" s="308" t="str">
        <f t="shared" si="44"/>
        <v>ok</v>
      </c>
      <c r="Y92" s="787"/>
    </row>
    <row r="93" spans="1:25" ht="13.5" customHeight="1">
      <c r="A93" s="931">
        <f t="shared" si="45"/>
        <v>0</v>
      </c>
      <c r="B93" s="932">
        <f t="shared" si="46"/>
        <v>0</v>
      </c>
      <c r="C93" s="934">
        <f t="shared" si="47"/>
        <v>1</v>
      </c>
      <c r="D93" s="935" t="str">
        <f t="shared" si="48"/>
        <v>6. MEDIDAS DE MITIGACION AMBIENTAL</v>
      </c>
      <c r="E93" s="980">
        <v>74</v>
      </c>
      <c r="F93" s="803" t="s">
        <v>461</v>
      </c>
      <c r="G93" s="806" t="s">
        <v>296</v>
      </c>
      <c r="H93" s="36">
        <v>1</v>
      </c>
      <c r="I93" s="800">
        <v>1018905.14</v>
      </c>
      <c r="J93" s="66">
        <f>ROUND(H93*I93,2)</f>
        <v>1018905.14</v>
      </c>
      <c r="K93" s="36">
        <v>0.04</v>
      </c>
      <c r="L93" s="71">
        <f>+ROUND(K93*I93,2)</f>
        <v>40756.21</v>
      </c>
      <c r="M93" s="1023">
        <f>+'Cant. Ejec,'!M84</f>
        <v>0</v>
      </c>
      <c r="N93" s="1024">
        <f>+ROUND(I93*M93,2)</f>
        <v>0</v>
      </c>
      <c r="O93" s="61">
        <f t="shared" ref="O93" si="64">K93+M93</f>
        <v>0.04</v>
      </c>
      <c r="P93" s="939">
        <f t="shared" ref="P93" si="65">L93+N93</f>
        <v>40756.21</v>
      </c>
      <c r="Q93" s="61">
        <f>H93-O93</f>
        <v>0.96</v>
      </c>
      <c r="R93" s="939">
        <f>+J93-P93</f>
        <v>978148.93</v>
      </c>
      <c r="S93" s="975">
        <f t="shared" ref="S93:S94" si="66">(N93/J93)</f>
        <v>0</v>
      </c>
      <c r="T93" s="975">
        <f t="shared" ref="T93:T94" si="67">(P93/J93)</f>
        <v>4.0000004318360781E-2</v>
      </c>
      <c r="U93" s="976">
        <f t="shared" ref="U93:U94" si="68">(R93/J93)</f>
        <v>0.9599999956816393</v>
      </c>
      <c r="V93" s="943">
        <f t="shared" si="59"/>
        <v>4.0000004318360705E-2</v>
      </c>
      <c r="W93" s="308" t="str">
        <f t="shared" si="44"/>
        <v>ok</v>
      </c>
      <c r="Y93" s="787"/>
    </row>
    <row r="94" spans="1:25" ht="13.5" customHeight="1">
      <c r="A94" s="931">
        <f t="shared" si="45"/>
        <v>0</v>
      </c>
      <c r="B94" s="932">
        <f t="shared" si="46"/>
        <v>0</v>
      </c>
      <c r="C94" s="934">
        <f t="shared" si="47"/>
        <v>1</v>
      </c>
      <c r="D94" s="935"/>
      <c r="E94" s="991"/>
      <c r="F94" s="992" t="s">
        <v>457</v>
      </c>
      <c r="G94" s="993"/>
      <c r="H94" s="994"/>
      <c r="I94" s="995"/>
      <c r="J94" s="996">
        <f>SUM(J93)</f>
        <v>1018905.14</v>
      </c>
      <c r="K94" s="997"/>
      <c r="L94" s="996">
        <f>SUM(L93)</f>
        <v>40756.21</v>
      </c>
      <c r="M94" s="998"/>
      <c r="N94" s="996">
        <f>SUM(N93)</f>
        <v>0</v>
      </c>
      <c r="O94" s="997"/>
      <c r="P94" s="996">
        <f>SUM(P93)</f>
        <v>40756.21</v>
      </c>
      <c r="Q94" s="998"/>
      <c r="R94" s="996">
        <f>SUM(R93)</f>
        <v>978148.93</v>
      </c>
      <c r="S94" s="1020">
        <f t="shared" si="66"/>
        <v>0</v>
      </c>
      <c r="T94" s="1123">
        <f t="shared" si="67"/>
        <v>4.0000004318360781E-2</v>
      </c>
      <c r="U94" s="1126">
        <f t="shared" si="68"/>
        <v>0.9599999956816393</v>
      </c>
      <c r="V94" s="943">
        <f t="shared" si="59"/>
        <v>4.0000004318360705E-2</v>
      </c>
      <c r="W94" s="308" t="str">
        <f t="shared" si="44"/>
        <v>ok</v>
      </c>
      <c r="Y94" s="787"/>
    </row>
    <row r="95" spans="1:25" ht="13.5" customHeight="1">
      <c r="A95" s="931">
        <f t="shared" si="45"/>
        <v>0</v>
      </c>
      <c r="B95" s="932">
        <f t="shared" si="46"/>
        <v>0</v>
      </c>
      <c r="C95" s="934">
        <f t="shared" si="47"/>
        <v>1</v>
      </c>
      <c r="D95" s="935"/>
      <c r="E95" s="981">
        <v>7</v>
      </c>
      <c r="F95" s="957" t="s">
        <v>604</v>
      </c>
      <c r="G95" s="954"/>
      <c r="H95" s="955"/>
      <c r="I95" s="955"/>
      <c r="J95" s="955"/>
      <c r="K95" s="937"/>
      <c r="L95" s="937"/>
      <c r="M95" s="937"/>
      <c r="N95" s="937"/>
      <c r="O95" s="937"/>
      <c r="P95" s="937"/>
      <c r="Q95" s="937"/>
      <c r="R95" s="937"/>
      <c r="S95" s="937"/>
      <c r="T95" s="937"/>
      <c r="U95" s="956"/>
      <c r="V95" s="943">
        <f t="shared" si="59"/>
        <v>1</v>
      </c>
      <c r="W95" s="308" t="str">
        <f t="shared" si="44"/>
        <v>ok</v>
      </c>
      <c r="Y95" s="787"/>
    </row>
    <row r="96" spans="1:25" ht="13.5" customHeight="1">
      <c r="A96" s="931">
        <f t="shared" si="45"/>
        <v>0</v>
      </c>
      <c r="B96" s="932">
        <f t="shared" si="46"/>
        <v>0</v>
      </c>
      <c r="C96" s="934">
        <f t="shared" si="47"/>
        <v>1</v>
      </c>
      <c r="D96" s="935" t="str">
        <f t="shared" si="48"/>
        <v>7. SERVICIOS PARA EL INGENIERO</v>
      </c>
      <c r="E96" s="980">
        <v>75</v>
      </c>
      <c r="F96" s="803" t="s">
        <v>605</v>
      </c>
      <c r="G96" s="806" t="s">
        <v>459</v>
      </c>
      <c r="H96" s="36">
        <v>11316.9</v>
      </c>
      <c r="I96" s="800">
        <v>49.55</v>
      </c>
      <c r="J96" s="66">
        <f t="shared" ref="J96:J101" si="69">ROUND(H96*I96,2)</f>
        <v>560752.4</v>
      </c>
      <c r="K96" s="36">
        <v>0</v>
      </c>
      <c r="L96" s="71">
        <f t="shared" ref="L96:L101" si="70">+ROUND(K96*I96,2)</f>
        <v>0</v>
      </c>
      <c r="M96" s="62">
        <f>+'Cant. Ejec,'!M86</f>
        <v>0</v>
      </c>
      <c r="N96" s="73">
        <f t="shared" ref="N96:N101" si="71">+ROUND(I96*M96,2)</f>
        <v>0</v>
      </c>
      <c r="O96" s="61">
        <f t="shared" ref="O96:O101" si="72">K96+M96</f>
        <v>0</v>
      </c>
      <c r="P96" s="939">
        <f t="shared" ref="P96:P101" si="73">L96+N96</f>
        <v>0</v>
      </c>
      <c r="Q96" s="61">
        <f t="shared" ref="Q96:Q101" si="74">H96-O96</f>
        <v>11316.9</v>
      </c>
      <c r="R96" s="939">
        <f t="shared" ref="R96:R101" si="75">+J96-P96</f>
        <v>560752.4</v>
      </c>
      <c r="S96" s="827">
        <f t="shared" ref="S96:S102" si="76">(N96/J96)</f>
        <v>0</v>
      </c>
      <c r="T96" s="827">
        <f t="shared" ref="T96:T101" si="77">(P96/J96)</f>
        <v>0</v>
      </c>
      <c r="U96" s="830">
        <f t="shared" ref="U96:U102" si="78">(R96/J96)</f>
        <v>1</v>
      </c>
      <c r="V96" s="943">
        <f t="shared" si="59"/>
        <v>0</v>
      </c>
      <c r="W96" s="308" t="str">
        <f t="shared" si="44"/>
        <v>ok</v>
      </c>
      <c r="Y96" s="787"/>
    </row>
    <row r="97" spans="1:25" ht="13.5" customHeight="1">
      <c r="A97" s="931">
        <f t="shared" si="45"/>
        <v>0</v>
      </c>
      <c r="B97" s="932">
        <f t="shared" si="46"/>
        <v>0</v>
      </c>
      <c r="C97" s="934">
        <f t="shared" si="47"/>
        <v>1</v>
      </c>
      <c r="D97" s="935" t="str">
        <f>+D96</f>
        <v>7. SERVICIOS PARA EL INGENIERO</v>
      </c>
      <c r="E97" s="980">
        <v>76</v>
      </c>
      <c r="F97" s="803" t="s">
        <v>606</v>
      </c>
      <c r="G97" s="806" t="s">
        <v>592</v>
      </c>
      <c r="H97" s="36">
        <v>1</v>
      </c>
      <c r="I97" s="800">
        <v>527727.62</v>
      </c>
      <c r="J97" s="66">
        <f t="shared" si="69"/>
        <v>527727.62</v>
      </c>
      <c r="K97" s="36">
        <v>0</v>
      </c>
      <c r="L97" s="71">
        <f t="shared" si="70"/>
        <v>0</v>
      </c>
      <c r="M97" s="65">
        <f>+'Cant. Ejec,'!M87</f>
        <v>0</v>
      </c>
      <c r="N97" s="37">
        <f t="shared" si="71"/>
        <v>0</v>
      </c>
      <c r="O97" s="61">
        <f t="shared" si="72"/>
        <v>0</v>
      </c>
      <c r="P97" s="939">
        <f t="shared" si="73"/>
        <v>0</v>
      </c>
      <c r="Q97" s="61">
        <f t="shared" si="74"/>
        <v>1</v>
      </c>
      <c r="R97" s="939">
        <f t="shared" si="75"/>
        <v>527727.62</v>
      </c>
      <c r="S97" s="827">
        <f t="shared" si="76"/>
        <v>0</v>
      </c>
      <c r="T97" s="827">
        <f t="shared" si="77"/>
        <v>0</v>
      </c>
      <c r="U97" s="830">
        <f t="shared" si="78"/>
        <v>1</v>
      </c>
      <c r="V97" s="943">
        <f t="shared" si="59"/>
        <v>0</v>
      </c>
      <c r="W97" s="308" t="str">
        <f t="shared" si="44"/>
        <v>ok</v>
      </c>
      <c r="Y97" s="787"/>
    </row>
    <row r="98" spans="1:25" ht="13.5" customHeight="1">
      <c r="A98" s="931">
        <f t="shared" si="45"/>
        <v>0</v>
      </c>
      <c r="B98" s="932">
        <f t="shared" si="46"/>
        <v>0</v>
      </c>
      <c r="C98" s="934">
        <f t="shared" si="47"/>
        <v>1</v>
      </c>
      <c r="D98" s="935" t="str">
        <f t="shared" ref="D98:D101" si="79">+D97</f>
        <v>7. SERVICIOS PARA EL INGENIERO</v>
      </c>
      <c r="E98" s="980">
        <v>77</v>
      </c>
      <c r="F98" s="803" t="s">
        <v>607</v>
      </c>
      <c r="G98" s="806" t="s">
        <v>592</v>
      </c>
      <c r="H98" s="36">
        <v>2</v>
      </c>
      <c r="I98" s="800">
        <v>277857.94</v>
      </c>
      <c r="J98" s="66">
        <f t="shared" si="69"/>
        <v>555715.88</v>
      </c>
      <c r="K98" s="36">
        <v>0</v>
      </c>
      <c r="L98" s="71">
        <f t="shared" si="70"/>
        <v>0</v>
      </c>
      <c r="M98" s="65">
        <f>+'Cant. Ejec,'!M88</f>
        <v>0</v>
      </c>
      <c r="N98" s="37">
        <f t="shared" si="71"/>
        <v>0</v>
      </c>
      <c r="O98" s="61">
        <f t="shared" si="72"/>
        <v>0</v>
      </c>
      <c r="P98" s="939">
        <f t="shared" si="73"/>
        <v>0</v>
      </c>
      <c r="Q98" s="61">
        <f t="shared" si="74"/>
        <v>2</v>
      </c>
      <c r="R98" s="939">
        <f t="shared" si="75"/>
        <v>555715.88</v>
      </c>
      <c r="S98" s="827">
        <f t="shared" si="76"/>
        <v>0</v>
      </c>
      <c r="T98" s="827">
        <f t="shared" si="77"/>
        <v>0</v>
      </c>
      <c r="U98" s="830">
        <f t="shared" si="78"/>
        <v>1</v>
      </c>
      <c r="V98" s="943">
        <f t="shared" si="59"/>
        <v>0</v>
      </c>
      <c r="W98" s="308" t="str">
        <f t="shared" si="44"/>
        <v>ok</v>
      </c>
      <c r="Y98" s="787"/>
    </row>
    <row r="99" spans="1:25" ht="13.5" customHeight="1">
      <c r="A99" s="931">
        <f t="shared" si="45"/>
        <v>0</v>
      </c>
      <c r="B99" s="932">
        <f t="shared" si="46"/>
        <v>0</v>
      </c>
      <c r="C99" s="934">
        <f t="shared" si="47"/>
        <v>1</v>
      </c>
      <c r="D99" s="935" t="str">
        <f t="shared" si="79"/>
        <v>7. SERVICIOS PARA EL INGENIERO</v>
      </c>
      <c r="E99" s="980">
        <v>78</v>
      </c>
      <c r="F99" s="803" t="s">
        <v>608</v>
      </c>
      <c r="G99" s="806" t="s">
        <v>460</v>
      </c>
      <c r="H99" s="36">
        <v>18</v>
      </c>
      <c r="I99" s="800">
        <v>1535.17</v>
      </c>
      <c r="J99" s="66">
        <f t="shared" si="69"/>
        <v>27633.06</v>
      </c>
      <c r="K99" s="36">
        <v>0</v>
      </c>
      <c r="L99" s="71">
        <f t="shared" si="70"/>
        <v>0</v>
      </c>
      <c r="M99" s="65">
        <f>+'Cant. Ejec,'!M89</f>
        <v>0</v>
      </c>
      <c r="N99" s="37">
        <f t="shared" si="71"/>
        <v>0</v>
      </c>
      <c r="O99" s="61">
        <f t="shared" si="72"/>
        <v>0</v>
      </c>
      <c r="P99" s="939">
        <f t="shared" si="73"/>
        <v>0</v>
      </c>
      <c r="Q99" s="61">
        <f t="shared" si="74"/>
        <v>18</v>
      </c>
      <c r="R99" s="939">
        <f t="shared" si="75"/>
        <v>27633.06</v>
      </c>
      <c r="S99" s="827">
        <f t="shared" si="76"/>
        <v>0</v>
      </c>
      <c r="T99" s="827">
        <f t="shared" si="77"/>
        <v>0</v>
      </c>
      <c r="U99" s="830">
        <f t="shared" si="78"/>
        <v>1</v>
      </c>
      <c r="V99" s="943">
        <f t="shared" si="59"/>
        <v>0</v>
      </c>
      <c r="W99" s="308" t="str">
        <f t="shared" si="44"/>
        <v>ok</v>
      </c>
      <c r="Y99" s="787"/>
    </row>
    <row r="100" spans="1:25" ht="13.5" customHeight="1">
      <c r="A100" s="931">
        <f t="shared" si="45"/>
        <v>0</v>
      </c>
      <c r="B100" s="932">
        <f t="shared" si="46"/>
        <v>0</v>
      </c>
      <c r="C100" s="934">
        <f t="shared" si="47"/>
        <v>1</v>
      </c>
      <c r="D100" s="935" t="str">
        <f t="shared" si="79"/>
        <v>7. SERVICIOS PARA EL INGENIERO</v>
      </c>
      <c r="E100" s="980">
        <v>79</v>
      </c>
      <c r="F100" s="803" t="s">
        <v>609</v>
      </c>
      <c r="G100" s="806" t="s">
        <v>664</v>
      </c>
      <c r="H100" s="36">
        <v>33004.019999999997</v>
      </c>
      <c r="I100" s="800">
        <v>15.2</v>
      </c>
      <c r="J100" s="66">
        <f t="shared" si="69"/>
        <v>501661.1</v>
      </c>
      <c r="K100" s="36">
        <v>0</v>
      </c>
      <c r="L100" s="71">
        <f t="shared" si="70"/>
        <v>0</v>
      </c>
      <c r="M100" s="65">
        <f>+'Cant. Ejec,'!M90</f>
        <v>0</v>
      </c>
      <c r="N100" s="37">
        <f t="shared" si="71"/>
        <v>0</v>
      </c>
      <c r="O100" s="61">
        <f t="shared" si="72"/>
        <v>0</v>
      </c>
      <c r="P100" s="939">
        <f t="shared" si="73"/>
        <v>0</v>
      </c>
      <c r="Q100" s="61">
        <f t="shared" si="74"/>
        <v>33004.019999999997</v>
      </c>
      <c r="R100" s="939">
        <f t="shared" si="75"/>
        <v>501661.1</v>
      </c>
      <c r="S100" s="827">
        <f>(N100/J100)</f>
        <v>0</v>
      </c>
      <c r="T100" s="827">
        <f>(P100/J100)</f>
        <v>0</v>
      </c>
      <c r="U100" s="830">
        <f t="shared" si="78"/>
        <v>1</v>
      </c>
      <c r="V100" s="943">
        <f t="shared" si="59"/>
        <v>0</v>
      </c>
      <c r="W100" s="308" t="str">
        <f t="shared" si="44"/>
        <v>ok</v>
      </c>
      <c r="Y100" s="787"/>
    </row>
    <row r="101" spans="1:25" ht="13.5" customHeight="1">
      <c r="A101" s="931">
        <f t="shared" si="45"/>
        <v>0</v>
      </c>
      <c r="B101" s="932">
        <f t="shared" si="46"/>
        <v>0</v>
      </c>
      <c r="C101" s="934">
        <f t="shared" si="47"/>
        <v>1</v>
      </c>
      <c r="D101" s="935" t="str">
        <f t="shared" si="79"/>
        <v>7. SERVICIOS PARA EL INGENIERO</v>
      </c>
      <c r="E101" s="980">
        <v>80</v>
      </c>
      <c r="F101" s="803" t="s">
        <v>610</v>
      </c>
      <c r="G101" s="806" t="s">
        <v>611</v>
      </c>
      <c r="H101" s="36">
        <v>540</v>
      </c>
      <c r="I101" s="800">
        <v>139.30000000000001</v>
      </c>
      <c r="J101" s="66">
        <f t="shared" si="69"/>
        <v>75222</v>
      </c>
      <c r="K101" s="36">
        <v>0</v>
      </c>
      <c r="L101" s="71">
        <f t="shared" si="70"/>
        <v>0</v>
      </c>
      <c r="M101" s="431">
        <f>+'Cant. Ejec,'!M91</f>
        <v>0</v>
      </c>
      <c r="N101" s="1022">
        <f t="shared" si="71"/>
        <v>0</v>
      </c>
      <c r="O101" s="61">
        <f t="shared" si="72"/>
        <v>0</v>
      </c>
      <c r="P101" s="939">
        <f t="shared" si="73"/>
        <v>0</v>
      </c>
      <c r="Q101" s="61">
        <f t="shared" si="74"/>
        <v>540</v>
      </c>
      <c r="R101" s="939">
        <f t="shared" si="75"/>
        <v>75222</v>
      </c>
      <c r="S101" s="975">
        <f t="shared" si="76"/>
        <v>0</v>
      </c>
      <c r="T101" s="975">
        <f t="shared" si="77"/>
        <v>0</v>
      </c>
      <c r="U101" s="976">
        <f t="shared" si="78"/>
        <v>1</v>
      </c>
      <c r="V101" s="943">
        <f t="shared" si="59"/>
        <v>0</v>
      </c>
      <c r="W101" s="308" t="str">
        <f t="shared" si="44"/>
        <v>ok</v>
      </c>
      <c r="Y101" s="787"/>
    </row>
    <row r="102" spans="1:25" ht="13.5" customHeight="1">
      <c r="A102" s="931"/>
      <c r="B102" s="932"/>
      <c r="C102" s="934"/>
      <c r="D102" s="935"/>
      <c r="E102" s="991"/>
      <c r="F102" s="992" t="s">
        <v>457</v>
      </c>
      <c r="G102" s="993"/>
      <c r="H102" s="994"/>
      <c r="I102" s="995"/>
      <c r="J102" s="996">
        <f>SUM(J96:J101)</f>
        <v>2248712.06</v>
      </c>
      <c r="K102" s="997"/>
      <c r="L102" s="996">
        <f>SUM(L96:L101)</f>
        <v>0</v>
      </c>
      <c r="M102" s="998"/>
      <c r="N102" s="996">
        <f>SUM(N96:N101)</f>
        <v>0</v>
      </c>
      <c r="O102" s="997"/>
      <c r="P102" s="996">
        <f>SUM(P96:P101)</f>
        <v>0</v>
      </c>
      <c r="Q102" s="998"/>
      <c r="R102" s="996">
        <f>SUM(R96:R101)</f>
        <v>2248712.06</v>
      </c>
      <c r="S102" s="1020">
        <f t="shared" si="76"/>
        <v>0</v>
      </c>
      <c r="T102" s="1123">
        <f>(P102/J102)</f>
        <v>0</v>
      </c>
      <c r="U102" s="1126">
        <f t="shared" si="78"/>
        <v>1</v>
      </c>
      <c r="V102" s="943">
        <f t="shared" si="59"/>
        <v>0</v>
      </c>
      <c r="W102" s="308" t="str">
        <f t="shared" si="44"/>
        <v>ok</v>
      </c>
      <c r="Y102" s="787"/>
    </row>
    <row r="103" spans="1:25" ht="13.5" customHeight="1">
      <c r="A103" s="931"/>
      <c r="B103" s="932"/>
      <c r="C103" s="934"/>
      <c r="D103" s="935"/>
      <c r="E103" s="21"/>
      <c r="F103" s="646" t="s">
        <v>428</v>
      </c>
      <c r="G103" s="286"/>
      <c r="H103" s="647"/>
      <c r="I103" s="938"/>
      <c r="J103" s="805"/>
      <c r="K103" s="734"/>
      <c r="L103" s="734"/>
      <c r="M103" s="738"/>
      <c r="N103" s="734"/>
      <c r="O103" s="738"/>
      <c r="P103" s="958"/>
      <c r="Q103" s="959"/>
      <c r="R103" s="734"/>
      <c r="S103" s="739"/>
      <c r="T103" s="1121"/>
      <c r="U103" s="648"/>
      <c r="V103" s="943">
        <f t="shared" si="59"/>
        <v>1</v>
      </c>
      <c r="W103" s="308" t="str">
        <f t="shared" si="44"/>
        <v>ok</v>
      </c>
    </row>
    <row r="104" spans="1:25" s="77" customFormat="1" ht="13.5" customHeight="1">
      <c r="D104" s="935"/>
      <c r="E104" s="1026"/>
      <c r="F104" s="1027" t="s">
        <v>154</v>
      </c>
      <c r="G104" s="1028"/>
      <c r="H104" s="1029"/>
      <c r="I104" s="1030"/>
      <c r="J104" s="1128">
        <f>+J11+J23+J31+J73+J91+J94+J102</f>
        <v>108397839.64</v>
      </c>
      <c r="K104" s="1031"/>
      <c r="L104" s="1128">
        <f>+L11+L23+L31+L73+L91+L94+L102</f>
        <v>1524844.2</v>
      </c>
      <c r="M104" s="1032"/>
      <c r="N104" s="1128">
        <f>+N11+N23+N31+N73+N91+N94+N102</f>
        <v>86910.98</v>
      </c>
      <c r="O104" s="1031"/>
      <c r="P104" s="1030">
        <f>+P11+P23+P31+P73+P91+P94+P102</f>
        <v>1611755.18</v>
      </c>
      <c r="Q104" s="1032"/>
      <c r="R104" s="1030">
        <f>+R11+R23+R31+R73+R91+R94+R102</f>
        <v>106786084.46000001</v>
      </c>
      <c r="S104" s="1127">
        <f>(N104/J104)</f>
        <v>8.0177778716476267E-4</v>
      </c>
      <c r="T104" s="1124">
        <f>(P104/J104)</f>
        <v>1.4868886551178502E-2</v>
      </c>
      <c r="U104" s="1033">
        <f>(R104/J104)</f>
        <v>0.98513111344882154</v>
      </c>
      <c r="V104" s="943">
        <f t="shared" si="59"/>
        <v>1.4868886551178462E-2</v>
      </c>
      <c r="W104" s="308" t="str">
        <f t="shared" si="44"/>
        <v>ok</v>
      </c>
    </row>
    <row r="105" spans="1:25" ht="12.75" customHeight="1">
      <c r="D105" s="935"/>
      <c r="E105" s="22"/>
      <c r="F105" s="23"/>
      <c r="G105" s="24"/>
      <c r="H105" s="24"/>
      <c r="I105" s="31"/>
      <c r="J105" s="25"/>
      <c r="K105" s="26"/>
      <c r="L105" s="26"/>
      <c r="M105" s="27"/>
      <c r="N105" s="26"/>
      <c r="O105" s="28"/>
      <c r="P105" s="26"/>
      <c r="Q105" s="1583"/>
      <c r="R105" s="1583"/>
      <c r="S105" s="26"/>
      <c r="T105" s="26"/>
      <c r="U105" s="29"/>
      <c r="V105" s="27"/>
      <c r="X105" s="1296">
        <v>230575.22</v>
      </c>
    </row>
    <row r="106" spans="1:25" ht="12.75" customHeight="1">
      <c r="E106" s="22"/>
      <c r="F106" s="23"/>
      <c r="G106" s="24"/>
      <c r="H106" s="24"/>
      <c r="I106" s="31"/>
      <c r="J106" s="25"/>
      <c r="K106" s="26"/>
      <c r="L106" s="26"/>
      <c r="M106" s="27"/>
      <c r="N106" s="26"/>
      <c r="O106" s="28"/>
      <c r="P106" s="26"/>
      <c r="Q106" s="813"/>
      <c r="R106" s="813"/>
      <c r="S106" s="26"/>
      <c r="T106" s="26"/>
      <c r="U106" s="29"/>
      <c r="V106" s="27"/>
      <c r="X106" s="1296">
        <v>515492.2</v>
      </c>
    </row>
    <row r="107" spans="1:25" ht="12.75" customHeight="1">
      <c r="E107" s="22"/>
      <c r="F107" s="23"/>
      <c r="G107" s="24"/>
      <c r="H107" s="24"/>
      <c r="I107" s="31"/>
      <c r="J107" s="25"/>
      <c r="K107" s="26"/>
      <c r="L107" s="26"/>
      <c r="M107" s="27"/>
      <c r="N107" s="26"/>
      <c r="O107" s="28"/>
      <c r="P107" s="26"/>
      <c r="Q107" s="813"/>
      <c r="R107" s="813"/>
      <c r="S107" s="26"/>
      <c r="T107" s="26"/>
      <c r="U107" s="29"/>
      <c r="V107" s="27"/>
      <c r="X107" s="1296">
        <v>778326.78</v>
      </c>
    </row>
    <row r="108" spans="1:25" ht="12.75" customHeight="1">
      <c r="E108" s="22"/>
      <c r="F108" s="23"/>
      <c r="G108" s="24"/>
      <c r="H108" s="24"/>
      <c r="I108" s="31"/>
      <c r="J108" s="25"/>
      <c r="K108" s="26"/>
      <c r="L108" s="26"/>
      <c r="M108" s="27"/>
      <c r="N108" s="26"/>
      <c r="O108" s="28"/>
      <c r="P108" s="26"/>
      <c r="Q108" s="813"/>
      <c r="R108" s="813"/>
      <c r="S108" s="26"/>
      <c r="T108" s="26"/>
      <c r="U108" s="29"/>
      <c r="V108" s="27"/>
      <c r="X108" s="826">
        <f>SUM(X105:X107)</f>
        <v>1524394.2000000002</v>
      </c>
    </row>
    <row r="109" spans="1:25" ht="12.75" customHeight="1">
      <c r="E109" s="22"/>
      <c r="F109" s="23"/>
      <c r="G109" s="24"/>
      <c r="H109" s="24"/>
      <c r="I109" s="31"/>
      <c r="J109" s="25"/>
      <c r="K109" s="26"/>
      <c r="L109" s="26"/>
      <c r="M109" s="27"/>
      <c r="N109" s="26"/>
      <c r="O109" s="28"/>
      <c r="P109" s="26"/>
      <c r="Q109" s="813"/>
      <c r="R109" s="813"/>
      <c r="S109" s="26"/>
      <c r="T109" s="26"/>
      <c r="U109" s="29"/>
      <c r="V109" s="27"/>
    </row>
    <row r="110" spans="1:25" ht="12.75" customHeight="1">
      <c r="E110" s="92"/>
      <c r="F110" s="30"/>
      <c r="G110" s="816"/>
      <c r="H110" s="816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2"/>
    </row>
    <row r="111" spans="1:25" ht="12.75" customHeight="1">
      <c r="E111" s="92"/>
      <c r="F111" s="1035" t="str">
        <f>+Datos!B14</f>
        <v>Ing. Gabriel Daza Chavez</v>
      </c>
      <c r="G111" s="1035"/>
      <c r="H111" s="1035"/>
      <c r="I111" s="1036"/>
      <c r="J111" s="1584" t="str">
        <f>+Datos!B6</f>
        <v>Ing. Herlan Rene Ramos Estrada</v>
      </c>
      <c r="K111" s="1584"/>
      <c r="L111" s="1584"/>
      <c r="M111" s="1036"/>
      <c r="N111" s="1036"/>
      <c r="O111" s="1036"/>
      <c r="P111" s="30"/>
      <c r="Q111" s="1056" t="str">
        <f>+Datos!B9</f>
        <v>Ing. Franz Reynaldo Salazar Martinez</v>
      </c>
      <c r="R111" s="32"/>
      <c r="S111" s="32"/>
      <c r="T111" s="32"/>
      <c r="U111" s="33"/>
      <c r="V111" s="32"/>
    </row>
    <row r="112" spans="1:25" ht="12.75" customHeight="1">
      <c r="E112" s="92"/>
      <c r="F112" s="1037" t="s">
        <v>158</v>
      </c>
      <c r="G112" s="1035"/>
      <c r="H112" s="1035"/>
      <c r="I112" s="1036"/>
      <c r="J112" s="1585" t="str">
        <f>+Datos!B7</f>
        <v>SUPERVISOR DE OBRA</v>
      </c>
      <c r="K112" s="1585"/>
      <c r="L112" s="1585"/>
      <c r="M112" s="1036"/>
      <c r="N112" s="1036"/>
      <c r="O112" s="1036"/>
      <c r="P112" s="30"/>
      <c r="Q112" s="1055" t="str">
        <f>+Datos!B10</f>
        <v>FISCAL DE OBRA</v>
      </c>
      <c r="R112" s="32"/>
      <c r="S112" s="32"/>
      <c r="T112" s="32"/>
      <c r="U112" s="33"/>
      <c r="V112" s="32"/>
    </row>
    <row r="113" spans="5:22" ht="23.25" customHeight="1">
      <c r="E113" s="92"/>
      <c r="F113" s="1299" t="s">
        <v>448</v>
      </c>
      <c r="G113" s="1278"/>
      <c r="H113" s="1278"/>
      <c r="I113" s="1036"/>
      <c r="J113" s="1707" t="str">
        <f>+Datos!B8</f>
        <v>ABC - REGIONAL TARIJA</v>
      </c>
      <c r="K113" s="1707"/>
      <c r="L113" s="1707"/>
      <c r="M113" s="1300"/>
      <c r="N113" s="1300"/>
      <c r="O113" s="1300"/>
      <c r="P113" s="1301"/>
      <c r="Q113" s="1302" t="str">
        <f>+Datos!B11</f>
        <v>ABC - REGIONAL TARIJA</v>
      </c>
      <c r="R113" s="1303"/>
      <c r="S113" s="32"/>
      <c r="T113" s="32"/>
      <c r="U113" s="33"/>
      <c r="V113" s="32"/>
    </row>
    <row r="114" spans="5:22" ht="12.75" customHeight="1">
      <c r="E114" s="301"/>
      <c r="F114" s="1304"/>
      <c r="G114" s="1305"/>
      <c r="H114" s="1305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3"/>
      <c r="V114" s="34"/>
    </row>
    <row r="115" spans="5:22" ht="12.75" customHeight="1">
      <c r="I115" s="34"/>
      <c r="J115" s="34"/>
      <c r="K115" s="34"/>
      <c r="L115" s="34"/>
      <c r="M115" s="616"/>
      <c r="N115" s="414"/>
      <c r="O115" s="414"/>
      <c r="P115" s="617"/>
      <c r="Q115" s="34"/>
      <c r="R115" s="615"/>
      <c r="S115" s="34"/>
      <c r="T115" s="34"/>
      <c r="U115" s="34"/>
      <c r="V115" s="34"/>
    </row>
    <row r="116" spans="5:22" ht="12.75" customHeight="1">
      <c r="I116" s="34"/>
      <c r="J116" s="777"/>
      <c r="K116" s="34"/>
      <c r="L116" s="414"/>
      <c r="M116" s="616"/>
      <c r="N116" s="34"/>
      <c r="O116" s="34"/>
      <c r="P116" s="34"/>
      <c r="Q116" s="414"/>
      <c r="R116" s="615"/>
      <c r="S116" s="34"/>
      <c r="T116" s="34"/>
      <c r="U116" s="34"/>
      <c r="V116" s="34"/>
    </row>
    <row r="117" spans="5:22" ht="12.75" customHeight="1">
      <c r="I117" s="34"/>
      <c r="J117" s="778"/>
      <c r="K117" s="34"/>
      <c r="L117" s="34"/>
      <c r="M117" s="34"/>
      <c r="N117" s="34"/>
      <c r="O117" s="34"/>
      <c r="P117" s="617"/>
      <c r="Q117" s="615"/>
      <c r="R117" s="34"/>
      <c r="S117" s="34"/>
      <c r="T117" s="34"/>
      <c r="U117" s="34"/>
      <c r="V117" s="34"/>
    </row>
    <row r="118" spans="5:22" ht="12.75" customHeight="1">
      <c r="I118" s="34"/>
      <c r="J118" s="779"/>
      <c r="K118" s="34"/>
      <c r="L118" s="34"/>
      <c r="M118" s="34"/>
      <c r="N118" s="616"/>
      <c r="O118" s="34"/>
      <c r="P118" s="34"/>
      <c r="Q118" s="34"/>
      <c r="R118" s="34"/>
      <c r="S118" s="34"/>
      <c r="T118" s="34"/>
      <c r="U118" s="34"/>
      <c r="V118" s="34"/>
    </row>
    <row r="119" spans="5:22" ht="12.75" customHeight="1">
      <c r="I119" s="34"/>
      <c r="J119" s="34"/>
      <c r="K119" s="34"/>
      <c r="L119" s="34"/>
      <c r="M119" s="34"/>
      <c r="N119" s="616"/>
      <c r="O119" s="34"/>
      <c r="P119" s="616"/>
      <c r="Q119" s="34"/>
      <c r="R119" s="34"/>
      <c r="S119" s="34"/>
      <c r="T119" s="34"/>
      <c r="U119" s="34"/>
      <c r="V119" s="34"/>
    </row>
    <row r="120" spans="5:22" ht="12.75" customHeight="1">
      <c r="I120" s="34"/>
      <c r="J120" s="34"/>
      <c r="K120" s="34"/>
      <c r="L120" s="34"/>
      <c r="M120" s="34"/>
      <c r="N120" s="616"/>
      <c r="O120" s="617"/>
      <c r="P120" s="778"/>
      <c r="Q120" s="34"/>
      <c r="R120" s="34"/>
      <c r="S120" s="34"/>
      <c r="T120" s="34"/>
      <c r="U120" s="34"/>
      <c r="V120" s="34"/>
    </row>
    <row r="121" spans="5:22" ht="12.75" customHeight="1">
      <c r="I121" s="34"/>
      <c r="J121" s="34"/>
      <c r="K121" s="34"/>
      <c r="L121" s="34"/>
      <c r="M121" s="34"/>
      <c r="N121" s="616"/>
      <c r="O121" s="34"/>
      <c r="P121" s="34"/>
      <c r="Q121" s="34"/>
      <c r="R121" s="34"/>
      <c r="S121" s="34"/>
      <c r="T121" s="34"/>
      <c r="U121" s="34"/>
      <c r="V121" s="34"/>
    </row>
    <row r="122" spans="5:22" ht="12.75" customHeight="1">
      <c r="I122" s="34"/>
      <c r="J122" s="34"/>
      <c r="K122" s="34"/>
      <c r="L122" s="34"/>
      <c r="M122" s="34"/>
      <c r="N122" s="616"/>
      <c r="O122" s="34"/>
      <c r="P122" s="616"/>
      <c r="Q122" s="34"/>
      <c r="R122" s="34"/>
      <c r="S122" s="34"/>
      <c r="T122" s="34"/>
      <c r="U122" s="34"/>
      <c r="V122" s="34"/>
    </row>
    <row r="123" spans="5:22" ht="12.75" customHeight="1">
      <c r="I123" s="34"/>
      <c r="J123" s="34"/>
      <c r="K123" s="34"/>
      <c r="L123" s="34"/>
      <c r="M123" s="34"/>
      <c r="N123" s="414"/>
      <c r="O123" s="34"/>
      <c r="P123" s="34"/>
      <c r="Q123" s="34"/>
      <c r="R123" s="34"/>
      <c r="S123" s="34"/>
      <c r="T123" s="34"/>
      <c r="U123" s="34"/>
      <c r="V123" s="34"/>
    </row>
    <row r="124" spans="5:22" ht="12.75" customHeight="1">
      <c r="I124" s="34"/>
      <c r="J124" s="34"/>
      <c r="K124" s="34"/>
      <c r="L124" s="34"/>
      <c r="M124" s="34"/>
      <c r="N124" s="414"/>
      <c r="O124" s="34"/>
      <c r="P124" s="34"/>
      <c r="Q124" s="34"/>
      <c r="R124" s="34"/>
      <c r="S124" s="34"/>
      <c r="T124" s="34"/>
      <c r="U124" s="34"/>
      <c r="V124" s="34"/>
    </row>
    <row r="125" spans="5:22" ht="12.75" customHeight="1">
      <c r="I125" s="34"/>
      <c r="J125" s="34"/>
      <c r="K125" s="34"/>
      <c r="L125" s="616"/>
      <c r="M125" s="34"/>
      <c r="N125" s="616"/>
      <c r="O125" s="34"/>
      <c r="P125" s="34"/>
      <c r="Q125" s="34"/>
      <c r="R125" s="34"/>
      <c r="S125" s="34"/>
      <c r="T125" s="34"/>
      <c r="U125" s="34"/>
      <c r="V125" s="34"/>
    </row>
    <row r="126" spans="5:22" ht="12.75" customHeight="1">
      <c r="I126" s="34"/>
      <c r="J126" s="34"/>
      <c r="K126" s="34"/>
      <c r="L126" s="34"/>
      <c r="M126" s="34"/>
      <c r="N126" s="616"/>
      <c r="O126" s="34"/>
      <c r="P126" s="34"/>
      <c r="Q126" s="34"/>
      <c r="R126" s="34"/>
      <c r="S126" s="34"/>
      <c r="T126" s="34"/>
      <c r="U126" s="34"/>
      <c r="V126" s="34"/>
    </row>
    <row r="127" spans="5:22" ht="12.75" customHeight="1"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</row>
    <row r="128" spans="5:22" ht="12.75" customHeight="1"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</row>
    <row r="129" spans="9:22" ht="12.75" customHeight="1"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spans="9:22" ht="12.75" customHeight="1"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spans="9:22" ht="12.75" customHeight="1"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spans="9:22" ht="12.75" customHeight="1"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spans="9:22" ht="12.75" customHeight="1"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spans="9:22" ht="12.75" customHeight="1"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spans="9:22" ht="12.75" customHeight="1"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spans="9:22" ht="12.75" customHeight="1"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spans="9:22" ht="12.75" customHeight="1"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spans="9:22" ht="12.75" customHeight="1"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spans="9:22" ht="12.75" customHeight="1"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spans="9:22" ht="12.75" customHeight="1"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spans="9:22" ht="12.75" customHeight="1"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spans="9:22" ht="12.75" customHeight="1"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9:22" ht="12.75" customHeight="1"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spans="9:22" ht="12.75" customHeight="1"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spans="9:22" ht="12.75" customHeight="1"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spans="9:22" ht="12.75" customHeight="1"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spans="9:22" ht="12.75" customHeight="1"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spans="9:22" ht="12.75" customHeight="1"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spans="9:22" ht="12.75" customHeight="1"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spans="9:22" ht="12.75" customHeight="1"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spans="9:22" ht="12.75" customHeight="1"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spans="9:22" ht="12.75" customHeight="1"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spans="9:22" ht="12.75" customHeight="1"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spans="9:22" ht="12.75" customHeight="1"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spans="9:22" ht="12.75" customHeight="1"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spans="9:22" ht="12.75" customHeight="1"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spans="9:22" ht="12.75" customHeight="1"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spans="9:22" ht="12.75" customHeight="1"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 spans="9:22" ht="12.75" customHeight="1"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 spans="9:22" ht="12.75" customHeight="1"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 spans="9:22" ht="12.75" customHeight="1"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 spans="9:22" ht="12.75" customHeight="1"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 spans="9:22" ht="12.75" customHeight="1"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spans="9:22" ht="12.75" customHeight="1"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 spans="9:22" ht="12.75" customHeight="1"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 spans="9:22" ht="12.75" customHeight="1"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 spans="9:22" ht="12.75" customHeight="1"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 spans="9:22" ht="12.75" customHeight="1"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 spans="9:22" ht="12.75" customHeight="1"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 spans="9:22" ht="12.75" customHeight="1"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 spans="9:22" ht="12.75" customHeight="1"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 spans="9:22" ht="12.75" customHeight="1"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 spans="9:22" ht="12.75" customHeight="1"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 spans="9:22" ht="12.75" customHeight="1"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 spans="9:22" ht="12.75" customHeight="1"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 spans="9:22" ht="12.75" customHeight="1"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 spans="9:22" ht="12.75" customHeight="1"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 spans="9:22" ht="12.75" customHeight="1"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 spans="9:22" ht="12.75" customHeight="1"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 spans="9:22" ht="12.75" customHeight="1"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 spans="9:22" ht="12.75" customHeight="1"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 spans="9:22" ht="12.75" customHeight="1"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spans="9:22" ht="12.75" customHeight="1"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spans="9:22" ht="12.75" customHeight="1"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spans="9:22" ht="12.75" customHeight="1"/>
    <row r="186" spans="9:22" ht="12.75" customHeight="1"/>
    <row r="187" spans="9:22" ht="12.75" customHeight="1"/>
    <row r="188" spans="9:22" ht="12.75" customHeight="1"/>
    <row r="189" spans="9:22" ht="12.75" customHeight="1"/>
    <row r="190" spans="9:22" ht="12.75" customHeight="1"/>
    <row r="191" spans="9:22" ht="12.75" customHeight="1"/>
    <row r="192" spans="9:2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</sheetData>
  <mergeCells count="17">
    <mergeCell ref="J113:L113"/>
    <mergeCell ref="J111:L111"/>
    <mergeCell ref="Q105:R105"/>
    <mergeCell ref="G5:P5"/>
    <mergeCell ref="G4:P4"/>
    <mergeCell ref="G2:P2"/>
    <mergeCell ref="Q2:U2"/>
    <mergeCell ref="G3:P3"/>
    <mergeCell ref="J112:L112"/>
    <mergeCell ref="S7:U7"/>
    <mergeCell ref="Q7:R7"/>
    <mergeCell ref="O7:P7"/>
    <mergeCell ref="E7:E8"/>
    <mergeCell ref="F7:F8"/>
    <mergeCell ref="K7:L7"/>
    <mergeCell ref="G7:J7"/>
    <mergeCell ref="M7:N7"/>
  </mergeCells>
  <phoneticPr fontId="36" type="noConversion"/>
  <conditionalFormatting sqref="U14:U22 U74 U12 V8:V104">
    <cfRule type="cellIs" dxfId="56" priority="80" operator="greaterThan">
      <formula>1</formula>
    </cfRule>
    <cfRule type="cellIs" dxfId="55" priority="81" operator="greaterThan">
      <formula>100</formula>
    </cfRule>
  </conditionalFormatting>
  <conditionalFormatting sqref="U24">
    <cfRule type="cellIs" dxfId="54" priority="78" operator="greaterThan">
      <formula>1</formula>
    </cfRule>
    <cfRule type="cellIs" dxfId="53" priority="79" operator="greaterThan">
      <formula>100</formula>
    </cfRule>
  </conditionalFormatting>
  <conditionalFormatting sqref="U13">
    <cfRule type="cellIs" dxfId="52" priority="76" operator="greaterThan">
      <formula>1</formula>
    </cfRule>
    <cfRule type="cellIs" dxfId="51" priority="77" operator="greaterThan">
      <formula>100</formula>
    </cfRule>
  </conditionalFormatting>
  <conditionalFormatting sqref="U25:U30">
    <cfRule type="cellIs" dxfId="50" priority="72" operator="greaterThan">
      <formula>1</formula>
    </cfRule>
    <cfRule type="cellIs" dxfId="49" priority="73" operator="greaterThan">
      <formula>100</formula>
    </cfRule>
  </conditionalFormatting>
  <conditionalFormatting sqref="U32">
    <cfRule type="cellIs" dxfId="48" priority="68" operator="greaterThan">
      <formula>1</formula>
    </cfRule>
    <cfRule type="cellIs" dxfId="47" priority="69" operator="greaterThan">
      <formula>100</formula>
    </cfRule>
  </conditionalFormatting>
  <conditionalFormatting sqref="U38:U72">
    <cfRule type="cellIs" dxfId="46" priority="66" operator="greaterThan">
      <formula>1</formula>
    </cfRule>
    <cfRule type="cellIs" dxfId="45" priority="67" operator="greaterThan">
      <formula>100</formula>
    </cfRule>
  </conditionalFormatting>
  <conditionalFormatting sqref="U33:U37">
    <cfRule type="cellIs" dxfId="44" priority="64" operator="greaterThan">
      <formula>1</formula>
    </cfRule>
    <cfRule type="cellIs" dxfId="43" priority="65" operator="greaterThan">
      <formula>100</formula>
    </cfRule>
  </conditionalFormatting>
  <conditionalFormatting sqref="U96:U101">
    <cfRule type="cellIs" dxfId="42" priority="44" operator="greaterThan">
      <formula>1</formula>
    </cfRule>
    <cfRule type="cellIs" dxfId="41" priority="45" operator="greaterThan">
      <formula>100</formula>
    </cfRule>
  </conditionalFormatting>
  <conditionalFormatting sqref="U75:U90">
    <cfRule type="cellIs" dxfId="40" priority="54" operator="greaterThan">
      <formula>1</formula>
    </cfRule>
    <cfRule type="cellIs" dxfId="39" priority="55" operator="greaterThan">
      <formula>100</formula>
    </cfRule>
  </conditionalFormatting>
  <conditionalFormatting sqref="U92">
    <cfRule type="cellIs" dxfId="38" priority="52" operator="greaterThan">
      <formula>1</formula>
    </cfRule>
    <cfRule type="cellIs" dxfId="37" priority="53" operator="greaterThan">
      <formula>100</formula>
    </cfRule>
  </conditionalFormatting>
  <conditionalFormatting sqref="U95">
    <cfRule type="cellIs" dxfId="36" priority="50" operator="greaterThan">
      <formula>1</formula>
    </cfRule>
    <cfRule type="cellIs" dxfId="35" priority="51" operator="greaterThan">
      <formula>100</formula>
    </cfRule>
  </conditionalFormatting>
  <conditionalFormatting sqref="U93">
    <cfRule type="cellIs" dxfId="34" priority="46" operator="greaterThan">
      <formula>1</formula>
    </cfRule>
    <cfRule type="cellIs" dxfId="33" priority="47" operator="greaterThan">
      <formula>100</formula>
    </cfRule>
  </conditionalFormatting>
  <conditionalFormatting sqref="U104">
    <cfRule type="cellIs" dxfId="32" priority="36" operator="greaterThan">
      <formula>1</formula>
    </cfRule>
    <cfRule type="cellIs" dxfId="31" priority="37" operator="greaterThan">
      <formula>100</formula>
    </cfRule>
  </conditionalFormatting>
  <conditionalFormatting sqref="U23">
    <cfRule type="cellIs" dxfId="30" priority="32" operator="greaterThan">
      <formula>1</formula>
    </cfRule>
    <cfRule type="cellIs" dxfId="29" priority="33" operator="greaterThan">
      <formula>100</formula>
    </cfRule>
  </conditionalFormatting>
  <conditionalFormatting sqref="U31">
    <cfRule type="cellIs" dxfId="28" priority="30" operator="greaterThan">
      <formula>1</formula>
    </cfRule>
    <cfRule type="cellIs" dxfId="27" priority="31" operator="greaterThan">
      <formula>100</formula>
    </cfRule>
  </conditionalFormatting>
  <conditionalFormatting sqref="U73">
    <cfRule type="cellIs" dxfId="26" priority="28" operator="greaterThan">
      <formula>1</formula>
    </cfRule>
    <cfRule type="cellIs" dxfId="25" priority="29" operator="greaterThan">
      <formula>100</formula>
    </cfRule>
  </conditionalFormatting>
  <conditionalFormatting sqref="U91">
    <cfRule type="cellIs" dxfId="24" priority="26" operator="greaterThan">
      <formula>1</formula>
    </cfRule>
    <cfRule type="cellIs" dxfId="23" priority="27" operator="greaterThan">
      <formula>100</formula>
    </cfRule>
  </conditionalFormatting>
  <conditionalFormatting sqref="U94">
    <cfRule type="cellIs" dxfId="22" priority="24" operator="greaterThan">
      <formula>1</formula>
    </cfRule>
    <cfRule type="cellIs" dxfId="21" priority="25" operator="greaterThan">
      <formula>100</formula>
    </cfRule>
  </conditionalFormatting>
  <conditionalFormatting sqref="U102">
    <cfRule type="cellIs" dxfId="20" priority="22" operator="greaterThan">
      <formula>1</formula>
    </cfRule>
    <cfRule type="cellIs" dxfId="19" priority="23" operator="greaterThan">
      <formula>100</formula>
    </cfRule>
  </conditionalFormatting>
  <conditionalFormatting sqref="S13:S23 S25:S31 S33:S73 S75:S91 S93:S94 S96:S102 S10:S11 S104">
    <cfRule type="cellIs" dxfId="18" priority="21" operator="equal">
      <formula>0</formula>
    </cfRule>
  </conditionalFormatting>
  <conditionalFormatting sqref="S23">
    <cfRule type="cellIs" priority="20" operator="equal">
      <formula>0</formula>
    </cfRule>
  </conditionalFormatting>
  <conditionalFormatting sqref="S23 S31 S73 S91 S94 S102 S11">
    <cfRule type="cellIs" dxfId="17" priority="19" operator="equal">
      <formula>0</formula>
    </cfRule>
  </conditionalFormatting>
  <conditionalFormatting sqref="T10:T11">
    <cfRule type="cellIs" dxfId="16" priority="18" operator="equal">
      <formula>0</formula>
    </cfRule>
  </conditionalFormatting>
  <conditionalFormatting sqref="T11">
    <cfRule type="cellIs" dxfId="15" priority="17" operator="equal">
      <formula>0</formula>
    </cfRule>
  </conditionalFormatting>
  <conditionalFormatting sqref="U10:U11">
    <cfRule type="cellIs" dxfId="14" priority="16" operator="equal">
      <formula>0</formula>
    </cfRule>
  </conditionalFormatting>
  <conditionalFormatting sqref="U11">
    <cfRule type="cellIs" dxfId="13" priority="15" operator="equal">
      <formula>0</formula>
    </cfRule>
  </conditionalFormatting>
  <conditionalFormatting sqref="T13:T23">
    <cfRule type="cellIs" dxfId="12" priority="14" operator="equal">
      <formula>0</formula>
    </cfRule>
  </conditionalFormatting>
  <conditionalFormatting sqref="T23">
    <cfRule type="cellIs" priority="13" operator="equal">
      <formula>0</formula>
    </cfRule>
  </conditionalFormatting>
  <conditionalFormatting sqref="T23">
    <cfRule type="cellIs" dxfId="11" priority="12" operator="equal">
      <formula>0</formula>
    </cfRule>
  </conditionalFormatting>
  <conditionalFormatting sqref="T25:T31">
    <cfRule type="cellIs" dxfId="10" priority="11" operator="equal">
      <formula>0</formula>
    </cfRule>
  </conditionalFormatting>
  <conditionalFormatting sqref="T31">
    <cfRule type="cellIs" dxfId="9" priority="10" operator="equal">
      <formula>0</formula>
    </cfRule>
  </conditionalFormatting>
  <conditionalFormatting sqref="T33:T73">
    <cfRule type="cellIs" dxfId="8" priority="9" operator="equal">
      <formula>0</formula>
    </cfRule>
  </conditionalFormatting>
  <conditionalFormatting sqref="T73">
    <cfRule type="cellIs" dxfId="7" priority="8" operator="equal">
      <formula>0</formula>
    </cfRule>
  </conditionalFormatting>
  <conditionalFormatting sqref="T75:T91">
    <cfRule type="cellIs" dxfId="6" priority="7" operator="equal">
      <formula>0</formula>
    </cfRule>
  </conditionalFormatting>
  <conditionalFormatting sqref="T91">
    <cfRule type="cellIs" dxfId="5" priority="6" operator="equal">
      <formula>0</formula>
    </cfRule>
  </conditionalFormatting>
  <conditionalFormatting sqref="T93:T94">
    <cfRule type="cellIs" dxfId="4" priority="5" operator="equal">
      <formula>0</formula>
    </cfRule>
  </conditionalFormatting>
  <conditionalFormatting sqref="T94">
    <cfRule type="cellIs" dxfId="3" priority="4" operator="equal">
      <formula>0</formula>
    </cfRule>
  </conditionalFormatting>
  <conditionalFormatting sqref="T96:T102">
    <cfRule type="cellIs" dxfId="2" priority="3" operator="equal">
      <formula>0</formula>
    </cfRule>
  </conditionalFormatting>
  <conditionalFormatting sqref="T102">
    <cfRule type="cellIs" dxfId="1" priority="2" operator="equal">
      <formula>0</formula>
    </cfRule>
  </conditionalFormatting>
  <conditionalFormatting sqref="S104">
    <cfRule type="cellIs" dxfId="0" priority="1" operator="equal">
      <formula>0</formula>
    </cfRule>
  </conditionalFormatting>
  <hyperlinks>
    <hyperlink ref="G2:P2" location="Certificado!A1" display="PLANILLA DE AVANCE DE OBRA"/>
  </hyperlinks>
  <pageMargins left="0.31496062992125984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/>
  <rowBreaks count="1" manualBreakCount="1">
    <brk id="58" min="4" max="20" man="1"/>
  </rowBreaks>
  <ignoredErrors>
    <ignoredError sqref="M104 O104 Q104 J33:J72 J75:J90 J93 J96:J101 J10:J19 J21:J30" unlocked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view="pageBreakPreview" topLeftCell="A4" zoomScale="115" zoomScaleNormal="100" zoomScaleSheetLayoutView="115" workbookViewId="0">
      <selection activeCell="M11" sqref="M11"/>
    </sheetView>
  </sheetViews>
  <sheetFormatPr baseColWidth="10" defaultColWidth="11.44140625" defaultRowHeight="13.8"/>
  <cols>
    <col min="1" max="1" width="8.44140625" style="659" customWidth="1"/>
    <col min="2" max="2" width="22" style="659" customWidth="1"/>
    <col min="3" max="3" width="39.109375" style="659" customWidth="1"/>
    <col min="4" max="4" width="32.5546875" style="659" customWidth="1"/>
    <col min="5" max="6" width="16.5546875" style="659" customWidth="1"/>
    <col min="7" max="7" width="24.33203125" style="659" customWidth="1"/>
    <col min="8" max="12" width="11.44140625" style="659"/>
    <col min="13" max="13" width="0" style="659" hidden="1" customWidth="1"/>
    <col min="14" max="16384" width="11.44140625" style="659"/>
  </cols>
  <sheetData>
    <row r="1" spans="1:7" ht="21" customHeight="1">
      <c r="A1" s="1162"/>
      <c r="B1" s="1163"/>
      <c r="C1" s="1162"/>
      <c r="D1" s="1175"/>
      <c r="E1" s="1175"/>
      <c r="F1" s="1163"/>
      <c r="G1" s="1165"/>
    </row>
    <row r="2" spans="1:7" ht="21" customHeight="1">
      <c r="A2" s="1167"/>
      <c r="B2" s="1168"/>
      <c r="C2" s="1714" t="s">
        <v>412</v>
      </c>
      <c r="D2" s="1715"/>
      <c r="E2" s="1715"/>
      <c r="F2" s="1716"/>
      <c r="G2" s="1169"/>
    </row>
    <row r="3" spans="1:7" ht="21" customHeight="1">
      <c r="A3" s="741"/>
      <c r="B3" s="743"/>
      <c r="C3" s="741"/>
      <c r="D3" s="742"/>
      <c r="E3" s="742"/>
      <c r="F3" s="743"/>
      <c r="G3" s="1166"/>
    </row>
    <row r="4" spans="1:7" ht="21" customHeight="1">
      <c r="A4" s="741"/>
      <c r="B4" s="743"/>
      <c r="C4" s="1720" t="str">
        <f>+Datos!B2</f>
        <v>PROYECTO: CONSTRUCCION Y REHABILITACION TRAMO CARRETERO VILLA MONTES - LA VERTIENTE - PALO MARCADO</v>
      </c>
      <c r="D4" s="1721"/>
      <c r="E4" s="1721"/>
      <c r="F4" s="1722"/>
      <c r="G4" s="1166"/>
    </row>
    <row r="5" spans="1:7" ht="21" customHeight="1">
      <c r="A5" s="1723" t="s">
        <v>155</v>
      </c>
      <c r="B5" s="1724"/>
      <c r="C5" s="744"/>
      <c r="D5" s="1176"/>
      <c r="E5" s="1176"/>
      <c r="F5" s="1164"/>
      <c r="G5" s="1170" t="s">
        <v>244</v>
      </c>
    </row>
    <row r="6" spans="1:7" ht="54.75" customHeight="1">
      <c r="A6" s="1174" t="s">
        <v>405</v>
      </c>
      <c r="B6" s="1174" t="s">
        <v>413</v>
      </c>
      <c r="C6" s="1174" t="s">
        <v>406</v>
      </c>
      <c r="D6" s="1174" t="s">
        <v>407</v>
      </c>
      <c r="E6" s="1174" t="s">
        <v>414</v>
      </c>
      <c r="F6" s="1174" t="s">
        <v>408</v>
      </c>
      <c r="G6" s="1174" t="s">
        <v>409</v>
      </c>
    </row>
    <row r="7" spans="1:7" ht="30" customHeight="1">
      <c r="A7" s="1004">
        <v>1</v>
      </c>
      <c r="B7" s="1004" t="s">
        <v>411</v>
      </c>
      <c r="C7" s="1173" t="s">
        <v>410</v>
      </c>
      <c r="D7" s="1173" t="str">
        <f>+Datos!B14</f>
        <v>Ing. Gabriel Daza Chavez</v>
      </c>
      <c r="E7" s="1083">
        <v>43878</v>
      </c>
      <c r="F7" s="1083">
        <f>+Certificado!D21</f>
        <v>44459</v>
      </c>
      <c r="G7" s="1004" t="s">
        <v>658</v>
      </c>
    </row>
    <row r="8" spans="1:7" ht="30" customHeight="1">
      <c r="A8" s="660">
        <v>2</v>
      </c>
      <c r="B8" s="660" t="s">
        <v>411</v>
      </c>
      <c r="C8" s="1171" t="s">
        <v>415</v>
      </c>
      <c r="D8" s="1171" t="s">
        <v>630</v>
      </c>
      <c r="E8" s="1084"/>
      <c r="F8" s="660"/>
      <c r="G8" s="660"/>
    </row>
    <row r="9" spans="1:7" ht="30" customHeight="1">
      <c r="A9" s="660">
        <v>3</v>
      </c>
      <c r="B9" s="660" t="s">
        <v>411</v>
      </c>
      <c r="C9" s="1171" t="s">
        <v>633</v>
      </c>
      <c r="D9" s="1171" t="s">
        <v>634</v>
      </c>
      <c r="E9" s="1084"/>
      <c r="F9" s="660"/>
      <c r="G9" s="660"/>
    </row>
    <row r="10" spans="1:7" ht="30" customHeight="1">
      <c r="A10" s="660">
        <v>4</v>
      </c>
      <c r="B10" s="660" t="s">
        <v>411</v>
      </c>
      <c r="C10" s="1171" t="s">
        <v>632</v>
      </c>
      <c r="D10" s="1171" t="s">
        <v>635</v>
      </c>
      <c r="E10" s="1084">
        <v>44075</v>
      </c>
      <c r="F10" s="1084">
        <f>+Certificado!D21</f>
        <v>44459</v>
      </c>
      <c r="G10" s="660" t="s">
        <v>658</v>
      </c>
    </row>
    <row r="11" spans="1:7" ht="30" customHeight="1">
      <c r="A11" s="660">
        <v>5</v>
      </c>
      <c r="B11" s="660" t="s">
        <v>411</v>
      </c>
      <c r="C11" s="1171" t="s">
        <v>465</v>
      </c>
      <c r="D11" s="1171" t="s">
        <v>631</v>
      </c>
      <c r="E11" s="1084">
        <v>43878</v>
      </c>
      <c r="F11" s="1084">
        <f>+Certificado!D21</f>
        <v>44459</v>
      </c>
      <c r="G11" s="660" t="s">
        <v>658</v>
      </c>
    </row>
    <row r="12" spans="1:7" ht="30" customHeight="1">
      <c r="A12" s="1005">
        <v>6</v>
      </c>
      <c r="B12" s="1005" t="s">
        <v>638</v>
      </c>
      <c r="C12" s="1172" t="s">
        <v>636</v>
      </c>
      <c r="D12" s="1172" t="s">
        <v>637</v>
      </c>
      <c r="E12" s="1085">
        <v>44075</v>
      </c>
      <c r="F12" s="1085">
        <f>+Certificado!D21</f>
        <v>44459</v>
      </c>
      <c r="G12" s="1005" t="s">
        <v>658</v>
      </c>
    </row>
    <row r="13" spans="1:7">
      <c r="A13" s="741"/>
      <c r="B13" s="742"/>
      <c r="C13" s="742"/>
      <c r="D13" s="742"/>
      <c r="E13" s="742"/>
      <c r="F13" s="742"/>
      <c r="G13" s="743"/>
    </row>
    <row r="14" spans="1:7">
      <c r="A14" s="741"/>
      <c r="B14" s="742"/>
      <c r="C14" s="742"/>
      <c r="D14" s="742"/>
      <c r="E14" s="742"/>
      <c r="F14" s="742"/>
      <c r="G14" s="743"/>
    </row>
    <row r="15" spans="1:7">
      <c r="A15" s="741"/>
      <c r="B15" s="742"/>
      <c r="C15" s="742"/>
      <c r="D15" s="742"/>
      <c r="E15" s="742"/>
      <c r="F15" s="742"/>
      <c r="G15" s="743"/>
    </row>
    <row r="16" spans="1:7">
      <c r="A16" s="741"/>
      <c r="B16" s="742"/>
      <c r="C16" s="742"/>
      <c r="D16" s="742"/>
      <c r="E16" s="742"/>
      <c r="F16" s="742"/>
      <c r="G16" s="743"/>
    </row>
    <row r="17" spans="1:17">
      <c r="A17" s="741"/>
      <c r="B17" s="742"/>
      <c r="C17" s="742"/>
      <c r="D17" s="742"/>
      <c r="E17" s="742"/>
      <c r="F17" s="742"/>
      <c r="G17" s="743"/>
    </row>
    <row r="18" spans="1:17">
      <c r="A18" s="741"/>
      <c r="B18" s="742"/>
      <c r="C18" s="742"/>
      <c r="D18" s="742"/>
      <c r="E18" s="742"/>
      <c r="F18" s="742"/>
      <c r="G18" s="743"/>
    </row>
    <row r="19" spans="1:17">
      <c r="A19" s="741"/>
      <c r="B19" s="742"/>
      <c r="C19" s="742"/>
      <c r="D19" s="742"/>
      <c r="E19" s="742"/>
      <c r="F19" s="742"/>
      <c r="G19" s="743"/>
    </row>
    <row r="20" spans="1:17">
      <c r="A20" s="741"/>
      <c r="B20" s="742"/>
      <c r="C20" s="742"/>
      <c r="D20" s="742"/>
      <c r="E20" s="742"/>
      <c r="F20" s="742"/>
      <c r="G20" s="743"/>
    </row>
    <row r="21" spans="1:17">
      <c r="A21" s="741"/>
      <c r="B21" s="742"/>
      <c r="C21" s="742"/>
      <c r="D21" s="742"/>
      <c r="E21" s="742"/>
      <c r="F21" s="742"/>
      <c r="G21" s="743"/>
    </row>
    <row r="22" spans="1:17">
      <c r="A22" s="741"/>
      <c r="B22" s="742"/>
      <c r="C22" s="742"/>
      <c r="D22" s="742"/>
      <c r="E22" s="742"/>
      <c r="F22" s="742"/>
      <c r="G22" s="743"/>
    </row>
    <row r="23" spans="1:17">
      <c r="A23" s="741"/>
      <c r="B23" s="742"/>
      <c r="C23" s="742"/>
      <c r="D23" s="742"/>
      <c r="E23" s="742"/>
      <c r="F23" s="742"/>
      <c r="G23" s="743"/>
    </row>
    <row r="24" spans="1:17">
      <c r="A24" s="741"/>
      <c r="B24" s="742"/>
      <c r="C24" s="742"/>
      <c r="D24" s="742"/>
      <c r="E24" s="742"/>
      <c r="F24" s="742"/>
      <c r="G24" s="743"/>
    </row>
    <row r="25" spans="1:17">
      <c r="A25" s="741"/>
      <c r="B25" s="1584" t="str">
        <f>+'Planilla de Avance'!F111</f>
        <v>Ing. Gabriel Daza Chavez</v>
      </c>
      <c r="C25" s="1584"/>
      <c r="D25" s="1584" t="str">
        <f>+Datos!B6</f>
        <v>Ing. Herlan Rene Ramos Estrada</v>
      </c>
      <c r="E25" s="1584"/>
      <c r="F25" s="1584" t="str">
        <f>+Datos!B9</f>
        <v>Ing. Franz Reynaldo Salazar Martinez</v>
      </c>
      <c r="G25" s="1717"/>
      <c r="H25" s="32" t="e">
        <f>+'Planilla de Avance'!J111:L111</f>
        <v>#VALUE!</v>
      </c>
      <c r="J25" s="19"/>
      <c r="K25" s="32"/>
      <c r="L25" s="32"/>
      <c r="M25" s="32"/>
      <c r="N25" s="32"/>
      <c r="P25" s="32"/>
      <c r="Q25" s="32"/>
    </row>
    <row r="26" spans="1:17">
      <c r="A26" s="741"/>
      <c r="B26" s="1585" t="str">
        <f>+'Planilla de Avance'!F112</f>
        <v>SUPERINTENDENTE DE OBRA</v>
      </c>
      <c r="C26" s="1585"/>
      <c r="D26" s="1585" t="str">
        <f>+Datos!B7</f>
        <v>SUPERVISOR DE OBRA</v>
      </c>
      <c r="E26" s="1585"/>
      <c r="F26" s="1585" t="str">
        <f>+Datos!B10</f>
        <v>FISCAL DE OBRA</v>
      </c>
      <c r="G26" s="1718"/>
      <c r="H26" s="32"/>
      <c r="J26" s="19"/>
      <c r="K26" s="32"/>
      <c r="L26" s="32"/>
      <c r="M26" s="32"/>
      <c r="N26" s="32"/>
      <c r="P26" s="32"/>
      <c r="Q26" s="32"/>
    </row>
    <row r="27" spans="1:17" ht="32.25" customHeight="1">
      <c r="A27" s="744"/>
      <c r="B27" s="1725" t="str">
        <f>+'Planilla de Avance'!F113</f>
        <v>EMPRESA ESTRATÉGICA BOLIVIANA DE CONSTRUCCIÓN Y CONSERVACIÓN DE INFRAESTRUCTURA CIVIL (EBC)</v>
      </c>
      <c r="C27" s="1725"/>
      <c r="D27" s="1579" t="str">
        <f>+Datos!B8</f>
        <v>ABC - REGIONAL TARIJA</v>
      </c>
      <c r="E27" s="1579"/>
      <c r="F27" s="1579" t="str">
        <f>+Datos!B11</f>
        <v>ABC - REGIONAL TARIJA</v>
      </c>
      <c r="G27" s="1719"/>
      <c r="H27" s="302"/>
      <c r="J27" s="19"/>
      <c r="K27" s="302"/>
      <c r="L27" s="302"/>
      <c r="M27" s="302"/>
      <c r="N27" s="302"/>
      <c r="P27" s="302"/>
      <c r="Q27" s="302"/>
    </row>
    <row r="30" spans="1:17">
      <c r="B30" s="659" t="s">
        <v>440</v>
      </c>
    </row>
  </sheetData>
  <mergeCells count="12">
    <mergeCell ref="A5:B5"/>
    <mergeCell ref="B25:C25"/>
    <mergeCell ref="B26:C26"/>
    <mergeCell ref="B27:C27"/>
    <mergeCell ref="D25:E25"/>
    <mergeCell ref="D26:E26"/>
    <mergeCell ref="D27:E27"/>
    <mergeCell ref="C2:F2"/>
    <mergeCell ref="F25:G25"/>
    <mergeCell ref="F26:G26"/>
    <mergeCell ref="F27:G27"/>
    <mergeCell ref="C4:F4"/>
  </mergeCells>
  <pageMargins left="0.43307086614173229" right="0.23622047244094491" top="0.74803149606299213" bottom="0.74803149606299213" header="0.31496062992125984" footer="0.31496062992125984"/>
  <pageSetup scale="80" orientation="landscape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showGridLines="0" view="pageBreakPreview" zoomScale="115" zoomScaleNormal="85" zoomScaleSheetLayoutView="115" workbookViewId="0">
      <selection activeCell="M11" sqref="M11"/>
    </sheetView>
  </sheetViews>
  <sheetFormatPr baseColWidth="10" defaultColWidth="11.44140625" defaultRowHeight="13.8"/>
  <cols>
    <col min="1" max="1" width="1.109375" style="148" customWidth="1"/>
    <col min="2" max="2" width="3.44140625" style="148" customWidth="1"/>
    <col min="3" max="3" width="11.6640625" style="148" customWidth="1"/>
    <col min="4" max="5" width="13.88671875" style="148" customWidth="1"/>
    <col min="6" max="9" width="12.88671875" style="148" customWidth="1"/>
    <col min="10" max="12" width="11.109375" style="148" customWidth="1"/>
    <col min="13" max="13" width="11.109375" style="148" hidden="1" customWidth="1"/>
    <col min="14" max="15" width="11.5546875" style="148" customWidth="1"/>
    <col min="16" max="17" width="12.88671875" style="148" bestFit="1" customWidth="1"/>
    <col min="18" max="16384" width="11.44140625" style="148"/>
  </cols>
  <sheetData>
    <row r="1" spans="1:20" ht="15" customHeight="1">
      <c r="C1" s="1743"/>
      <c r="D1" s="1744"/>
      <c r="E1" s="508"/>
      <c r="F1" s="173"/>
      <c r="G1" s="503"/>
      <c r="H1" s="503"/>
      <c r="I1" s="503"/>
      <c r="J1" s="503"/>
      <c r="K1" s="503"/>
      <c r="L1" s="508"/>
      <c r="M1" s="173"/>
      <c r="N1" s="503"/>
      <c r="O1" s="508"/>
    </row>
    <row r="2" spans="1:20" ht="15" customHeight="1">
      <c r="C2" s="168"/>
      <c r="D2" s="154"/>
      <c r="E2" s="162"/>
      <c r="F2" s="171"/>
      <c r="G2" s="154"/>
      <c r="H2" s="154"/>
      <c r="I2" s="1006" t="str">
        <f>+Certificado!C1</f>
        <v>CERTIFICADO DE PAGO Nº 4</v>
      </c>
      <c r="K2" s="154"/>
      <c r="L2" s="172"/>
      <c r="M2" s="171"/>
      <c r="N2" s="154"/>
      <c r="O2" s="172"/>
    </row>
    <row r="3" spans="1:20" ht="15" customHeight="1">
      <c r="C3" s="168"/>
      <c r="D3" s="154"/>
      <c r="E3" s="162"/>
      <c r="F3" s="1749" t="str">
        <f>+Certificado!C4</f>
        <v>PROYECTO: CONSTRUCCION Y REHABILITACION TRAMO CARRETERO VILLA MONTES - LA VERTIENTE - PALO MARCADO</v>
      </c>
      <c r="G3" s="1750"/>
      <c r="H3" s="1750"/>
      <c r="I3" s="1750"/>
      <c r="J3" s="1750"/>
      <c r="K3" s="1750"/>
      <c r="L3" s="1751"/>
      <c r="M3" s="171"/>
      <c r="N3" s="154"/>
      <c r="O3" s="172"/>
    </row>
    <row r="4" spans="1:20" ht="15" customHeight="1">
      <c r="C4" s="169"/>
      <c r="D4" s="794"/>
      <c r="E4" s="162"/>
      <c r="F4" s="1749"/>
      <c r="G4" s="1750"/>
      <c r="H4" s="1750"/>
      <c r="I4" s="1750"/>
      <c r="J4" s="1750"/>
      <c r="K4" s="1750"/>
      <c r="L4" s="1751"/>
      <c r="M4" s="769"/>
      <c r="N4" s="790"/>
      <c r="O4" s="770"/>
    </row>
    <row r="5" spans="1:20" ht="15" customHeight="1">
      <c r="C5" s="169"/>
      <c r="D5" s="794"/>
      <c r="E5" s="162"/>
      <c r="F5" s="1735" t="s">
        <v>443</v>
      </c>
      <c r="G5" s="1736"/>
      <c r="H5" s="1736"/>
      <c r="I5" s="1736"/>
      <c r="J5" s="1736"/>
      <c r="K5" s="1736"/>
      <c r="L5" s="1737"/>
      <c r="M5" s="168"/>
      <c r="N5" s="795"/>
      <c r="O5" s="796"/>
      <c r="P5" s="1353"/>
    </row>
    <row r="6" spans="1:20" ht="15" customHeight="1">
      <c r="C6" s="1726" t="s">
        <v>155</v>
      </c>
      <c r="D6" s="1727"/>
      <c r="E6" s="1728"/>
      <c r="F6" s="1738"/>
      <c r="G6" s="1739"/>
      <c r="H6" s="1739"/>
      <c r="I6" s="1739"/>
      <c r="J6" s="1739"/>
      <c r="K6" s="1739"/>
      <c r="L6" s="1740"/>
      <c r="M6" s="1726" t="s">
        <v>244</v>
      </c>
      <c r="N6" s="1727"/>
      <c r="O6" s="1728"/>
    </row>
    <row r="7" spans="1:20" ht="18" customHeight="1">
      <c r="A7" s="149"/>
      <c r="B7" s="149"/>
      <c r="C7" s="170" t="s">
        <v>444</v>
      </c>
      <c r="D7" s="149"/>
      <c r="E7" s="1748">
        <f>+Certificado!J16</f>
        <v>108397839.64</v>
      </c>
      <c r="F7" s="1748"/>
      <c r="G7" s="773"/>
      <c r="H7" s="773"/>
      <c r="I7" s="773"/>
      <c r="J7" s="793"/>
      <c r="K7" s="793"/>
      <c r="L7" s="507"/>
      <c r="M7" s="507"/>
      <c r="N7" s="773"/>
      <c r="O7" s="162"/>
    </row>
    <row r="8" spans="1:20" ht="15" customHeight="1">
      <c r="B8" s="1741" t="s">
        <v>266</v>
      </c>
      <c r="C8" s="1745" t="s">
        <v>266</v>
      </c>
      <c r="D8" s="1729" t="s">
        <v>267</v>
      </c>
      <c r="E8" s="1733"/>
      <c r="F8" s="1729" t="s">
        <v>192</v>
      </c>
      <c r="G8" s="1730"/>
      <c r="H8" s="1729" t="s">
        <v>446</v>
      </c>
      <c r="I8" s="1730"/>
      <c r="J8" s="1729" t="s">
        <v>267</v>
      </c>
      <c r="K8" s="1733"/>
      <c r="L8" s="1730" t="s">
        <v>192</v>
      </c>
      <c r="M8" s="1733"/>
      <c r="N8" s="1729" t="s">
        <v>446</v>
      </c>
      <c r="O8" s="1733"/>
    </row>
    <row r="9" spans="1:20" ht="15" customHeight="1">
      <c r="B9" s="1741"/>
      <c r="C9" s="1746"/>
      <c r="D9" s="1731" t="s">
        <v>191</v>
      </c>
      <c r="E9" s="1734"/>
      <c r="F9" s="1731" t="s">
        <v>191</v>
      </c>
      <c r="G9" s="1732"/>
      <c r="H9" s="1731" t="s">
        <v>191</v>
      </c>
      <c r="I9" s="1732"/>
      <c r="J9" s="1731" t="s">
        <v>268</v>
      </c>
      <c r="K9" s="1734"/>
      <c r="L9" s="1731" t="s">
        <v>268</v>
      </c>
      <c r="M9" s="1734"/>
      <c r="N9" s="1731" t="s">
        <v>268</v>
      </c>
      <c r="O9" s="1734"/>
    </row>
    <row r="10" spans="1:20" ht="15" customHeight="1">
      <c r="B10" s="1741"/>
      <c r="C10" s="1747"/>
      <c r="D10" s="505" t="s">
        <v>269</v>
      </c>
      <c r="E10" s="506" t="s">
        <v>270</v>
      </c>
      <c r="F10" s="505" t="s">
        <v>269</v>
      </c>
      <c r="G10" s="791" t="s">
        <v>270</v>
      </c>
      <c r="H10" s="505" t="s">
        <v>269</v>
      </c>
      <c r="I10" s="791" t="s">
        <v>270</v>
      </c>
      <c r="J10" s="505" t="s">
        <v>269</v>
      </c>
      <c r="K10" s="506" t="s">
        <v>275</v>
      </c>
      <c r="L10" s="505" t="s">
        <v>269</v>
      </c>
      <c r="M10" s="506" t="s">
        <v>270</v>
      </c>
      <c r="N10" s="505" t="s">
        <v>269</v>
      </c>
      <c r="O10" s="506" t="s">
        <v>270</v>
      </c>
    </row>
    <row r="11" spans="1:20" ht="17.100000000000001" customHeight="1">
      <c r="B11" s="1355">
        <v>43726</v>
      </c>
      <c r="C11" s="1007">
        <v>43726</v>
      </c>
      <c r="D11" s="1011"/>
      <c r="E11" s="1012"/>
      <c r="F11" s="1011">
        <v>0</v>
      </c>
      <c r="G11" s="1012">
        <f>+F11</f>
        <v>0</v>
      </c>
      <c r="H11" s="1011">
        <v>21679567.93</v>
      </c>
      <c r="I11" s="1012">
        <f>+H11</f>
        <v>21679567.93</v>
      </c>
      <c r="J11" s="1041">
        <f t="shared" ref="J11:J22" si="0">D11/E$7</f>
        <v>0</v>
      </c>
      <c r="K11" s="1042">
        <f>+J11</f>
        <v>0</v>
      </c>
      <c r="L11" s="1041">
        <f t="shared" ref="L11" si="1">100*F11/E$7</f>
        <v>0</v>
      </c>
      <c r="M11" s="1043">
        <v>0</v>
      </c>
      <c r="N11" s="1046">
        <f>H11/E$7</f>
        <v>0.20000000001845056</v>
      </c>
      <c r="O11" s="1043">
        <f>+N11</f>
        <v>0.20000000001845056</v>
      </c>
      <c r="Q11" s="1017">
        <v>21679567.93</v>
      </c>
      <c r="S11" s="148">
        <v>0</v>
      </c>
      <c r="T11" s="1159">
        <v>43709</v>
      </c>
    </row>
    <row r="12" spans="1:20" ht="17.100000000000001" customHeight="1">
      <c r="B12" s="1355">
        <v>44075</v>
      </c>
      <c r="C12" s="1008">
        <v>44075</v>
      </c>
      <c r="D12" s="1013">
        <v>230575.22</v>
      </c>
      <c r="E12" s="1014">
        <f>+E11+D12</f>
        <v>230575.22</v>
      </c>
      <c r="F12" s="1013">
        <f>+'Avance Financiero'!C12</f>
        <v>230575.22</v>
      </c>
      <c r="G12" s="1014">
        <f>+G11+F12</f>
        <v>230575.22</v>
      </c>
      <c r="H12" s="1013">
        <f>+'Avance Financiero'!Q12</f>
        <v>168319.91</v>
      </c>
      <c r="I12" s="1014">
        <f>+I11+H12</f>
        <v>21847887.84</v>
      </c>
      <c r="J12" s="1041">
        <f t="shared" si="0"/>
        <v>2.1271200677593135E-3</v>
      </c>
      <c r="K12" s="1042">
        <f>+J12+K11</f>
        <v>2.1271200677593135E-3</v>
      </c>
      <c r="L12" s="1041">
        <f>F12/E$7</f>
        <v>2.1271200677593135E-3</v>
      </c>
      <c r="M12" s="1042">
        <f>+M11+L12</f>
        <v>2.1271200677593135E-3</v>
      </c>
      <c r="N12" s="1041">
        <f>+H12/$E$7</f>
        <v>1.5527976439291332E-3</v>
      </c>
      <c r="O12" s="1042">
        <f>+O11+N12</f>
        <v>0.20155279766237968</v>
      </c>
      <c r="P12" s="1017">
        <f>+'Avance Financiero'!S12</f>
        <v>0</v>
      </c>
      <c r="Q12" s="1017">
        <v>602210.22</v>
      </c>
      <c r="S12" s="148">
        <v>0</v>
      </c>
      <c r="T12" s="1159">
        <v>43739</v>
      </c>
    </row>
    <row r="13" spans="1:20" ht="17.100000000000001" customHeight="1">
      <c r="B13" s="1355">
        <v>44105</v>
      </c>
      <c r="C13" s="1008">
        <v>44105</v>
      </c>
      <c r="D13" s="1013">
        <v>515942.20000000007</v>
      </c>
      <c r="E13" s="1014">
        <f t="shared" ref="E13:E22" si="2">+E12+D13</f>
        <v>746517.42</v>
      </c>
      <c r="F13" s="1013">
        <f>+'Avance Financiero'!C13</f>
        <v>515942.20000000007</v>
      </c>
      <c r="G13" s="1014">
        <f>+G12+F13</f>
        <v>746517.42</v>
      </c>
      <c r="H13" s="1013">
        <f>+'Avance Financiero'!Q13</f>
        <v>376637.81000000006</v>
      </c>
      <c r="I13" s="1014">
        <f>+I12+H13</f>
        <v>22224525.649999999</v>
      </c>
      <c r="J13" s="1041">
        <f t="shared" si="0"/>
        <v>4.7597092498660063E-3</v>
      </c>
      <c r="K13" s="1042">
        <f t="shared" ref="K13" si="3">+J13+K12</f>
        <v>6.8868293176253198E-3</v>
      </c>
      <c r="L13" s="1041">
        <f>F13/E$7</f>
        <v>4.7597092498660063E-3</v>
      </c>
      <c r="M13" s="1042">
        <f>+M12+L13</f>
        <v>6.8868293176253198E-3</v>
      </c>
      <c r="N13" s="1041">
        <f>+H13/$E$7</f>
        <v>3.4745877893032893E-3</v>
      </c>
      <c r="O13" s="1042">
        <f>+O12+N13</f>
        <v>0.20502738545168298</v>
      </c>
      <c r="P13" s="1017">
        <f>+'Avance Financiero'!S13</f>
        <v>0</v>
      </c>
      <c r="Q13" s="1017">
        <v>1806630.66</v>
      </c>
      <c r="S13" s="148">
        <v>0</v>
      </c>
      <c r="T13" s="1159">
        <v>43770</v>
      </c>
    </row>
    <row r="14" spans="1:20" ht="17.100000000000001" customHeight="1">
      <c r="B14" s="1355">
        <v>44136</v>
      </c>
      <c r="C14" s="1008">
        <v>44136</v>
      </c>
      <c r="D14" s="1013">
        <v>778326.78</v>
      </c>
      <c r="E14" s="1014">
        <f t="shared" si="2"/>
        <v>1524844.2000000002</v>
      </c>
      <c r="F14" s="1218">
        <f>+'Avance Financiero'!C14</f>
        <v>778326.78</v>
      </c>
      <c r="G14" s="1014">
        <f>+G13+F14</f>
        <v>1524844.2000000002</v>
      </c>
      <c r="H14" s="1013">
        <f>+'Avance Financiero'!Q14</f>
        <v>568178.55000000005</v>
      </c>
      <c r="I14" s="1014">
        <f>+I13+H14</f>
        <v>22792704.199999999</v>
      </c>
      <c r="J14" s="1041">
        <f t="shared" si="0"/>
        <v>7.1802794463884205E-3</v>
      </c>
      <c r="K14" s="1042">
        <f t="shared" ref="K14:K22" si="4">+J14+K13</f>
        <v>1.4067108764013739E-2</v>
      </c>
      <c r="L14" s="1041">
        <f>F14/E$7</f>
        <v>7.1802794463884205E-3</v>
      </c>
      <c r="M14" s="1042">
        <f>+M13+L14</f>
        <v>1.4067108764013739E-2</v>
      </c>
      <c r="N14" s="1041">
        <f>+H14/$E$7</f>
        <v>5.2416040013987131E-3</v>
      </c>
      <c r="O14" s="1042">
        <f>+O13+N14</f>
        <v>0.2102689894530817</v>
      </c>
      <c r="Q14" s="1017">
        <v>3011051.1</v>
      </c>
      <c r="S14" s="148">
        <v>0</v>
      </c>
      <c r="T14" s="1159">
        <v>43800</v>
      </c>
    </row>
    <row r="15" spans="1:20" ht="17.100000000000001" customHeight="1">
      <c r="B15" s="1355">
        <v>44228</v>
      </c>
      <c r="C15" s="1354" t="s">
        <v>681</v>
      </c>
      <c r="D15" s="1013">
        <v>0</v>
      </c>
      <c r="E15" s="1014">
        <f t="shared" si="2"/>
        <v>1524844.2000000002</v>
      </c>
      <c r="F15" s="1218">
        <f>+'Avance Financiero'!C15</f>
        <v>86910.98</v>
      </c>
      <c r="G15" s="1014">
        <f t="shared" ref="G15" si="5">+G14+F15</f>
        <v>1611755.1800000002</v>
      </c>
      <c r="H15" s="1013">
        <f>+'Avance Financiero'!Q15</f>
        <v>63445.009999999995</v>
      </c>
      <c r="I15" s="1014">
        <f t="shared" ref="I15" si="6">+I14+H15</f>
        <v>22856149.210000001</v>
      </c>
      <c r="J15" s="1041">
        <f t="shared" si="0"/>
        <v>0</v>
      </c>
      <c r="K15" s="1042">
        <f t="shared" si="4"/>
        <v>1.4067108764013739E-2</v>
      </c>
      <c r="L15" s="1041">
        <f t="shared" ref="L15" si="7">F15/E$7</f>
        <v>8.0177778716476267E-4</v>
      </c>
      <c r="M15" s="1042">
        <f t="shared" ref="M15" si="8">+M14+L15</f>
        <v>1.4868886551178502E-2</v>
      </c>
      <c r="N15" s="1041">
        <f>+H15/$E$7</f>
        <v>5.852977348137858E-4</v>
      </c>
      <c r="O15" s="1042">
        <f t="shared" ref="O15" si="9">+O14+N15</f>
        <v>0.21085428718789548</v>
      </c>
      <c r="Q15" s="1017">
        <v>4215471.54</v>
      </c>
      <c r="S15" s="148">
        <v>0</v>
      </c>
      <c r="T15" s="1159">
        <v>43831</v>
      </c>
    </row>
    <row r="16" spans="1:20" ht="17.100000000000001" customHeight="1">
      <c r="B16" s="1355">
        <v>44256</v>
      </c>
      <c r="C16" s="1008">
        <v>44256</v>
      </c>
      <c r="D16" s="1013">
        <v>355997.54</v>
      </c>
      <c r="E16" s="1014">
        <f t="shared" si="2"/>
        <v>1880841.7400000002</v>
      </c>
      <c r="F16" s="1218"/>
      <c r="G16" s="1014"/>
      <c r="H16" s="1013"/>
      <c r="I16" s="1014"/>
      <c r="J16" s="1041">
        <f t="shared" si="0"/>
        <v>3.2841755996457418E-3</v>
      </c>
      <c r="K16" s="1042">
        <f t="shared" si="4"/>
        <v>1.7351284363659483E-2</v>
      </c>
      <c r="L16" s="1041"/>
      <c r="M16" s="1042"/>
      <c r="N16" s="1041"/>
      <c r="O16" s="1042"/>
      <c r="Q16" s="1017">
        <v>5419891.9800000004</v>
      </c>
      <c r="S16" s="148">
        <v>0</v>
      </c>
      <c r="T16" s="1159">
        <v>43862</v>
      </c>
    </row>
    <row r="17" spans="2:20" ht="17.100000000000001" customHeight="1">
      <c r="B17" s="1355">
        <v>44287</v>
      </c>
      <c r="C17" s="1008">
        <v>44287</v>
      </c>
      <c r="D17" s="1013">
        <v>3785934.61</v>
      </c>
      <c r="E17" s="1014">
        <f t="shared" si="2"/>
        <v>5666776.3499999996</v>
      </c>
      <c r="F17" s="1218"/>
      <c r="G17" s="1014"/>
      <c r="H17" s="1013"/>
      <c r="I17" s="1014"/>
      <c r="J17" s="1041">
        <f t="shared" si="0"/>
        <v>3.4926292097457526E-2</v>
      </c>
      <c r="K17" s="1042">
        <f t="shared" si="4"/>
        <v>5.2277576461117012E-2</v>
      </c>
      <c r="L17" s="1041"/>
      <c r="M17" s="1042"/>
      <c r="N17" s="1041"/>
      <c r="O17" s="1042"/>
      <c r="Q17" s="1017">
        <v>6624312.4199999999</v>
      </c>
      <c r="S17" s="148">
        <v>0</v>
      </c>
      <c r="T17" s="1159">
        <v>43891</v>
      </c>
    </row>
    <row r="18" spans="2:20" ht="17.100000000000001" customHeight="1">
      <c r="B18" s="1355">
        <v>44317</v>
      </c>
      <c r="C18" s="1008">
        <v>44317</v>
      </c>
      <c r="D18" s="1013">
        <v>14026165.869999999</v>
      </c>
      <c r="E18" s="1014">
        <f t="shared" si="2"/>
        <v>19692942.219999999</v>
      </c>
      <c r="F18" s="1218"/>
      <c r="G18" s="1014"/>
      <c r="H18" s="1013"/>
      <c r="I18" s="1014"/>
      <c r="J18" s="1041">
        <f t="shared" si="0"/>
        <v>0.12939525286280879</v>
      </c>
      <c r="K18" s="1042">
        <f t="shared" si="4"/>
        <v>0.18167282932392581</v>
      </c>
      <c r="L18" s="1041"/>
      <c r="M18" s="1042"/>
      <c r="N18" s="1041"/>
      <c r="O18" s="1042"/>
      <c r="Q18" s="1017">
        <v>7828732.8600000003</v>
      </c>
      <c r="S18" s="148">
        <v>0</v>
      </c>
      <c r="T18" s="1159">
        <v>43922</v>
      </c>
    </row>
    <row r="19" spans="2:20" ht="17.100000000000001" customHeight="1">
      <c r="B19" s="1355">
        <v>44348</v>
      </c>
      <c r="C19" s="1008">
        <v>44348</v>
      </c>
      <c r="D19" s="1013">
        <v>28126110.5</v>
      </c>
      <c r="E19" s="1014">
        <f t="shared" si="2"/>
        <v>47819052.719999999</v>
      </c>
      <c r="F19" s="1013"/>
      <c r="G19" s="1014"/>
      <c r="H19" s="1013"/>
      <c r="I19" s="1014"/>
      <c r="J19" s="1041">
        <f t="shared" si="0"/>
        <v>0.25947113515739434</v>
      </c>
      <c r="K19" s="1042">
        <f t="shared" si="4"/>
        <v>0.44114396448132015</v>
      </c>
      <c r="L19" s="1044"/>
      <c r="M19" s="1045"/>
      <c r="N19" s="1041"/>
      <c r="O19" s="1042"/>
      <c r="Q19" s="1017">
        <v>9033153.3000000007</v>
      </c>
      <c r="S19" s="148">
        <v>0</v>
      </c>
      <c r="T19" s="1159">
        <v>43952</v>
      </c>
    </row>
    <row r="20" spans="2:20" ht="17.100000000000001" customHeight="1">
      <c r="B20" s="1355">
        <v>44378</v>
      </c>
      <c r="C20" s="1008">
        <v>44378</v>
      </c>
      <c r="D20" s="1013">
        <v>28640370.219999999</v>
      </c>
      <c r="E20" s="1014">
        <f t="shared" si="2"/>
        <v>76459422.939999998</v>
      </c>
      <c r="F20" s="1013"/>
      <c r="G20" s="1014"/>
      <c r="H20" s="1013"/>
      <c r="I20" s="1014"/>
      <c r="J20" s="1041">
        <f t="shared" si="0"/>
        <v>0.26421532306471712</v>
      </c>
      <c r="K20" s="1042">
        <f t="shared" si="4"/>
        <v>0.70535928754603727</v>
      </c>
      <c r="L20" s="1044"/>
      <c r="M20" s="1045"/>
      <c r="N20" s="1041"/>
      <c r="O20" s="1042"/>
      <c r="Q20" s="1017">
        <v>10237573.74</v>
      </c>
      <c r="S20" s="148">
        <v>0</v>
      </c>
      <c r="T20" s="1159">
        <v>43983</v>
      </c>
    </row>
    <row r="21" spans="2:20" ht="17.100000000000001" customHeight="1">
      <c r="B21" s="1355">
        <v>44409</v>
      </c>
      <c r="C21" s="1008">
        <v>44409</v>
      </c>
      <c r="D21" s="1013">
        <v>18549464.949999999</v>
      </c>
      <c r="E21" s="1014">
        <f t="shared" si="2"/>
        <v>95008887.890000001</v>
      </c>
      <c r="F21" s="1013"/>
      <c r="G21" s="1014"/>
      <c r="H21" s="1013"/>
      <c r="I21" s="1014"/>
      <c r="J21" s="1041">
        <f t="shared" si="0"/>
        <v>0.17112393578695495</v>
      </c>
      <c r="K21" s="1042">
        <f t="shared" si="4"/>
        <v>0.87648322333299222</v>
      </c>
      <c r="L21" s="1044"/>
      <c r="M21" s="1045"/>
      <c r="N21" s="1041"/>
      <c r="O21" s="1042"/>
      <c r="Q21" s="1017">
        <v>11441994.18</v>
      </c>
      <c r="S21" s="148">
        <v>0</v>
      </c>
      <c r="T21" s="1159">
        <v>44013</v>
      </c>
    </row>
    <row r="22" spans="2:20" ht="17.100000000000001" customHeight="1">
      <c r="B22" s="1355">
        <v>44459</v>
      </c>
      <c r="C22" s="1008">
        <v>44459</v>
      </c>
      <c r="D22" s="1013">
        <v>13388951.75</v>
      </c>
      <c r="E22" s="1014">
        <f t="shared" si="2"/>
        <v>108397839.64</v>
      </c>
      <c r="F22" s="1013"/>
      <c r="G22" s="1014"/>
      <c r="H22" s="1013"/>
      <c r="I22" s="1014"/>
      <c r="J22" s="1041">
        <f t="shared" si="0"/>
        <v>0.12351677666700775</v>
      </c>
      <c r="K22" s="1042">
        <f t="shared" si="4"/>
        <v>1</v>
      </c>
      <c r="L22" s="1044"/>
      <c r="M22" s="1045"/>
      <c r="N22" s="1041"/>
      <c r="O22" s="1042"/>
      <c r="Q22" s="1017">
        <v>12646414.619999999</v>
      </c>
      <c r="S22" s="148">
        <v>0</v>
      </c>
      <c r="T22" s="1159">
        <v>44044</v>
      </c>
    </row>
    <row r="23" spans="2:20" ht="17.100000000000001" customHeight="1">
      <c r="C23" s="1008"/>
      <c r="D23" s="1013"/>
      <c r="E23" s="1014"/>
      <c r="F23" s="1013"/>
      <c r="G23" s="1014"/>
      <c r="H23" s="1013"/>
      <c r="I23" s="1014"/>
      <c r="J23" s="1041"/>
      <c r="K23" s="1042"/>
      <c r="L23" s="1044"/>
      <c r="M23" s="1045"/>
      <c r="N23" s="1041"/>
      <c r="O23" s="1042"/>
      <c r="Q23" s="1017">
        <v>13850835.07</v>
      </c>
      <c r="S23" s="148">
        <v>230575.22</v>
      </c>
      <c r="T23" s="1159">
        <v>44075</v>
      </c>
    </row>
    <row r="24" spans="2:20" ht="17.100000000000001" customHeight="1">
      <c r="C24" s="1008"/>
      <c r="D24" s="1013"/>
      <c r="E24" s="1014"/>
      <c r="F24" s="1013"/>
      <c r="G24" s="1014"/>
      <c r="H24" s="1013"/>
      <c r="I24" s="1014"/>
      <c r="J24" s="1041"/>
      <c r="K24" s="1042"/>
      <c r="L24" s="1044"/>
      <c r="M24" s="1045"/>
      <c r="N24" s="1041"/>
      <c r="O24" s="1042"/>
      <c r="Q24" s="1086">
        <f>SUM(Q11:Q23)</f>
        <v>108397839.62</v>
      </c>
      <c r="S24" s="148">
        <v>515942.20000000007</v>
      </c>
      <c r="T24" s="1159">
        <v>44105</v>
      </c>
    </row>
    <row r="25" spans="2:20" ht="17.100000000000001" customHeight="1">
      <c r="C25" s="1008"/>
      <c r="D25" s="1013"/>
      <c r="E25" s="1014"/>
      <c r="F25" s="1013"/>
      <c r="G25" s="1014"/>
      <c r="H25" s="1013"/>
      <c r="I25" s="1014"/>
      <c r="J25" s="1041"/>
      <c r="K25" s="1042"/>
      <c r="L25" s="1044"/>
      <c r="M25" s="1045"/>
      <c r="N25" s="1041"/>
      <c r="O25" s="1042"/>
      <c r="Q25" s="1017"/>
      <c r="S25" s="148">
        <v>778326.78</v>
      </c>
      <c r="T25" s="1159">
        <v>44136</v>
      </c>
    </row>
    <row r="26" spans="2:20" ht="17.100000000000001" customHeight="1">
      <c r="C26" s="1008"/>
      <c r="D26" s="1013"/>
      <c r="E26" s="1014"/>
      <c r="F26" s="1013"/>
      <c r="G26" s="1014"/>
      <c r="H26" s="1013"/>
      <c r="I26" s="1014"/>
      <c r="J26" s="1041"/>
      <c r="K26" s="1042"/>
      <c r="L26" s="1044"/>
      <c r="M26" s="1045"/>
      <c r="N26" s="1041"/>
      <c r="O26" s="1042"/>
      <c r="Q26" s="1017"/>
      <c r="S26" s="148">
        <v>0</v>
      </c>
      <c r="T26" s="1159">
        <v>44166</v>
      </c>
    </row>
    <row r="27" spans="2:20" ht="17.100000000000001" customHeight="1">
      <c r="C27" s="1008"/>
      <c r="D27" s="1013"/>
      <c r="E27" s="1014"/>
      <c r="F27" s="1013"/>
      <c r="G27" s="1014"/>
      <c r="H27" s="1013"/>
      <c r="I27" s="1014"/>
      <c r="J27" s="1013"/>
      <c r="K27" s="1014"/>
      <c r="L27" s="1013"/>
      <c r="M27" s="1014"/>
      <c r="N27" s="1041"/>
      <c r="O27" s="1042"/>
      <c r="Q27" s="1017"/>
      <c r="S27" s="148">
        <v>0</v>
      </c>
      <c r="T27" s="1159">
        <v>44197</v>
      </c>
    </row>
    <row r="28" spans="2:20" ht="17.100000000000001" customHeight="1">
      <c r="C28" s="1008"/>
      <c r="D28" s="1013"/>
      <c r="E28" s="1014"/>
      <c r="F28" s="1013"/>
      <c r="G28" s="1014"/>
      <c r="H28" s="1013"/>
      <c r="I28" s="1014"/>
      <c r="J28" s="1013"/>
      <c r="K28" s="1014"/>
      <c r="L28" s="1013"/>
      <c r="M28" s="1014"/>
      <c r="N28" s="1041"/>
      <c r="O28" s="1042"/>
      <c r="Q28" s="1017"/>
      <c r="S28" s="148">
        <v>0</v>
      </c>
      <c r="T28" s="1159">
        <v>44228</v>
      </c>
    </row>
    <row r="29" spans="2:20" ht="17.100000000000001" customHeight="1">
      <c r="C29" s="1008"/>
      <c r="D29" s="1013"/>
      <c r="E29" s="1014"/>
      <c r="F29" s="1013"/>
      <c r="G29" s="1014"/>
      <c r="H29" s="1013"/>
      <c r="I29" s="1014"/>
      <c r="J29" s="1013"/>
      <c r="K29" s="1014"/>
      <c r="L29" s="1013"/>
      <c r="M29" s="1014"/>
      <c r="N29" s="1041"/>
      <c r="O29" s="1042"/>
      <c r="Q29" s="1017"/>
      <c r="S29" s="148">
        <v>355979.11</v>
      </c>
      <c r="T29" s="1159">
        <v>44256</v>
      </c>
    </row>
    <row r="30" spans="2:20" ht="17.100000000000001" customHeight="1">
      <c r="C30" s="504"/>
      <c r="D30" s="1015"/>
      <c r="E30" s="1016"/>
      <c r="F30" s="1015"/>
      <c r="G30" s="1016"/>
      <c r="H30" s="1015"/>
      <c r="I30" s="1016"/>
      <c r="J30" s="1015"/>
      <c r="K30" s="1016"/>
      <c r="L30" s="1015"/>
      <c r="M30" s="1016"/>
      <c r="N30" s="1047"/>
      <c r="O30" s="1048"/>
      <c r="Q30" s="1017"/>
      <c r="S30" s="148">
        <v>3782660.02</v>
      </c>
      <c r="T30" s="1159">
        <v>44287</v>
      </c>
    </row>
    <row r="31" spans="2:20">
      <c r="C31" s="771"/>
      <c r="D31" s="503"/>
      <c r="E31" s="772"/>
      <c r="F31" s="503"/>
      <c r="G31" s="503"/>
      <c r="H31" s="503"/>
      <c r="I31" s="503"/>
      <c r="J31" s="503"/>
      <c r="K31" s="503"/>
      <c r="L31" s="503"/>
      <c r="M31" s="503"/>
      <c r="N31" s="150"/>
      <c r="O31" s="160"/>
      <c r="S31" s="148">
        <v>14022872.839999998</v>
      </c>
      <c r="T31" s="1159">
        <v>44317</v>
      </c>
    </row>
    <row r="32" spans="2:20">
      <c r="C32" s="159"/>
      <c r="D32" s="1010" t="s">
        <v>162</v>
      </c>
      <c r="E32" s="156"/>
      <c r="F32" s="149"/>
      <c r="G32" s="149"/>
      <c r="H32" s="149"/>
      <c r="I32" s="149"/>
      <c r="J32" s="156" t="s">
        <v>157</v>
      </c>
      <c r="K32" s="149"/>
      <c r="L32" s="149"/>
      <c r="M32" s="149"/>
      <c r="N32" s="150"/>
      <c r="O32" s="160"/>
      <c r="S32" s="148">
        <v>28122815.229999997</v>
      </c>
      <c r="T32" s="1159">
        <v>44348</v>
      </c>
    </row>
    <row r="33" spans="3:20">
      <c r="C33" s="159"/>
      <c r="E33" s="149"/>
      <c r="F33" s="149"/>
      <c r="G33" s="149"/>
      <c r="H33" s="149"/>
      <c r="I33" s="149"/>
      <c r="K33" s="149"/>
      <c r="L33" s="149"/>
      <c r="M33" s="149"/>
      <c r="N33" s="150"/>
      <c r="O33" s="160"/>
      <c r="S33" s="148">
        <v>28636455.800000001</v>
      </c>
      <c r="T33" s="1159">
        <v>44378</v>
      </c>
    </row>
    <row r="34" spans="3:20">
      <c r="C34" s="159"/>
      <c r="D34" s="149"/>
      <c r="E34" s="156"/>
      <c r="F34" s="149"/>
      <c r="G34" s="149"/>
      <c r="H34" s="149"/>
      <c r="I34" s="149"/>
      <c r="J34" s="149"/>
      <c r="K34" s="149"/>
      <c r="L34" s="149"/>
      <c r="M34" s="150"/>
      <c r="N34" s="150"/>
      <c r="O34" s="160"/>
      <c r="S34" s="148">
        <v>18566555.049999997</v>
      </c>
      <c r="T34" s="1159">
        <v>44409</v>
      </c>
    </row>
    <row r="35" spans="3:20">
      <c r="C35" s="161"/>
      <c r="D35" s="157"/>
      <c r="E35" s="153"/>
      <c r="F35" s="149"/>
      <c r="G35" s="149"/>
      <c r="H35" s="149"/>
      <c r="I35" s="149"/>
      <c r="J35" s="149"/>
      <c r="K35" s="149"/>
      <c r="L35" s="149"/>
      <c r="M35" s="157"/>
      <c r="N35" s="157"/>
      <c r="O35" s="797"/>
      <c r="S35" s="148">
        <v>13385657.390000001</v>
      </c>
      <c r="T35" s="1159">
        <v>44440</v>
      </c>
    </row>
    <row r="36" spans="3:20">
      <c r="C36" s="161"/>
      <c r="D36" s="157"/>
      <c r="E36" s="153"/>
      <c r="F36" s="149"/>
      <c r="G36" s="149"/>
      <c r="H36" s="149"/>
      <c r="I36" s="149"/>
      <c r="J36" s="149"/>
      <c r="K36" s="149"/>
      <c r="L36" s="149"/>
      <c r="M36" s="157"/>
      <c r="N36" s="157"/>
      <c r="O36" s="797"/>
      <c r="S36" s="148">
        <v>0</v>
      </c>
      <c r="T36" s="1159">
        <v>44470</v>
      </c>
    </row>
    <row r="37" spans="3:20">
      <c r="C37" s="163"/>
      <c r="D37" s="158"/>
      <c r="E37" s="175" t="str">
        <f>+'Planilla de Avance'!F111</f>
        <v>Ing. Gabriel Daza Chavez</v>
      </c>
      <c r="F37" s="149"/>
      <c r="G37" s="152"/>
      <c r="H37" s="152"/>
      <c r="I37" s="152"/>
      <c r="J37" s="152"/>
      <c r="K37" s="152"/>
      <c r="L37" s="176" t="str">
        <f>+'Planilla de Avance'!J111</f>
        <v>Ing. Herlan Rene Ramos Estrada</v>
      </c>
      <c r="M37" s="149"/>
      <c r="N37" s="153"/>
      <c r="O37" s="798"/>
    </row>
    <row r="38" spans="3:20">
      <c r="C38" s="163"/>
      <c r="D38" s="158"/>
      <c r="E38" s="794" t="str">
        <f>+'Planilla de Avance'!F112</f>
        <v>SUPERINTENDENTE DE OBRA</v>
      </c>
      <c r="F38" s="149"/>
      <c r="G38" s="152"/>
      <c r="H38" s="152"/>
      <c r="I38" s="152"/>
      <c r="J38" s="152"/>
      <c r="K38" s="152"/>
      <c r="L38" s="153" t="str">
        <f>+'Planilla de Avance'!J112</f>
        <v>SUPERVISOR DE OBRA</v>
      </c>
      <c r="M38" s="149"/>
      <c r="N38" s="153"/>
      <c r="O38" s="798"/>
    </row>
    <row r="39" spans="3:20" ht="31.5" customHeight="1">
      <c r="C39" s="164"/>
      <c r="D39" s="1742" t="str">
        <f>+'Planilla de Avance'!F113</f>
        <v>EMPRESA ESTRATÉGICA BOLIVIANA DE CONSTRUCCIÓN Y CONSERVACIÓN DE INFRAESTRUCTURA CIVIL (EBC)</v>
      </c>
      <c r="E39" s="1742"/>
      <c r="F39" s="1742"/>
      <c r="G39" s="165"/>
      <c r="H39" s="165"/>
      <c r="I39" s="165"/>
      <c r="J39" s="165"/>
      <c r="K39" s="165"/>
      <c r="L39" s="1009" t="str">
        <f>+'Planilla de Avance'!J113</f>
        <v>ABC - REGIONAL TARIJA</v>
      </c>
      <c r="M39" s="166"/>
      <c r="N39" s="167"/>
      <c r="O39" s="799"/>
    </row>
    <row r="40" spans="3:20" ht="15" customHeight="1">
      <c r="C40" s="173"/>
      <c r="D40" s="503"/>
      <c r="E40" s="503"/>
      <c r="F40" s="503"/>
      <c r="G40" s="503"/>
      <c r="H40" s="503"/>
      <c r="I40" s="503"/>
      <c r="J40" s="503"/>
      <c r="K40" s="503"/>
      <c r="L40" s="503"/>
      <c r="M40" s="503"/>
      <c r="N40" s="503"/>
      <c r="O40" s="508"/>
    </row>
    <row r="41" spans="3:20" ht="15" customHeight="1">
      <c r="C41" s="16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62"/>
    </row>
    <row r="42" spans="3:20" ht="15" customHeight="1">
      <c r="C42" s="16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62"/>
    </row>
    <row r="43" spans="3:20" ht="15" customHeight="1">
      <c r="C43" s="168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62"/>
    </row>
    <row r="44" spans="3:20" ht="15" customHeight="1">
      <c r="C44" s="168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62"/>
    </row>
    <row r="45" spans="3:20" ht="15" customHeight="1">
      <c r="C45" s="168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62"/>
    </row>
    <row r="46" spans="3:20" ht="15" customHeight="1">
      <c r="C46" s="168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62"/>
    </row>
    <row r="47" spans="3:20" ht="15" customHeight="1">
      <c r="C47" s="168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62"/>
    </row>
    <row r="48" spans="3:20" ht="15" customHeight="1">
      <c r="C48" s="168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62"/>
    </row>
    <row r="49" spans="3:15" ht="15" customHeight="1">
      <c r="C49" s="168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62"/>
    </row>
    <row r="50" spans="3:15" ht="15" customHeight="1">
      <c r="C50" s="168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62"/>
    </row>
    <row r="51" spans="3:15" ht="15" customHeight="1">
      <c r="C51" s="16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62"/>
    </row>
    <row r="52" spans="3:15" ht="15" customHeight="1">
      <c r="C52" s="168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62"/>
    </row>
    <row r="53" spans="3:15" ht="15" customHeight="1">
      <c r="C53" s="168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62"/>
    </row>
    <row r="54" spans="3:15" ht="15" customHeight="1">
      <c r="C54" s="168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62"/>
    </row>
    <row r="55" spans="3:15" ht="15" customHeight="1">
      <c r="C55" s="168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62"/>
    </row>
    <row r="56" spans="3:15" ht="15" customHeight="1">
      <c r="C56" s="168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62"/>
    </row>
    <row r="57" spans="3:15" ht="15" customHeight="1">
      <c r="C57" s="168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62"/>
    </row>
    <row r="58" spans="3:15" ht="15" customHeight="1">
      <c r="C58" s="168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62"/>
    </row>
    <row r="59" spans="3:15" ht="15" customHeight="1">
      <c r="C59" s="16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62"/>
    </row>
    <row r="60" spans="3:15" ht="15" customHeight="1">
      <c r="C60" s="168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62"/>
    </row>
    <row r="61" spans="3:15" ht="15" customHeight="1">
      <c r="C61" s="168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62"/>
    </row>
    <row r="62" spans="3:15" ht="15" customHeight="1">
      <c r="C62" s="168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62"/>
    </row>
    <row r="63" spans="3:15" ht="15" customHeight="1">
      <c r="C63" s="168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62"/>
    </row>
    <row r="64" spans="3:15" ht="15" customHeight="1">
      <c r="C64" s="168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62"/>
    </row>
    <row r="65" spans="3:15" ht="15" customHeight="1">
      <c r="C65" s="168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62"/>
    </row>
    <row r="66" spans="3:15" ht="15" customHeight="1">
      <c r="C66" s="168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62"/>
    </row>
    <row r="67" spans="3:15" ht="15" customHeight="1">
      <c r="C67" s="168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62"/>
    </row>
    <row r="68" spans="3:15" ht="15" customHeight="1">
      <c r="C68" s="16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62"/>
    </row>
    <row r="69" spans="3:15" ht="15" customHeight="1">
      <c r="C69" s="168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62"/>
    </row>
    <row r="70" spans="3:15" ht="15" customHeight="1">
      <c r="C70" s="168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62"/>
    </row>
    <row r="71" spans="3:15" ht="15" customHeight="1">
      <c r="C71" s="168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62"/>
    </row>
    <row r="72" spans="3:15" ht="15" customHeight="1">
      <c r="C72" s="168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62"/>
    </row>
    <row r="73" spans="3:15" ht="15" customHeight="1">
      <c r="C73" s="168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62"/>
    </row>
    <row r="74" spans="3:15" ht="15" customHeight="1">
      <c r="C74" s="168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62"/>
    </row>
    <row r="75" spans="3:15" ht="15" customHeight="1">
      <c r="C75" s="168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62"/>
    </row>
    <row r="76" spans="3:15" ht="15" customHeight="1">
      <c r="C76" s="168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62"/>
    </row>
    <row r="77" spans="3:15" ht="15" customHeight="1">
      <c r="C77" s="168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62"/>
    </row>
    <row r="78" spans="3:15" ht="15" customHeight="1">
      <c r="C78" s="168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62"/>
    </row>
    <row r="79" spans="3:15" ht="15" customHeight="1">
      <c r="C79" s="168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62"/>
    </row>
    <row r="80" spans="3:15" ht="15" customHeight="1">
      <c r="C80" s="168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62"/>
    </row>
    <row r="81" spans="3:15" ht="15" customHeight="1">
      <c r="C81" s="774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509"/>
    </row>
    <row r="82" spans="3:15" ht="15" customHeight="1"/>
    <row r="83" spans="3:15" ht="15" customHeight="1">
      <c r="G83" s="775">
        <v>41790</v>
      </c>
      <c r="H83" s="775"/>
      <c r="I83" s="775"/>
      <c r="J83" s="776">
        <f>+G83</f>
        <v>41790</v>
      </c>
      <c r="K83" s="776">
        <f>+L83</f>
        <v>42582</v>
      </c>
      <c r="L83" s="775">
        <v>42582</v>
      </c>
    </row>
    <row r="84" spans="3:15" ht="15" customHeight="1"/>
    <row r="85" spans="3:15" ht="15" customHeight="1"/>
    <row r="86" spans="3:15" ht="15" customHeight="1"/>
    <row r="87" spans="3:15" ht="15" customHeight="1"/>
    <row r="88" spans="3:15" ht="15" customHeight="1"/>
    <row r="89" spans="3:15" ht="15" customHeight="1"/>
    <row r="90" spans="3:15" ht="15" customHeight="1"/>
    <row r="91" spans="3:15" ht="15" customHeight="1"/>
    <row r="92" spans="3:15" ht="15" customHeight="1"/>
    <row r="93" spans="3:15" ht="15" customHeight="1"/>
    <row r="94" spans="3:15" ht="15" customHeight="1"/>
    <row r="95" spans="3:15" ht="15" customHeight="1"/>
    <row r="96" spans="3:15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</sheetData>
  <mergeCells count="21">
    <mergeCell ref="D8:E8"/>
    <mergeCell ref="B8:B10"/>
    <mergeCell ref="D39:F39"/>
    <mergeCell ref="C1:D1"/>
    <mergeCell ref="C8:C10"/>
    <mergeCell ref="D9:E9"/>
    <mergeCell ref="E7:F7"/>
    <mergeCell ref="F3:L4"/>
    <mergeCell ref="C6:E6"/>
    <mergeCell ref="M6:O6"/>
    <mergeCell ref="H8:I8"/>
    <mergeCell ref="H9:I9"/>
    <mergeCell ref="N8:O8"/>
    <mergeCell ref="N9:O9"/>
    <mergeCell ref="L9:M9"/>
    <mergeCell ref="L8:M8"/>
    <mergeCell ref="F5:L6"/>
    <mergeCell ref="J9:K9"/>
    <mergeCell ref="F9:G9"/>
    <mergeCell ref="J8:K8"/>
    <mergeCell ref="F8:G8"/>
  </mergeCells>
  <pageMargins left="0.23622047244094491" right="0.23622047244094491" top="0.62992125984251968" bottom="0.31496062992125984" header="0.31496062992125984" footer="0.31496062992125984"/>
  <pageSetup scale="85" fitToHeight="2" orientation="landscape" horizontalDpi="4294967295" verticalDpi="4294967295" r:id="rId1"/>
  <headerFooter alignWithMargins="0"/>
  <rowBreaks count="2" manualBreakCount="2">
    <brk id="39" min="2" max="14" man="1"/>
    <brk id="81" min="2" max="14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</sheetPr>
  <dimension ref="B2:R39"/>
  <sheetViews>
    <sheetView showGridLines="0" view="pageBreakPreview" topLeftCell="A4" zoomScaleNormal="75" zoomScaleSheetLayoutView="100" workbookViewId="0">
      <selection activeCell="M11" sqref="M11"/>
    </sheetView>
  </sheetViews>
  <sheetFormatPr baseColWidth="10" defaultColWidth="11.44140625" defaultRowHeight="30"/>
  <cols>
    <col min="1" max="1" width="1.109375" style="706" customWidth="1"/>
    <col min="2" max="2" width="44.88671875" style="706" customWidth="1"/>
    <col min="3" max="3" width="18.5546875" style="706" customWidth="1"/>
    <col min="4" max="4" width="20.6640625" style="706" customWidth="1"/>
    <col min="5" max="5" width="15.6640625" style="706" customWidth="1"/>
    <col min="6" max="6" width="16.6640625" style="706" customWidth="1"/>
    <col min="7" max="7" width="16.5546875" style="706" customWidth="1"/>
    <col min="8" max="8" width="15.44140625" style="706" customWidth="1"/>
    <col min="9" max="10" width="13.33203125" style="706" customWidth="1"/>
    <col min="11" max="11" width="20.88671875" style="706" customWidth="1"/>
    <col min="12" max="12" width="12.5546875" style="724" bestFit="1" customWidth="1"/>
    <col min="13" max="13" width="12.5546875" style="706" hidden="1" customWidth="1"/>
    <col min="14" max="14" width="13.88671875" style="706" customWidth="1"/>
    <col min="15" max="16384" width="11.44140625" style="706"/>
  </cols>
  <sheetData>
    <row r="2" spans="2:16" ht="20.25" customHeight="1">
      <c r="B2" s="1323"/>
      <c r="C2" s="1328"/>
      <c r="D2" s="1320"/>
      <c r="E2" s="1320"/>
      <c r="F2" s="1320"/>
      <c r="G2" s="1320"/>
      <c r="H2" s="1320"/>
      <c r="I2" s="1321"/>
      <c r="J2" s="1320"/>
      <c r="K2" s="1321"/>
    </row>
    <row r="3" spans="2:16" ht="20.25" customHeight="1">
      <c r="B3" s="1324"/>
      <c r="C3" s="1763" t="s">
        <v>645</v>
      </c>
      <c r="D3" s="1764"/>
      <c r="E3" s="1764"/>
      <c r="F3" s="1764"/>
      <c r="G3" s="1764"/>
      <c r="H3" s="1764"/>
      <c r="I3" s="1765"/>
      <c r="J3" s="1327"/>
      <c r="K3" s="1322"/>
    </row>
    <row r="4" spans="2:16" ht="20.25" customHeight="1">
      <c r="B4" s="1324"/>
      <c r="C4" s="1763"/>
      <c r="D4" s="1764"/>
      <c r="E4" s="1764"/>
      <c r="F4" s="1764"/>
      <c r="G4" s="1764"/>
      <c r="H4" s="1764"/>
      <c r="I4" s="1765"/>
      <c r="J4" s="1327"/>
      <c r="K4" s="1322"/>
    </row>
    <row r="5" spans="2:16" ht="20.25" customHeight="1">
      <c r="B5" s="1325"/>
      <c r="C5" s="1766" t="str">
        <f>"CARRETERA: "&amp;'Planilla de Avance'!G4</f>
        <v>CARRETERA: PROYECTO: CONSTRUCCION Y REHABILITACION TRAMO CARRETERO VILLA MONTES - LA VERTIENTE - PALO MARCADO</v>
      </c>
      <c r="D5" s="1767"/>
      <c r="E5" s="1767"/>
      <c r="F5" s="1767"/>
      <c r="G5" s="1767"/>
      <c r="H5" s="1767"/>
      <c r="I5" s="1768"/>
      <c r="J5" s="1327"/>
      <c r="K5" s="1322"/>
    </row>
    <row r="6" spans="2:16" ht="19.5" customHeight="1">
      <c r="B6" s="1326" t="s">
        <v>155</v>
      </c>
      <c r="C6" s="1754"/>
      <c r="D6" s="1755"/>
      <c r="E6" s="1755"/>
      <c r="F6" s="1755"/>
      <c r="G6" s="1755"/>
      <c r="H6" s="1755"/>
      <c r="I6" s="1756"/>
      <c r="J6" s="1752" t="s">
        <v>244</v>
      </c>
      <c r="K6" s="1753"/>
    </row>
    <row r="7" spans="2:16" ht="18" customHeight="1">
      <c r="B7" s="1351"/>
      <c r="C7" s="1049"/>
      <c r="D7" s="1049"/>
      <c r="E7" s="1049"/>
      <c r="F7" s="1049"/>
      <c r="G7" s="1049"/>
      <c r="H7" s="1049"/>
      <c r="I7" s="1049"/>
      <c r="J7" s="1049"/>
      <c r="K7" s="1352"/>
    </row>
    <row r="8" spans="2:16" ht="18" customHeight="1">
      <c r="B8" s="1351"/>
      <c r="C8" s="1049"/>
      <c r="D8" s="1049"/>
      <c r="E8" s="1049"/>
      <c r="F8" s="1049"/>
      <c r="G8" s="1049"/>
      <c r="H8" s="1049"/>
      <c r="I8" s="1049"/>
      <c r="J8" s="1049"/>
      <c r="K8" s="1352"/>
    </row>
    <row r="9" spans="2:16" ht="21" customHeight="1">
      <c r="B9" s="1761" t="s">
        <v>243</v>
      </c>
      <c r="C9" s="1761" t="s">
        <v>197</v>
      </c>
      <c r="D9" s="1759" t="s">
        <v>242</v>
      </c>
      <c r="E9" s="1761" t="s">
        <v>420</v>
      </c>
      <c r="F9" s="1761" t="s">
        <v>426</v>
      </c>
      <c r="G9" s="1761" t="s">
        <v>422</v>
      </c>
      <c r="H9" s="1761" t="s">
        <v>423</v>
      </c>
      <c r="I9" s="1757" t="s">
        <v>198</v>
      </c>
      <c r="J9" s="1758"/>
      <c r="K9" s="1759" t="s">
        <v>161</v>
      </c>
    </row>
    <row r="10" spans="2:16" ht="28.5" customHeight="1">
      <c r="B10" s="1762"/>
      <c r="C10" s="1762"/>
      <c r="D10" s="1760"/>
      <c r="E10" s="1762"/>
      <c r="F10" s="1762"/>
      <c r="G10" s="1762"/>
      <c r="H10" s="1762"/>
      <c r="I10" s="1097" t="s">
        <v>421</v>
      </c>
      <c r="J10" s="1098" t="s">
        <v>177</v>
      </c>
      <c r="K10" s="1760"/>
      <c r="N10" s="707"/>
      <c r="O10" s="707"/>
    </row>
    <row r="11" spans="2:16" ht="21.75" customHeight="1">
      <c r="B11" s="1329" t="s">
        <v>514</v>
      </c>
      <c r="C11" s="1099"/>
      <c r="D11" s="1100"/>
      <c r="E11" s="1101"/>
      <c r="F11" s="1099"/>
      <c r="G11" s="1101"/>
      <c r="H11" s="1102"/>
      <c r="I11" s="1103"/>
      <c r="J11" s="1103"/>
      <c r="K11" s="1330"/>
      <c r="L11" s="425"/>
      <c r="M11" s="707"/>
      <c r="N11" s="707"/>
      <c r="O11" s="707"/>
      <c r="P11" s="707"/>
    </row>
    <row r="12" spans="2:16" ht="43.5" customHeight="1">
      <c r="B12" s="1331" t="s">
        <v>466</v>
      </c>
      <c r="C12" s="1087" t="s">
        <v>639</v>
      </c>
      <c r="D12" s="1088" t="s">
        <v>467</v>
      </c>
      <c r="E12" s="1089">
        <f>+Certificado!J16</f>
        <v>108397839.64</v>
      </c>
      <c r="F12" s="1090"/>
      <c r="G12" s="1091">
        <v>21679567.93</v>
      </c>
      <c r="H12" s="1092">
        <f>ROUND((G12*100/E12),2)</f>
        <v>20</v>
      </c>
      <c r="I12" s="1093">
        <v>44034</v>
      </c>
      <c r="J12" s="1094">
        <v>44124</v>
      </c>
      <c r="K12" s="1332" t="s">
        <v>644</v>
      </c>
      <c r="L12" s="425"/>
      <c r="M12" s="707"/>
      <c r="N12" s="707"/>
      <c r="O12" s="707"/>
      <c r="P12" s="707"/>
    </row>
    <row r="13" spans="2:16" ht="43.5" customHeight="1">
      <c r="B13" s="1333" t="s">
        <v>466</v>
      </c>
      <c r="C13" s="1201" t="s">
        <v>640</v>
      </c>
      <c r="D13" s="1202" t="s">
        <v>467</v>
      </c>
      <c r="E13" s="1203">
        <f>+Certificado!J16</f>
        <v>108397839.64</v>
      </c>
      <c r="F13" s="1204"/>
      <c r="G13" s="1205">
        <v>21679568.93</v>
      </c>
      <c r="H13" s="1206">
        <f>ROUND((G13*100/E13),2)</f>
        <v>20</v>
      </c>
      <c r="I13" s="1207">
        <v>44125</v>
      </c>
      <c r="J13" s="1208">
        <v>44215</v>
      </c>
      <c r="K13" s="1334" t="s">
        <v>644</v>
      </c>
      <c r="L13" s="425"/>
      <c r="M13" s="707"/>
      <c r="N13" s="707"/>
      <c r="O13" s="707"/>
      <c r="P13" s="707"/>
    </row>
    <row r="14" spans="2:16" ht="43.5" customHeight="1">
      <c r="B14" s="1333" t="s">
        <v>466</v>
      </c>
      <c r="C14" s="1201" t="s">
        <v>679</v>
      </c>
      <c r="D14" s="1202" t="s">
        <v>467</v>
      </c>
      <c r="E14" s="1203">
        <v>108397839.64</v>
      </c>
      <c r="F14" s="719"/>
      <c r="G14" s="1205">
        <v>21679567.93</v>
      </c>
      <c r="H14" s="1206">
        <v>0.2</v>
      </c>
      <c r="I14" s="1207">
        <v>44216</v>
      </c>
      <c r="J14" s="1208">
        <v>44295</v>
      </c>
      <c r="K14" s="1335" t="s">
        <v>680</v>
      </c>
      <c r="L14" s="425"/>
      <c r="M14" s="707"/>
      <c r="N14" s="707"/>
      <c r="O14" s="707"/>
      <c r="P14" s="707"/>
    </row>
    <row r="15" spans="2:16" ht="43.5" customHeight="1">
      <c r="B15" s="1333"/>
      <c r="C15" s="1201"/>
      <c r="D15" s="1202"/>
      <c r="E15" s="1203"/>
      <c r="F15" s="1204"/>
      <c r="G15" s="1205"/>
      <c r="H15" s="1206"/>
      <c r="I15" s="1207"/>
      <c r="J15" s="1208"/>
      <c r="K15" s="1335"/>
      <c r="L15" s="425"/>
      <c r="M15" s="707"/>
      <c r="N15" s="707"/>
      <c r="O15" s="707"/>
      <c r="P15" s="707"/>
    </row>
    <row r="16" spans="2:16" ht="43.5" customHeight="1">
      <c r="B16" s="1336"/>
      <c r="C16" s="708"/>
      <c r="D16" s="709"/>
      <c r="E16" s="710"/>
      <c r="F16" s="711"/>
      <c r="G16" s="712"/>
      <c r="H16" s="713"/>
      <c r="I16" s="714"/>
      <c r="J16" s="715"/>
      <c r="K16" s="1337"/>
      <c r="M16" s="707"/>
      <c r="N16" s="707"/>
      <c r="O16" s="707"/>
      <c r="P16" s="707"/>
    </row>
    <row r="17" spans="2:18" ht="15" customHeight="1">
      <c r="B17" s="1338" t="s">
        <v>162</v>
      </c>
      <c r="C17" s="717"/>
      <c r="D17" s="716"/>
      <c r="E17" s="730" t="s">
        <v>424</v>
      </c>
      <c r="F17" s="727"/>
      <c r="G17" s="728"/>
      <c r="H17" s="729"/>
      <c r="I17" s="731" t="s">
        <v>425</v>
      </c>
      <c r="J17" s="718"/>
      <c r="K17" s="1339"/>
      <c r="M17" s="707"/>
      <c r="N17" s="707"/>
      <c r="O17" s="707"/>
      <c r="P17" s="707"/>
    </row>
    <row r="18" spans="2:18" ht="15" customHeight="1">
      <c r="B18" s="1338"/>
      <c r="C18" s="717"/>
      <c r="D18" s="716"/>
      <c r="E18" s="730"/>
      <c r="F18" s="727"/>
      <c r="G18" s="728"/>
      <c r="H18" s="729"/>
      <c r="I18" s="731"/>
      <c r="J18" s="718"/>
      <c r="K18" s="1339"/>
      <c r="M18" s="707"/>
      <c r="N18" s="707"/>
      <c r="O18" s="707"/>
      <c r="P18" s="707"/>
    </row>
    <row r="19" spans="2:18" ht="15" customHeight="1">
      <c r="B19" s="1338"/>
      <c r="C19" s="717"/>
      <c r="D19" s="716"/>
      <c r="E19" s="730"/>
      <c r="F19" s="727"/>
      <c r="G19" s="728"/>
      <c r="H19" s="729"/>
      <c r="I19" s="731"/>
      <c r="J19" s="718"/>
      <c r="K19" s="1339"/>
      <c r="M19" s="707"/>
      <c r="N19" s="707"/>
      <c r="O19" s="707"/>
      <c r="P19" s="707"/>
    </row>
    <row r="20" spans="2:18" ht="15" customHeight="1">
      <c r="B20" s="1338"/>
      <c r="C20" s="717"/>
      <c r="D20" s="716"/>
      <c r="E20" s="730"/>
      <c r="F20" s="727"/>
      <c r="G20" s="728"/>
      <c r="H20" s="729"/>
      <c r="I20" s="731"/>
      <c r="J20" s="718"/>
      <c r="K20" s="1339"/>
      <c r="M20" s="707"/>
      <c r="N20" s="707"/>
      <c r="O20" s="707"/>
      <c r="P20" s="707"/>
    </row>
    <row r="21" spans="2:18" ht="15" customHeight="1">
      <c r="B21" s="1338"/>
      <c r="C21" s="717"/>
      <c r="D21" s="716"/>
      <c r="E21" s="730"/>
      <c r="F21" s="727"/>
      <c r="G21" s="728"/>
      <c r="H21" s="729"/>
      <c r="I21" s="731"/>
      <c r="J21" s="718"/>
      <c r="K21" s="1339"/>
      <c r="M21" s="707"/>
      <c r="N21" s="707"/>
      <c r="O21" s="707"/>
      <c r="P21" s="707"/>
    </row>
    <row r="22" spans="2:18" ht="15" customHeight="1">
      <c r="B22" s="1338"/>
      <c r="C22" s="717"/>
      <c r="D22" s="716"/>
      <c r="E22" s="730"/>
      <c r="F22" s="727"/>
      <c r="G22" s="728"/>
      <c r="H22" s="729"/>
      <c r="I22" s="731"/>
      <c r="J22" s="718"/>
      <c r="K22" s="1339"/>
      <c r="M22" s="707"/>
      <c r="N22" s="707"/>
      <c r="O22" s="707"/>
      <c r="P22" s="707"/>
    </row>
    <row r="23" spans="2:18" ht="15" customHeight="1">
      <c r="B23" s="1338"/>
      <c r="C23" s="717"/>
      <c r="D23" s="716"/>
      <c r="E23" s="730"/>
      <c r="F23" s="727"/>
      <c r="G23" s="728"/>
      <c r="H23" s="729"/>
      <c r="I23" s="731"/>
      <c r="J23" s="718"/>
      <c r="K23" s="1339"/>
      <c r="M23" s="707"/>
      <c r="N23" s="707"/>
      <c r="O23" s="707"/>
      <c r="P23" s="707"/>
    </row>
    <row r="24" spans="2:18" ht="15" customHeight="1">
      <c r="B24" s="1338"/>
      <c r="C24" s="717"/>
      <c r="D24" s="716"/>
      <c r="E24" s="730"/>
      <c r="F24" s="727"/>
      <c r="G24" s="728"/>
      <c r="H24" s="729"/>
      <c r="I24" s="731"/>
      <c r="J24" s="718"/>
      <c r="K24" s="1339"/>
      <c r="M24" s="707"/>
      <c r="N24" s="707"/>
      <c r="O24" s="707"/>
      <c r="P24" s="707"/>
    </row>
    <row r="25" spans="2:18" ht="15" customHeight="1">
      <c r="B25" s="1340"/>
      <c r="C25" s="717"/>
      <c r="D25" s="716"/>
      <c r="E25" s="727"/>
      <c r="F25" s="727"/>
      <c r="G25" s="728"/>
      <c r="H25" s="729"/>
      <c r="I25" s="718"/>
      <c r="J25" s="718"/>
      <c r="K25" s="1339"/>
      <c r="M25" s="707"/>
      <c r="N25" s="707"/>
      <c r="O25" s="707"/>
      <c r="P25" s="707"/>
    </row>
    <row r="26" spans="2:18" ht="15" customHeight="1">
      <c r="B26" s="1324"/>
      <c r="C26" s="719"/>
      <c r="D26" s="719"/>
      <c r="E26" s="719"/>
      <c r="F26" s="719"/>
      <c r="G26" s="719"/>
      <c r="H26" s="719"/>
      <c r="I26" s="719"/>
      <c r="J26" s="719"/>
      <c r="K26" s="1341"/>
      <c r="L26" s="725"/>
      <c r="M26" s="719"/>
      <c r="N26" s="719"/>
      <c r="O26" s="719"/>
      <c r="P26" s="719"/>
      <c r="Q26" s="719"/>
      <c r="R26" s="719"/>
    </row>
    <row r="27" spans="2:18" ht="15" customHeight="1">
      <c r="B27" s="1324"/>
      <c r="C27" s="719"/>
      <c r="D27" s="719"/>
      <c r="E27" s="719"/>
      <c r="F27" s="719"/>
      <c r="G27" s="719"/>
      <c r="H27" s="719"/>
      <c r="I27" s="719"/>
      <c r="J27" s="719"/>
      <c r="K27" s="1341"/>
      <c r="L27" s="725"/>
      <c r="M27" s="719"/>
      <c r="N27" s="719"/>
      <c r="O27" s="719"/>
      <c r="P27" s="719"/>
      <c r="Q27" s="719"/>
      <c r="R27" s="719"/>
    </row>
    <row r="28" spans="2:18" ht="15" customHeight="1">
      <c r="B28" s="1342"/>
      <c r="C28" s="720"/>
      <c r="D28" s="833"/>
      <c r="E28" s="721"/>
      <c r="F28" s="721"/>
      <c r="G28" s="721"/>
      <c r="H28" s="721"/>
      <c r="I28" s="721"/>
      <c r="J28" s="721"/>
      <c r="K28" s="1343"/>
      <c r="L28" s="726"/>
      <c r="M28" s="721"/>
      <c r="N28" s="721"/>
      <c r="O28" s="721"/>
      <c r="P28" s="721"/>
      <c r="Q28" s="721"/>
      <c r="R28" s="719"/>
    </row>
    <row r="29" spans="2:18" ht="15" customHeight="1">
      <c r="B29" s="1769" t="str">
        <f>+'Planilla de Avance'!F111</f>
        <v>Ing. Gabriel Daza Chavez</v>
      </c>
      <c r="C29" s="1770"/>
      <c r="D29" s="1279"/>
      <c r="E29" s="1104"/>
      <c r="F29" s="1279" t="str">
        <f>+'Planilla de Avance'!J111</f>
        <v>Ing. Herlan Rene Ramos Estrada</v>
      </c>
      <c r="G29" s="1104"/>
      <c r="H29" s="1105"/>
      <c r="I29" s="1104"/>
      <c r="J29" s="1279" t="str">
        <f>+'Planilla de Avance'!Q111</f>
        <v>Ing. Franz Reynaldo Salazar Martinez</v>
      </c>
      <c r="K29" s="1344"/>
      <c r="L29" s="726"/>
      <c r="M29" s="719"/>
      <c r="N29" s="721"/>
      <c r="O29" s="721"/>
      <c r="P29" s="721"/>
      <c r="Q29" s="721"/>
      <c r="R29" s="719"/>
    </row>
    <row r="30" spans="2:18" ht="15" customHeight="1">
      <c r="B30" s="1771" t="str">
        <f>+'Planilla de Avance'!F112</f>
        <v>SUPERINTENDENTE DE OBRA</v>
      </c>
      <c r="C30" s="1772"/>
      <c r="D30" s="1279"/>
      <c r="E30" s="1104"/>
      <c r="F30" s="1280" t="str">
        <f>+'Planilla de Avance'!J112</f>
        <v>SUPERVISOR DE OBRA</v>
      </c>
      <c r="G30" s="1104"/>
      <c r="H30" s="1105"/>
      <c r="I30" s="1104"/>
      <c r="J30" s="1280" t="str">
        <f>+'Planilla de Avance'!Q112</f>
        <v>FISCAL DE OBRA</v>
      </c>
      <c r="K30" s="1344"/>
      <c r="L30" s="726"/>
      <c r="M30" s="719"/>
      <c r="N30" s="721"/>
      <c r="O30" s="721"/>
      <c r="P30" s="721"/>
      <c r="Q30" s="721"/>
      <c r="R30" s="719"/>
    </row>
    <row r="31" spans="2:18" ht="31.5" customHeight="1">
      <c r="B31" s="1773" t="str">
        <f>+Datos!B16</f>
        <v>EMPRESA ESTRATÉGICA BOLIVIANA DE CONSTRUCCIÓN Y CONSERVACIÓN DE INFRAESTRUCTURA CIVIL (EBC)</v>
      </c>
      <c r="C31" s="1774"/>
      <c r="D31" s="1279"/>
      <c r="E31" s="1104"/>
      <c r="F31" s="1345" t="str">
        <f>+'Planilla de Avance'!J113</f>
        <v>ABC - REGIONAL TARIJA</v>
      </c>
      <c r="G31" s="1346"/>
      <c r="H31" s="1347"/>
      <c r="I31" s="1346"/>
      <c r="J31" s="1345" t="str">
        <f>+'Planilla de Avance'!Q113</f>
        <v>ABC - REGIONAL TARIJA</v>
      </c>
      <c r="K31" s="1344"/>
      <c r="L31" s="726"/>
      <c r="M31" s="719"/>
      <c r="N31" s="721"/>
      <c r="O31" s="721"/>
      <c r="P31" s="721"/>
      <c r="Q31" s="721"/>
      <c r="R31" s="719"/>
    </row>
    <row r="32" spans="2:18">
      <c r="B32" s="1348"/>
      <c r="C32" s="1349"/>
      <c r="D32" s="1349"/>
      <c r="E32" s="1349"/>
      <c r="F32" s="1349"/>
      <c r="G32" s="1349"/>
      <c r="H32" s="1349"/>
      <c r="I32" s="1349"/>
      <c r="J32" s="1349"/>
      <c r="K32" s="1350"/>
      <c r="L32" s="725"/>
      <c r="M32" s="719"/>
      <c r="N32" s="719"/>
      <c r="O32" s="719"/>
      <c r="P32" s="719"/>
      <c r="Q32" s="719"/>
      <c r="R32" s="719"/>
    </row>
    <row r="33" spans="2:18">
      <c r="B33" s="719"/>
      <c r="C33" s="719"/>
      <c r="D33" s="719"/>
      <c r="E33" s="719"/>
      <c r="F33" s="719"/>
      <c r="G33" s="719"/>
      <c r="H33" s="719"/>
      <c r="I33" s="719"/>
      <c r="J33" s="719"/>
      <c r="K33" s="719"/>
      <c r="L33" s="725"/>
      <c r="M33" s="719"/>
      <c r="N33" s="719"/>
      <c r="O33" s="719"/>
      <c r="P33" s="719"/>
      <c r="Q33" s="719"/>
      <c r="R33" s="719"/>
    </row>
    <row r="34" spans="2:18">
      <c r="B34" s="719"/>
      <c r="C34" s="719"/>
      <c r="D34" s="719"/>
      <c r="E34" s="719"/>
      <c r="F34" s="719"/>
      <c r="G34" s="719"/>
      <c r="H34" s="719"/>
      <c r="I34" s="719"/>
      <c r="J34" s="719"/>
      <c r="K34" s="719"/>
      <c r="L34" s="725"/>
      <c r="M34" s="719"/>
      <c r="N34" s="719"/>
      <c r="O34" s="719"/>
      <c r="P34" s="719"/>
      <c r="Q34" s="719"/>
      <c r="R34" s="719"/>
    </row>
    <row r="35" spans="2:18">
      <c r="B35" s="719"/>
      <c r="C35" s="719"/>
      <c r="D35" s="719"/>
      <c r="E35" s="719"/>
      <c r="F35" s="719"/>
      <c r="G35" s="719"/>
      <c r="H35" s="719"/>
      <c r="I35" s="719"/>
      <c r="J35" s="719"/>
      <c r="K35" s="719"/>
      <c r="L35" s="725"/>
      <c r="M35" s="719"/>
      <c r="N35" s="719"/>
      <c r="O35" s="719"/>
      <c r="P35" s="719"/>
      <c r="Q35" s="719"/>
      <c r="R35" s="719"/>
    </row>
    <row r="36" spans="2:18">
      <c r="B36" s="719"/>
      <c r="C36" s="719"/>
      <c r="D36" s="719"/>
      <c r="E36" s="719"/>
      <c r="F36" s="719"/>
      <c r="G36" s="719"/>
      <c r="H36" s="719"/>
      <c r="I36" s="719"/>
      <c r="J36" s="722">
        <v>41519</v>
      </c>
      <c r="K36" s="719"/>
      <c r="L36" s="725"/>
      <c r="M36" s="719"/>
      <c r="N36" s="719"/>
      <c r="O36" s="719"/>
      <c r="P36" s="719"/>
      <c r="Q36" s="719"/>
      <c r="R36" s="719"/>
    </row>
    <row r="37" spans="2:18">
      <c r="B37" s="719"/>
      <c r="C37" s="719"/>
      <c r="D37" s="719"/>
      <c r="E37" s="719"/>
      <c r="F37" s="719"/>
      <c r="G37" s="719"/>
      <c r="H37" s="719">
        <f>+E12*0.07</f>
        <v>7587848.7748000007</v>
      </c>
      <c r="I37" s="719"/>
      <c r="J37" s="723" t="e">
        <f>+#REF!-J36</f>
        <v>#REF!</v>
      </c>
      <c r="K37" s="719"/>
      <c r="L37" s="725"/>
      <c r="M37" s="719"/>
      <c r="N37" s="719"/>
      <c r="O37" s="719"/>
      <c r="P37" s="719"/>
      <c r="Q37" s="719"/>
      <c r="R37" s="719"/>
    </row>
    <row r="38" spans="2:18">
      <c r="B38" s="719"/>
      <c r="C38" s="719"/>
      <c r="D38" s="719"/>
      <c r="E38" s="719"/>
      <c r="F38" s="719"/>
      <c r="G38" s="719"/>
      <c r="H38" s="719"/>
      <c r="I38" s="719"/>
      <c r="J38" s="719"/>
      <c r="K38" s="719"/>
      <c r="L38" s="725"/>
      <c r="M38" s="719"/>
      <c r="N38" s="719"/>
      <c r="O38" s="719"/>
      <c r="P38" s="719"/>
      <c r="Q38" s="719"/>
      <c r="R38" s="719"/>
    </row>
    <row r="39" spans="2:18">
      <c r="B39" s="719"/>
      <c r="C39" s="719"/>
      <c r="D39" s="719"/>
      <c r="E39" s="719"/>
      <c r="F39" s="719"/>
      <c r="G39" s="719"/>
      <c r="H39" s="719"/>
      <c r="I39" s="719"/>
      <c r="J39" s="719"/>
      <c r="K39" s="719"/>
      <c r="L39" s="725"/>
      <c r="M39" s="719"/>
      <c r="N39" s="719"/>
      <c r="O39" s="719"/>
      <c r="P39" s="719"/>
      <c r="Q39" s="719"/>
      <c r="R39" s="719"/>
    </row>
  </sheetData>
  <mergeCells count="16">
    <mergeCell ref="C3:I4"/>
    <mergeCell ref="C5:I5"/>
    <mergeCell ref="B29:C29"/>
    <mergeCell ref="B30:C30"/>
    <mergeCell ref="B31:C31"/>
    <mergeCell ref="B9:B10"/>
    <mergeCell ref="J6:K6"/>
    <mergeCell ref="C6:I6"/>
    <mergeCell ref="I9:J9"/>
    <mergeCell ref="K9:K10"/>
    <mergeCell ref="G9:G10"/>
    <mergeCell ref="H9:H10"/>
    <mergeCell ref="C9:C10"/>
    <mergeCell ref="D9:D10"/>
    <mergeCell ref="E9:E10"/>
    <mergeCell ref="F9:F10"/>
  </mergeCells>
  <hyperlinks>
    <hyperlink ref="E2:J6" location="Certificado!A1" display="CUADRO RESUMEN DE POLIZAS Y BOLETAS"/>
  </hyperlinks>
  <pageMargins left="0.19685039370078741" right="0.39370078740157483" top="0.98425196850393704" bottom="0.70866141732283472" header="0.31496062992125984" footer="0.31496062992125984"/>
  <pageSetup scale="65" orientation="landscape" horizontalDpi="4294967295" verticalDpi="4294967295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U274"/>
  <sheetViews>
    <sheetView view="pageBreakPreview" topLeftCell="C1" zoomScale="110" zoomScaleNormal="100" zoomScaleSheetLayoutView="110" workbookViewId="0">
      <pane ySplit="6" topLeftCell="A7" activePane="bottomLeft" state="frozen"/>
      <selection activeCell="F12" sqref="F12"/>
      <selection pane="bottomLeft" activeCell="F12" sqref="F12"/>
    </sheetView>
  </sheetViews>
  <sheetFormatPr baseColWidth="10" defaultRowHeight="13.2"/>
  <cols>
    <col min="1" max="1" width="6.33203125" customWidth="1"/>
    <col min="2" max="2" width="46.109375" customWidth="1"/>
    <col min="3" max="3" width="7.33203125" customWidth="1"/>
    <col min="4" max="6" width="11.44140625" customWidth="1"/>
    <col min="7" max="7" width="12" bestFit="1" customWidth="1"/>
    <col min="9" max="9" width="13.109375" bestFit="1" customWidth="1"/>
    <col min="10" max="10" width="11.6640625" bestFit="1" customWidth="1"/>
    <col min="11" max="11" width="12.109375" bestFit="1" customWidth="1"/>
    <col min="12" max="12" width="13.109375" bestFit="1" customWidth="1"/>
    <col min="13" max="13" width="11.88671875" bestFit="1" customWidth="1"/>
    <col min="14" max="14" width="13" customWidth="1"/>
    <col min="15" max="15" width="14.44140625" bestFit="1" customWidth="1"/>
    <col min="19" max="19" width="13.109375" bestFit="1" customWidth="1"/>
    <col min="21" max="21" width="14.6640625" customWidth="1"/>
  </cols>
  <sheetData>
    <row r="1" spans="1:17" ht="20.100000000000001" customHeight="1">
      <c r="A1" s="286"/>
      <c r="B1" s="312"/>
      <c r="C1" s="1812" t="str">
        <f>+Certificado!C1</f>
        <v>CERTIFICADO DE PAGO Nº 4</v>
      </c>
      <c r="D1" s="1813"/>
      <c r="E1" s="1813"/>
      <c r="F1" s="1813"/>
      <c r="G1" s="1813"/>
      <c r="H1" s="1813"/>
      <c r="I1" s="1813"/>
      <c r="J1" s="1813"/>
      <c r="K1" s="1813"/>
      <c r="L1" s="1814"/>
      <c r="M1" s="341"/>
      <c r="N1" s="342"/>
      <c r="O1" s="342"/>
      <c r="P1" s="343"/>
    </row>
    <row r="2" spans="1:17" ht="20.100000000000001" customHeight="1">
      <c r="A2" s="92"/>
      <c r="B2" s="314"/>
      <c r="C2" s="1815" t="s">
        <v>21</v>
      </c>
      <c r="D2" s="1816"/>
      <c r="E2" s="1816"/>
      <c r="F2" s="1816"/>
      <c r="G2" s="1816"/>
      <c r="H2" s="1816"/>
      <c r="I2" s="1816"/>
      <c r="J2" s="1816"/>
      <c r="K2" s="1816"/>
      <c r="L2" s="1817"/>
      <c r="M2" s="344"/>
      <c r="N2" s="313"/>
      <c r="O2" s="313"/>
      <c r="P2" s="314"/>
    </row>
    <row r="3" spans="1:17" ht="20.100000000000001" customHeight="1">
      <c r="A3" s="309"/>
      <c r="B3" s="316"/>
      <c r="C3" s="1818" t="s">
        <v>203</v>
      </c>
      <c r="D3" s="1819"/>
      <c r="E3" s="1819"/>
      <c r="F3" s="1819"/>
      <c r="G3" s="1819"/>
      <c r="H3" s="1819"/>
      <c r="I3" s="1819"/>
      <c r="J3" s="1819"/>
      <c r="K3" s="1819"/>
      <c r="L3" s="1820"/>
      <c r="M3" s="345"/>
      <c r="N3" s="315"/>
      <c r="O3" s="315"/>
      <c r="P3" s="316"/>
    </row>
    <row r="4" spans="1:17" ht="6.75" customHeight="1">
      <c r="A4" s="310"/>
      <c r="B4" s="311"/>
      <c r="C4" s="311"/>
      <c r="D4" s="311"/>
      <c r="E4" s="311"/>
      <c r="F4" s="311"/>
      <c r="G4" s="317" t="s">
        <v>159</v>
      </c>
      <c r="H4" s="317"/>
      <c r="I4" s="317" t="s">
        <v>176</v>
      </c>
      <c r="J4" s="317"/>
      <c r="K4" s="317" t="s">
        <v>175</v>
      </c>
      <c r="L4" s="317"/>
      <c r="M4" s="332" t="s">
        <v>165</v>
      </c>
      <c r="N4" s="333"/>
    </row>
    <row r="5" spans="1:17">
      <c r="A5" s="1793" t="s">
        <v>2</v>
      </c>
      <c r="B5" s="1794" t="s">
        <v>3</v>
      </c>
      <c r="C5" s="1795" t="s">
        <v>4</v>
      </c>
      <c r="D5" s="1796"/>
      <c r="E5" s="1796"/>
      <c r="F5" s="1797"/>
      <c r="G5" s="1798" t="s">
        <v>199</v>
      </c>
      <c r="H5" s="1798"/>
      <c r="I5" s="1796" t="s">
        <v>200</v>
      </c>
      <c r="J5" s="1797"/>
      <c r="K5" s="1796" t="s">
        <v>201</v>
      </c>
      <c r="L5" s="1797"/>
      <c r="M5" s="1796" t="s">
        <v>202</v>
      </c>
      <c r="N5" s="1797"/>
      <c r="O5" s="1796" t="s">
        <v>206</v>
      </c>
      <c r="P5" s="1797"/>
    </row>
    <row r="6" spans="1:17">
      <c r="A6" s="1793"/>
      <c r="B6" s="1794"/>
      <c r="C6" s="105" t="s">
        <v>5</v>
      </c>
      <c r="D6" s="300" t="s">
        <v>7</v>
      </c>
      <c r="E6" s="299" t="s">
        <v>6</v>
      </c>
      <c r="F6" s="298" t="s">
        <v>8</v>
      </c>
      <c r="G6" s="331" t="s">
        <v>6</v>
      </c>
      <c r="H6" s="297" t="s">
        <v>9</v>
      </c>
      <c r="I6" s="318" t="s">
        <v>6</v>
      </c>
      <c r="J6" s="298" t="s">
        <v>8</v>
      </c>
      <c r="K6" s="318" t="s">
        <v>6</v>
      </c>
      <c r="L6" s="298" t="s">
        <v>8</v>
      </c>
      <c r="M6" s="318" t="s">
        <v>6</v>
      </c>
      <c r="N6" s="298" t="s">
        <v>8</v>
      </c>
      <c r="O6" s="318" t="s">
        <v>6</v>
      </c>
      <c r="P6" s="298" t="s">
        <v>8</v>
      </c>
    </row>
    <row r="7" spans="1:17">
      <c r="A7" s="287" t="s">
        <v>57</v>
      </c>
      <c r="B7" s="41" t="s">
        <v>56</v>
      </c>
      <c r="C7" s="42"/>
      <c r="D7" s="43"/>
      <c r="E7" s="43"/>
      <c r="F7" s="43"/>
      <c r="G7" s="44"/>
      <c r="H7" s="44"/>
      <c r="I7" s="313"/>
      <c r="J7" s="313"/>
      <c r="K7" s="313"/>
      <c r="L7" s="313"/>
      <c r="M7" s="313"/>
      <c r="N7" s="314"/>
      <c r="O7" s="313"/>
      <c r="P7" s="314"/>
    </row>
    <row r="8" spans="1:17" ht="12.75" customHeight="1">
      <c r="A8" s="289">
        <v>1.1000000000000001</v>
      </c>
      <c r="B8" s="40" t="s">
        <v>22</v>
      </c>
      <c r="C8" s="58" t="s">
        <v>23</v>
      </c>
      <c r="D8" s="62">
        <v>742257.04999999993</v>
      </c>
      <c r="E8" s="63">
        <v>1</v>
      </c>
      <c r="F8" s="64">
        <f>ROUND(E8*D8,2)</f>
        <v>742257.05</v>
      </c>
      <c r="G8" s="319">
        <f ca="1">SUMIF('1'!A10:F49,G4,'1'!F10:F49)</f>
        <v>0</v>
      </c>
      <c r="H8" s="73">
        <f ca="1">+($D8*G8)</f>
        <v>0</v>
      </c>
      <c r="I8" s="319">
        <f ca="1">SUMIF('1'!A10:F49,I4,'1'!F10:F49)</f>
        <v>0</v>
      </c>
      <c r="J8" s="73">
        <f ca="1">($D8*I8)</f>
        <v>0</v>
      </c>
      <c r="K8" s="319">
        <f ca="1">SUMIF('1'!A10:F49,K4,'1'!F10:F49)</f>
        <v>0</v>
      </c>
      <c r="L8" s="73">
        <f ca="1">($D8*K8)</f>
        <v>0</v>
      </c>
      <c r="M8" s="319">
        <f ca="1">SUMIF('1'!A10:F49,M4,'1'!F10:F49)</f>
        <v>0</v>
      </c>
      <c r="N8" s="73">
        <f ca="1">($D8*M8)</f>
        <v>0</v>
      </c>
      <c r="O8" s="319">
        <f t="shared" ref="O8:P12" ca="1" si="0">+G8+I8+K8+M8</f>
        <v>0</v>
      </c>
      <c r="P8" s="73">
        <f t="shared" ca="1" si="0"/>
        <v>0</v>
      </c>
      <c r="Q8" s="340">
        <f ca="1">+'Planilla de Avance'!M10-O8</f>
        <v>15.97</v>
      </c>
    </row>
    <row r="9" spans="1:17" ht="12.75" customHeight="1">
      <c r="A9" s="290">
        <v>1.2</v>
      </c>
      <c r="B9" s="35" t="s">
        <v>24</v>
      </c>
      <c r="C9" s="59" t="s">
        <v>25</v>
      </c>
      <c r="D9" s="65">
        <v>54319.41</v>
      </c>
      <c r="E9" s="36">
        <v>12.9</v>
      </c>
      <c r="F9" s="66">
        <f>ROUND(E9*D9,2)</f>
        <v>700720.39</v>
      </c>
      <c r="G9" s="320" t="e">
        <f>SUMIF(#REF!,G4,#REF!)</f>
        <v>#REF!</v>
      </c>
      <c r="H9" s="37" t="e">
        <f>+($D9*G9)</f>
        <v>#REF!</v>
      </c>
      <c r="I9" s="320" t="e">
        <f>SUMIF(#REF!,I4,#REF!)</f>
        <v>#REF!</v>
      </c>
      <c r="J9" s="37" t="e">
        <f>($D9*I9)</f>
        <v>#REF!</v>
      </c>
      <c r="K9" s="320" t="e">
        <f>SUMIF(#REF!,K4,#REF!)</f>
        <v>#REF!</v>
      </c>
      <c r="L9" s="37" t="e">
        <f>($D9*K9)</f>
        <v>#REF!</v>
      </c>
      <c r="M9" s="320" t="e">
        <f>SUMIF(#REF!,M4,#REF!)</f>
        <v>#REF!</v>
      </c>
      <c r="N9" s="37" t="e">
        <f>($D9*M9)</f>
        <v>#REF!</v>
      </c>
      <c r="O9" s="320" t="e">
        <f t="shared" si="0"/>
        <v>#REF!</v>
      </c>
      <c r="P9" s="37" t="e">
        <f t="shared" si="0"/>
        <v>#REF!</v>
      </c>
      <c r="Q9" s="340" t="e">
        <f>+'Planilla de Avance'!M27-O9</f>
        <v>#REF!</v>
      </c>
    </row>
    <row r="10" spans="1:17" ht="12.75" customHeight="1">
      <c r="A10" s="290">
        <v>1.3</v>
      </c>
      <c r="B10" s="35" t="s">
        <v>26</v>
      </c>
      <c r="C10" s="59" t="s">
        <v>27</v>
      </c>
      <c r="D10" s="65">
        <v>37.04</v>
      </c>
      <c r="E10" s="36">
        <v>98303.91</v>
      </c>
      <c r="F10" s="66">
        <f>ROUND(E10*D10,2)</f>
        <v>3641176.83</v>
      </c>
      <c r="G10" s="320" t="e">
        <f>SUMIF(#REF!,G4,#REF!)</f>
        <v>#REF!</v>
      </c>
      <c r="H10" s="37" t="e">
        <f>+($D10*G10)</f>
        <v>#REF!</v>
      </c>
      <c r="I10" s="320" t="e">
        <f>SUMIF(#REF!,I4,#REF!)</f>
        <v>#REF!</v>
      </c>
      <c r="J10" s="37" t="e">
        <f>($D10*I10)</f>
        <v>#REF!</v>
      </c>
      <c r="K10" s="320" t="e">
        <f>SUMIF(#REF!,K4,#REF!)</f>
        <v>#REF!</v>
      </c>
      <c r="L10" s="37" t="e">
        <f>($D10*K10)</f>
        <v>#REF!</v>
      </c>
      <c r="M10" s="320" t="e">
        <f>SUMIF(#REF!,M4,#REF!)</f>
        <v>#REF!</v>
      </c>
      <c r="N10" s="37" t="e">
        <f>($D10*M10)</f>
        <v>#REF!</v>
      </c>
      <c r="O10" s="320" t="e">
        <f t="shared" si="0"/>
        <v>#REF!</v>
      </c>
      <c r="P10" s="37" t="e">
        <f t="shared" si="0"/>
        <v>#REF!</v>
      </c>
      <c r="Q10" s="340" t="e">
        <f>+'Planilla de Avance'!M28-O10</f>
        <v>#REF!</v>
      </c>
    </row>
    <row r="11" spans="1:17" ht="12.75" customHeight="1">
      <c r="A11" s="290">
        <v>1.4</v>
      </c>
      <c r="B11" s="35" t="s">
        <v>28</v>
      </c>
      <c r="C11" s="59" t="s">
        <v>27</v>
      </c>
      <c r="D11" s="65">
        <v>67.53</v>
      </c>
      <c r="E11" s="36">
        <v>29953.34</v>
      </c>
      <c r="F11" s="66">
        <f>ROUND(E11*D11,2)</f>
        <v>2022749.05</v>
      </c>
      <c r="G11" s="320" t="e">
        <f>SUMIF(#REF!,G4,#REF!)</f>
        <v>#REF!</v>
      </c>
      <c r="H11" s="37" t="e">
        <f>+($D11*G11)</f>
        <v>#REF!</v>
      </c>
      <c r="I11" s="320" t="e">
        <f>SUMIF(#REF!,I4,#REF!)</f>
        <v>#REF!</v>
      </c>
      <c r="J11" s="37" t="e">
        <f>($D11*I11)</f>
        <v>#REF!</v>
      </c>
      <c r="K11" s="320" t="e">
        <f>SUMIF(#REF!,K4,#REF!)</f>
        <v>#REF!</v>
      </c>
      <c r="L11" s="37" t="e">
        <f>($D11*K11)</f>
        <v>#REF!</v>
      </c>
      <c r="M11" s="320" t="e">
        <f>SUMIF(#REF!,M4,#REF!)</f>
        <v>#REF!</v>
      </c>
      <c r="N11" s="37" t="e">
        <f>($D11*M11)</f>
        <v>#REF!</v>
      </c>
      <c r="O11" s="320" t="e">
        <f t="shared" si="0"/>
        <v>#REF!</v>
      </c>
      <c r="P11" s="37" t="e">
        <f t="shared" si="0"/>
        <v>#REF!</v>
      </c>
      <c r="Q11" s="340" t="e">
        <f>+'Planilla de Avance'!M29-O11</f>
        <v>#REF!</v>
      </c>
    </row>
    <row r="12" spans="1:17" ht="12.75" customHeight="1">
      <c r="A12" s="291">
        <v>1.5</v>
      </c>
      <c r="B12" s="45" t="s">
        <v>29</v>
      </c>
      <c r="C12" s="60" t="s">
        <v>23</v>
      </c>
      <c r="D12" s="67">
        <v>301915.31</v>
      </c>
      <c r="E12" s="46">
        <v>1</v>
      </c>
      <c r="F12" s="68">
        <f>ROUND(E12*D12,2)</f>
        <v>301915.31</v>
      </c>
      <c r="G12" s="321" t="e">
        <f>SUMIF(#REF!,G4,#REF!)</f>
        <v>#REF!</v>
      </c>
      <c r="H12" s="47" t="e">
        <f>+($D12*G12)</f>
        <v>#REF!</v>
      </c>
      <c r="I12" s="321" t="e">
        <f>SUMIF(#REF!,I4,#REF!)</f>
        <v>#REF!</v>
      </c>
      <c r="J12" s="47" t="e">
        <f>($D12*I12)</f>
        <v>#REF!</v>
      </c>
      <c r="K12" s="321" t="e">
        <f>SUMIF(#REF!,K4,#REF!)</f>
        <v>#REF!</v>
      </c>
      <c r="L12" s="47" t="e">
        <f>($D12*K12)</f>
        <v>#REF!</v>
      </c>
      <c r="M12" s="321" t="e">
        <f>SUMIF(#REF!,M4,#REF!)</f>
        <v>#REF!</v>
      </c>
      <c r="N12" s="47" t="e">
        <f>($D12*M12)</f>
        <v>#REF!</v>
      </c>
      <c r="O12" s="321" t="e">
        <f t="shared" si="0"/>
        <v>#REF!</v>
      </c>
      <c r="P12" s="47" t="e">
        <f t="shared" si="0"/>
        <v>#REF!</v>
      </c>
      <c r="Q12" s="340" t="e">
        <f>+'Planilla de Avance'!M30-O12</f>
        <v>#REF!</v>
      </c>
    </row>
    <row r="13" spans="1:17" ht="12.75" customHeight="1">
      <c r="A13" s="288"/>
      <c r="B13" s="48" t="s">
        <v>10</v>
      </c>
      <c r="C13" s="49"/>
      <c r="D13" s="69"/>
      <c r="E13" s="51"/>
      <c r="F13" s="70">
        <f>SUM(F8:F12)</f>
        <v>7408818.629999999</v>
      </c>
      <c r="G13" s="52"/>
      <c r="H13" s="76" t="e">
        <f ca="1">SUM(H8:H12)</f>
        <v>#REF!</v>
      </c>
      <c r="I13" s="52"/>
      <c r="J13" s="76" t="e">
        <f ca="1">SUM(J8:J12)</f>
        <v>#REF!</v>
      </c>
      <c r="K13" s="52"/>
      <c r="L13" s="76" t="e">
        <f ca="1">SUM(L8:L12)</f>
        <v>#REF!</v>
      </c>
      <c r="M13" s="52"/>
      <c r="N13" s="76" t="e">
        <f ca="1">SUM(N8:N12)</f>
        <v>#REF!</v>
      </c>
      <c r="O13" s="52"/>
      <c r="P13" s="76" t="e">
        <f ca="1">SUM(P8:P12)</f>
        <v>#REF!</v>
      </c>
      <c r="Q13" s="340">
        <f>+'Planilla de Avance'!M11-O13</f>
        <v>0</v>
      </c>
    </row>
    <row r="14" spans="1:17" ht="12.75" customHeight="1">
      <c r="A14" s="287" t="s">
        <v>58</v>
      </c>
      <c r="B14" s="41">
        <v>9040</v>
      </c>
      <c r="C14" s="55"/>
      <c r="D14" s="56"/>
      <c r="E14" s="56"/>
      <c r="F14" s="57"/>
      <c r="G14" s="53"/>
      <c r="H14" s="53"/>
      <c r="I14" s="53"/>
      <c r="J14" s="53"/>
      <c r="K14" s="53"/>
      <c r="L14" s="53"/>
      <c r="M14" s="53"/>
      <c r="N14" s="54"/>
      <c r="O14" s="53"/>
      <c r="P14" s="54"/>
      <c r="Q14" s="340">
        <f>+'Planilla de Avance'!M12-O14</f>
        <v>0</v>
      </c>
    </row>
    <row r="15" spans="1:17" ht="12.75" customHeight="1">
      <c r="A15" s="289">
        <v>2.1</v>
      </c>
      <c r="B15" s="40" t="s">
        <v>30</v>
      </c>
      <c r="C15" s="58" t="s">
        <v>31</v>
      </c>
      <c r="D15" s="79">
        <v>56.120000000000005</v>
      </c>
      <c r="E15" s="63">
        <v>116181</v>
      </c>
      <c r="F15" s="80">
        <f>ROUND(E15*D15,2)</f>
        <v>6520077.7199999997</v>
      </c>
      <c r="G15" s="319" t="e">
        <f>SUMIF(#REF!,G4,#REF!)</f>
        <v>#REF!</v>
      </c>
      <c r="H15" s="73" t="e">
        <f t="shared" ref="H15:H27" si="1">+($D15*G15)</f>
        <v>#REF!</v>
      </c>
      <c r="I15" s="319" t="e">
        <f>SUMIF(#REF!,I4,#REF!)</f>
        <v>#REF!</v>
      </c>
      <c r="J15" s="73" t="e">
        <f t="shared" ref="J15:J27" si="2">($D15*I15)</f>
        <v>#REF!</v>
      </c>
      <c r="K15" s="319" t="e">
        <f>SUMIF(#REF!,K4,#REF!)</f>
        <v>#REF!</v>
      </c>
      <c r="L15" s="73" t="e">
        <f t="shared" ref="L15:L27" si="3">($D15*K15)</f>
        <v>#REF!</v>
      </c>
      <c r="M15" s="319" t="e">
        <f>SUMIF(#REF!,M4,#REF!)</f>
        <v>#REF!</v>
      </c>
      <c r="N15" s="73" t="e">
        <f t="shared" ref="N15:N27" si="4">($D15*M15)</f>
        <v>#REF!</v>
      </c>
      <c r="O15" s="319" t="e">
        <f t="shared" ref="O15:O27" si="5">+G15+I15+K15+M15</f>
        <v>#REF!</v>
      </c>
      <c r="P15" s="73" t="e">
        <f t="shared" ref="P15:P27" si="6">+H15+J15+L15+N15</f>
        <v>#REF!</v>
      </c>
      <c r="Q15" s="340" t="e">
        <f>+'Planilla de Avance'!M34-O15</f>
        <v>#REF!</v>
      </c>
    </row>
    <row r="16" spans="1:17" ht="12.75" customHeight="1">
      <c r="A16" s="290">
        <v>2.2000000000000002</v>
      </c>
      <c r="B16" s="35" t="s">
        <v>32</v>
      </c>
      <c r="C16" s="59" t="s">
        <v>31</v>
      </c>
      <c r="D16" s="81">
        <v>6.96</v>
      </c>
      <c r="E16" s="36">
        <v>94235.7</v>
      </c>
      <c r="F16" s="82">
        <f t="shared" ref="F16:F27" si="7">ROUND(E16*D16,2)</f>
        <v>655880.47</v>
      </c>
      <c r="G16" s="320" t="e">
        <f>SUMIF(#REF!,G4,#REF!)</f>
        <v>#REF!</v>
      </c>
      <c r="H16" s="37" t="e">
        <f t="shared" si="1"/>
        <v>#REF!</v>
      </c>
      <c r="I16" s="320" t="e">
        <f>SUMIF(#REF!,I4,#REF!)</f>
        <v>#REF!</v>
      </c>
      <c r="J16" s="37" t="e">
        <f t="shared" si="2"/>
        <v>#REF!</v>
      </c>
      <c r="K16" s="320" t="e">
        <f>SUMIF(#REF!,K4,#REF!)</f>
        <v>#REF!</v>
      </c>
      <c r="L16" s="37" t="e">
        <f t="shared" si="3"/>
        <v>#REF!</v>
      </c>
      <c r="M16" s="320" t="e">
        <f>SUMIF(#REF!,M4,#REF!)</f>
        <v>#REF!</v>
      </c>
      <c r="N16" s="37" t="e">
        <f t="shared" si="4"/>
        <v>#REF!</v>
      </c>
      <c r="O16" s="320" t="e">
        <f t="shared" si="5"/>
        <v>#REF!</v>
      </c>
      <c r="P16" s="37" t="e">
        <f t="shared" si="6"/>
        <v>#REF!</v>
      </c>
      <c r="Q16" s="340" t="e">
        <f>+'Planilla de Avance'!M35-O16</f>
        <v>#REF!</v>
      </c>
    </row>
    <row r="17" spans="1:17" ht="12.75" customHeight="1">
      <c r="A17" s="290">
        <v>2.2999999999999998</v>
      </c>
      <c r="B17" s="35" t="s">
        <v>33</v>
      </c>
      <c r="C17" s="59" t="s">
        <v>31</v>
      </c>
      <c r="D17" s="81">
        <v>6.96</v>
      </c>
      <c r="E17" s="36">
        <v>153371.70000000001</v>
      </c>
      <c r="F17" s="82">
        <f t="shared" si="7"/>
        <v>1067467.03</v>
      </c>
      <c r="G17" s="320" t="e">
        <f>SUMIF(#REF!,G4,#REF!)</f>
        <v>#REF!</v>
      </c>
      <c r="H17" s="37" t="e">
        <f t="shared" si="1"/>
        <v>#REF!</v>
      </c>
      <c r="I17" s="320" t="e">
        <f>SUMIF(#REF!,I4,#REF!)</f>
        <v>#REF!</v>
      </c>
      <c r="J17" s="37" t="e">
        <f t="shared" si="2"/>
        <v>#REF!</v>
      </c>
      <c r="K17" s="320" t="e">
        <f>SUMIF(#REF!,K4,#REF!)</f>
        <v>#REF!</v>
      </c>
      <c r="L17" s="37" t="e">
        <f t="shared" si="3"/>
        <v>#REF!</v>
      </c>
      <c r="M17" s="320" t="e">
        <f>SUMIF(#REF!,M4,#REF!)</f>
        <v>#REF!</v>
      </c>
      <c r="N17" s="37" t="e">
        <f t="shared" si="4"/>
        <v>#REF!</v>
      </c>
      <c r="O17" s="320" t="e">
        <f t="shared" si="5"/>
        <v>#REF!</v>
      </c>
      <c r="P17" s="37" t="e">
        <f t="shared" si="6"/>
        <v>#REF!</v>
      </c>
      <c r="Q17" s="340" t="e">
        <f>+'Planilla de Avance'!M36-O17</f>
        <v>#REF!</v>
      </c>
    </row>
    <row r="18" spans="1:17" ht="12.75" customHeight="1">
      <c r="A18" s="290">
        <v>2.4</v>
      </c>
      <c r="B18" s="307" t="s">
        <v>34</v>
      </c>
      <c r="C18" s="59" t="s">
        <v>31</v>
      </c>
      <c r="D18" s="81">
        <v>16.599999999999998</v>
      </c>
      <c r="E18" s="36">
        <v>59136</v>
      </c>
      <c r="F18" s="82">
        <f t="shared" si="7"/>
        <v>981657.59999999998</v>
      </c>
      <c r="G18" s="320" t="e">
        <f>SUMIF(#REF!,G4,#REF!)</f>
        <v>#REF!</v>
      </c>
      <c r="H18" s="37" t="e">
        <f t="shared" si="1"/>
        <v>#REF!</v>
      </c>
      <c r="I18" s="320" t="e">
        <f>SUMIF(#REF!,I4,#REF!)</f>
        <v>#REF!</v>
      </c>
      <c r="J18" s="37" t="e">
        <f t="shared" si="2"/>
        <v>#REF!</v>
      </c>
      <c r="K18" s="320" t="e">
        <f>SUMIF(#REF!,K4,#REF!)</f>
        <v>#REF!</v>
      </c>
      <c r="L18" s="37" t="e">
        <f t="shared" si="3"/>
        <v>#REF!</v>
      </c>
      <c r="M18" s="320" t="e">
        <f>SUMIF(#REF!,M4,#REF!)</f>
        <v>#REF!</v>
      </c>
      <c r="N18" s="37" t="e">
        <f t="shared" si="4"/>
        <v>#REF!</v>
      </c>
      <c r="O18" s="320" t="e">
        <f t="shared" si="5"/>
        <v>#REF!</v>
      </c>
      <c r="P18" s="37" t="e">
        <f t="shared" si="6"/>
        <v>#REF!</v>
      </c>
      <c r="Q18" s="340" t="e">
        <f>+'Planilla de Avance'!M37-O18</f>
        <v>#REF!</v>
      </c>
    </row>
    <row r="19" spans="1:17" ht="12.75" customHeight="1">
      <c r="A19" s="290">
        <v>2.5</v>
      </c>
      <c r="B19" s="35" t="s">
        <v>35</v>
      </c>
      <c r="C19" s="59" t="s">
        <v>27</v>
      </c>
      <c r="D19" s="81">
        <v>238.65</v>
      </c>
      <c r="E19" s="36">
        <v>63927.07</v>
      </c>
      <c r="F19" s="82">
        <f t="shared" si="7"/>
        <v>15256195.26</v>
      </c>
      <c r="G19" s="320" t="e">
        <f>SUMIF(#REF!,G4,#REF!)</f>
        <v>#REF!</v>
      </c>
      <c r="H19" s="37" t="e">
        <f t="shared" si="1"/>
        <v>#REF!</v>
      </c>
      <c r="I19" s="320" t="e">
        <f>SUMIF(#REF!,I4,#REF!)</f>
        <v>#REF!</v>
      </c>
      <c r="J19" s="37" t="e">
        <f t="shared" si="2"/>
        <v>#REF!</v>
      </c>
      <c r="K19" s="320" t="e">
        <f>SUMIF(#REF!,K4,#REF!)</f>
        <v>#REF!</v>
      </c>
      <c r="L19" s="37" t="e">
        <f t="shared" si="3"/>
        <v>#REF!</v>
      </c>
      <c r="M19" s="320" t="e">
        <f>SUMIF(#REF!,M4,#REF!)</f>
        <v>#REF!</v>
      </c>
      <c r="N19" s="37" t="e">
        <f t="shared" si="4"/>
        <v>#REF!</v>
      </c>
      <c r="O19" s="320" t="e">
        <f t="shared" si="5"/>
        <v>#REF!</v>
      </c>
      <c r="P19" s="37" t="e">
        <f t="shared" si="6"/>
        <v>#REF!</v>
      </c>
      <c r="Q19" s="340" t="e">
        <f>+'Planilla de Avance'!M38-O19</f>
        <v>#REF!</v>
      </c>
    </row>
    <row r="20" spans="1:17" ht="12.75" customHeight="1">
      <c r="A20" s="290">
        <v>2.6</v>
      </c>
      <c r="B20" s="35" t="s">
        <v>36</v>
      </c>
      <c r="C20" s="59" t="s">
        <v>27</v>
      </c>
      <c r="D20" s="81">
        <v>163.26</v>
      </c>
      <c r="E20" s="36">
        <v>56188.68</v>
      </c>
      <c r="F20" s="82">
        <f t="shared" si="7"/>
        <v>9173363.9000000004</v>
      </c>
      <c r="G20" s="320" t="e">
        <f>SUMIF(#REF!,G4,#REF!)</f>
        <v>#REF!</v>
      </c>
      <c r="H20" s="37" t="e">
        <f t="shared" si="1"/>
        <v>#REF!</v>
      </c>
      <c r="I20" s="320" t="e">
        <f>SUMIF(#REF!,I4,#REF!)</f>
        <v>#REF!</v>
      </c>
      <c r="J20" s="37" t="e">
        <f t="shared" si="2"/>
        <v>#REF!</v>
      </c>
      <c r="K20" s="320" t="e">
        <f>SUMIF(#REF!,K4,#REF!)</f>
        <v>#REF!</v>
      </c>
      <c r="L20" s="37" t="e">
        <f t="shared" si="3"/>
        <v>#REF!</v>
      </c>
      <c r="M20" s="320" t="e">
        <f>SUMIF(#REF!,M4,#REF!)</f>
        <v>#REF!</v>
      </c>
      <c r="N20" s="37" t="e">
        <f t="shared" si="4"/>
        <v>#REF!</v>
      </c>
      <c r="O20" s="320" t="e">
        <f t="shared" si="5"/>
        <v>#REF!</v>
      </c>
      <c r="P20" s="37" t="e">
        <f t="shared" si="6"/>
        <v>#REF!</v>
      </c>
      <c r="Q20" s="340" t="e">
        <f>+'Planilla de Avance'!M39-O20</f>
        <v>#REF!</v>
      </c>
    </row>
    <row r="21" spans="1:17" ht="12.75" customHeight="1">
      <c r="A21" s="290">
        <v>2.7</v>
      </c>
      <c r="B21" s="35" t="s">
        <v>37</v>
      </c>
      <c r="C21" s="59" t="s">
        <v>31</v>
      </c>
      <c r="D21" s="81">
        <v>28.02</v>
      </c>
      <c r="E21" s="36">
        <v>38727</v>
      </c>
      <c r="F21" s="82">
        <f t="shared" si="7"/>
        <v>1085130.54</v>
      </c>
      <c r="G21" s="320" t="e">
        <f>SUMIF(#REF!,G4,#REF!)</f>
        <v>#REF!</v>
      </c>
      <c r="H21" s="37" t="e">
        <f t="shared" si="1"/>
        <v>#REF!</v>
      </c>
      <c r="I21" s="320" t="e">
        <f>SUMIF(#REF!,I4,#REF!)</f>
        <v>#REF!</v>
      </c>
      <c r="J21" s="37" t="e">
        <f t="shared" si="2"/>
        <v>#REF!</v>
      </c>
      <c r="K21" s="320" t="e">
        <f>SUMIF(#REF!,K4,#REF!)</f>
        <v>#REF!</v>
      </c>
      <c r="L21" s="37" t="e">
        <f t="shared" si="3"/>
        <v>#REF!</v>
      </c>
      <c r="M21" s="320" t="e">
        <f>SUMIF(#REF!,M4,#REF!)</f>
        <v>#REF!</v>
      </c>
      <c r="N21" s="37" t="e">
        <f t="shared" si="4"/>
        <v>#REF!</v>
      </c>
      <c r="O21" s="320" t="e">
        <f t="shared" si="5"/>
        <v>#REF!</v>
      </c>
      <c r="P21" s="37" t="e">
        <f t="shared" si="6"/>
        <v>#REF!</v>
      </c>
      <c r="Q21" s="340" t="e">
        <f>+'Planilla de Avance'!M40-O21</f>
        <v>#REF!</v>
      </c>
    </row>
    <row r="22" spans="1:17" ht="12.75" customHeight="1">
      <c r="A22" s="290">
        <v>2.8</v>
      </c>
      <c r="B22" s="307" t="s">
        <v>38</v>
      </c>
      <c r="C22" s="59" t="s">
        <v>31</v>
      </c>
      <c r="D22" s="81">
        <v>46.140000000000015</v>
      </c>
      <c r="E22" s="36">
        <v>219453</v>
      </c>
      <c r="F22" s="82">
        <f t="shared" si="7"/>
        <v>10125561.42</v>
      </c>
      <c r="G22" s="320" t="e">
        <f>SUMIF(#REF!,G4,#REF!)</f>
        <v>#REF!</v>
      </c>
      <c r="H22" s="37" t="e">
        <f t="shared" si="1"/>
        <v>#REF!</v>
      </c>
      <c r="I22" s="320" t="e">
        <f>SUMIF(#REF!,I4,#REF!)</f>
        <v>#REF!</v>
      </c>
      <c r="J22" s="37" t="e">
        <f t="shared" si="2"/>
        <v>#REF!</v>
      </c>
      <c r="K22" s="320" t="e">
        <f>SUMIF(#REF!,K4,#REF!)</f>
        <v>#REF!</v>
      </c>
      <c r="L22" s="37" t="e">
        <f t="shared" si="3"/>
        <v>#REF!</v>
      </c>
      <c r="M22" s="320" t="e">
        <f>SUMIF(#REF!,M4,#REF!)</f>
        <v>#REF!</v>
      </c>
      <c r="N22" s="37" t="e">
        <f t="shared" si="4"/>
        <v>#REF!</v>
      </c>
      <c r="O22" s="320" t="e">
        <f t="shared" si="5"/>
        <v>#REF!</v>
      </c>
      <c r="P22" s="37" t="e">
        <f t="shared" si="6"/>
        <v>#REF!</v>
      </c>
      <c r="Q22" s="340" t="e">
        <f>+'Planilla de Avance'!M41-O22</f>
        <v>#REF!</v>
      </c>
    </row>
    <row r="23" spans="1:17" ht="12.75" customHeight="1">
      <c r="A23" s="290">
        <v>2.9</v>
      </c>
      <c r="B23" s="35" t="s">
        <v>39</v>
      </c>
      <c r="C23" s="59" t="s">
        <v>31</v>
      </c>
      <c r="D23" s="81">
        <v>5.07</v>
      </c>
      <c r="E23" s="36">
        <v>28000</v>
      </c>
      <c r="F23" s="82">
        <f t="shared" si="7"/>
        <v>141960</v>
      </c>
      <c r="G23" s="320" t="e">
        <f>SUMIF(#REF!,G4,#REF!)</f>
        <v>#REF!</v>
      </c>
      <c r="H23" s="37" t="e">
        <f t="shared" si="1"/>
        <v>#REF!</v>
      </c>
      <c r="I23" s="320" t="e">
        <f>SUMIF(#REF!,I4,#REF!)</f>
        <v>#REF!</v>
      </c>
      <c r="J23" s="37" t="e">
        <f t="shared" si="2"/>
        <v>#REF!</v>
      </c>
      <c r="K23" s="320" t="e">
        <f>SUMIF(#REF!,K4,#REF!)</f>
        <v>#REF!</v>
      </c>
      <c r="L23" s="37" t="e">
        <f t="shared" si="3"/>
        <v>#REF!</v>
      </c>
      <c r="M23" s="320" t="e">
        <f>SUMIF(#REF!,M4,#REF!)</f>
        <v>#REF!</v>
      </c>
      <c r="N23" s="37" t="e">
        <f t="shared" si="4"/>
        <v>#REF!</v>
      </c>
      <c r="O23" s="320" t="e">
        <f t="shared" si="5"/>
        <v>#REF!</v>
      </c>
      <c r="P23" s="37" t="e">
        <f t="shared" si="6"/>
        <v>#REF!</v>
      </c>
      <c r="Q23" s="340" t="e">
        <f>+'Planilla de Avance'!#REF!-O23</f>
        <v>#REF!</v>
      </c>
    </row>
    <row r="24" spans="1:17" ht="12.75" customHeight="1">
      <c r="A24" s="290" t="s">
        <v>40</v>
      </c>
      <c r="B24" s="35" t="s">
        <v>41</v>
      </c>
      <c r="C24" s="59" t="s">
        <v>31</v>
      </c>
      <c r="D24" s="81">
        <v>31.330000000000002</v>
      </c>
      <c r="E24" s="36">
        <v>8400</v>
      </c>
      <c r="F24" s="82">
        <f t="shared" si="7"/>
        <v>263172</v>
      </c>
      <c r="G24" s="320" t="e">
        <f>SUMIF(#REF!,G4,#REF!)</f>
        <v>#REF!</v>
      </c>
      <c r="H24" s="37" t="e">
        <f t="shared" si="1"/>
        <v>#REF!</v>
      </c>
      <c r="I24" s="320" t="e">
        <f>SUMIF(#REF!,I4,#REF!)</f>
        <v>#REF!</v>
      </c>
      <c r="J24" s="37" t="e">
        <f t="shared" si="2"/>
        <v>#REF!</v>
      </c>
      <c r="K24" s="320" t="e">
        <f>SUMIF(#REF!,K4,#REF!)</f>
        <v>#REF!</v>
      </c>
      <c r="L24" s="37" t="e">
        <f t="shared" si="3"/>
        <v>#REF!</v>
      </c>
      <c r="M24" s="320" t="e">
        <f>SUMIF(#REF!,M4,#REF!)</f>
        <v>#REF!</v>
      </c>
      <c r="N24" s="37" t="e">
        <f t="shared" si="4"/>
        <v>#REF!</v>
      </c>
      <c r="O24" s="320" t="e">
        <f t="shared" si="5"/>
        <v>#REF!</v>
      </c>
      <c r="P24" s="37" t="e">
        <f t="shared" si="6"/>
        <v>#REF!</v>
      </c>
      <c r="Q24" s="340" t="e">
        <f>+'Planilla de Avance'!#REF!-O24</f>
        <v>#REF!</v>
      </c>
    </row>
    <row r="25" spans="1:17" ht="12.75" customHeight="1">
      <c r="A25" s="292">
        <v>2.11</v>
      </c>
      <c r="B25" s="35" t="s">
        <v>42</v>
      </c>
      <c r="C25" s="59" t="s">
        <v>31</v>
      </c>
      <c r="D25" s="81">
        <v>77.860000000000014</v>
      </c>
      <c r="E25" s="36">
        <v>16800</v>
      </c>
      <c r="F25" s="82">
        <f t="shared" si="7"/>
        <v>1308048</v>
      </c>
      <c r="G25" s="320" t="e">
        <f>SUMIF(#REF!,G4,#REF!)</f>
        <v>#REF!</v>
      </c>
      <c r="H25" s="37" t="e">
        <f t="shared" si="1"/>
        <v>#REF!</v>
      </c>
      <c r="I25" s="320" t="e">
        <f>SUMIF(#REF!,I4,#REF!)</f>
        <v>#REF!</v>
      </c>
      <c r="J25" s="37" t="e">
        <f t="shared" si="2"/>
        <v>#REF!</v>
      </c>
      <c r="K25" s="320" t="e">
        <f>SUMIF(#REF!,K4,#REF!)</f>
        <v>#REF!</v>
      </c>
      <c r="L25" s="37" t="e">
        <f t="shared" si="3"/>
        <v>#REF!</v>
      </c>
      <c r="M25" s="320" t="e">
        <f>SUMIF(#REF!,M4,#REF!)</f>
        <v>#REF!</v>
      </c>
      <c r="N25" s="37" t="e">
        <f t="shared" si="4"/>
        <v>#REF!</v>
      </c>
      <c r="O25" s="320" t="e">
        <f t="shared" si="5"/>
        <v>#REF!</v>
      </c>
      <c r="P25" s="37" t="e">
        <f t="shared" si="6"/>
        <v>#REF!</v>
      </c>
      <c r="Q25" s="340" t="e">
        <f>+'Planilla de Avance'!#REF!-O25</f>
        <v>#REF!</v>
      </c>
    </row>
    <row r="26" spans="1:17" ht="12.75" customHeight="1">
      <c r="A26" s="292">
        <v>2.12</v>
      </c>
      <c r="B26" s="35" t="s">
        <v>43</v>
      </c>
      <c r="C26" s="59" t="s">
        <v>31</v>
      </c>
      <c r="D26" s="81">
        <v>112.58000000000001</v>
      </c>
      <c r="E26" s="36">
        <v>1500</v>
      </c>
      <c r="F26" s="82">
        <f t="shared" si="7"/>
        <v>168870</v>
      </c>
      <c r="G26" s="320" t="e">
        <f>SUMIF(#REF!,G4,#REF!)</f>
        <v>#REF!</v>
      </c>
      <c r="H26" s="37" t="e">
        <f t="shared" si="1"/>
        <v>#REF!</v>
      </c>
      <c r="I26" s="320" t="e">
        <f>SUMIF(#REF!,I4,#REF!)</f>
        <v>#REF!</v>
      </c>
      <c r="J26" s="37" t="e">
        <f t="shared" si="2"/>
        <v>#REF!</v>
      </c>
      <c r="K26" s="320" t="e">
        <f>SUMIF(#REF!,K4,#REF!)</f>
        <v>#REF!</v>
      </c>
      <c r="L26" s="37" t="e">
        <f t="shared" si="3"/>
        <v>#REF!</v>
      </c>
      <c r="M26" s="320" t="e">
        <f>SUMIF(#REF!,M4,#REF!)</f>
        <v>#REF!</v>
      </c>
      <c r="N26" s="37" t="e">
        <f t="shared" si="4"/>
        <v>#REF!</v>
      </c>
      <c r="O26" s="320" t="e">
        <f t="shared" si="5"/>
        <v>#REF!</v>
      </c>
      <c r="P26" s="37" t="e">
        <f t="shared" si="6"/>
        <v>#REF!</v>
      </c>
      <c r="Q26" s="340" t="e">
        <f>+'Planilla de Avance'!#REF!-O26</f>
        <v>#REF!</v>
      </c>
    </row>
    <row r="27" spans="1:17" ht="12.75" customHeight="1">
      <c r="A27" s="293">
        <v>2.13</v>
      </c>
      <c r="B27" s="45" t="s">
        <v>44</v>
      </c>
      <c r="C27" s="60" t="s">
        <v>27</v>
      </c>
      <c r="D27" s="83">
        <v>82.45</v>
      </c>
      <c r="E27" s="46">
        <v>23100</v>
      </c>
      <c r="F27" s="84">
        <f t="shared" si="7"/>
        <v>1904595</v>
      </c>
      <c r="G27" s="321" t="e">
        <f>SUMIF(#REF!,G4,#REF!)</f>
        <v>#REF!</v>
      </c>
      <c r="H27" s="47" t="e">
        <f t="shared" si="1"/>
        <v>#REF!</v>
      </c>
      <c r="I27" s="321" t="e">
        <f>SUMIF(#REF!,I4,#REF!)</f>
        <v>#REF!</v>
      </c>
      <c r="J27" s="47" t="e">
        <f t="shared" si="2"/>
        <v>#REF!</v>
      </c>
      <c r="K27" s="321" t="e">
        <f>SUMIF(#REF!,K4,#REF!)</f>
        <v>#REF!</v>
      </c>
      <c r="L27" s="47" t="e">
        <f t="shared" si="3"/>
        <v>#REF!</v>
      </c>
      <c r="M27" s="321" t="e">
        <f>SUMIF(#REF!,M4,#REF!)</f>
        <v>#REF!</v>
      </c>
      <c r="N27" s="47" t="e">
        <f t="shared" si="4"/>
        <v>#REF!</v>
      </c>
      <c r="O27" s="321" t="e">
        <f t="shared" si="5"/>
        <v>#REF!</v>
      </c>
      <c r="P27" s="47" t="e">
        <f t="shared" si="6"/>
        <v>#REF!</v>
      </c>
      <c r="Q27" s="340" t="e">
        <f>+'Planilla de Avance'!#REF!-O27</f>
        <v>#REF!</v>
      </c>
    </row>
    <row r="28" spans="1:17" ht="12.75" customHeight="1">
      <c r="A28" s="288"/>
      <c r="B28" s="48" t="s">
        <v>10</v>
      </c>
      <c r="C28" s="49"/>
      <c r="D28" s="69"/>
      <c r="E28" s="51"/>
      <c r="F28" s="70">
        <f>SUM(F15:F27)</f>
        <v>48651978.939999998</v>
      </c>
      <c r="G28" s="52"/>
      <c r="H28" s="76" t="e">
        <f>SUM(H15:H27)</f>
        <v>#REF!</v>
      </c>
      <c r="I28" s="52"/>
      <c r="J28" s="76" t="e">
        <f>SUM(J15:J27)</f>
        <v>#REF!</v>
      </c>
      <c r="K28" s="52"/>
      <c r="L28" s="76" t="e">
        <f>SUM(L15:L27)</f>
        <v>#REF!</v>
      </c>
      <c r="M28" s="52"/>
      <c r="N28" s="76" t="e">
        <f>SUM(N15:N27)</f>
        <v>#REF!</v>
      </c>
      <c r="O28" s="52"/>
      <c r="P28" s="76" t="e">
        <f>SUM(P15:P27)</f>
        <v>#REF!</v>
      </c>
      <c r="Q28" s="340" t="e">
        <f>+'Planilla de Avance'!#REF!-O28</f>
        <v>#REF!</v>
      </c>
    </row>
    <row r="29" spans="1:17" ht="12.75" customHeight="1">
      <c r="A29" s="287" t="s">
        <v>59</v>
      </c>
      <c r="B29" s="41" t="s">
        <v>60</v>
      </c>
      <c r="C29" s="55"/>
      <c r="D29" s="56"/>
      <c r="E29" s="56"/>
      <c r="F29" s="57"/>
      <c r="G29" s="52"/>
      <c r="H29" s="53"/>
      <c r="I29" s="52"/>
      <c r="J29" s="53"/>
      <c r="K29" s="52"/>
      <c r="L29" s="53"/>
      <c r="M29" s="52"/>
      <c r="N29" s="54"/>
      <c r="O29" s="52"/>
      <c r="P29" s="54"/>
      <c r="Q29" s="340" t="e">
        <f>+'Planilla de Avance'!#REF!-O29</f>
        <v>#REF!</v>
      </c>
    </row>
    <row r="30" spans="1:17" ht="12.75" customHeight="1">
      <c r="A30" s="289">
        <v>3.1</v>
      </c>
      <c r="B30" s="40" t="s">
        <v>19</v>
      </c>
      <c r="C30" s="58" t="s">
        <v>46</v>
      </c>
      <c r="D30" s="79">
        <v>28.13</v>
      </c>
      <c r="E30" s="63">
        <v>33052.199999999997</v>
      </c>
      <c r="F30" s="80">
        <f>ROUND(E30*D30,2)</f>
        <v>929758.39</v>
      </c>
      <c r="G30" s="322" t="e">
        <f>SUMIF(#REF!,G4,#REF!)</f>
        <v>#REF!</v>
      </c>
      <c r="H30" s="73" t="e">
        <f>+($D30*G30)</f>
        <v>#REF!</v>
      </c>
      <c r="I30" s="322" t="e">
        <f>SUMIF(#REF!,I4,#REF!)</f>
        <v>#REF!</v>
      </c>
      <c r="J30" s="73" t="e">
        <f>($D30*I30)</f>
        <v>#REF!</v>
      </c>
      <c r="K30" s="319" t="e">
        <f>SUMIF(#REF!,K4,#REF!)</f>
        <v>#REF!</v>
      </c>
      <c r="L30" s="73" t="e">
        <f>($D30*K30)</f>
        <v>#REF!</v>
      </c>
      <c r="M30" s="322" t="e">
        <f>SUMIF(#REF!,M4,#REF!)</f>
        <v>#REF!</v>
      </c>
      <c r="N30" s="73" t="e">
        <f>($D30*M30)</f>
        <v>#REF!</v>
      </c>
      <c r="O30" s="322" t="e">
        <f>+G30+I30+K30+M30</f>
        <v>#REF!</v>
      </c>
      <c r="P30" s="73" t="e">
        <f>+H30+J30+L30+N30</f>
        <v>#REF!</v>
      </c>
      <c r="Q30" s="340" t="e">
        <f>+'Planilla de Avance'!#REF!-O30</f>
        <v>#REF!</v>
      </c>
    </row>
    <row r="31" spans="1:17" ht="12.75" customHeight="1">
      <c r="A31" s="291">
        <v>3.2</v>
      </c>
      <c r="B31" s="45" t="s">
        <v>47</v>
      </c>
      <c r="C31" s="60" t="s">
        <v>27</v>
      </c>
      <c r="D31" s="83">
        <v>2471.46</v>
      </c>
      <c r="E31" s="46">
        <v>6454.5</v>
      </c>
      <c r="F31" s="84">
        <f>ROUND(E31*D31,2)</f>
        <v>15952038.57</v>
      </c>
      <c r="G31" s="323" t="e">
        <f>SUMIF(#REF!,G4,#REF!)</f>
        <v>#REF!</v>
      </c>
      <c r="H31" s="47" t="e">
        <f>+($D31*G31)</f>
        <v>#REF!</v>
      </c>
      <c r="I31" s="323" t="e">
        <f>SUMIF(#REF!,I4,#REF!)</f>
        <v>#REF!</v>
      </c>
      <c r="J31" s="47" t="e">
        <f>($D31*I31)</f>
        <v>#REF!</v>
      </c>
      <c r="K31" s="321" t="e">
        <f>SUMIF(#REF!,K4,#REF!)</f>
        <v>#REF!</v>
      </c>
      <c r="L31" s="47" t="e">
        <f>($D31*K31)</f>
        <v>#REF!</v>
      </c>
      <c r="M31" s="323" t="e">
        <f>SUMIF(#REF!,M4,#REF!)</f>
        <v>#REF!</v>
      </c>
      <c r="N31" s="47" t="e">
        <f>($D31*M31)</f>
        <v>#REF!</v>
      </c>
      <c r="O31" s="323" t="e">
        <f>+G31+I31+K31+M31</f>
        <v>#REF!</v>
      </c>
      <c r="P31" s="47" t="e">
        <f>+H31+J31+L31+N31</f>
        <v>#REF!</v>
      </c>
      <c r="Q31" s="340" t="e">
        <f>+'Planilla de Avance'!M44-O31</f>
        <v>#REF!</v>
      </c>
    </row>
    <row r="32" spans="1:17" ht="12.75" customHeight="1">
      <c r="A32" s="288"/>
      <c r="B32" s="48" t="s">
        <v>10</v>
      </c>
      <c r="C32" s="49"/>
      <c r="D32" s="69"/>
      <c r="E32" s="51"/>
      <c r="F32" s="70">
        <f>SUM(F30:F31)</f>
        <v>16881796.960000001</v>
      </c>
      <c r="G32" s="52"/>
      <c r="H32" s="76" t="e">
        <f>SUM(H30:H31)</f>
        <v>#REF!</v>
      </c>
      <c r="I32" s="52"/>
      <c r="J32" s="76" t="e">
        <f>SUM(J30:J31)</f>
        <v>#REF!</v>
      </c>
      <c r="K32" s="52"/>
      <c r="L32" s="76" t="e">
        <f>SUM(L30:L31)</f>
        <v>#REF!</v>
      </c>
      <c r="M32" s="52"/>
      <c r="N32" s="76" t="e">
        <f>SUM(N30:N31)</f>
        <v>#REF!</v>
      </c>
      <c r="O32" s="52"/>
      <c r="P32" s="76" t="e">
        <f>SUM(P30:P31)</f>
        <v>#REF!</v>
      </c>
      <c r="Q32" s="340" t="e">
        <f>+'Planilla de Avance'!#REF!-O32</f>
        <v>#REF!</v>
      </c>
    </row>
    <row r="33" spans="1:17" ht="12.75" customHeight="1">
      <c r="A33" s="287" t="s">
        <v>61</v>
      </c>
      <c r="B33" s="41" t="s">
        <v>45</v>
      </c>
      <c r="C33" s="55"/>
      <c r="D33" s="56"/>
      <c r="E33" s="56"/>
      <c r="F33" s="57"/>
      <c r="G33" s="52"/>
      <c r="H33" s="53"/>
      <c r="I33" s="52"/>
      <c r="J33" s="53"/>
      <c r="K33" s="52"/>
      <c r="L33" s="53"/>
      <c r="M33" s="52"/>
      <c r="N33" s="54"/>
      <c r="O33" s="52"/>
      <c r="P33" s="54"/>
      <c r="Q33" s="340" t="e">
        <f>+'Planilla de Avance'!#REF!-O33</f>
        <v>#REF!</v>
      </c>
    </row>
    <row r="34" spans="1:17" ht="12.75" customHeight="1">
      <c r="A34" s="294">
        <v>4.0999999999999996</v>
      </c>
      <c r="B34" s="85" t="s">
        <v>45</v>
      </c>
      <c r="C34" s="87" t="s">
        <v>31</v>
      </c>
      <c r="D34" s="88">
        <v>80.42</v>
      </c>
      <c r="E34" s="89">
        <v>2058.04</v>
      </c>
      <c r="F34" s="90">
        <f>ROUND(E34*D34,2)</f>
        <v>165507.57999999999</v>
      </c>
      <c r="G34" s="324" t="e">
        <f>SUMIF(#REF!,G4,#REF!)</f>
        <v>#REF!</v>
      </c>
      <c r="H34" s="91" t="e">
        <f>+($D34*G34)</f>
        <v>#REF!</v>
      </c>
      <c r="I34" s="324" t="e">
        <f>SUMIF(#REF!,I4,#REF!)</f>
        <v>#REF!</v>
      </c>
      <c r="J34" s="91" t="e">
        <f>($D34*I34)</f>
        <v>#REF!</v>
      </c>
      <c r="K34" s="328" t="e">
        <f>SUMIF(#REF!,K4,#REF!)</f>
        <v>#REF!</v>
      </c>
      <c r="L34" s="91" t="e">
        <f>($D34*K34)</f>
        <v>#REF!</v>
      </c>
      <c r="M34" s="324" t="e">
        <f>SUMIF(#REF!,M4,#REF!)</f>
        <v>#REF!</v>
      </c>
      <c r="N34" s="91" t="e">
        <f>($D34*M34)</f>
        <v>#REF!</v>
      </c>
      <c r="O34" s="324" t="e">
        <f>+G34+I34+K34+M34</f>
        <v>#REF!</v>
      </c>
      <c r="P34" s="91" t="e">
        <f>+H34+J34+L34+N34</f>
        <v>#REF!</v>
      </c>
      <c r="Q34" s="340" t="e">
        <f>+'Planilla de Avance'!M45-O34</f>
        <v>#REF!</v>
      </c>
    </row>
    <row r="35" spans="1:17" ht="12.75" customHeight="1">
      <c r="A35" s="288"/>
      <c r="B35" s="48" t="s">
        <v>10</v>
      </c>
      <c r="C35" s="49"/>
      <c r="D35" s="69"/>
      <c r="E35" s="51"/>
      <c r="F35" s="70">
        <f>SUM(F34:F34)</f>
        <v>165507.57999999999</v>
      </c>
      <c r="G35" s="52"/>
      <c r="H35" s="76" t="e">
        <f>SUM(H34:H34)</f>
        <v>#REF!</v>
      </c>
      <c r="I35" s="52"/>
      <c r="J35" s="76" t="e">
        <f>SUM(J34:J34)</f>
        <v>#REF!</v>
      </c>
      <c r="K35" s="52"/>
      <c r="L35" s="76" t="e">
        <f>SUM(L34:L34)</f>
        <v>#REF!</v>
      </c>
      <c r="M35" s="52"/>
      <c r="N35" s="76" t="e">
        <f>SUM(N34:N34)</f>
        <v>#REF!</v>
      </c>
      <c r="O35" s="52"/>
      <c r="P35" s="76" t="e">
        <f>SUM(P34:P34)</f>
        <v>#REF!</v>
      </c>
      <c r="Q35" s="340" t="e">
        <f>+'Planilla de Avance'!#REF!-O35</f>
        <v>#REF!</v>
      </c>
    </row>
    <row r="36" spans="1:17" ht="12.75" customHeight="1">
      <c r="A36" s="287" t="s">
        <v>62</v>
      </c>
      <c r="B36" s="41" t="s">
        <v>63</v>
      </c>
      <c r="C36" s="49"/>
      <c r="D36" s="50"/>
      <c r="E36" s="51"/>
      <c r="F36" s="50"/>
      <c r="G36" s="52"/>
      <c r="H36" s="53"/>
      <c r="I36" s="52"/>
      <c r="J36" s="53"/>
      <c r="K36" s="52"/>
      <c r="L36" s="53"/>
      <c r="M36" s="52"/>
      <c r="N36" s="54"/>
      <c r="O36" s="52"/>
      <c r="P36" s="54"/>
      <c r="Q36" s="340" t="e">
        <f>+'Planilla de Avance'!#REF!-O36</f>
        <v>#REF!</v>
      </c>
    </row>
    <row r="37" spans="1:17" ht="12.75" customHeight="1">
      <c r="A37" s="289">
        <v>5.0999999999999996</v>
      </c>
      <c r="B37" s="40" t="s">
        <v>48</v>
      </c>
      <c r="C37" s="58" t="s">
        <v>27</v>
      </c>
      <c r="D37" s="62">
        <v>25.820000000000004</v>
      </c>
      <c r="E37" s="63">
        <v>12242.33</v>
      </c>
      <c r="F37" s="80">
        <f t="shared" ref="F37:F46" si="8">ROUND(E37*D37,2)</f>
        <v>316096.96000000002</v>
      </c>
      <c r="G37" s="325" t="e">
        <f>SUMIF(#REF!,G4,#REF!)</f>
        <v>#REF!</v>
      </c>
      <c r="H37" s="73" t="e">
        <f t="shared" ref="H37:H46" si="9">+($D37*G37)</f>
        <v>#REF!</v>
      </c>
      <c r="I37" s="325" t="e">
        <f>SUMIF(#REF!,I4,#REF!)</f>
        <v>#REF!</v>
      </c>
      <c r="J37" s="73" t="e">
        <f t="shared" ref="J37:J46" si="10">($D37*I37)</f>
        <v>#REF!</v>
      </c>
      <c r="K37" s="325" t="e">
        <f>SUMIF(#REF!,K4,#REF!)</f>
        <v>#REF!</v>
      </c>
      <c r="L37" s="73" t="e">
        <f t="shared" ref="L37:L46" si="11">($D37*K37)</f>
        <v>#REF!</v>
      </c>
      <c r="M37" s="325" t="e">
        <f>SUMIF(#REF!,M4,#REF!)</f>
        <v>#REF!</v>
      </c>
      <c r="N37" s="73" t="e">
        <f t="shared" ref="N37:N46" si="12">($D37*M37)</f>
        <v>#REF!</v>
      </c>
      <c r="O37" s="325" t="e">
        <f t="shared" ref="O37:O46" si="13">+G37+I37+K37+M37</f>
        <v>#REF!</v>
      </c>
      <c r="P37" s="73" t="e">
        <f t="shared" ref="P37:P46" si="14">+H37+J37+L37+N37</f>
        <v>#REF!</v>
      </c>
      <c r="Q37" s="340" t="e">
        <f>+'Planilla de Avance'!M46-O37</f>
        <v>#REF!</v>
      </c>
    </row>
    <row r="38" spans="1:17" ht="12.75" customHeight="1">
      <c r="A38" s="290">
        <v>5.2</v>
      </c>
      <c r="B38" s="35" t="s">
        <v>49</v>
      </c>
      <c r="C38" s="59" t="s">
        <v>27</v>
      </c>
      <c r="D38" s="65">
        <v>15.240000000000002</v>
      </c>
      <c r="E38" s="36">
        <v>2465.2199999999998</v>
      </c>
      <c r="F38" s="82">
        <f t="shared" si="8"/>
        <v>37569.949999999997</v>
      </c>
      <c r="G38" s="326" t="e">
        <f>SUMIF(#REF!,G4,#REF!)</f>
        <v>#REF!</v>
      </c>
      <c r="H38" s="37" t="e">
        <f t="shared" si="9"/>
        <v>#REF!</v>
      </c>
      <c r="I38" s="326" t="e">
        <f>SUMIF(#REF!,I4,#REF!)</f>
        <v>#REF!</v>
      </c>
      <c r="J38" s="37" t="e">
        <f t="shared" si="10"/>
        <v>#REF!</v>
      </c>
      <c r="K38" s="326" t="e">
        <f>SUMIF(#REF!,K4,#REF!)</f>
        <v>#REF!</v>
      </c>
      <c r="L38" s="37" t="e">
        <f t="shared" si="11"/>
        <v>#REF!</v>
      </c>
      <c r="M38" s="326" t="e">
        <f>SUMIF(#REF!,M4,#REF!)</f>
        <v>#REF!</v>
      </c>
      <c r="N38" s="37" t="e">
        <f t="shared" si="12"/>
        <v>#REF!</v>
      </c>
      <c r="O38" s="326" t="e">
        <f t="shared" si="13"/>
        <v>#REF!</v>
      </c>
      <c r="P38" s="37" t="e">
        <f t="shared" si="14"/>
        <v>#REF!</v>
      </c>
      <c r="Q38" s="340" t="e">
        <f>+'Planilla de Avance'!M48-O38</f>
        <v>#REF!</v>
      </c>
    </row>
    <row r="39" spans="1:17" ht="12.75" customHeight="1">
      <c r="A39" s="290">
        <v>5.3</v>
      </c>
      <c r="B39" s="35" t="s">
        <v>50</v>
      </c>
      <c r="C39" s="59" t="s">
        <v>27</v>
      </c>
      <c r="D39" s="65">
        <v>103.86</v>
      </c>
      <c r="E39" s="36">
        <v>8692.0300000000007</v>
      </c>
      <c r="F39" s="82">
        <f t="shared" si="8"/>
        <v>902754.24</v>
      </c>
      <c r="G39" s="326" t="e">
        <f>SUMIF(#REF!,G4,#REF!)</f>
        <v>#REF!</v>
      </c>
      <c r="H39" s="37" t="e">
        <f t="shared" si="9"/>
        <v>#REF!</v>
      </c>
      <c r="I39" s="326" t="e">
        <f>SUMIF(#REF!,I4,#REF!)</f>
        <v>#REF!</v>
      </c>
      <c r="J39" s="37" t="e">
        <f t="shared" si="10"/>
        <v>#REF!</v>
      </c>
      <c r="K39" s="326" t="e">
        <f>SUMIF(#REF!,K4,#REF!)</f>
        <v>#REF!</v>
      </c>
      <c r="L39" s="37" t="e">
        <f t="shared" si="11"/>
        <v>#REF!</v>
      </c>
      <c r="M39" s="326" t="e">
        <f>SUMIF(#REF!,M4,#REF!)</f>
        <v>#REF!</v>
      </c>
      <c r="N39" s="37" t="e">
        <f t="shared" si="12"/>
        <v>#REF!</v>
      </c>
      <c r="O39" s="326" t="e">
        <f t="shared" si="13"/>
        <v>#REF!</v>
      </c>
      <c r="P39" s="37" t="e">
        <f t="shared" si="14"/>
        <v>#REF!</v>
      </c>
      <c r="Q39" s="340" t="e">
        <f>+'Planilla de Avance'!M49-O39</f>
        <v>#REF!</v>
      </c>
    </row>
    <row r="40" spans="1:17" ht="12.75" customHeight="1">
      <c r="A40" s="290">
        <v>5.4</v>
      </c>
      <c r="B40" s="35" t="s">
        <v>51</v>
      </c>
      <c r="C40" s="59" t="s">
        <v>27</v>
      </c>
      <c r="D40" s="65">
        <v>252.34</v>
      </c>
      <c r="E40" s="36">
        <v>341.56</v>
      </c>
      <c r="F40" s="82">
        <f t="shared" si="8"/>
        <v>86189.25</v>
      </c>
      <c r="G40" s="326" t="e">
        <f>SUMIF(#REF!,G4,#REF!)</f>
        <v>#REF!</v>
      </c>
      <c r="H40" s="37" t="e">
        <f t="shared" si="9"/>
        <v>#REF!</v>
      </c>
      <c r="I40" s="326" t="e">
        <f>SUMIF(#REF!,I4,#REF!)</f>
        <v>#REF!</v>
      </c>
      <c r="J40" s="37" t="e">
        <f t="shared" si="10"/>
        <v>#REF!</v>
      </c>
      <c r="K40" s="326" t="e">
        <f>SUMIF(#REF!,K4,#REF!)</f>
        <v>#REF!</v>
      </c>
      <c r="L40" s="37" t="e">
        <f t="shared" si="11"/>
        <v>#REF!</v>
      </c>
      <c r="M40" s="326" t="e">
        <f>SUMIF(#REF!,M4,#REF!)</f>
        <v>#REF!</v>
      </c>
      <c r="N40" s="37" t="e">
        <f t="shared" si="12"/>
        <v>#REF!</v>
      </c>
      <c r="O40" s="326" t="e">
        <f t="shared" si="13"/>
        <v>#REF!</v>
      </c>
      <c r="P40" s="37" t="e">
        <f t="shared" si="14"/>
        <v>#REF!</v>
      </c>
      <c r="Q40" s="340" t="e">
        <f>+'Planilla de Avance'!M50-O40</f>
        <v>#REF!</v>
      </c>
    </row>
    <row r="41" spans="1:17" ht="12.75" customHeight="1">
      <c r="A41" s="290">
        <v>5.5</v>
      </c>
      <c r="B41" s="35" t="s">
        <v>52</v>
      </c>
      <c r="C41" s="59" t="s">
        <v>27</v>
      </c>
      <c r="D41" s="65">
        <v>125.86999999999999</v>
      </c>
      <c r="E41" s="36">
        <v>48</v>
      </c>
      <c r="F41" s="82">
        <f t="shared" si="8"/>
        <v>6041.76</v>
      </c>
      <c r="G41" s="326" t="e">
        <f>SUMIF(#REF!,G4,#REF!)</f>
        <v>#REF!</v>
      </c>
      <c r="H41" s="37" t="e">
        <f t="shared" si="9"/>
        <v>#REF!</v>
      </c>
      <c r="I41" s="326" t="e">
        <f>SUMIF(#REF!,I4,#REF!)</f>
        <v>#REF!</v>
      </c>
      <c r="J41" s="37" t="e">
        <f t="shared" si="10"/>
        <v>#REF!</v>
      </c>
      <c r="K41" s="326" t="e">
        <f>SUMIF(#REF!,K4,#REF!)</f>
        <v>#REF!</v>
      </c>
      <c r="L41" s="37" t="e">
        <f t="shared" si="11"/>
        <v>#REF!</v>
      </c>
      <c r="M41" s="326" t="e">
        <f>SUMIF(#REF!,M4,#REF!)</f>
        <v>#REF!</v>
      </c>
      <c r="N41" s="37" t="e">
        <f t="shared" si="12"/>
        <v>#REF!</v>
      </c>
      <c r="O41" s="326" t="e">
        <f t="shared" si="13"/>
        <v>#REF!</v>
      </c>
      <c r="P41" s="37" t="e">
        <f t="shared" si="14"/>
        <v>#REF!</v>
      </c>
      <c r="Q41" s="340" t="e">
        <f>+'Planilla de Avance'!M51-O41</f>
        <v>#REF!</v>
      </c>
    </row>
    <row r="42" spans="1:17" ht="12.75" customHeight="1">
      <c r="A42" s="290">
        <v>5.6</v>
      </c>
      <c r="B42" s="35" t="s">
        <v>53</v>
      </c>
      <c r="C42" s="59" t="s">
        <v>27</v>
      </c>
      <c r="D42" s="65">
        <v>1616.1400000000003</v>
      </c>
      <c r="E42" s="36">
        <v>783.11</v>
      </c>
      <c r="F42" s="82">
        <f t="shared" si="8"/>
        <v>1265615.3999999999</v>
      </c>
      <c r="G42" s="326" t="e">
        <f>SUMIF(#REF!,G4,#REF!)</f>
        <v>#REF!</v>
      </c>
      <c r="H42" s="37" t="e">
        <f t="shared" si="9"/>
        <v>#REF!</v>
      </c>
      <c r="I42" s="326" t="e">
        <f>SUMIF(#REF!,I4,#REF!)</f>
        <v>#REF!</v>
      </c>
      <c r="J42" s="37" t="e">
        <f t="shared" si="10"/>
        <v>#REF!</v>
      </c>
      <c r="K42" s="326" t="e">
        <f>SUMIF(#REF!,K4,#REF!)</f>
        <v>#REF!</v>
      </c>
      <c r="L42" s="37" t="e">
        <f t="shared" si="11"/>
        <v>#REF!</v>
      </c>
      <c r="M42" s="326" t="e">
        <f>SUMIF(#REF!,M4,#REF!)</f>
        <v>#REF!</v>
      </c>
      <c r="N42" s="37" t="e">
        <f t="shared" si="12"/>
        <v>#REF!</v>
      </c>
      <c r="O42" s="326" t="e">
        <f t="shared" si="13"/>
        <v>#REF!</v>
      </c>
      <c r="P42" s="37" t="e">
        <f t="shared" si="14"/>
        <v>#REF!</v>
      </c>
      <c r="Q42" s="340" t="e">
        <f>+'Planilla de Avance'!M52-O42</f>
        <v>#REF!</v>
      </c>
    </row>
    <row r="43" spans="1:17" ht="12.75" customHeight="1">
      <c r="A43" s="290">
        <v>5.7</v>
      </c>
      <c r="B43" s="35" t="s">
        <v>47</v>
      </c>
      <c r="C43" s="59" t="s">
        <v>27</v>
      </c>
      <c r="D43" s="65">
        <v>2471.46</v>
      </c>
      <c r="E43" s="36">
        <v>3079.55</v>
      </c>
      <c r="F43" s="82">
        <f t="shared" si="8"/>
        <v>7610984.6399999997</v>
      </c>
      <c r="G43" s="326" t="e">
        <f>SUMIF(#REF!,G4,#REF!)</f>
        <v>#REF!</v>
      </c>
      <c r="H43" s="37" t="e">
        <f t="shared" si="9"/>
        <v>#REF!</v>
      </c>
      <c r="I43" s="326" t="e">
        <f>SUMIF(#REF!,I4,#REF!)</f>
        <v>#REF!</v>
      </c>
      <c r="J43" s="37" t="e">
        <f t="shared" si="10"/>
        <v>#REF!</v>
      </c>
      <c r="K43" s="326" t="e">
        <f>SUMIF(#REF!,K4,#REF!)</f>
        <v>#REF!</v>
      </c>
      <c r="L43" s="37" t="e">
        <f t="shared" si="11"/>
        <v>#REF!</v>
      </c>
      <c r="M43" s="326" t="e">
        <f>SUMIF(#REF!,M4,#REF!)</f>
        <v>#REF!</v>
      </c>
      <c r="N43" s="37" t="e">
        <f t="shared" si="12"/>
        <v>#REF!</v>
      </c>
      <c r="O43" s="326" t="e">
        <f t="shared" si="13"/>
        <v>#REF!</v>
      </c>
      <c r="P43" s="37" t="e">
        <f t="shared" si="14"/>
        <v>#REF!</v>
      </c>
      <c r="Q43" s="340" t="e">
        <f>+'Planilla de Avance'!M53-O43</f>
        <v>#REF!</v>
      </c>
    </row>
    <row r="44" spans="1:17" ht="12.75" customHeight="1">
      <c r="A44" s="290">
        <v>5.8</v>
      </c>
      <c r="B44" s="35" t="s">
        <v>19</v>
      </c>
      <c r="C44" s="59" t="s">
        <v>46</v>
      </c>
      <c r="D44" s="65">
        <v>28.13</v>
      </c>
      <c r="E44" s="36">
        <v>230958.96</v>
      </c>
      <c r="F44" s="82">
        <f t="shared" si="8"/>
        <v>6496875.54</v>
      </c>
      <c r="G44" s="326" t="e">
        <f>SUMIF(#REF!,G4,#REF!)</f>
        <v>#REF!</v>
      </c>
      <c r="H44" s="37" t="e">
        <f t="shared" si="9"/>
        <v>#REF!</v>
      </c>
      <c r="I44" s="326" t="e">
        <f>SUMIF(#REF!,I4,#REF!)</f>
        <v>#REF!</v>
      </c>
      <c r="J44" s="37" t="e">
        <f t="shared" si="10"/>
        <v>#REF!</v>
      </c>
      <c r="K44" s="326" t="e">
        <f>SUMIF(#REF!,K4,#REF!)</f>
        <v>#REF!</v>
      </c>
      <c r="L44" s="37" t="e">
        <f t="shared" si="11"/>
        <v>#REF!</v>
      </c>
      <c r="M44" s="326" t="e">
        <f>SUMIF(#REF!,M4,#REF!)</f>
        <v>#REF!</v>
      </c>
      <c r="N44" s="37" t="e">
        <f t="shared" si="12"/>
        <v>#REF!</v>
      </c>
      <c r="O44" s="326" t="e">
        <f t="shared" si="13"/>
        <v>#REF!</v>
      </c>
      <c r="P44" s="37" t="e">
        <f t="shared" si="14"/>
        <v>#REF!</v>
      </c>
      <c r="Q44" s="340" t="e">
        <f>+'Planilla de Avance'!M54-O44</f>
        <v>#REF!</v>
      </c>
    </row>
    <row r="45" spans="1:17" ht="12.75" customHeight="1">
      <c r="A45" s="290">
        <v>5.9</v>
      </c>
      <c r="B45" s="35" t="s">
        <v>54</v>
      </c>
      <c r="C45" s="59" t="s">
        <v>0</v>
      </c>
      <c r="D45" s="65">
        <v>1507.63</v>
      </c>
      <c r="E45" s="36">
        <v>715</v>
      </c>
      <c r="F45" s="82">
        <f t="shared" si="8"/>
        <v>1077955.45</v>
      </c>
      <c r="G45" s="326" t="e">
        <f>SUMIF(#REF!,G4,#REF!)</f>
        <v>#REF!</v>
      </c>
      <c r="H45" s="37" t="e">
        <f t="shared" si="9"/>
        <v>#REF!</v>
      </c>
      <c r="I45" s="326" t="e">
        <f>SUMIF(#REF!,I4,#REF!)</f>
        <v>#REF!</v>
      </c>
      <c r="J45" s="37" t="e">
        <f t="shared" si="10"/>
        <v>#REF!</v>
      </c>
      <c r="K45" s="326" t="e">
        <f>SUMIF(#REF!,K4,#REF!)</f>
        <v>#REF!</v>
      </c>
      <c r="L45" s="37" t="e">
        <f t="shared" si="11"/>
        <v>#REF!</v>
      </c>
      <c r="M45" s="326" t="e">
        <f>SUMIF(#REF!,M4,#REF!)</f>
        <v>#REF!</v>
      </c>
      <c r="N45" s="37" t="e">
        <f t="shared" si="12"/>
        <v>#REF!</v>
      </c>
      <c r="O45" s="326" t="e">
        <f t="shared" si="13"/>
        <v>#REF!</v>
      </c>
      <c r="P45" s="37" t="e">
        <f t="shared" si="14"/>
        <v>#REF!</v>
      </c>
      <c r="Q45" s="340" t="e">
        <f>+'Planilla de Avance'!M55-O45</f>
        <v>#REF!</v>
      </c>
    </row>
    <row r="46" spans="1:17" ht="12.75" customHeight="1">
      <c r="A46" s="291" t="s">
        <v>14</v>
      </c>
      <c r="B46" s="45" t="s">
        <v>55</v>
      </c>
      <c r="C46" s="60" t="s">
        <v>31</v>
      </c>
      <c r="D46" s="67">
        <v>69.8</v>
      </c>
      <c r="E46" s="46">
        <v>848.98</v>
      </c>
      <c r="F46" s="84">
        <f t="shared" si="8"/>
        <v>59258.8</v>
      </c>
      <c r="G46" s="327" t="e">
        <f>SUMIF(#REF!,G4,#REF!)</f>
        <v>#REF!</v>
      </c>
      <c r="H46" s="47" t="e">
        <f t="shared" si="9"/>
        <v>#REF!</v>
      </c>
      <c r="I46" s="327" t="e">
        <f>SUMIF(#REF!,I4,#REF!)</f>
        <v>#REF!</v>
      </c>
      <c r="J46" s="47" t="e">
        <f t="shared" si="10"/>
        <v>#REF!</v>
      </c>
      <c r="K46" s="327" t="e">
        <f>SUMIF(#REF!,K4,#REF!)</f>
        <v>#REF!</v>
      </c>
      <c r="L46" s="47" t="e">
        <f t="shared" si="11"/>
        <v>#REF!</v>
      </c>
      <c r="M46" s="327" t="e">
        <f>SUMIF(#REF!,M4,#REF!)</f>
        <v>#REF!</v>
      </c>
      <c r="N46" s="47" t="e">
        <f t="shared" si="12"/>
        <v>#REF!</v>
      </c>
      <c r="O46" s="327" t="e">
        <f t="shared" si="13"/>
        <v>#REF!</v>
      </c>
      <c r="P46" s="47" t="e">
        <f t="shared" si="14"/>
        <v>#REF!</v>
      </c>
      <c r="Q46" s="340" t="e">
        <f>+'Planilla de Avance'!M56-O46</f>
        <v>#REF!</v>
      </c>
    </row>
    <row r="47" spans="1:17" ht="12.75" customHeight="1">
      <c r="A47" s="288"/>
      <c r="B47" s="48" t="s">
        <v>10</v>
      </c>
      <c r="C47" s="49"/>
      <c r="D47" s="69"/>
      <c r="E47" s="51"/>
      <c r="F47" s="70">
        <f>SUM(F37:F46)</f>
        <v>17859341.989999998</v>
      </c>
      <c r="G47" s="52"/>
      <c r="H47" s="76" t="e">
        <f>SUM(H37:H46)</f>
        <v>#REF!</v>
      </c>
      <c r="I47" s="52"/>
      <c r="J47" s="76" t="e">
        <f>SUM(J37:J46)</f>
        <v>#REF!</v>
      </c>
      <c r="K47" s="52"/>
      <c r="L47" s="76" t="e">
        <f>SUM(L37:L46)</f>
        <v>#REF!</v>
      </c>
      <c r="M47" s="52"/>
      <c r="N47" s="76" t="e">
        <f>SUM(N37:N46)</f>
        <v>#REF!</v>
      </c>
      <c r="O47" s="52"/>
      <c r="P47" s="76" t="e">
        <f>SUM(P37:P46)</f>
        <v>#REF!</v>
      </c>
      <c r="Q47" s="340" t="e">
        <f>+'Planilla de Avance'!#REF!-O47</f>
        <v>#REF!</v>
      </c>
    </row>
    <row r="48" spans="1:17" ht="12.75" customHeight="1">
      <c r="A48" s="287" t="s">
        <v>72</v>
      </c>
      <c r="B48" s="41" t="s">
        <v>73</v>
      </c>
      <c r="C48" s="55"/>
      <c r="D48" s="56"/>
      <c r="E48" s="56"/>
      <c r="F48" s="57"/>
      <c r="G48" s="53"/>
      <c r="H48" s="53"/>
      <c r="I48" s="53"/>
      <c r="J48" s="53"/>
      <c r="K48" s="53"/>
      <c r="L48" s="53"/>
      <c r="M48" s="53"/>
      <c r="N48" s="54"/>
      <c r="O48" s="53"/>
      <c r="P48" s="54"/>
      <c r="Q48" s="340" t="e">
        <f>+'Planilla de Avance'!#REF!-O48</f>
        <v>#REF!</v>
      </c>
    </row>
    <row r="49" spans="1:17" ht="12.75" customHeight="1">
      <c r="A49" s="289">
        <v>6.1</v>
      </c>
      <c r="B49" s="40" t="s">
        <v>49</v>
      </c>
      <c r="C49" s="58" t="s">
        <v>27</v>
      </c>
      <c r="D49" s="79">
        <v>15.240000000000002</v>
      </c>
      <c r="E49" s="63">
        <v>12124</v>
      </c>
      <c r="F49" s="80">
        <f t="shared" ref="F49:F54" si="15">ROUND(E49*D49,2)</f>
        <v>184769.76</v>
      </c>
      <c r="G49" s="319" t="e">
        <f>SUMIF(#REF!,G4,#REF!)</f>
        <v>#REF!</v>
      </c>
      <c r="H49" s="73" t="e">
        <f t="shared" ref="H49:H54" si="16">+($D49*G49)</f>
        <v>#REF!</v>
      </c>
      <c r="I49" s="319" t="e">
        <f>SUMIF(#REF!,I4,#REF!)</f>
        <v>#REF!</v>
      </c>
      <c r="J49" s="73" t="e">
        <f t="shared" ref="J49:J54" si="17">($D49*I49)</f>
        <v>#REF!</v>
      </c>
      <c r="K49" s="319" t="e">
        <f>SUMIF(#REF!,K4,#REF!)</f>
        <v>#REF!</v>
      </c>
      <c r="L49" s="73" t="e">
        <f t="shared" ref="L49:L54" si="18">($D49*K49)</f>
        <v>#REF!</v>
      </c>
      <c r="M49" s="319" t="e">
        <f>SUMIF(#REF!,M4,#REF!)</f>
        <v>#REF!</v>
      </c>
      <c r="N49" s="73" t="e">
        <f t="shared" ref="N49:N54" si="19">($D49*M49)</f>
        <v>#REF!</v>
      </c>
      <c r="O49" s="319" t="e">
        <f t="shared" ref="O49:O54" si="20">+G49+I49+K49+M49</f>
        <v>#REF!</v>
      </c>
      <c r="P49" s="73" t="e">
        <f t="shared" ref="P49:P54" si="21">+H49+J49+L49+N49</f>
        <v>#REF!</v>
      </c>
      <c r="Q49" s="340" t="e">
        <f>+'Planilla de Avance'!M57-O49</f>
        <v>#REF!</v>
      </c>
    </row>
    <row r="50" spans="1:17" ht="12.75" customHeight="1">
      <c r="A50" s="290">
        <v>6.2</v>
      </c>
      <c r="B50" s="35" t="s">
        <v>50</v>
      </c>
      <c r="C50" s="59" t="s">
        <v>27</v>
      </c>
      <c r="D50" s="81">
        <v>103.86</v>
      </c>
      <c r="E50" s="36">
        <v>3637</v>
      </c>
      <c r="F50" s="82">
        <f t="shared" si="15"/>
        <v>377738.82</v>
      </c>
      <c r="G50" s="320" t="e">
        <f>SUMIF(#REF!,G4,#REF!)</f>
        <v>#REF!</v>
      </c>
      <c r="H50" s="37" t="e">
        <f t="shared" si="16"/>
        <v>#REF!</v>
      </c>
      <c r="I50" s="320" t="e">
        <f>SUMIF(#REF!,I4,#REF!)</f>
        <v>#REF!</v>
      </c>
      <c r="J50" s="37" t="e">
        <f t="shared" si="17"/>
        <v>#REF!</v>
      </c>
      <c r="K50" s="320" t="e">
        <f>SUMIF(#REF!,K4,#REF!)</f>
        <v>#REF!</v>
      </c>
      <c r="L50" s="37" t="e">
        <f t="shared" si="18"/>
        <v>#REF!</v>
      </c>
      <c r="M50" s="320" t="e">
        <f>SUMIF(#REF!,M4,#REF!)</f>
        <v>#REF!</v>
      </c>
      <c r="N50" s="37" t="e">
        <f t="shared" si="19"/>
        <v>#REF!</v>
      </c>
      <c r="O50" s="320" t="e">
        <f t="shared" si="20"/>
        <v>#REF!</v>
      </c>
      <c r="P50" s="37" t="e">
        <f t="shared" si="21"/>
        <v>#REF!</v>
      </c>
      <c r="Q50" s="340" t="e">
        <f>+'Planilla de Avance'!M58-O50</f>
        <v>#REF!</v>
      </c>
    </row>
    <row r="51" spans="1:17" ht="12.75" customHeight="1">
      <c r="A51" s="290">
        <v>6.3</v>
      </c>
      <c r="B51" s="35" t="s">
        <v>53</v>
      </c>
      <c r="C51" s="59" t="s">
        <v>27</v>
      </c>
      <c r="D51" s="81">
        <v>1616.1400000000003</v>
      </c>
      <c r="E51" s="36">
        <v>959</v>
      </c>
      <c r="F51" s="82">
        <f t="shared" si="15"/>
        <v>1549878.26</v>
      </c>
      <c r="G51" s="320" t="e">
        <f>SUMIF(#REF!,G4,#REF!)</f>
        <v>#REF!</v>
      </c>
      <c r="H51" s="37" t="e">
        <f t="shared" si="16"/>
        <v>#REF!</v>
      </c>
      <c r="I51" s="320" t="e">
        <f>SUMIF(#REF!,I4,#REF!)</f>
        <v>#REF!</v>
      </c>
      <c r="J51" s="37" t="e">
        <f t="shared" si="17"/>
        <v>#REF!</v>
      </c>
      <c r="K51" s="320" t="e">
        <f>SUMIF(#REF!,K4,#REF!)</f>
        <v>#REF!</v>
      </c>
      <c r="L51" s="37" t="e">
        <f t="shared" si="18"/>
        <v>#REF!</v>
      </c>
      <c r="M51" s="320" t="e">
        <f>SUMIF(#REF!,M4,#REF!)</f>
        <v>#REF!</v>
      </c>
      <c r="N51" s="37" t="e">
        <f t="shared" si="19"/>
        <v>#REF!</v>
      </c>
      <c r="O51" s="320" t="e">
        <f t="shared" si="20"/>
        <v>#REF!</v>
      </c>
      <c r="P51" s="37" t="e">
        <f t="shared" si="21"/>
        <v>#REF!</v>
      </c>
      <c r="Q51" s="340" t="e">
        <f>+'Planilla de Avance'!M59-O51</f>
        <v>#REF!</v>
      </c>
    </row>
    <row r="52" spans="1:17" ht="12.75" customHeight="1">
      <c r="A52" s="290">
        <v>6.4</v>
      </c>
      <c r="B52" s="35" t="s">
        <v>64</v>
      </c>
      <c r="C52" s="59" t="s">
        <v>27</v>
      </c>
      <c r="D52" s="81">
        <v>514.18999999999994</v>
      </c>
      <c r="E52" s="36">
        <v>5499</v>
      </c>
      <c r="F52" s="82">
        <f t="shared" si="15"/>
        <v>2827530.81</v>
      </c>
      <c r="G52" s="320" t="e">
        <f>SUMIF(#REF!,G4,#REF!)</f>
        <v>#REF!</v>
      </c>
      <c r="H52" s="37" t="e">
        <f t="shared" si="16"/>
        <v>#REF!</v>
      </c>
      <c r="I52" s="320" t="e">
        <f>SUMIF(#REF!,I4,#REF!)</f>
        <v>#REF!</v>
      </c>
      <c r="J52" s="37" t="e">
        <f t="shared" si="17"/>
        <v>#REF!</v>
      </c>
      <c r="K52" s="320" t="e">
        <f>SUMIF(#REF!,K4,#REF!)</f>
        <v>#REF!</v>
      </c>
      <c r="L52" s="37" t="e">
        <f t="shared" si="18"/>
        <v>#REF!</v>
      </c>
      <c r="M52" s="320" t="e">
        <f>SUMIF(#REF!,M4,#REF!)</f>
        <v>#REF!</v>
      </c>
      <c r="N52" s="37" t="e">
        <f t="shared" si="19"/>
        <v>#REF!</v>
      </c>
      <c r="O52" s="320" t="e">
        <f t="shared" si="20"/>
        <v>#REF!</v>
      </c>
      <c r="P52" s="37" t="e">
        <f t="shared" si="21"/>
        <v>#REF!</v>
      </c>
      <c r="Q52" s="340" t="e">
        <f>+'Planilla de Avance'!M60-O52</f>
        <v>#REF!</v>
      </c>
    </row>
    <row r="53" spans="1:17" ht="12.75" customHeight="1">
      <c r="A53" s="290">
        <v>6.5</v>
      </c>
      <c r="B53" s="35" t="s">
        <v>65</v>
      </c>
      <c r="C53" s="59" t="s">
        <v>27</v>
      </c>
      <c r="D53" s="81">
        <v>746.52</v>
      </c>
      <c r="E53" s="36">
        <v>1895</v>
      </c>
      <c r="F53" s="82">
        <f t="shared" si="15"/>
        <v>1414655.4</v>
      </c>
      <c r="G53" s="320" t="e">
        <f>SUMIF(#REF!,G4,#REF!)</f>
        <v>#REF!</v>
      </c>
      <c r="H53" s="37" t="e">
        <f t="shared" si="16"/>
        <v>#REF!</v>
      </c>
      <c r="I53" s="320" t="e">
        <f>SUMIF(#REF!,I4,#REF!)</f>
        <v>#REF!</v>
      </c>
      <c r="J53" s="37" t="e">
        <f t="shared" si="17"/>
        <v>#REF!</v>
      </c>
      <c r="K53" s="320" t="e">
        <f>SUMIF(#REF!,K4,#REF!)</f>
        <v>#REF!</v>
      </c>
      <c r="L53" s="37" t="e">
        <f t="shared" si="18"/>
        <v>#REF!</v>
      </c>
      <c r="M53" s="320" t="e">
        <f>SUMIF(#REF!,M4,#REF!)</f>
        <v>#REF!</v>
      </c>
      <c r="N53" s="37" t="e">
        <f t="shared" si="19"/>
        <v>#REF!</v>
      </c>
      <c r="O53" s="320" t="e">
        <f t="shared" si="20"/>
        <v>#REF!</v>
      </c>
      <c r="P53" s="37" t="e">
        <f t="shared" si="21"/>
        <v>#REF!</v>
      </c>
      <c r="Q53" s="340" t="e">
        <f>+'Planilla de Avance'!M61-O53</f>
        <v>#REF!</v>
      </c>
    </row>
    <row r="54" spans="1:17" ht="12.75" customHeight="1">
      <c r="A54" s="291">
        <v>6.6</v>
      </c>
      <c r="B54" s="45" t="s">
        <v>66</v>
      </c>
      <c r="C54" s="60" t="s">
        <v>23</v>
      </c>
      <c r="D54" s="83">
        <v>73721.75</v>
      </c>
      <c r="E54" s="46">
        <v>1</v>
      </c>
      <c r="F54" s="84">
        <f t="shared" si="15"/>
        <v>73721.75</v>
      </c>
      <c r="G54" s="321" t="e">
        <f>SUMIF(#REF!,G4,#REF!)</f>
        <v>#REF!</v>
      </c>
      <c r="H54" s="47" t="e">
        <f t="shared" si="16"/>
        <v>#REF!</v>
      </c>
      <c r="I54" s="321" t="e">
        <f>SUMIF(#REF!,I4,#REF!)</f>
        <v>#REF!</v>
      </c>
      <c r="J54" s="47" t="e">
        <f t="shared" si="17"/>
        <v>#REF!</v>
      </c>
      <c r="K54" s="321" t="e">
        <f>SUMIF(#REF!,K4,#REF!)</f>
        <v>#REF!</v>
      </c>
      <c r="L54" s="47" t="e">
        <f t="shared" si="18"/>
        <v>#REF!</v>
      </c>
      <c r="M54" s="321" t="e">
        <f>SUMIF(#REF!,M4,#REF!)</f>
        <v>#REF!</v>
      </c>
      <c r="N54" s="47" t="e">
        <f t="shared" si="19"/>
        <v>#REF!</v>
      </c>
      <c r="O54" s="321" t="e">
        <f t="shared" si="20"/>
        <v>#REF!</v>
      </c>
      <c r="P54" s="47" t="e">
        <f t="shared" si="21"/>
        <v>#REF!</v>
      </c>
      <c r="Q54" s="340" t="e">
        <f>+'Planilla de Avance'!M64-O54</f>
        <v>#REF!</v>
      </c>
    </row>
    <row r="55" spans="1:17" ht="12.75" customHeight="1">
      <c r="A55" s="288"/>
      <c r="B55" s="48" t="s">
        <v>10</v>
      </c>
      <c r="C55" s="49"/>
      <c r="D55" s="69"/>
      <c r="E55" s="51"/>
      <c r="F55" s="70">
        <f>SUM(F49:F54)</f>
        <v>6428294.8000000007</v>
      </c>
      <c r="G55" s="52"/>
      <c r="H55" s="76" t="e">
        <f>SUM(H49:H54)</f>
        <v>#REF!</v>
      </c>
      <c r="I55" s="52"/>
      <c r="J55" s="76" t="e">
        <f>SUM(J49:J54)</f>
        <v>#REF!</v>
      </c>
      <c r="K55" s="52"/>
      <c r="L55" s="76" t="e">
        <f>SUM(L49:L54)</f>
        <v>#REF!</v>
      </c>
      <c r="M55" s="52"/>
      <c r="N55" s="76" t="e">
        <f>SUM(N49:N54)</f>
        <v>#REF!</v>
      </c>
      <c r="O55" s="52"/>
      <c r="P55" s="76" t="e">
        <f>SUM(P49:P54)</f>
        <v>#REF!</v>
      </c>
      <c r="Q55" s="340" t="e">
        <f>+'Planilla de Avance'!#REF!-O55</f>
        <v>#REF!</v>
      </c>
    </row>
    <row r="56" spans="1:17" ht="12.75" customHeight="1">
      <c r="A56" s="287" t="s">
        <v>70</v>
      </c>
      <c r="B56" s="41" t="s">
        <v>71</v>
      </c>
      <c r="C56" s="74"/>
      <c r="D56" s="57"/>
      <c r="E56" s="75"/>
      <c r="F56" s="57"/>
      <c r="G56" s="53"/>
      <c r="H56" s="53"/>
      <c r="I56" s="53"/>
      <c r="J56" s="53"/>
      <c r="K56" s="53"/>
      <c r="L56" s="53"/>
      <c r="M56" s="53"/>
      <c r="N56" s="54"/>
      <c r="O56" s="53"/>
      <c r="P56" s="54"/>
      <c r="Q56" s="340" t="e">
        <f>+'Planilla de Avance'!#REF!-O56</f>
        <v>#REF!</v>
      </c>
    </row>
    <row r="57" spans="1:17" ht="12.75" customHeight="1">
      <c r="A57" s="289">
        <v>7.1</v>
      </c>
      <c r="B57" s="40" t="s">
        <v>67</v>
      </c>
      <c r="C57" s="58" t="s">
        <v>23</v>
      </c>
      <c r="D57" s="79">
        <v>103210.46</v>
      </c>
      <c r="E57" s="63">
        <v>1</v>
      </c>
      <c r="F57" s="80">
        <f>ROUND(E57*D57,2)</f>
        <v>103210.46</v>
      </c>
      <c r="G57" s="319" t="e">
        <f>SUMIF(#REF!,G4,#REF!)</f>
        <v>#REF!</v>
      </c>
      <c r="H57" s="73" t="e">
        <f>+($D57*G57)</f>
        <v>#REF!</v>
      </c>
      <c r="I57" s="319" t="e">
        <f>SUMIF(#REF!,I4,#REF!)</f>
        <v>#REF!</v>
      </c>
      <c r="J57" s="73" t="e">
        <f>($D57*I57)</f>
        <v>#REF!</v>
      </c>
      <c r="K57" s="319" t="e">
        <f>SUMIF(#REF!,K4,#REF!)</f>
        <v>#REF!</v>
      </c>
      <c r="L57" s="73" t="e">
        <f>($D57*K57)</f>
        <v>#REF!</v>
      </c>
      <c r="M57" s="319" t="e">
        <f>SUMIF(#REF!,M4,#REF!)</f>
        <v>#REF!</v>
      </c>
      <c r="N57" s="73" t="e">
        <f>($D57*M57)</f>
        <v>#REF!</v>
      </c>
      <c r="O57" s="319" t="e">
        <f t="shared" ref="O57:P59" si="22">+G57+I57+K57+M57</f>
        <v>#REF!</v>
      </c>
      <c r="P57" s="73" t="e">
        <f t="shared" si="22"/>
        <v>#REF!</v>
      </c>
      <c r="Q57" s="340" t="e">
        <f>+'Planilla de Avance'!M65-O57</f>
        <v>#REF!</v>
      </c>
    </row>
    <row r="58" spans="1:17" ht="12.75" customHeight="1">
      <c r="A58" s="290">
        <v>7.2</v>
      </c>
      <c r="B58" s="35" t="s">
        <v>68</v>
      </c>
      <c r="C58" s="59" t="s">
        <v>20</v>
      </c>
      <c r="D58" s="81">
        <v>36.85</v>
      </c>
      <c r="E58" s="36">
        <v>1611.85</v>
      </c>
      <c r="F58" s="82">
        <f>ROUND(E58*D58,2)</f>
        <v>59396.67</v>
      </c>
      <c r="G58" s="320" t="e">
        <f>SUMIF(#REF!,G4,#REF!)</f>
        <v>#REF!</v>
      </c>
      <c r="H58" s="37" t="e">
        <f>+($D58*G58)</f>
        <v>#REF!</v>
      </c>
      <c r="I58" s="320" t="e">
        <f>SUMIF(#REF!,I4,#REF!)</f>
        <v>#REF!</v>
      </c>
      <c r="J58" s="37" t="e">
        <f>($D58*I58)</f>
        <v>#REF!</v>
      </c>
      <c r="K58" s="320" t="e">
        <f>SUMIF(#REF!,K4,#REF!)</f>
        <v>#REF!</v>
      </c>
      <c r="L58" s="37" t="e">
        <f>($D58*K58)</f>
        <v>#REF!</v>
      </c>
      <c r="M58" s="320" t="e">
        <f>SUMIF(#REF!,M4,#REF!)</f>
        <v>#REF!</v>
      </c>
      <c r="N58" s="37" t="e">
        <f>($D58*M58)</f>
        <v>#REF!</v>
      </c>
      <c r="O58" s="320" t="e">
        <f t="shared" si="22"/>
        <v>#REF!</v>
      </c>
      <c r="P58" s="37" t="e">
        <f t="shared" si="22"/>
        <v>#REF!</v>
      </c>
      <c r="Q58" s="340" t="e">
        <f>+'Planilla de Avance'!M66-O58</f>
        <v>#REF!</v>
      </c>
    </row>
    <row r="59" spans="1:17" ht="12.75" customHeight="1">
      <c r="A59" s="291">
        <v>7.3</v>
      </c>
      <c r="B59" s="45" t="s">
        <v>69</v>
      </c>
      <c r="C59" s="60" t="s">
        <v>23</v>
      </c>
      <c r="D59" s="83">
        <v>151129.59999999998</v>
      </c>
      <c r="E59" s="46">
        <v>1</v>
      </c>
      <c r="F59" s="84">
        <f>ROUND(E59*D59,2)</f>
        <v>151129.60000000001</v>
      </c>
      <c r="G59" s="321" t="e">
        <f>SUMIF(#REF!,G4,#REF!)</f>
        <v>#REF!</v>
      </c>
      <c r="H59" s="47" t="e">
        <f>+($D59*G59)</f>
        <v>#REF!</v>
      </c>
      <c r="I59" s="321" t="e">
        <f>SUMIF(#REF!,I4,#REF!)</f>
        <v>#REF!</v>
      </c>
      <c r="J59" s="47" t="e">
        <f>($D59*I59)</f>
        <v>#REF!</v>
      </c>
      <c r="K59" s="321" t="e">
        <f>SUMIF(#REF!,K4,#REF!)</f>
        <v>#REF!</v>
      </c>
      <c r="L59" s="47" t="e">
        <f>($D59*K59)</f>
        <v>#REF!</v>
      </c>
      <c r="M59" s="321" t="e">
        <f>SUMIF(#REF!,M4,#REF!)</f>
        <v>#REF!</v>
      </c>
      <c r="N59" s="47" t="e">
        <f>($D59*M59)</f>
        <v>#REF!</v>
      </c>
      <c r="O59" s="321" t="e">
        <f t="shared" si="22"/>
        <v>#REF!</v>
      </c>
      <c r="P59" s="47" t="e">
        <f t="shared" si="22"/>
        <v>#REF!</v>
      </c>
      <c r="Q59" s="340" t="e">
        <f>+'Planilla de Avance'!M67-O59</f>
        <v>#REF!</v>
      </c>
    </row>
    <row r="60" spans="1:17" ht="12.75" customHeight="1">
      <c r="A60" s="93"/>
      <c r="B60" s="48" t="s">
        <v>10</v>
      </c>
      <c r="C60" s="49"/>
      <c r="D60" s="69"/>
      <c r="E60" s="51"/>
      <c r="F60" s="70">
        <f>SUM(F57:F59)</f>
        <v>313736.73</v>
      </c>
      <c r="G60" s="52"/>
      <c r="H60" s="76" t="e">
        <f>SUM(H57:H59)</f>
        <v>#REF!</v>
      </c>
      <c r="I60" s="52"/>
      <c r="J60" s="76" t="e">
        <f>SUM(J57:J59)</f>
        <v>#REF!</v>
      </c>
      <c r="K60" s="52"/>
      <c r="L60" s="76" t="e">
        <f>SUM(L57:L59)</f>
        <v>#REF!</v>
      </c>
      <c r="M60" s="52"/>
      <c r="N60" s="76" t="e">
        <f>SUM(N57:N59)</f>
        <v>#REF!</v>
      </c>
      <c r="O60" s="52"/>
      <c r="P60" s="76" t="e">
        <f>SUM(P57:P59)</f>
        <v>#REF!</v>
      </c>
      <c r="Q60" s="340" t="e">
        <f>+'Planilla de Avance'!#REF!-O60</f>
        <v>#REF!</v>
      </c>
    </row>
    <row r="61" spans="1:17" ht="12.75" customHeight="1">
      <c r="A61" s="287" t="s">
        <v>74</v>
      </c>
      <c r="B61" s="41" t="s">
        <v>75</v>
      </c>
      <c r="C61" s="49"/>
      <c r="D61" s="50"/>
      <c r="E61" s="51"/>
      <c r="F61" s="50"/>
      <c r="G61" s="53"/>
      <c r="H61" s="53"/>
      <c r="I61" s="53"/>
      <c r="J61" s="53"/>
      <c r="K61" s="53"/>
      <c r="L61" s="53"/>
      <c r="M61" s="53"/>
      <c r="N61" s="54"/>
      <c r="O61" s="53"/>
      <c r="P61" s="54"/>
      <c r="Q61" s="340" t="e">
        <f>+'Planilla de Avance'!#REF!-O61</f>
        <v>#REF!</v>
      </c>
    </row>
    <row r="62" spans="1:17" ht="12.75" customHeight="1">
      <c r="A62" s="289">
        <v>8.1</v>
      </c>
      <c r="B62" s="40" t="s">
        <v>11</v>
      </c>
      <c r="C62" s="58" t="s">
        <v>27</v>
      </c>
      <c r="D62" s="79">
        <v>25.820000000000004</v>
      </c>
      <c r="E62" s="63">
        <v>2637.11</v>
      </c>
      <c r="F62" s="80">
        <f t="shared" ref="F62:F69" si="23">ROUND(E62*D62,2)</f>
        <v>68090.179999999993</v>
      </c>
      <c r="G62" s="319" t="e">
        <f>SUMIF(#REF!,G4,#REF!)</f>
        <v>#REF!</v>
      </c>
      <c r="H62" s="73" t="e">
        <f t="shared" ref="H62:H69" si="24">+($D62*G62)</f>
        <v>#REF!</v>
      </c>
      <c r="I62" s="319" t="e">
        <f>SUMIF(#REF!,I4,#REF!)</f>
        <v>#REF!</v>
      </c>
      <c r="J62" s="73" t="e">
        <f t="shared" ref="J62:J69" si="25">($D62*I62)</f>
        <v>#REF!</v>
      </c>
      <c r="K62" s="319" t="e">
        <f>SUMIF(#REF!,K4,#REF!)</f>
        <v>#REF!</v>
      </c>
      <c r="L62" s="73" t="e">
        <f t="shared" ref="L62:L69" si="26">($D62*K62)</f>
        <v>#REF!</v>
      </c>
      <c r="M62" s="319" t="e">
        <f>SUMIF(#REF!,M4,#REF!)</f>
        <v>#REF!</v>
      </c>
      <c r="N62" s="73" t="e">
        <f t="shared" ref="N62:N69" si="27">($D62*M62)</f>
        <v>#REF!</v>
      </c>
      <c r="O62" s="319" t="e">
        <f t="shared" ref="O62:O69" si="28">+G62+I62+K62+M62</f>
        <v>#REF!</v>
      </c>
      <c r="P62" s="73" t="e">
        <f t="shared" ref="P62:P69" si="29">+H62+J62+L62+N62</f>
        <v>#REF!</v>
      </c>
      <c r="Q62" s="340" t="e">
        <f>+'Planilla de Avance'!M68-O62</f>
        <v>#REF!</v>
      </c>
    </row>
    <row r="63" spans="1:17" ht="12.75" customHeight="1">
      <c r="A63" s="290">
        <v>8.1999999999999993</v>
      </c>
      <c r="B63" s="35" t="s">
        <v>50</v>
      </c>
      <c r="C63" s="59" t="s">
        <v>27</v>
      </c>
      <c r="D63" s="81">
        <v>103.86</v>
      </c>
      <c r="E63" s="36">
        <v>2121.9</v>
      </c>
      <c r="F63" s="82">
        <f t="shared" si="23"/>
        <v>220380.53</v>
      </c>
      <c r="G63" s="320" t="e">
        <f>SUMIF(#REF!,G4,#REF!)</f>
        <v>#REF!</v>
      </c>
      <c r="H63" s="37" t="e">
        <f t="shared" si="24"/>
        <v>#REF!</v>
      </c>
      <c r="I63" s="320" t="e">
        <f>SUMIF(#REF!,I4,#REF!)</f>
        <v>#REF!</v>
      </c>
      <c r="J63" s="37" t="e">
        <f t="shared" si="25"/>
        <v>#REF!</v>
      </c>
      <c r="K63" s="320" t="e">
        <f>SUMIF(#REF!,K4,#REF!)</f>
        <v>#REF!</v>
      </c>
      <c r="L63" s="37" t="e">
        <f t="shared" si="26"/>
        <v>#REF!</v>
      </c>
      <c r="M63" s="320" t="e">
        <f>SUMIF(#REF!,M4,#REF!)</f>
        <v>#REF!</v>
      </c>
      <c r="N63" s="37" t="e">
        <f t="shared" si="27"/>
        <v>#REF!</v>
      </c>
      <c r="O63" s="320" t="e">
        <f t="shared" si="28"/>
        <v>#REF!</v>
      </c>
      <c r="P63" s="37" t="e">
        <f t="shared" si="29"/>
        <v>#REF!</v>
      </c>
      <c r="Q63" s="340" t="e">
        <f>+'Planilla de Avance'!M69-O63</f>
        <v>#REF!</v>
      </c>
    </row>
    <row r="64" spans="1:17" ht="12.75" customHeight="1">
      <c r="A64" s="290">
        <v>8.3000000000000007</v>
      </c>
      <c r="B64" s="35" t="s">
        <v>55</v>
      </c>
      <c r="C64" s="59" t="s">
        <v>31</v>
      </c>
      <c r="D64" s="81">
        <v>69.8</v>
      </c>
      <c r="E64" s="36">
        <v>43.69</v>
      </c>
      <c r="F64" s="82">
        <f t="shared" si="23"/>
        <v>3049.56</v>
      </c>
      <c r="G64" s="320" t="e">
        <f>SUMIF(#REF!,G4,#REF!)</f>
        <v>#REF!</v>
      </c>
      <c r="H64" s="37" t="e">
        <f t="shared" si="24"/>
        <v>#REF!</v>
      </c>
      <c r="I64" s="320" t="e">
        <f>SUMIF(#REF!,I4,#REF!)</f>
        <v>#REF!</v>
      </c>
      <c r="J64" s="37" t="e">
        <f t="shared" si="25"/>
        <v>#REF!</v>
      </c>
      <c r="K64" s="320" t="e">
        <f>SUMIF(#REF!,K4,#REF!)</f>
        <v>#REF!</v>
      </c>
      <c r="L64" s="37" t="e">
        <f t="shared" si="26"/>
        <v>#REF!</v>
      </c>
      <c r="M64" s="320" t="e">
        <f>SUMIF(#REF!,M4,#REF!)</f>
        <v>#REF!</v>
      </c>
      <c r="N64" s="37" t="e">
        <f t="shared" si="27"/>
        <v>#REF!</v>
      </c>
      <c r="O64" s="320" t="e">
        <f t="shared" si="28"/>
        <v>#REF!</v>
      </c>
      <c r="P64" s="37" t="e">
        <f t="shared" si="29"/>
        <v>#REF!</v>
      </c>
      <c r="Q64" s="340" t="e">
        <f>+'Planilla de Avance'!M70-O64</f>
        <v>#REF!</v>
      </c>
    </row>
    <row r="65" spans="1:17" ht="12.75" customHeight="1">
      <c r="A65" s="290">
        <v>8.4</v>
      </c>
      <c r="B65" s="35" t="s">
        <v>47</v>
      </c>
      <c r="C65" s="59" t="s">
        <v>27</v>
      </c>
      <c r="D65" s="81">
        <v>2471.46</v>
      </c>
      <c r="E65" s="36">
        <v>372.74</v>
      </c>
      <c r="F65" s="82">
        <f t="shared" si="23"/>
        <v>921212</v>
      </c>
      <c r="G65" s="320" t="e">
        <f>SUMIF(#REF!,G4,#REF!)</f>
        <v>#REF!</v>
      </c>
      <c r="H65" s="37" t="e">
        <f t="shared" si="24"/>
        <v>#REF!</v>
      </c>
      <c r="I65" s="320" t="e">
        <f>SUMIF(#REF!,I4,#REF!)</f>
        <v>#REF!</v>
      </c>
      <c r="J65" s="37" t="e">
        <f t="shared" si="25"/>
        <v>#REF!</v>
      </c>
      <c r="K65" s="320" t="e">
        <f>SUMIF(#REF!,K4,#REF!)</f>
        <v>#REF!</v>
      </c>
      <c r="L65" s="37" t="e">
        <f t="shared" si="26"/>
        <v>#REF!</v>
      </c>
      <c r="M65" s="320" t="e">
        <f>SUMIF(#REF!,M4,#REF!)</f>
        <v>#REF!</v>
      </c>
      <c r="N65" s="37" t="e">
        <f t="shared" si="27"/>
        <v>#REF!</v>
      </c>
      <c r="O65" s="320" t="e">
        <f t="shared" si="28"/>
        <v>#REF!</v>
      </c>
      <c r="P65" s="37" t="e">
        <f t="shared" si="29"/>
        <v>#REF!</v>
      </c>
      <c r="Q65" s="340" t="e">
        <f>+'Planilla de Avance'!M71-O65</f>
        <v>#REF!</v>
      </c>
    </row>
    <row r="66" spans="1:17" ht="12.75" customHeight="1">
      <c r="A66" s="290">
        <v>8.5</v>
      </c>
      <c r="B66" s="35" t="s">
        <v>19</v>
      </c>
      <c r="C66" s="59" t="s">
        <v>46</v>
      </c>
      <c r="D66" s="81">
        <v>28.13</v>
      </c>
      <c r="E66" s="36">
        <v>26398.62</v>
      </c>
      <c r="F66" s="82">
        <f t="shared" si="23"/>
        <v>742593.18</v>
      </c>
      <c r="G66" s="320" t="e">
        <f>SUMIF(#REF!,G4,#REF!)</f>
        <v>#REF!</v>
      </c>
      <c r="H66" s="37" t="e">
        <f t="shared" si="24"/>
        <v>#REF!</v>
      </c>
      <c r="I66" s="320" t="e">
        <f>SUMIF(#REF!,I4,#REF!)</f>
        <v>#REF!</v>
      </c>
      <c r="J66" s="37" t="e">
        <f t="shared" si="25"/>
        <v>#REF!</v>
      </c>
      <c r="K66" s="320" t="e">
        <f>SUMIF(#REF!,K4,#REF!)</f>
        <v>#REF!</v>
      </c>
      <c r="L66" s="37" t="e">
        <f t="shared" si="26"/>
        <v>#REF!</v>
      </c>
      <c r="M66" s="320" t="e">
        <f>SUMIF(#REF!,M4,#REF!)</f>
        <v>#REF!</v>
      </c>
      <c r="N66" s="37" t="e">
        <f t="shared" si="27"/>
        <v>#REF!</v>
      </c>
      <c r="O66" s="320" t="e">
        <f t="shared" si="28"/>
        <v>#REF!</v>
      </c>
      <c r="P66" s="37" t="e">
        <f t="shared" si="29"/>
        <v>#REF!</v>
      </c>
      <c r="Q66" s="340" t="e">
        <f>+'Planilla de Avance'!M72-O66</f>
        <v>#REF!</v>
      </c>
    </row>
    <row r="67" spans="1:17" ht="12.75" customHeight="1">
      <c r="A67" s="295">
        <v>8.6</v>
      </c>
      <c r="B67" s="39" t="s">
        <v>76</v>
      </c>
      <c r="C67" s="59" t="s">
        <v>27</v>
      </c>
      <c r="D67" s="81">
        <v>1270.8999999999999</v>
      </c>
      <c r="E67" s="36">
        <v>24.23</v>
      </c>
      <c r="F67" s="82">
        <f t="shared" si="23"/>
        <v>30793.91</v>
      </c>
      <c r="G67" s="320" t="e">
        <f>SUMIF(#REF!,G4,#REF!)</f>
        <v>#REF!</v>
      </c>
      <c r="H67" s="37" t="e">
        <f t="shared" si="24"/>
        <v>#REF!</v>
      </c>
      <c r="I67" s="320" t="e">
        <f>SUMIF(#REF!,I4,#REF!)</f>
        <v>#REF!</v>
      </c>
      <c r="J67" s="37" t="e">
        <f t="shared" si="25"/>
        <v>#REF!</v>
      </c>
      <c r="K67" s="320" t="e">
        <f>SUMIF(#REF!,K4,#REF!)</f>
        <v>#REF!</v>
      </c>
      <c r="L67" s="37" t="e">
        <f t="shared" si="26"/>
        <v>#REF!</v>
      </c>
      <c r="M67" s="320" t="e">
        <f>SUMIF(#REF!,M4,#REF!)</f>
        <v>#REF!</v>
      </c>
      <c r="N67" s="37" t="e">
        <f t="shared" si="27"/>
        <v>#REF!</v>
      </c>
      <c r="O67" s="320" t="e">
        <f t="shared" si="28"/>
        <v>#REF!</v>
      </c>
      <c r="P67" s="37" t="e">
        <f t="shared" si="29"/>
        <v>#REF!</v>
      </c>
      <c r="Q67" s="340" t="e">
        <f>+'Planilla de Avance'!M73-O67</f>
        <v>#REF!</v>
      </c>
    </row>
    <row r="68" spans="1:17" ht="12.75" customHeight="1">
      <c r="A68" s="295">
        <v>8.6999999999999993</v>
      </c>
      <c r="B68" s="39" t="s">
        <v>65</v>
      </c>
      <c r="C68" s="59" t="s">
        <v>27</v>
      </c>
      <c r="D68" s="81">
        <v>746.52</v>
      </c>
      <c r="E68" s="36">
        <v>7.47</v>
      </c>
      <c r="F68" s="82">
        <f t="shared" si="23"/>
        <v>5576.5</v>
      </c>
      <c r="G68" s="320" t="e">
        <f>SUMIF(#REF!,G4,#REF!)</f>
        <v>#REF!</v>
      </c>
      <c r="H68" s="37" t="e">
        <f t="shared" si="24"/>
        <v>#REF!</v>
      </c>
      <c r="I68" s="320" t="e">
        <f>SUMIF(#REF!,I4,#REF!)</f>
        <v>#REF!</v>
      </c>
      <c r="J68" s="37" t="e">
        <f t="shared" si="25"/>
        <v>#REF!</v>
      </c>
      <c r="K68" s="320" t="e">
        <f>SUMIF(#REF!,K4,#REF!)</f>
        <v>#REF!</v>
      </c>
      <c r="L68" s="37" t="e">
        <f t="shared" si="26"/>
        <v>#REF!</v>
      </c>
      <c r="M68" s="320" t="e">
        <f>SUMIF(#REF!,M4,#REF!)</f>
        <v>#REF!</v>
      </c>
      <c r="N68" s="37" t="e">
        <f t="shared" si="27"/>
        <v>#REF!</v>
      </c>
      <c r="O68" s="320" t="e">
        <f t="shared" si="28"/>
        <v>#REF!</v>
      </c>
      <c r="P68" s="37" t="e">
        <f t="shared" si="29"/>
        <v>#REF!</v>
      </c>
      <c r="Q68" s="340" t="e">
        <f>+'Planilla de Avance'!M74-O68</f>
        <v>#REF!</v>
      </c>
    </row>
    <row r="69" spans="1:17" ht="12.75" customHeight="1">
      <c r="A69" s="291">
        <v>8.8000000000000007</v>
      </c>
      <c r="B69" s="45" t="s">
        <v>77</v>
      </c>
      <c r="C69" s="60" t="s">
        <v>0</v>
      </c>
      <c r="D69" s="83">
        <v>92.990000000000023</v>
      </c>
      <c r="E69" s="46">
        <v>9</v>
      </c>
      <c r="F69" s="84">
        <f t="shared" si="23"/>
        <v>836.91</v>
      </c>
      <c r="G69" s="321" t="e">
        <f>SUMIF(#REF!,G4,#REF!)</f>
        <v>#REF!</v>
      </c>
      <c r="H69" s="47" t="e">
        <f t="shared" si="24"/>
        <v>#REF!</v>
      </c>
      <c r="I69" s="321" t="e">
        <f>SUMIF(#REF!,I4,#REF!)</f>
        <v>#REF!</v>
      </c>
      <c r="J69" s="47" t="e">
        <f t="shared" si="25"/>
        <v>#REF!</v>
      </c>
      <c r="K69" s="321" t="e">
        <f>SUMIF(#REF!,K4,#REF!)</f>
        <v>#REF!</v>
      </c>
      <c r="L69" s="47" t="e">
        <f t="shared" si="26"/>
        <v>#REF!</v>
      </c>
      <c r="M69" s="321" t="e">
        <f>SUMIF(#REF!,M4,#REF!)</f>
        <v>#REF!</v>
      </c>
      <c r="N69" s="47" t="e">
        <f t="shared" si="27"/>
        <v>#REF!</v>
      </c>
      <c r="O69" s="321" t="e">
        <f t="shared" si="28"/>
        <v>#REF!</v>
      </c>
      <c r="P69" s="47" t="e">
        <f t="shared" si="29"/>
        <v>#REF!</v>
      </c>
      <c r="Q69" s="340" t="e">
        <f>+'Planilla de Avance'!#REF!-O69</f>
        <v>#REF!</v>
      </c>
    </row>
    <row r="70" spans="1:17" ht="12.75" customHeight="1">
      <c r="A70" s="93"/>
      <c r="B70" s="48" t="s">
        <v>10</v>
      </c>
      <c r="C70" s="49"/>
      <c r="D70" s="69"/>
      <c r="E70" s="51"/>
      <c r="F70" s="70">
        <f>SUM(F62:F69)</f>
        <v>1992532.77</v>
      </c>
      <c r="G70" s="52"/>
      <c r="H70" s="76" t="e">
        <f>SUM(H62:H69)</f>
        <v>#REF!</v>
      </c>
      <c r="I70" s="52"/>
      <c r="J70" s="76" t="e">
        <f>SUM(J62:J69)</f>
        <v>#REF!</v>
      </c>
      <c r="K70" s="52"/>
      <c r="L70" s="76" t="e">
        <f>SUM(L62:L69)</f>
        <v>#REF!</v>
      </c>
      <c r="M70" s="52"/>
      <c r="N70" s="76" t="e">
        <f>SUM(N62:N69)</f>
        <v>#REF!</v>
      </c>
      <c r="O70" s="52"/>
      <c r="P70" s="76" t="e">
        <f>SUM(P62:P69)</f>
        <v>#REF!</v>
      </c>
      <c r="Q70" s="340" t="e">
        <f>+'Planilla de Avance'!#REF!-O70</f>
        <v>#REF!</v>
      </c>
    </row>
    <row r="71" spans="1:17" ht="12.75" customHeight="1">
      <c r="A71" s="287" t="s">
        <v>78</v>
      </c>
      <c r="B71" s="41" t="s">
        <v>79</v>
      </c>
      <c r="C71" s="74"/>
      <c r="D71" s="57"/>
      <c r="E71" s="75"/>
      <c r="F71" s="57"/>
      <c r="G71" s="53"/>
      <c r="H71" s="53"/>
      <c r="I71" s="53"/>
      <c r="J71" s="53"/>
      <c r="K71" s="53"/>
      <c r="L71" s="53"/>
      <c r="M71" s="53"/>
      <c r="N71" s="54"/>
      <c r="O71" s="53"/>
      <c r="P71" s="54"/>
      <c r="Q71" s="340" t="e">
        <f>+'Planilla de Avance'!#REF!-O71</f>
        <v>#REF!</v>
      </c>
    </row>
    <row r="72" spans="1:17" ht="12.75" customHeight="1">
      <c r="A72" s="289">
        <v>9.1</v>
      </c>
      <c r="B72" s="40" t="s">
        <v>11</v>
      </c>
      <c r="C72" s="58" t="s">
        <v>27</v>
      </c>
      <c r="D72" s="62">
        <v>25.820000000000004</v>
      </c>
      <c r="E72" s="63">
        <v>3602.35</v>
      </c>
      <c r="F72" s="64">
        <f>ROUND(E72*D72,2)</f>
        <v>93012.68</v>
      </c>
      <c r="G72" s="319" t="e">
        <f>SUMIF(#REF!,G4,#REF!)</f>
        <v>#REF!</v>
      </c>
      <c r="H72" s="73" t="e">
        <f t="shared" ref="H72:H79" si="30">+($D72*G72)</f>
        <v>#REF!</v>
      </c>
      <c r="I72" s="319" t="e">
        <f>SUMIF(#REF!,I4,#REF!)</f>
        <v>#REF!</v>
      </c>
      <c r="J72" s="73" t="e">
        <f t="shared" ref="J72:J79" si="31">($D72*I72)</f>
        <v>#REF!</v>
      </c>
      <c r="K72" s="319" t="e">
        <f>SUMIF(#REF!,K4,#REF!)</f>
        <v>#REF!</v>
      </c>
      <c r="L72" s="73" t="e">
        <f t="shared" ref="L72:L79" si="32">($D72*K72)</f>
        <v>#REF!</v>
      </c>
      <c r="M72" s="319" t="e">
        <f>SUMIF(#REF!,M4,#REF!)</f>
        <v>#REF!</v>
      </c>
      <c r="N72" s="73" t="e">
        <f t="shared" ref="N72:N79" si="33">($D72*M72)</f>
        <v>#REF!</v>
      </c>
      <c r="O72" s="319" t="e">
        <f t="shared" ref="O72:O79" si="34">+G72+I72+K72+M72</f>
        <v>#REF!</v>
      </c>
      <c r="P72" s="73" t="e">
        <f t="shared" ref="P72:P79" si="35">+H72+J72+L72+N72</f>
        <v>#REF!</v>
      </c>
      <c r="Q72" s="340" t="e">
        <f>+'Planilla de Avance'!#REF!-O72</f>
        <v>#REF!</v>
      </c>
    </row>
    <row r="73" spans="1:17" ht="12.75" customHeight="1">
      <c r="A73" s="290">
        <v>9.1999999999999993</v>
      </c>
      <c r="B73" s="35" t="s">
        <v>50</v>
      </c>
      <c r="C73" s="59" t="s">
        <v>27</v>
      </c>
      <c r="D73" s="65">
        <v>103.86</v>
      </c>
      <c r="E73" s="36">
        <v>2712.39</v>
      </c>
      <c r="F73" s="66">
        <f t="shared" ref="F73:F79" si="36">ROUND(E73*D73,2)</f>
        <v>281708.83</v>
      </c>
      <c r="G73" s="320" t="e">
        <f>SUMIF(#REF!,G4,#REF!)</f>
        <v>#REF!</v>
      </c>
      <c r="H73" s="37" t="e">
        <f t="shared" si="30"/>
        <v>#REF!</v>
      </c>
      <c r="I73" s="320" t="e">
        <f>SUMIF(#REF!,I4,#REF!)</f>
        <v>#REF!</v>
      </c>
      <c r="J73" s="37" t="e">
        <f t="shared" si="31"/>
        <v>#REF!</v>
      </c>
      <c r="K73" s="320" t="e">
        <f>SUMIF(#REF!,K4,#REF!)</f>
        <v>#REF!</v>
      </c>
      <c r="L73" s="37" t="e">
        <f t="shared" si="32"/>
        <v>#REF!</v>
      </c>
      <c r="M73" s="320" t="e">
        <f>SUMIF(#REF!,M4,#REF!)</f>
        <v>#REF!</v>
      </c>
      <c r="N73" s="37" t="e">
        <f t="shared" si="33"/>
        <v>#REF!</v>
      </c>
      <c r="O73" s="320" t="e">
        <f t="shared" si="34"/>
        <v>#REF!</v>
      </c>
      <c r="P73" s="37" t="e">
        <f t="shared" si="35"/>
        <v>#REF!</v>
      </c>
      <c r="Q73" s="340" t="e">
        <f>+'Planilla de Avance'!#REF!-O73</f>
        <v>#REF!</v>
      </c>
    </row>
    <row r="74" spans="1:17" ht="12.75" customHeight="1">
      <c r="A74" s="290">
        <v>9.3000000000000007</v>
      </c>
      <c r="B74" s="35" t="s">
        <v>55</v>
      </c>
      <c r="C74" s="59" t="s">
        <v>31</v>
      </c>
      <c r="D74" s="65">
        <v>69.8</v>
      </c>
      <c r="E74" s="36">
        <v>50.61</v>
      </c>
      <c r="F74" s="66">
        <f t="shared" si="36"/>
        <v>3532.58</v>
      </c>
      <c r="G74" s="320" t="e">
        <f>SUMIF(#REF!,G4,#REF!)</f>
        <v>#REF!</v>
      </c>
      <c r="H74" s="37" t="e">
        <f t="shared" si="30"/>
        <v>#REF!</v>
      </c>
      <c r="I74" s="320" t="e">
        <f>SUMIF(#REF!,I4,#REF!)</f>
        <v>#REF!</v>
      </c>
      <c r="J74" s="37" t="e">
        <f t="shared" si="31"/>
        <v>#REF!</v>
      </c>
      <c r="K74" s="320" t="e">
        <f>SUMIF(#REF!,K4,#REF!)</f>
        <v>#REF!</v>
      </c>
      <c r="L74" s="37" t="e">
        <f t="shared" si="32"/>
        <v>#REF!</v>
      </c>
      <c r="M74" s="320" t="e">
        <f>SUMIF(#REF!,M4,#REF!)</f>
        <v>#REF!</v>
      </c>
      <c r="N74" s="37" t="e">
        <f t="shared" si="33"/>
        <v>#REF!</v>
      </c>
      <c r="O74" s="320" t="e">
        <f t="shared" si="34"/>
        <v>#REF!</v>
      </c>
      <c r="P74" s="37" t="e">
        <f t="shared" si="35"/>
        <v>#REF!</v>
      </c>
      <c r="Q74" s="340" t="e">
        <f>+'Planilla de Avance'!#REF!-O74</f>
        <v>#REF!</v>
      </c>
    </row>
    <row r="75" spans="1:17" ht="12.75" customHeight="1">
      <c r="A75" s="290">
        <v>9.4</v>
      </c>
      <c r="B75" s="35" t="s">
        <v>47</v>
      </c>
      <c r="C75" s="59" t="s">
        <v>27</v>
      </c>
      <c r="D75" s="65">
        <v>2471.46</v>
      </c>
      <c r="E75" s="36">
        <v>715.21</v>
      </c>
      <c r="F75" s="66">
        <f t="shared" si="36"/>
        <v>1767612.91</v>
      </c>
      <c r="G75" s="320" t="e">
        <f>SUMIF(#REF!,G4,#REF!)</f>
        <v>#REF!</v>
      </c>
      <c r="H75" s="37" t="e">
        <f t="shared" si="30"/>
        <v>#REF!</v>
      </c>
      <c r="I75" s="320" t="e">
        <f>SUMIF(#REF!,I4,#REF!)</f>
        <v>#REF!</v>
      </c>
      <c r="J75" s="37" t="e">
        <f t="shared" si="31"/>
        <v>#REF!</v>
      </c>
      <c r="K75" s="320" t="e">
        <f>SUMIF(#REF!,K4,#REF!)</f>
        <v>#REF!</v>
      </c>
      <c r="L75" s="37" t="e">
        <f t="shared" si="32"/>
        <v>#REF!</v>
      </c>
      <c r="M75" s="320" t="e">
        <f>SUMIF(#REF!,M4,#REF!)</f>
        <v>#REF!</v>
      </c>
      <c r="N75" s="37" t="e">
        <f t="shared" si="33"/>
        <v>#REF!</v>
      </c>
      <c r="O75" s="320" t="e">
        <f t="shared" si="34"/>
        <v>#REF!</v>
      </c>
      <c r="P75" s="37" t="e">
        <f t="shared" si="35"/>
        <v>#REF!</v>
      </c>
      <c r="Q75" s="340" t="e">
        <f>+'Planilla de Avance'!#REF!-O75</f>
        <v>#REF!</v>
      </c>
    </row>
    <row r="76" spans="1:17" ht="12.75" customHeight="1">
      <c r="A76" s="290">
        <v>9.5</v>
      </c>
      <c r="B76" s="35" t="s">
        <v>19</v>
      </c>
      <c r="C76" s="59" t="s">
        <v>46</v>
      </c>
      <c r="D76" s="65">
        <v>28.13</v>
      </c>
      <c r="E76" s="36">
        <v>51807.88</v>
      </c>
      <c r="F76" s="66">
        <f t="shared" si="36"/>
        <v>1457355.66</v>
      </c>
      <c r="G76" s="320" t="e">
        <f>SUMIF(#REF!,G4,#REF!)</f>
        <v>#REF!</v>
      </c>
      <c r="H76" s="37" t="e">
        <f t="shared" si="30"/>
        <v>#REF!</v>
      </c>
      <c r="I76" s="320" t="e">
        <f>SUMIF(#REF!,I4,#REF!)</f>
        <v>#REF!</v>
      </c>
      <c r="J76" s="37" t="e">
        <f t="shared" si="31"/>
        <v>#REF!</v>
      </c>
      <c r="K76" s="320" t="e">
        <f>SUMIF(#REF!,K4,#REF!)</f>
        <v>#REF!</v>
      </c>
      <c r="L76" s="37" t="e">
        <f t="shared" si="32"/>
        <v>#REF!</v>
      </c>
      <c r="M76" s="320" t="e">
        <f>SUMIF(#REF!,M4,#REF!)</f>
        <v>#REF!</v>
      </c>
      <c r="N76" s="37" t="e">
        <f t="shared" si="33"/>
        <v>#REF!</v>
      </c>
      <c r="O76" s="320" t="e">
        <f t="shared" si="34"/>
        <v>#REF!</v>
      </c>
      <c r="P76" s="37" t="e">
        <f t="shared" si="35"/>
        <v>#REF!</v>
      </c>
      <c r="Q76" s="340" t="e">
        <f>+'Planilla de Avance'!M76-O76</f>
        <v>#REF!</v>
      </c>
    </row>
    <row r="77" spans="1:17" ht="12.75" customHeight="1">
      <c r="A77" s="290">
        <v>9.6</v>
      </c>
      <c r="B77" s="35" t="s">
        <v>76</v>
      </c>
      <c r="C77" s="59" t="s">
        <v>27</v>
      </c>
      <c r="D77" s="65">
        <v>1270.8999999999999</v>
      </c>
      <c r="E77" s="36">
        <v>44.69</v>
      </c>
      <c r="F77" s="66">
        <f t="shared" si="36"/>
        <v>56796.52</v>
      </c>
      <c r="G77" s="320" t="e">
        <f>SUMIF(#REF!,G4,#REF!)</f>
        <v>#REF!</v>
      </c>
      <c r="H77" s="37" t="e">
        <f t="shared" si="30"/>
        <v>#REF!</v>
      </c>
      <c r="I77" s="320" t="e">
        <f>SUMIF(#REF!,I4,#REF!)</f>
        <v>#REF!</v>
      </c>
      <c r="J77" s="37" t="e">
        <f t="shared" si="31"/>
        <v>#REF!</v>
      </c>
      <c r="K77" s="320" t="e">
        <f>SUMIF(#REF!,K4,#REF!)</f>
        <v>#REF!</v>
      </c>
      <c r="L77" s="37" t="e">
        <f t="shared" si="32"/>
        <v>#REF!</v>
      </c>
      <c r="M77" s="320" t="e">
        <f>SUMIF(#REF!,M4,#REF!)</f>
        <v>#REF!</v>
      </c>
      <c r="N77" s="37" t="e">
        <f t="shared" si="33"/>
        <v>#REF!</v>
      </c>
      <c r="O77" s="320" t="e">
        <f t="shared" si="34"/>
        <v>#REF!</v>
      </c>
      <c r="P77" s="37" t="e">
        <f t="shared" si="35"/>
        <v>#REF!</v>
      </c>
      <c r="Q77" s="340" t="e">
        <f>+'Planilla de Avance'!M77-O77</f>
        <v>#REF!</v>
      </c>
    </row>
    <row r="78" spans="1:17" ht="12.75" customHeight="1">
      <c r="A78" s="290">
        <v>9.6999999999999993</v>
      </c>
      <c r="B78" s="35" t="s">
        <v>65</v>
      </c>
      <c r="C78" s="59" t="s">
        <v>27</v>
      </c>
      <c r="D78" s="65">
        <v>746.52</v>
      </c>
      <c r="E78" s="36">
        <v>7.86</v>
      </c>
      <c r="F78" s="66">
        <f t="shared" si="36"/>
        <v>5867.65</v>
      </c>
      <c r="G78" s="320" t="e">
        <f>SUMIF(#REF!,G4,#REF!)</f>
        <v>#REF!</v>
      </c>
      <c r="H78" s="37" t="e">
        <f t="shared" si="30"/>
        <v>#REF!</v>
      </c>
      <c r="I78" s="320" t="e">
        <f>SUMIF(#REF!,I4,#REF!)</f>
        <v>#REF!</v>
      </c>
      <c r="J78" s="37" t="e">
        <f t="shared" si="31"/>
        <v>#REF!</v>
      </c>
      <c r="K78" s="320" t="e">
        <f>SUMIF(#REF!,K4,#REF!)</f>
        <v>#REF!</v>
      </c>
      <c r="L78" s="37" t="e">
        <f t="shared" si="32"/>
        <v>#REF!</v>
      </c>
      <c r="M78" s="320" t="e">
        <f>SUMIF(#REF!,M4,#REF!)</f>
        <v>#REF!</v>
      </c>
      <c r="N78" s="37" t="e">
        <f t="shared" si="33"/>
        <v>#REF!</v>
      </c>
      <c r="O78" s="320" t="e">
        <f t="shared" si="34"/>
        <v>#REF!</v>
      </c>
      <c r="P78" s="37" t="e">
        <f t="shared" si="35"/>
        <v>#REF!</v>
      </c>
      <c r="Q78" s="340" t="e">
        <f>+'Planilla de Avance'!M78-O78</f>
        <v>#REF!</v>
      </c>
    </row>
    <row r="79" spans="1:17" ht="12.75" customHeight="1">
      <c r="A79" s="291">
        <v>9.8000000000000007</v>
      </c>
      <c r="B79" s="45" t="s">
        <v>77</v>
      </c>
      <c r="C79" s="60" t="s">
        <v>0</v>
      </c>
      <c r="D79" s="67">
        <v>92.990000000000023</v>
      </c>
      <c r="E79" s="46">
        <v>15.5</v>
      </c>
      <c r="F79" s="68">
        <f t="shared" si="36"/>
        <v>1441.35</v>
      </c>
      <c r="G79" s="321" t="e">
        <f>SUMIF(#REF!,G4,#REF!)</f>
        <v>#REF!</v>
      </c>
      <c r="H79" s="47" t="e">
        <f t="shared" si="30"/>
        <v>#REF!</v>
      </c>
      <c r="I79" s="321" t="e">
        <f>SUMIF(#REF!,I4,#REF!)</f>
        <v>#REF!</v>
      </c>
      <c r="J79" s="47" t="e">
        <f t="shared" si="31"/>
        <v>#REF!</v>
      </c>
      <c r="K79" s="321" t="e">
        <f>SUMIF(#REF!,K4,#REF!)</f>
        <v>#REF!</v>
      </c>
      <c r="L79" s="47" t="e">
        <f t="shared" si="32"/>
        <v>#REF!</v>
      </c>
      <c r="M79" s="321" t="e">
        <f>SUMIF(#REF!,M4,#REF!)</f>
        <v>#REF!</v>
      </c>
      <c r="N79" s="47" t="e">
        <f t="shared" si="33"/>
        <v>#REF!</v>
      </c>
      <c r="O79" s="321" t="e">
        <f t="shared" si="34"/>
        <v>#REF!</v>
      </c>
      <c r="P79" s="47" t="e">
        <f t="shared" si="35"/>
        <v>#REF!</v>
      </c>
      <c r="Q79" s="340" t="e">
        <f>+'Planilla de Avance'!M81-O79</f>
        <v>#REF!</v>
      </c>
    </row>
    <row r="80" spans="1:17" ht="12.75" customHeight="1">
      <c r="A80" s="93"/>
      <c r="B80" s="48" t="s">
        <v>10</v>
      </c>
      <c r="C80" s="49"/>
      <c r="D80" s="69"/>
      <c r="E80" s="51"/>
      <c r="F80" s="70">
        <f>SUM(F72:F79)</f>
        <v>3667328.18</v>
      </c>
      <c r="G80" s="52"/>
      <c r="H80" s="76" t="e">
        <f>SUM(H72:H79)</f>
        <v>#REF!</v>
      </c>
      <c r="I80" s="52"/>
      <c r="J80" s="76" t="e">
        <f>SUM(J72:J79)</f>
        <v>#REF!</v>
      </c>
      <c r="K80" s="52"/>
      <c r="L80" s="76" t="e">
        <f>SUM(L72:L79)</f>
        <v>#REF!</v>
      </c>
      <c r="M80" s="52"/>
      <c r="N80" s="76" t="e">
        <f>SUM(N72:N79)</f>
        <v>#REF!</v>
      </c>
      <c r="O80" s="52"/>
      <c r="P80" s="76" t="e">
        <f>SUM(P72:P79)</f>
        <v>#REF!</v>
      </c>
      <c r="Q80" s="340" t="e">
        <f>+'Planilla de Avance'!#REF!-O80</f>
        <v>#REF!</v>
      </c>
    </row>
    <row r="81" spans="1:17" ht="12.75" customHeight="1">
      <c r="A81" s="287" t="s">
        <v>80</v>
      </c>
      <c r="B81" s="41" t="s">
        <v>81</v>
      </c>
      <c r="C81" s="74"/>
      <c r="D81" s="57"/>
      <c r="E81" s="75"/>
      <c r="F81" s="57"/>
      <c r="G81" s="53"/>
      <c r="H81" s="53"/>
      <c r="I81" s="53"/>
      <c r="J81" s="53"/>
      <c r="K81" s="53"/>
      <c r="L81" s="53"/>
      <c r="M81" s="53"/>
      <c r="N81" s="54"/>
      <c r="O81" s="53"/>
      <c r="P81" s="54"/>
      <c r="Q81" s="340" t="e">
        <f>+'Planilla de Avance'!#REF!-O81</f>
        <v>#REF!</v>
      </c>
    </row>
    <row r="82" spans="1:17" ht="12.75" customHeight="1">
      <c r="A82" s="97"/>
      <c r="B82" s="94" t="s">
        <v>82</v>
      </c>
      <c r="C82" s="74"/>
      <c r="D82" s="95"/>
      <c r="E82" s="95"/>
      <c r="F82" s="57"/>
      <c r="G82" s="53"/>
      <c r="H82" s="53"/>
      <c r="I82" s="53"/>
      <c r="J82" s="53"/>
      <c r="K82" s="330"/>
      <c r="L82" s="53"/>
      <c r="M82" s="53"/>
      <c r="N82" s="54"/>
      <c r="O82" s="53"/>
      <c r="P82" s="54"/>
      <c r="Q82" s="340" t="e">
        <f>+'Planilla de Avance'!#REF!-O82</f>
        <v>#REF!</v>
      </c>
    </row>
    <row r="83" spans="1:17" ht="12.75" customHeight="1">
      <c r="A83" s="289">
        <v>10.1</v>
      </c>
      <c r="B83" s="40" t="s">
        <v>47</v>
      </c>
      <c r="C83" s="58" t="s">
        <v>27</v>
      </c>
      <c r="D83" s="62">
        <v>2471.46</v>
      </c>
      <c r="E83" s="63">
        <v>562.14</v>
      </c>
      <c r="F83" s="64">
        <f>ROUND(E83*D83,2)</f>
        <v>1389306.52</v>
      </c>
      <c r="G83" s="319" t="e">
        <f>SUMIF(#REF!,G4,#REF!)</f>
        <v>#REF!</v>
      </c>
      <c r="H83" s="73" t="e">
        <f>+($D83*G83)</f>
        <v>#REF!</v>
      </c>
      <c r="I83" s="319" t="e">
        <f>SUMIF(#REF!,I4,#REF!)</f>
        <v>#REF!</v>
      </c>
      <c r="J83" s="73" t="e">
        <f>($D83*I83)</f>
        <v>#REF!</v>
      </c>
      <c r="K83" s="319" t="e">
        <f>SUMIF(#REF!,K4,#REF!)</f>
        <v>#REF!</v>
      </c>
      <c r="L83" s="73" t="e">
        <f>($D83*K83)</f>
        <v>#REF!</v>
      </c>
      <c r="M83" s="319" t="e">
        <f>SUMIF(#REF!,M4,#REF!)</f>
        <v>#REF!</v>
      </c>
      <c r="N83" s="73" t="e">
        <f>($D83*M83)</f>
        <v>#REF!</v>
      </c>
      <c r="O83" s="319" t="e">
        <f t="shared" ref="O83:P87" si="37">+G83+I83+K83+M83</f>
        <v>#REF!</v>
      </c>
      <c r="P83" s="73" t="e">
        <f t="shared" si="37"/>
        <v>#REF!</v>
      </c>
      <c r="Q83" s="340" t="e">
        <f>+'Planilla de Avance'!M82-O83</f>
        <v>#REF!</v>
      </c>
    </row>
    <row r="84" spans="1:17" ht="12.75" customHeight="1">
      <c r="A84" s="290">
        <v>10.199999999999999</v>
      </c>
      <c r="B84" s="35" t="s">
        <v>19</v>
      </c>
      <c r="C84" s="59" t="s">
        <v>46</v>
      </c>
      <c r="D84" s="65">
        <v>28.13</v>
      </c>
      <c r="E84" s="36">
        <v>44280</v>
      </c>
      <c r="F84" s="66">
        <f>ROUND(E84*D84,2)</f>
        <v>1245596.3999999999</v>
      </c>
      <c r="G84" s="320" t="e">
        <f>SUMIF(#REF!,G4,#REF!)</f>
        <v>#REF!</v>
      </c>
      <c r="H84" s="37" t="e">
        <f>+($D84*G84)</f>
        <v>#REF!</v>
      </c>
      <c r="I84" s="320" t="e">
        <f>SUMIF(#REF!,I4,#REF!)</f>
        <v>#REF!</v>
      </c>
      <c r="J84" s="37" t="e">
        <f>($D84*I84)</f>
        <v>#REF!</v>
      </c>
      <c r="K84" s="320" t="e">
        <f>SUMIF(#REF!,K4,#REF!)</f>
        <v>#REF!</v>
      </c>
      <c r="L84" s="37" t="e">
        <f>($D84*K84)</f>
        <v>#REF!</v>
      </c>
      <c r="M84" s="320" t="e">
        <f>SUMIF(#REF!,M4,#REF!)</f>
        <v>#REF!</v>
      </c>
      <c r="N84" s="37" t="e">
        <f>($D84*M84)</f>
        <v>#REF!</v>
      </c>
      <c r="O84" s="320" t="e">
        <f t="shared" si="37"/>
        <v>#REF!</v>
      </c>
      <c r="P84" s="37" t="e">
        <f t="shared" si="37"/>
        <v>#REF!</v>
      </c>
      <c r="Q84" s="340" t="e">
        <f>+'Planilla de Avance'!M85-O84</f>
        <v>#REF!</v>
      </c>
    </row>
    <row r="85" spans="1:17" ht="12.75" customHeight="1">
      <c r="A85" s="290">
        <v>10.3</v>
      </c>
      <c r="B85" s="35" t="s">
        <v>85</v>
      </c>
      <c r="C85" s="59" t="s">
        <v>86</v>
      </c>
      <c r="D85" s="65">
        <v>508.86</v>
      </c>
      <c r="E85" s="36">
        <v>100</v>
      </c>
      <c r="F85" s="66">
        <f>ROUND(E85*D85,2)</f>
        <v>50886</v>
      </c>
      <c r="G85" s="320" t="e">
        <f>SUMIF(#REF!,G4,#REF!)</f>
        <v>#REF!</v>
      </c>
      <c r="H85" s="37" t="e">
        <f>+($D85*G85)</f>
        <v>#REF!</v>
      </c>
      <c r="I85" s="320" t="e">
        <f>SUMIF(#REF!,I4,#REF!)</f>
        <v>#REF!</v>
      </c>
      <c r="J85" s="37" t="e">
        <f>($D85*I85)</f>
        <v>#REF!</v>
      </c>
      <c r="K85" s="320" t="e">
        <f>SUMIF(#REF!,K4,#REF!)</f>
        <v>#REF!</v>
      </c>
      <c r="L85" s="37" t="e">
        <f>($D85*K85)</f>
        <v>#REF!</v>
      </c>
      <c r="M85" s="320" t="e">
        <f>SUMIF(#REF!,M4,#REF!)</f>
        <v>#REF!</v>
      </c>
      <c r="N85" s="37" t="e">
        <f>($D85*M85)</f>
        <v>#REF!</v>
      </c>
      <c r="O85" s="320" t="e">
        <f t="shared" si="37"/>
        <v>#REF!</v>
      </c>
      <c r="P85" s="37" t="e">
        <f t="shared" si="37"/>
        <v>#REF!</v>
      </c>
      <c r="Q85" s="340" t="e">
        <f>+'Planilla de Avance'!M86-O85</f>
        <v>#REF!</v>
      </c>
    </row>
    <row r="86" spans="1:17" ht="12.75" customHeight="1">
      <c r="A86" s="290">
        <v>10.4</v>
      </c>
      <c r="B86" s="35" t="s">
        <v>11</v>
      </c>
      <c r="C86" s="59" t="s">
        <v>27</v>
      </c>
      <c r="D86" s="65">
        <v>25.820000000000004</v>
      </c>
      <c r="E86" s="36">
        <v>2159.21</v>
      </c>
      <c r="F86" s="66">
        <f>ROUND(E86*D86,2)</f>
        <v>55750.8</v>
      </c>
      <c r="G86" s="320" t="e">
        <f>SUMIF(#REF!,G4,#REF!)</f>
        <v>#REF!</v>
      </c>
      <c r="H86" s="37" t="e">
        <f>+($D86*G86)</f>
        <v>#REF!</v>
      </c>
      <c r="I86" s="320" t="e">
        <f>SUMIF(#REF!,I4,#REF!)</f>
        <v>#REF!</v>
      </c>
      <c r="J86" s="37" t="e">
        <f>($D86*I86)</f>
        <v>#REF!</v>
      </c>
      <c r="K86" s="320" t="e">
        <f>SUMIF(#REF!,K4,#REF!)</f>
        <v>#REF!</v>
      </c>
      <c r="L86" s="37" t="e">
        <f>($D86*K86)</f>
        <v>#REF!</v>
      </c>
      <c r="M86" s="320" t="e">
        <f>SUMIF(#REF!,M4,#REF!)</f>
        <v>#REF!</v>
      </c>
      <c r="N86" s="37" t="e">
        <f>($D86*M86)</f>
        <v>#REF!</v>
      </c>
      <c r="O86" s="320" t="e">
        <f t="shared" si="37"/>
        <v>#REF!</v>
      </c>
      <c r="P86" s="37" t="e">
        <f t="shared" si="37"/>
        <v>#REF!</v>
      </c>
      <c r="Q86" s="340" t="e">
        <f>+'Planilla de Avance'!#REF!-O86</f>
        <v>#REF!</v>
      </c>
    </row>
    <row r="87" spans="1:17" ht="12.75" customHeight="1">
      <c r="A87" s="290">
        <v>10.5</v>
      </c>
      <c r="B87" s="35" t="s">
        <v>76</v>
      </c>
      <c r="C87" s="59" t="s">
        <v>27</v>
      </c>
      <c r="D87" s="65">
        <v>1270.8999999999999</v>
      </c>
      <c r="E87" s="36">
        <v>27.52</v>
      </c>
      <c r="F87" s="66">
        <f>ROUND(E87*D87,2)</f>
        <v>34975.17</v>
      </c>
      <c r="G87" s="320" t="e">
        <f>SUMIF(#REF!,G4,#REF!)</f>
        <v>#REF!</v>
      </c>
      <c r="H87" s="37" t="e">
        <f>+($D87*G87)</f>
        <v>#REF!</v>
      </c>
      <c r="I87" s="320" t="e">
        <f>SUMIF(#REF!,I4,#REF!)</f>
        <v>#REF!</v>
      </c>
      <c r="J87" s="37" t="e">
        <f>($D87*I87)</f>
        <v>#REF!</v>
      </c>
      <c r="K87" s="320" t="e">
        <f>SUMIF(#REF!,K4,#REF!)</f>
        <v>#REF!</v>
      </c>
      <c r="L87" s="37" t="e">
        <f>($D87*K87)</f>
        <v>#REF!</v>
      </c>
      <c r="M87" s="320" t="e">
        <f>SUMIF(#REF!,M4,#REF!)</f>
        <v>#REF!</v>
      </c>
      <c r="N87" s="37" t="e">
        <f>($D87*M87)</f>
        <v>#REF!</v>
      </c>
      <c r="O87" s="320" t="e">
        <f t="shared" si="37"/>
        <v>#REF!</v>
      </c>
      <c r="P87" s="37" t="e">
        <f t="shared" si="37"/>
        <v>#REF!</v>
      </c>
      <c r="Q87" s="340" t="e">
        <f>+'Planilla de Avance'!#REF!-O87</f>
        <v>#REF!</v>
      </c>
    </row>
    <row r="88" spans="1:17" ht="12.75" customHeight="1">
      <c r="A88" s="93"/>
      <c r="B88" s="48" t="s">
        <v>10</v>
      </c>
      <c r="C88" s="49"/>
      <c r="D88" s="69"/>
      <c r="E88" s="51"/>
      <c r="F88" s="70">
        <f>SUM(F83:F87)</f>
        <v>2776514.8899999997</v>
      </c>
      <c r="G88" s="52"/>
      <c r="H88" s="76" t="e">
        <f>SUM(H83:H87)</f>
        <v>#REF!</v>
      </c>
      <c r="I88" s="52"/>
      <c r="J88" s="76" t="e">
        <f>SUM(J83:J87)</f>
        <v>#REF!</v>
      </c>
      <c r="K88" s="52"/>
      <c r="L88" s="76" t="e">
        <f>SUM(L83:L87)</f>
        <v>#REF!</v>
      </c>
      <c r="M88" s="52"/>
      <c r="N88" s="76" t="e">
        <f>SUM(N83:N87)</f>
        <v>#REF!</v>
      </c>
      <c r="O88" s="52"/>
      <c r="P88" s="76" t="e">
        <f>SUM(P83:P87)</f>
        <v>#REF!</v>
      </c>
      <c r="Q88" s="340" t="e">
        <f>+'Planilla de Avance'!#REF!-O88</f>
        <v>#REF!</v>
      </c>
    </row>
    <row r="89" spans="1:17" ht="12.75" customHeight="1">
      <c r="A89" s="93"/>
      <c r="B89" s="94" t="s">
        <v>83</v>
      </c>
      <c r="C89" s="74"/>
      <c r="D89" s="75"/>
      <c r="E89" s="75"/>
      <c r="F89" s="75"/>
      <c r="G89" s="53"/>
      <c r="H89" s="53"/>
      <c r="I89" s="53"/>
      <c r="J89" s="53"/>
      <c r="K89" s="53"/>
      <c r="L89" s="53"/>
      <c r="M89" s="53"/>
      <c r="N89" s="54"/>
      <c r="O89" s="53"/>
      <c r="P89" s="54"/>
      <c r="Q89" s="340" t="e">
        <f>+'Planilla de Avance'!#REF!-O89</f>
        <v>#REF!</v>
      </c>
    </row>
    <row r="90" spans="1:17" ht="12.75" customHeight="1">
      <c r="A90" s="289">
        <v>10.6</v>
      </c>
      <c r="B90" s="40" t="s">
        <v>47</v>
      </c>
      <c r="C90" s="58" t="s">
        <v>27</v>
      </c>
      <c r="D90" s="62">
        <v>2471.46</v>
      </c>
      <c r="E90" s="63">
        <v>49.02</v>
      </c>
      <c r="F90" s="64">
        <f t="shared" ref="F90:F99" si="38">ROUND(E90*D90,2)</f>
        <v>121150.97</v>
      </c>
      <c r="G90" s="319" t="e">
        <f>SUMIF(#REF!,G4,#REF!)</f>
        <v>#REF!</v>
      </c>
      <c r="H90" s="73" t="e">
        <f t="shared" ref="H90:H99" si="39">+($D90*G90)</f>
        <v>#REF!</v>
      </c>
      <c r="I90" s="319" t="e">
        <f>SUMIF(#REF!,I4,#REF!)</f>
        <v>#REF!</v>
      </c>
      <c r="J90" s="73" t="e">
        <f t="shared" ref="J90:J99" si="40">($D90*I90)</f>
        <v>#REF!</v>
      </c>
      <c r="K90" s="319" t="e">
        <f>SUMIF(#REF!,K4,#REF!)</f>
        <v>#REF!</v>
      </c>
      <c r="L90" s="73" t="e">
        <f t="shared" ref="L90:L99" si="41">($D90*K90)</f>
        <v>#REF!</v>
      </c>
      <c r="M90" s="319" t="e">
        <f>SUMIF(#REF!,M4,#REF!)</f>
        <v>#REF!</v>
      </c>
      <c r="N90" s="73" t="e">
        <f t="shared" ref="N90:N99" si="42">($D90*M90)</f>
        <v>#REF!</v>
      </c>
      <c r="O90" s="319" t="e">
        <f t="shared" ref="O90:O99" si="43">+G90+I90+K90+M90</f>
        <v>#REF!</v>
      </c>
      <c r="P90" s="73" t="e">
        <f t="shared" ref="P90:P99" si="44">+H90+J90+L90+N90</f>
        <v>#REF!</v>
      </c>
      <c r="Q90" s="340" t="e">
        <f>+'Planilla de Avance'!#REF!-O90</f>
        <v>#REF!</v>
      </c>
    </row>
    <row r="91" spans="1:17" ht="12.75" customHeight="1">
      <c r="A91" s="290">
        <v>10.7</v>
      </c>
      <c r="B91" s="35" t="s">
        <v>19</v>
      </c>
      <c r="C91" s="59" t="s">
        <v>46</v>
      </c>
      <c r="D91" s="65">
        <v>28.13</v>
      </c>
      <c r="E91" s="36">
        <v>5392.2</v>
      </c>
      <c r="F91" s="66">
        <f t="shared" si="38"/>
        <v>151682.59</v>
      </c>
      <c r="G91" s="320" t="e">
        <f>SUMIF(#REF!,G4,#REF!)</f>
        <v>#REF!</v>
      </c>
      <c r="H91" s="37" t="e">
        <f t="shared" si="39"/>
        <v>#REF!</v>
      </c>
      <c r="I91" s="320" t="e">
        <f>SUMIF(#REF!,I4,#REF!)</f>
        <v>#REF!</v>
      </c>
      <c r="J91" s="37" t="e">
        <f t="shared" si="40"/>
        <v>#REF!</v>
      </c>
      <c r="K91" s="320" t="e">
        <f>SUMIF(#REF!,K4,#REF!)</f>
        <v>#REF!</v>
      </c>
      <c r="L91" s="37" t="e">
        <f t="shared" si="41"/>
        <v>#REF!</v>
      </c>
      <c r="M91" s="320" t="e">
        <f>SUMIF(#REF!,M4,#REF!)</f>
        <v>#REF!</v>
      </c>
      <c r="N91" s="37" t="e">
        <f t="shared" si="42"/>
        <v>#REF!</v>
      </c>
      <c r="O91" s="320" t="e">
        <f t="shared" si="43"/>
        <v>#REF!</v>
      </c>
      <c r="P91" s="37" t="e">
        <f t="shared" si="44"/>
        <v>#REF!</v>
      </c>
      <c r="Q91" s="340" t="e">
        <f>+'Planilla de Avance'!#REF!-O91</f>
        <v>#REF!</v>
      </c>
    </row>
    <row r="92" spans="1:17" ht="12.75" customHeight="1">
      <c r="A92" s="290">
        <v>10.8</v>
      </c>
      <c r="B92" s="35" t="s">
        <v>12</v>
      </c>
      <c r="C92" s="59" t="s">
        <v>20</v>
      </c>
      <c r="D92" s="65">
        <v>1451.74</v>
      </c>
      <c r="E92" s="36">
        <v>45.7</v>
      </c>
      <c r="F92" s="66">
        <f t="shared" si="38"/>
        <v>66344.52</v>
      </c>
      <c r="G92" s="320" t="e">
        <f>SUMIF(#REF!,G4,#REF!)</f>
        <v>#REF!</v>
      </c>
      <c r="H92" s="37" t="e">
        <f t="shared" si="39"/>
        <v>#REF!</v>
      </c>
      <c r="I92" s="320" t="e">
        <f>SUMIF(#REF!,I4,#REF!)</f>
        <v>#REF!</v>
      </c>
      <c r="J92" s="37" t="e">
        <f t="shared" si="40"/>
        <v>#REF!</v>
      </c>
      <c r="K92" s="320" t="e">
        <f>SUMIF(#REF!,K4,#REF!)</f>
        <v>#REF!</v>
      </c>
      <c r="L92" s="37" t="e">
        <f t="shared" si="41"/>
        <v>#REF!</v>
      </c>
      <c r="M92" s="320" t="e">
        <f>SUMIF(#REF!,M4,#REF!)</f>
        <v>#REF!</v>
      </c>
      <c r="N92" s="37" t="e">
        <f t="shared" si="42"/>
        <v>#REF!</v>
      </c>
      <c r="O92" s="320" t="e">
        <f t="shared" si="43"/>
        <v>#REF!</v>
      </c>
      <c r="P92" s="37" t="e">
        <f t="shared" si="44"/>
        <v>#REF!</v>
      </c>
      <c r="Q92" s="340" t="e">
        <f>+'Planilla de Avance'!#REF!-O92</f>
        <v>#REF!</v>
      </c>
    </row>
    <row r="93" spans="1:17" ht="12.75" customHeight="1">
      <c r="A93" s="290">
        <v>10.9</v>
      </c>
      <c r="B93" s="35" t="s">
        <v>87</v>
      </c>
      <c r="C93" s="59" t="s">
        <v>0</v>
      </c>
      <c r="D93" s="65">
        <v>109.44</v>
      </c>
      <c r="E93" s="36">
        <v>7.04</v>
      </c>
      <c r="F93" s="66">
        <f t="shared" si="38"/>
        <v>770.46</v>
      </c>
      <c r="G93" s="320" t="e">
        <f>SUMIF(#REF!,G4,#REF!)</f>
        <v>#REF!</v>
      </c>
      <c r="H93" s="37" t="e">
        <f t="shared" si="39"/>
        <v>#REF!</v>
      </c>
      <c r="I93" s="320" t="e">
        <f>SUMIF(#REF!,I4,#REF!)</f>
        <v>#REF!</v>
      </c>
      <c r="J93" s="37" t="e">
        <f t="shared" si="40"/>
        <v>#REF!</v>
      </c>
      <c r="K93" s="320" t="e">
        <f>SUMIF(#REF!,K4,#REF!)</f>
        <v>#REF!</v>
      </c>
      <c r="L93" s="37" t="e">
        <f t="shared" si="41"/>
        <v>#REF!</v>
      </c>
      <c r="M93" s="320" t="e">
        <f>SUMIF(#REF!,M4,#REF!)</f>
        <v>#REF!</v>
      </c>
      <c r="N93" s="37" t="e">
        <f t="shared" si="42"/>
        <v>#REF!</v>
      </c>
      <c r="O93" s="320" t="e">
        <f t="shared" si="43"/>
        <v>#REF!</v>
      </c>
      <c r="P93" s="37" t="e">
        <f t="shared" si="44"/>
        <v>#REF!</v>
      </c>
      <c r="Q93" s="340" t="e">
        <f>+'Planilla de Avance'!#REF!-O93</f>
        <v>#REF!</v>
      </c>
    </row>
    <row r="94" spans="1:17" ht="12.75" customHeight="1">
      <c r="A94" s="292">
        <v>10.1</v>
      </c>
      <c r="B94" s="35" t="s">
        <v>88</v>
      </c>
      <c r="C94" s="59" t="s">
        <v>0</v>
      </c>
      <c r="D94" s="65">
        <v>1048.27</v>
      </c>
      <c r="E94" s="36">
        <v>75.22</v>
      </c>
      <c r="F94" s="66">
        <f t="shared" si="38"/>
        <v>78850.87</v>
      </c>
      <c r="G94" s="320" t="e">
        <f>SUMIF(#REF!,G4,#REF!)</f>
        <v>#REF!</v>
      </c>
      <c r="H94" s="37" t="e">
        <f t="shared" si="39"/>
        <v>#REF!</v>
      </c>
      <c r="I94" s="320" t="e">
        <f>SUMIF(#REF!,I4,#REF!)</f>
        <v>#REF!</v>
      </c>
      <c r="J94" s="37" t="e">
        <f t="shared" si="40"/>
        <v>#REF!</v>
      </c>
      <c r="K94" s="320" t="e">
        <f>SUMIF(#REF!,K4,#REF!)</f>
        <v>#REF!</v>
      </c>
      <c r="L94" s="37" t="e">
        <f t="shared" si="41"/>
        <v>#REF!</v>
      </c>
      <c r="M94" s="320" t="e">
        <f>SUMIF(#REF!,M4,#REF!)</f>
        <v>#REF!</v>
      </c>
      <c r="N94" s="37" t="e">
        <f t="shared" si="42"/>
        <v>#REF!</v>
      </c>
      <c r="O94" s="320" t="e">
        <f t="shared" si="43"/>
        <v>#REF!</v>
      </c>
      <c r="P94" s="37" t="e">
        <f t="shared" si="44"/>
        <v>#REF!</v>
      </c>
      <c r="Q94" s="340" t="e">
        <f>+'Planilla de Avance'!#REF!-O94</f>
        <v>#REF!</v>
      </c>
    </row>
    <row r="95" spans="1:17" ht="12.75" customHeight="1">
      <c r="A95" s="292">
        <v>10.11</v>
      </c>
      <c r="B95" s="35" t="s">
        <v>89</v>
      </c>
      <c r="C95" s="59" t="s">
        <v>27</v>
      </c>
      <c r="D95" s="65">
        <v>2838.05</v>
      </c>
      <c r="E95" s="36">
        <v>91</v>
      </c>
      <c r="F95" s="66">
        <f t="shared" si="38"/>
        <v>258262.55</v>
      </c>
      <c r="G95" s="320" t="e">
        <f>SUMIF(#REF!,G4,#REF!)</f>
        <v>#REF!</v>
      </c>
      <c r="H95" s="37" t="e">
        <f t="shared" si="39"/>
        <v>#REF!</v>
      </c>
      <c r="I95" s="320" t="e">
        <f>SUMIF(#REF!,I4,#REF!)</f>
        <v>#REF!</v>
      </c>
      <c r="J95" s="37" t="e">
        <f t="shared" si="40"/>
        <v>#REF!</v>
      </c>
      <c r="K95" s="320" t="e">
        <f>SUMIF(#REF!,K4,#REF!)</f>
        <v>#REF!</v>
      </c>
      <c r="L95" s="37" t="e">
        <f t="shared" si="41"/>
        <v>#REF!</v>
      </c>
      <c r="M95" s="320" t="e">
        <f>SUMIF(#REF!,M4,#REF!)</f>
        <v>#REF!</v>
      </c>
      <c r="N95" s="37" t="e">
        <f t="shared" si="42"/>
        <v>#REF!</v>
      </c>
      <c r="O95" s="320" t="e">
        <f t="shared" si="43"/>
        <v>#REF!</v>
      </c>
      <c r="P95" s="37" t="e">
        <f t="shared" si="44"/>
        <v>#REF!</v>
      </c>
      <c r="Q95" s="340" t="e">
        <f>+'Planilla de Avance'!#REF!-O95</f>
        <v>#REF!</v>
      </c>
    </row>
    <row r="96" spans="1:17" ht="12.75" customHeight="1">
      <c r="A96" s="292">
        <v>10.119999999999999</v>
      </c>
      <c r="B96" s="35" t="s">
        <v>90</v>
      </c>
      <c r="C96" s="59" t="s">
        <v>46</v>
      </c>
      <c r="D96" s="65">
        <v>59.71</v>
      </c>
      <c r="E96" s="36">
        <v>3760</v>
      </c>
      <c r="F96" s="66">
        <f t="shared" si="38"/>
        <v>224509.6</v>
      </c>
      <c r="G96" s="320" t="e">
        <f>SUMIF(#REF!,G4,#REF!)</f>
        <v>#REF!</v>
      </c>
      <c r="H96" s="37" t="e">
        <f t="shared" si="39"/>
        <v>#REF!</v>
      </c>
      <c r="I96" s="320" t="e">
        <f>SUMIF(#REF!,I4,#REF!)</f>
        <v>#REF!</v>
      </c>
      <c r="J96" s="37" t="e">
        <f t="shared" si="40"/>
        <v>#REF!</v>
      </c>
      <c r="K96" s="320" t="e">
        <f>SUMIF(#REF!,K4,#REF!)</f>
        <v>#REF!</v>
      </c>
      <c r="L96" s="37" t="e">
        <f t="shared" si="41"/>
        <v>#REF!</v>
      </c>
      <c r="M96" s="320" t="e">
        <f>SUMIF(#REF!,M4,#REF!)</f>
        <v>#REF!</v>
      </c>
      <c r="N96" s="37" t="e">
        <f t="shared" si="42"/>
        <v>#REF!</v>
      </c>
      <c r="O96" s="320" t="e">
        <f t="shared" si="43"/>
        <v>#REF!</v>
      </c>
      <c r="P96" s="37" t="e">
        <f t="shared" si="44"/>
        <v>#REF!</v>
      </c>
      <c r="Q96" s="340" t="e">
        <f>+'Planilla de Avance'!#REF!-O96</f>
        <v>#REF!</v>
      </c>
    </row>
    <row r="97" spans="1:17" ht="12.75" customHeight="1">
      <c r="A97" s="292">
        <v>10.130000000000001</v>
      </c>
      <c r="B97" s="35" t="s">
        <v>91</v>
      </c>
      <c r="C97" s="59" t="s">
        <v>0</v>
      </c>
      <c r="D97" s="65">
        <v>237.24</v>
      </c>
      <c r="E97" s="36">
        <v>445</v>
      </c>
      <c r="F97" s="66">
        <f t="shared" si="38"/>
        <v>105571.8</v>
      </c>
      <c r="G97" s="320" t="e">
        <f>SUMIF(#REF!,G4,#REF!)</f>
        <v>#REF!</v>
      </c>
      <c r="H97" s="37" t="e">
        <f t="shared" si="39"/>
        <v>#REF!</v>
      </c>
      <c r="I97" s="320" t="e">
        <f>SUMIF(#REF!,I4,#REF!)</f>
        <v>#REF!</v>
      </c>
      <c r="J97" s="37" t="e">
        <f t="shared" si="40"/>
        <v>#REF!</v>
      </c>
      <c r="K97" s="320" t="e">
        <f>SUMIF(#REF!,K4,#REF!)</f>
        <v>#REF!</v>
      </c>
      <c r="L97" s="37" t="e">
        <f t="shared" si="41"/>
        <v>#REF!</v>
      </c>
      <c r="M97" s="320" t="e">
        <f>SUMIF(#REF!,M4,#REF!)</f>
        <v>#REF!</v>
      </c>
      <c r="N97" s="37" t="e">
        <f t="shared" si="42"/>
        <v>#REF!</v>
      </c>
      <c r="O97" s="320" t="e">
        <f t="shared" si="43"/>
        <v>#REF!</v>
      </c>
      <c r="P97" s="37" t="e">
        <f t="shared" si="44"/>
        <v>#REF!</v>
      </c>
      <c r="Q97" s="340" t="e">
        <f>+'Planilla de Avance'!#REF!-O97</f>
        <v>#REF!</v>
      </c>
    </row>
    <row r="98" spans="1:17" ht="12.75" customHeight="1">
      <c r="A98" s="292">
        <v>10.14</v>
      </c>
      <c r="B98" s="35" t="s">
        <v>92</v>
      </c>
      <c r="C98" s="59" t="s">
        <v>93</v>
      </c>
      <c r="D98" s="65">
        <v>3053.84</v>
      </c>
      <c r="E98" s="36">
        <v>40</v>
      </c>
      <c r="F98" s="66">
        <f t="shared" si="38"/>
        <v>122153.60000000001</v>
      </c>
      <c r="G98" s="320" t="e">
        <f>SUMIF(#REF!,G4,#REF!)</f>
        <v>#REF!</v>
      </c>
      <c r="H98" s="37" t="e">
        <f t="shared" si="39"/>
        <v>#REF!</v>
      </c>
      <c r="I98" s="320" t="e">
        <f>SUMIF(#REF!,I4,#REF!)</f>
        <v>#REF!</v>
      </c>
      <c r="J98" s="37" t="e">
        <f t="shared" si="40"/>
        <v>#REF!</v>
      </c>
      <c r="K98" s="320" t="e">
        <f>SUMIF(#REF!,K4,#REF!)</f>
        <v>#REF!</v>
      </c>
      <c r="L98" s="37" t="e">
        <f t="shared" si="41"/>
        <v>#REF!</v>
      </c>
      <c r="M98" s="320" t="e">
        <f>SUMIF(#REF!,M4,#REF!)</f>
        <v>#REF!</v>
      </c>
      <c r="N98" s="37" t="e">
        <f t="shared" si="42"/>
        <v>#REF!</v>
      </c>
      <c r="O98" s="320" t="e">
        <f t="shared" si="43"/>
        <v>#REF!</v>
      </c>
      <c r="P98" s="37" t="e">
        <f t="shared" si="44"/>
        <v>#REF!</v>
      </c>
      <c r="Q98" s="340" t="e">
        <f>+'Planilla de Avance'!M89-O98</f>
        <v>#REF!</v>
      </c>
    </row>
    <row r="99" spans="1:17" ht="12.75" customHeight="1">
      <c r="A99" s="292">
        <v>10.15</v>
      </c>
      <c r="B99" s="35" t="s">
        <v>94</v>
      </c>
      <c r="C99" s="59" t="s">
        <v>93</v>
      </c>
      <c r="D99" s="65">
        <v>27971.21</v>
      </c>
      <c r="E99" s="36">
        <v>10</v>
      </c>
      <c r="F99" s="66">
        <f t="shared" si="38"/>
        <v>279712.09999999998</v>
      </c>
      <c r="G99" s="320" t="e">
        <f>SUMIF(#REF!,G4,#REF!)</f>
        <v>#REF!</v>
      </c>
      <c r="H99" s="37" t="e">
        <f t="shared" si="39"/>
        <v>#REF!</v>
      </c>
      <c r="I99" s="320" t="e">
        <f>SUMIF(#REF!,I4,#REF!)</f>
        <v>#REF!</v>
      </c>
      <c r="J99" s="37" t="e">
        <f t="shared" si="40"/>
        <v>#REF!</v>
      </c>
      <c r="K99" s="320" t="e">
        <f>SUMIF(#REF!,K4,#REF!)</f>
        <v>#REF!</v>
      </c>
      <c r="L99" s="37" t="e">
        <f t="shared" si="41"/>
        <v>#REF!</v>
      </c>
      <c r="M99" s="320" t="e">
        <f>SUMIF(#REF!,M4,#REF!)</f>
        <v>#REF!</v>
      </c>
      <c r="N99" s="37" t="e">
        <f t="shared" si="42"/>
        <v>#REF!</v>
      </c>
      <c r="O99" s="320" t="e">
        <f t="shared" si="43"/>
        <v>#REF!</v>
      </c>
      <c r="P99" s="37" t="e">
        <f t="shared" si="44"/>
        <v>#REF!</v>
      </c>
      <c r="Q99" s="340" t="e">
        <f>+'Planilla de Avance'!M90-O99</f>
        <v>#REF!</v>
      </c>
    </row>
    <row r="100" spans="1:17" ht="12.75" customHeight="1">
      <c r="A100" s="93"/>
      <c r="B100" s="48" t="s">
        <v>10</v>
      </c>
      <c r="C100" s="49"/>
      <c r="D100" s="69"/>
      <c r="E100" s="51"/>
      <c r="F100" s="70">
        <f>SUM(F90:F99)</f>
        <v>1409009.06</v>
      </c>
      <c r="G100" s="52"/>
      <c r="H100" s="76" t="e">
        <f>SUM(H90:H99)</f>
        <v>#REF!</v>
      </c>
      <c r="I100" s="52"/>
      <c r="J100" s="76" t="e">
        <f>SUM(J90:J99)</f>
        <v>#REF!</v>
      </c>
      <c r="K100" s="52"/>
      <c r="L100" s="76" t="e">
        <f>SUM(L90:L99)</f>
        <v>#REF!</v>
      </c>
      <c r="M100" s="52"/>
      <c r="N100" s="76" t="e">
        <f>SUM(N90:N99)</f>
        <v>#REF!</v>
      </c>
      <c r="O100" s="52"/>
      <c r="P100" s="76" t="e">
        <f>SUM(P90:P99)</f>
        <v>#REF!</v>
      </c>
      <c r="Q100" s="340" t="e">
        <f>+'Planilla de Avance'!#REF!-O100</f>
        <v>#REF!</v>
      </c>
    </row>
    <row r="101" spans="1:17" ht="12.75" customHeight="1">
      <c r="A101" s="93"/>
      <c r="B101" s="94" t="s">
        <v>84</v>
      </c>
      <c r="C101" s="74"/>
      <c r="D101" s="75"/>
      <c r="E101" s="75"/>
      <c r="F101" s="75"/>
      <c r="G101" s="53"/>
      <c r="H101" s="53"/>
      <c r="I101" s="53"/>
      <c r="J101" s="53"/>
      <c r="K101" s="53"/>
      <c r="L101" s="53"/>
      <c r="M101" s="53"/>
      <c r="N101" s="54"/>
      <c r="O101" s="53"/>
      <c r="P101" s="54"/>
      <c r="Q101" s="340" t="e">
        <f>+'Planilla de Avance'!#REF!-O101</f>
        <v>#REF!</v>
      </c>
    </row>
    <row r="102" spans="1:17" ht="12.75" customHeight="1">
      <c r="A102" s="296">
        <v>10.16</v>
      </c>
      <c r="B102" s="85" t="s">
        <v>95</v>
      </c>
      <c r="C102" s="87" t="s">
        <v>27</v>
      </c>
      <c r="D102" s="98">
        <v>160.85999999999999</v>
      </c>
      <c r="E102" s="89">
        <v>1801.05</v>
      </c>
      <c r="F102" s="99">
        <f>ROUND(E102*D102,2)</f>
        <v>289716.90000000002</v>
      </c>
      <c r="G102" s="328" t="e">
        <f>SUMIF(#REF!,G4,#REF!)</f>
        <v>#REF!</v>
      </c>
      <c r="H102" s="91" t="e">
        <f>+($D102*G102)</f>
        <v>#REF!</v>
      </c>
      <c r="I102" s="328" t="e">
        <f>SUMIF(#REF!,I4,#REF!)</f>
        <v>#REF!</v>
      </c>
      <c r="J102" s="91" t="e">
        <f>($D102*I102)</f>
        <v>#REF!</v>
      </c>
      <c r="K102" s="328" t="e">
        <f>SUMIF(#REF!,K4,#REF!)</f>
        <v>#REF!</v>
      </c>
      <c r="L102" s="91" t="e">
        <f>($D102*K102)</f>
        <v>#REF!</v>
      </c>
      <c r="M102" s="328" t="e">
        <f>SUMIF(#REF!,M4,#REF!)</f>
        <v>#REF!</v>
      </c>
      <c r="N102" s="91" t="e">
        <f>($D102*M102)</f>
        <v>#REF!</v>
      </c>
      <c r="O102" s="328" t="e">
        <f>+G102+I102+K102+M102</f>
        <v>#REF!</v>
      </c>
      <c r="P102" s="91" t="e">
        <f>+H102+J102+L102+N102</f>
        <v>#REF!</v>
      </c>
      <c r="Q102" s="340" t="e">
        <f>+'Planilla de Avance'!M91-O102</f>
        <v>#REF!</v>
      </c>
    </row>
    <row r="103" spans="1:17" ht="12.75" customHeight="1">
      <c r="A103" s="97"/>
      <c r="B103" s="48" t="s">
        <v>10</v>
      </c>
      <c r="C103" s="49"/>
      <c r="D103" s="69"/>
      <c r="E103" s="51"/>
      <c r="F103" s="70">
        <f>SUM(F102)</f>
        <v>289716.90000000002</v>
      </c>
      <c r="G103" s="52"/>
      <c r="H103" s="76" t="e">
        <f>SUM(H102)</f>
        <v>#REF!</v>
      </c>
      <c r="I103" s="52"/>
      <c r="J103" s="76" t="e">
        <f>SUM(J102)</f>
        <v>#REF!</v>
      </c>
      <c r="K103" s="52"/>
      <c r="L103" s="76" t="e">
        <f>SUM(L102)</f>
        <v>#REF!</v>
      </c>
      <c r="M103" s="52"/>
      <c r="N103" s="76" t="e">
        <f>SUM(N102)</f>
        <v>#REF!</v>
      </c>
      <c r="O103" s="52"/>
      <c r="P103" s="76" t="e">
        <f>SUM(P102)</f>
        <v>#REF!</v>
      </c>
      <c r="Q103" s="340" t="e">
        <f>+'Planilla de Avance'!#REF!-O103</f>
        <v>#REF!</v>
      </c>
    </row>
    <row r="104" spans="1:17" ht="12.75" customHeight="1">
      <c r="A104" s="287" t="s">
        <v>96</v>
      </c>
      <c r="B104" s="41" t="s">
        <v>97</v>
      </c>
      <c r="C104" s="74"/>
      <c r="D104" s="50"/>
      <c r="E104" s="51"/>
      <c r="F104" s="50"/>
      <c r="G104" s="53"/>
      <c r="H104" s="53"/>
      <c r="I104" s="53"/>
      <c r="J104" s="53"/>
      <c r="K104" s="53"/>
      <c r="L104" s="53"/>
      <c r="M104" s="53"/>
      <c r="N104" s="54"/>
      <c r="O104" s="53"/>
      <c r="P104" s="54"/>
      <c r="Q104" s="340" t="e">
        <f>+'Planilla de Avance'!#REF!-O104</f>
        <v>#REF!</v>
      </c>
    </row>
    <row r="105" spans="1:17" ht="12.75" customHeight="1">
      <c r="A105" s="97"/>
      <c r="B105" s="94" t="s">
        <v>82</v>
      </c>
      <c r="C105" s="74"/>
      <c r="D105" s="50"/>
      <c r="E105" s="51"/>
      <c r="F105" s="50"/>
      <c r="G105" s="53"/>
      <c r="H105" s="53"/>
      <c r="I105" s="53"/>
      <c r="J105" s="53"/>
      <c r="K105" s="53"/>
      <c r="L105" s="53"/>
      <c r="M105" s="53"/>
      <c r="N105" s="54"/>
      <c r="O105" s="53"/>
      <c r="P105" s="54"/>
      <c r="Q105" s="340" t="e">
        <f>+'Planilla de Avance'!#REF!-O105</f>
        <v>#REF!</v>
      </c>
    </row>
    <row r="106" spans="1:17" ht="12.75" customHeight="1">
      <c r="A106" s="289">
        <v>11.1</v>
      </c>
      <c r="B106" s="40" t="s">
        <v>47</v>
      </c>
      <c r="C106" s="58" t="s">
        <v>27</v>
      </c>
      <c r="D106" s="62">
        <v>2471.46</v>
      </c>
      <c r="E106" s="63">
        <v>228.51</v>
      </c>
      <c r="F106" s="64">
        <f t="shared" ref="F106:F112" si="45">ROUND(E106*D106,2)</f>
        <v>564753.31999999995</v>
      </c>
      <c r="G106" s="319" t="e">
        <f>SUMIF(#REF!,G4,#REF!)</f>
        <v>#REF!</v>
      </c>
      <c r="H106" s="73" t="e">
        <f t="shared" ref="H106:H112" si="46">+($D106*G106)</f>
        <v>#REF!</v>
      </c>
      <c r="I106" s="319" t="e">
        <f>SUMIF(#REF!,I4,#REF!)</f>
        <v>#REF!</v>
      </c>
      <c r="J106" s="73" t="e">
        <f t="shared" ref="J106:J112" si="47">($D106*I106)</f>
        <v>#REF!</v>
      </c>
      <c r="K106" s="319" t="e">
        <f>SUMIF(#REF!,K4,#REF!)</f>
        <v>#REF!</v>
      </c>
      <c r="L106" s="73" t="e">
        <f t="shared" ref="L106:L112" si="48">($D106*K106)</f>
        <v>#REF!</v>
      </c>
      <c r="M106" s="319" t="e">
        <f>SUMIF(#REF!,M4,#REF!)</f>
        <v>#REF!</v>
      </c>
      <c r="N106" s="73" t="e">
        <f t="shared" ref="N106:N112" si="49">($D106*M106)</f>
        <v>#REF!</v>
      </c>
      <c r="O106" s="319" t="e">
        <f t="shared" ref="O106:O112" si="50">+G106+I106+K106+M106</f>
        <v>#REF!</v>
      </c>
      <c r="P106" s="73" t="e">
        <f t="shared" ref="P106:P112" si="51">+H106+J106+L106+N106</f>
        <v>#REF!</v>
      </c>
      <c r="Q106" s="340" t="e">
        <f>+'Planilla de Avance'!#REF!-O106</f>
        <v>#REF!</v>
      </c>
    </row>
    <row r="107" spans="1:17" ht="12.75" customHeight="1">
      <c r="A107" s="290">
        <v>11.2</v>
      </c>
      <c r="B107" s="35" t="s">
        <v>19</v>
      </c>
      <c r="C107" s="59" t="s">
        <v>46</v>
      </c>
      <c r="D107" s="65">
        <v>28.13</v>
      </c>
      <c r="E107" s="36">
        <v>30610.11</v>
      </c>
      <c r="F107" s="66">
        <f t="shared" si="45"/>
        <v>861062.39</v>
      </c>
      <c r="G107" s="320" t="e">
        <f>SUMIF(#REF!,G4,#REF!)</f>
        <v>#REF!</v>
      </c>
      <c r="H107" s="37" t="e">
        <f t="shared" si="46"/>
        <v>#REF!</v>
      </c>
      <c r="I107" s="320" t="e">
        <f>SUMIF(#REF!,I4,#REF!)</f>
        <v>#REF!</v>
      </c>
      <c r="J107" s="37" t="e">
        <f t="shared" si="47"/>
        <v>#REF!</v>
      </c>
      <c r="K107" s="320" t="e">
        <f>SUMIF(#REF!,K4,#REF!)</f>
        <v>#REF!</v>
      </c>
      <c r="L107" s="37" t="e">
        <f t="shared" si="48"/>
        <v>#REF!</v>
      </c>
      <c r="M107" s="320" t="e">
        <f>SUMIF(#REF!,M4,#REF!)</f>
        <v>#REF!</v>
      </c>
      <c r="N107" s="37" t="e">
        <f t="shared" si="49"/>
        <v>#REF!</v>
      </c>
      <c r="O107" s="320" t="e">
        <f t="shared" si="50"/>
        <v>#REF!</v>
      </c>
      <c r="P107" s="37" t="e">
        <f t="shared" si="51"/>
        <v>#REF!</v>
      </c>
      <c r="Q107" s="340" t="e">
        <f>+'Planilla de Avance'!#REF!-O107</f>
        <v>#REF!</v>
      </c>
    </row>
    <row r="108" spans="1:17" ht="12.75" customHeight="1">
      <c r="A108" s="290">
        <v>11.3</v>
      </c>
      <c r="B108" s="35" t="s">
        <v>11</v>
      </c>
      <c r="C108" s="59" t="s">
        <v>27</v>
      </c>
      <c r="D108" s="65">
        <v>25.820000000000004</v>
      </c>
      <c r="E108" s="36">
        <v>2600</v>
      </c>
      <c r="F108" s="66">
        <f t="shared" si="45"/>
        <v>67132</v>
      </c>
      <c r="G108" s="320" t="e">
        <f>SUMIF(#REF!,G4,#REF!)</f>
        <v>#REF!</v>
      </c>
      <c r="H108" s="37" t="e">
        <f t="shared" si="46"/>
        <v>#REF!</v>
      </c>
      <c r="I108" s="320" t="e">
        <f>SUMIF(#REF!,I4,#REF!)</f>
        <v>#REF!</v>
      </c>
      <c r="J108" s="37" t="e">
        <f t="shared" si="47"/>
        <v>#REF!</v>
      </c>
      <c r="K108" s="320" t="e">
        <f>SUMIF(#REF!,K4,#REF!)</f>
        <v>#REF!</v>
      </c>
      <c r="L108" s="37" t="e">
        <f t="shared" si="48"/>
        <v>#REF!</v>
      </c>
      <c r="M108" s="320" t="e">
        <f>SUMIF(#REF!,M4,#REF!)</f>
        <v>#REF!</v>
      </c>
      <c r="N108" s="37" t="e">
        <f t="shared" si="49"/>
        <v>#REF!</v>
      </c>
      <c r="O108" s="320" t="e">
        <f t="shared" si="50"/>
        <v>#REF!</v>
      </c>
      <c r="P108" s="37" t="e">
        <f t="shared" si="51"/>
        <v>#REF!</v>
      </c>
      <c r="Q108" s="340" t="e">
        <f>+'Planilla de Avance'!#REF!-O108</f>
        <v>#REF!</v>
      </c>
    </row>
    <row r="109" spans="1:17" ht="12.75" customHeight="1">
      <c r="A109" s="290">
        <v>11.4</v>
      </c>
      <c r="B109" s="35" t="s">
        <v>85</v>
      </c>
      <c r="C109" s="59" t="s">
        <v>86</v>
      </c>
      <c r="D109" s="65">
        <v>508.86</v>
      </c>
      <c r="E109" s="36">
        <v>30</v>
      </c>
      <c r="F109" s="66">
        <f t="shared" si="45"/>
        <v>15265.8</v>
      </c>
      <c r="G109" s="320" t="e">
        <f>SUMIF(#REF!,G4,#REF!)</f>
        <v>#REF!</v>
      </c>
      <c r="H109" s="37" t="e">
        <f t="shared" si="46"/>
        <v>#REF!</v>
      </c>
      <c r="I109" s="320" t="e">
        <f>SUMIF(#REF!,I4,#REF!)</f>
        <v>#REF!</v>
      </c>
      <c r="J109" s="37" t="e">
        <f t="shared" si="47"/>
        <v>#REF!</v>
      </c>
      <c r="K109" s="320" t="e">
        <f>SUMIF(#REF!,K4,#REF!)</f>
        <v>#REF!</v>
      </c>
      <c r="L109" s="37" t="e">
        <f t="shared" si="48"/>
        <v>#REF!</v>
      </c>
      <c r="M109" s="320" t="e">
        <f>SUMIF(#REF!,M4,#REF!)</f>
        <v>#REF!</v>
      </c>
      <c r="N109" s="37" t="e">
        <f t="shared" si="49"/>
        <v>#REF!</v>
      </c>
      <c r="O109" s="320" t="e">
        <f t="shared" si="50"/>
        <v>#REF!</v>
      </c>
      <c r="P109" s="37" t="e">
        <f t="shared" si="51"/>
        <v>#REF!</v>
      </c>
      <c r="Q109" s="340" t="e">
        <f>+'Planilla de Avance'!#REF!-O109</f>
        <v>#REF!</v>
      </c>
    </row>
    <row r="110" spans="1:17" ht="12.75" customHeight="1">
      <c r="A110" s="290">
        <v>11.5</v>
      </c>
      <c r="B110" s="35" t="s">
        <v>98</v>
      </c>
      <c r="C110" s="59" t="s">
        <v>86</v>
      </c>
      <c r="D110" s="65">
        <v>384.87</v>
      </c>
      <c r="E110" s="36">
        <v>6.4</v>
      </c>
      <c r="F110" s="66">
        <f t="shared" si="45"/>
        <v>2463.17</v>
      </c>
      <c r="G110" s="320" t="e">
        <f>SUMIF(#REF!,G4,#REF!)</f>
        <v>#REF!</v>
      </c>
      <c r="H110" s="37" t="e">
        <f t="shared" si="46"/>
        <v>#REF!</v>
      </c>
      <c r="I110" s="320" t="e">
        <f>SUMIF(#REF!,I4,#REF!)</f>
        <v>#REF!</v>
      </c>
      <c r="J110" s="37" t="e">
        <f t="shared" si="47"/>
        <v>#REF!</v>
      </c>
      <c r="K110" s="320" t="e">
        <f>SUMIF(#REF!,K4,#REF!)</f>
        <v>#REF!</v>
      </c>
      <c r="L110" s="37" t="e">
        <f t="shared" si="48"/>
        <v>#REF!</v>
      </c>
      <c r="M110" s="320" t="e">
        <f>SUMIF(#REF!,M4,#REF!)</f>
        <v>#REF!</v>
      </c>
      <c r="N110" s="37" t="e">
        <f t="shared" si="49"/>
        <v>#REF!</v>
      </c>
      <c r="O110" s="320" t="e">
        <f t="shared" si="50"/>
        <v>#REF!</v>
      </c>
      <c r="P110" s="37" t="e">
        <f t="shared" si="51"/>
        <v>#REF!</v>
      </c>
      <c r="Q110" s="340" t="e">
        <f>+'Planilla de Avance'!#REF!-O110</f>
        <v>#REF!</v>
      </c>
    </row>
    <row r="111" spans="1:17" ht="12.75" customHeight="1">
      <c r="A111" s="290">
        <v>11.6</v>
      </c>
      <c r="B111" s="35" t="s">
        <v>99</v>
      </c>
      <c r="C111" s="59" t="s">
        <v>27</v>
      </c>
      <c r="D111" s="65">
        <v>313.50999999999993</v>
      </c>
      <c r="E111" s="36">
        <v>72</v>
      </c>
      <c r="F111" s="66">
        <f t="shared" si="45"/>
        <v>22572.720000000001</v>
      </c>
      <c r="G111" s="320" t="e">
        <f>SUMIF(#REF!,G4,#REF!)</f>
        <v>#REF!</v>
      </c>
      <c r="H111" s="37" t="e">
        <f t="shared" si="46"/>
        <v>#REF!</v>
      </c>
      <c r="I111" s="320" t="e">
        <f>SUMIF(#REF!,I4,#REF!)</f>
        <v>#REF!</v>
      </c>
      <c r="J111" s="37" t="e">
        <f t="shared" si="47"/>
        <v>#REF!</v>
      </c>
      <c r="K111" s="320" t="e">
        <f>SUMIF(#REF!,K4,#REF!)</f>
        <v>#REF!</v>
      </c>
      <c r="L111" s="37" t="e">
        <f t="shared" si="48"/>
        <v>#REF!</v>
      </c>
      <c r="M111" s="320" t="e">
        <f>SUMIF(#REF!,M4,#REF!)</f>
        <v>#REF!</v>
      </c>
      <c r="N111" s="37" t="e">
        <f t="shared" si="49"/>
        <v>#REF!</v>
      </c>
      <c r="O111" s="320" t="e">
        <f t="shared" si="50"/>
        <v>#REF!</v>
      </c>
      <c r="P111" s="37" t="e">
        <f t="shared" si="51"/>
        <v>#REF!</v>
      </c>
      <c r="Q111" s="340" t="e">
        <f>+'Planilla de Avance'!#REF!-O111</f>
        <v>#REF!</v>
      </c>
    </row>
    <row r="112" spans="1:17" ht="12.75" customHeight="1">
      <c r="A112" s="290">
        <v>11.7</v>
      </c>
      <c r="B112" s="35" t="s">
        <v>100</v>
      </c>
      <c r="C112" s="59" t="s">
        <v>31</v>
      </c>
      <c r="D112" s="65">
        <v>35.75</v>
      </c>
      <c r="E112" s="36">
        <v>1502.6</v>
      </c>
      <c r="F112" s="66">
        <f t="shared" si="45"/>
        <v>53717.95</v>
      </c>
      <c r="G112" s="320" t="e">
        <f>SUMIF(#REF!,G4,#REF!)</f>
        <v>#REF!</v>
      </c>
      <c r="H112" s="37" t="e">
        <f t="shared" si="46"/>
        <v>#REF!</v>
      </c>
      <c r="I112" s="320" t="e">
        <f>SUMIF(#REF!,I4,#REF!)</f>
        <v>#REF!</v>
      </c>
      <c r="J112" s="37" t="e">
        <f t="shared" si="47"/>
        <v>#REF!</v>
      </c>
      <c r="K112" s="320" t="e">
        <f>SUMIF(#REF!,K4,#REF!)</f>
        <v>#REF!</v>
      </c>
      <c r="L112" s="37" t="e">
        <f t="shared" si="48"/>
        <v>#REF!</v>
      </c>
      <c r="M112" s="320" t="e">
        <f>SUMIF(#REF!,M4,#REF!)</f>
        <v>#REF!</v>
      </c>
      <c r="N112" s="37" t="e">
        <f t="shared" si="49"/>
        <v>#REF!</v>
      </c>
      <c r="O112" s="320" t="e">
        <f t="shared" si="50"/>
        <v>#REF!</v>
      </c>
      <c r="P112" s="37" t="e">
        <f t="shared" si="51"/>
        <v>#REF!</v>
      </c>
      <c r="Q112" s="340" t="e">
        <f>+'Planilla de Avance'!#REF!-O112</f>
        <v>#REF!</v>
      </c>
    </row>
    <row r="113" spans="1:17" ht="12.75" customHeight="1">
      <c r="A113" s="93"/>
      <c r="B113" s="48" t="s">
        <v>10</v>
      </c>
      <c r="C113" s="49"/>
      <c r="D113" s="69"/>
      <c r="E113" s="51"/>
      <c r="F113" s="70">
        <f>SUM(F106:F112)</f>
        <v>1586967.3499999999</v>
      </c>
      <c r="G113" s="52"/>
      <c r="H113" s="76" t="e">
        <f>SUM(H106:H112)</f>
        <v>#REF!</v>
      </c>
      <c r="I113" s="52"/>
      <c r="J113" s="76" t="e">
        <f>SUM(J106:J112)</f>
        <v>#REF!</v>
      </c>
      <c r="K113" s="52"/>
      <c r="L113" s="76" t="e">
        <f>SUM(L106:L112)</f>
        <v>#REF!</v>
      </c>
      <c r="M113" s="52"/>
      <c r="N113" s="76" t="e">
        <f>SUM(N106:N112)</f>
        <v>#REF!</v>
      </c>
      <c r="O113" s="52"/>
      <c r="P113" s="76" t="e">
        <f>SUM(P106:P112)</f>
        <v>#REF!</v>
      </c>
      <c r="Q113" s="340" t="e">
        <f>+'Planilla de Avance'!#REF!-O113</f>
        <v>#REF!</v>
      </c>
    </row>
    <row r="114" spans="1:17" ht="12.75" customHeight="1">
      <c r="A114" s="93"/>
      <c r="B114" s="94" t="s">
        <v>83</v>
      </c>
      <c r="C114" s="74" t="s">
        <v>101</v>
      </c>
      <c r="D114" s="75"/>
      <c r="E114" s="75"/>
      <c r="F114" s="75"/>
      <c r="G114" s="53"/>
      <c r="H114" s="53"/>
      <c r="I114" s="53"/>
      <c r="J114" s="53"/>
      <c r="K114" s="53"/>
      <c r="L114" s="53"/>
      <c r="M114" s="53"/>
      <c r="N114" s="54"/>
      <c r="O114" s="53"/>
      <c r="P114" s="54"/>
      <c r="Q114" s="340" t="e">
        <f>+'Planilla de Avance'!#REF!-O114</f>
        <v>#REF!</v>
      </c>
    </row>
    <row r="115" spans="1:17" ht="12.75" customHeight="1">
      <c r="A115" s="289">
        <v>11.8</v>
      </c>
      <c r="B115" s="40" t="s">
        <v>47</v>
      </c>
      <c r="C115" s="58" t="s">
        <v>27</v>
      </c>
      <c r="D115" s="62">
        <v>2471.46</v>
      </c>
      <c r="E115" s="63">
        <v>44.72</v>
      </c>
      <c r="F115" s="64">
        <f t="shared" ref="F115:F124" si="52">ROUND(E115*D115,2)</f>
        <v>110523.69</v>
      </c>
      <c r="G115" s="319" t="e">
        <f>SUMIF(#REF!,G4,#REF!)</f>
        <v>#REF!</v>
      </c>
      <c r="H115" s="73" t="e">
        <f t="shared" ref="H115:H124" si="53">+($D115*G115)</f>
        <v>#REF!</v>
      </c>
      <c r="I115" s="319" t="e">
        <f>SUMIF(#REF!,I4,#REF!)</f>
        <v>#REF!</v>
      </c>
      <c r="J115" s="73" t="e">
        <f t="shared" ref="J115:J124" si="54">($D115*I115)</f>
        <v>#REF!</v>
      </c>
      <c r="K115" s="319" t="e">
        <f>SUMIF(#REF!,K4,#REF!)</f>
        <v>#REF!</v>
      </c>
      <c r="L115" s="73" t="e">
        <f t="shared" ref="L115:L124" si="55">($D115*K115)</f>
        <v>#REF!</v>
      </c>
      <c r="M115" s="319" t="e">
        <f>SUMIF(#REF!,M4,#REF!)</f>
        <v>#REF!</v>
      </c>
      <c r="N115" s="73" t="e">
        <f t="shared" ref="N115:N124" si="56">($D115*M115)</f>
        <v>#REF!</v>
      </c>
      <c r="O115" s="319" t="e">
        <f t="shared" ref="O115:O124" si="57">+G115+I115+K115+M115</f>
        <v>#REF!</v>
      </c>
      <c r="P115" s="73" t="e">
        <f t="shared" ref="P115:P124" si="58">+H115+J115+L115+N115</f>
        <v>#REF!</v>
      </c>
      <c r="Q115" s="340" t="e">
        <f>+'Planilla de Avance'!#REF!-O115</f>
        <v>#REF!</v>
      </c>
    </row>
    <row r="116" spans="1:17" ht="12.75" customHeight="1">
      <c r="A116" s="290">
        <v>11.9</v>
      </c>
      <c r="B116" s="35" t="s">
        <v>19</v>
      </c>
      <c r="C116" s="59" t="s">
        <v>46</v>
      </c>
      <c r="D116" s="65">
        <v>28.13</v>
      </c>
      <c r="E116" s="36">
        <v>4919.2</v>
      </c>
      <c r="F116" s="66">
        <f t="shared" si="52"/>
        <v>138377.1</v>
      </c>
      <c r="G116" s="320" t="e">
        <f>SUMIF(#REF!,G4,#REF!)</f>
        <v>#REF!</v>
      </c>
      <c r="H116" s="37" t="e">
        <f t="shared" si="53"/>
        <v>#REF!</v>
      </c>
      <c r="I116" s="320" t="e">
        <f>SUMIF(#REF!,I4,#REF!)</f>
        <v>#REF!</v>
      </c>
      <c r="J116" s="37" t="e">
        <f t="shared" si="54"/>
        <v>#REF!</v>
      </c>
      <c r="K116" s="320" t="e">
        <f>SUMIF(#REF!,K4,#REF!)</f>
        <v>#REF!</v>
      </c>
      <c r="L116" s="37" t="e">
        <f t="shared" si="55"/>
        <v>#REF!</v>
      </c>
      <c r="M116" s="320" t="e">
        <f>SUMIF(#REF!,M4,#REF!)</f>
        <v>#REF!</v>
      </c>
      <c r="N116" s="37" t="e">
        <f t="shared" si="56"/>
        <v>#REF!</v>
      </c>
      <c r="O116" s="320" t="e">
        <f t="shared" si="57"/>
        <v>#REF!</v>
      </c>
      <c r="P116" s="37" t="e">
        <f t="shared" si="58"/>
        <v>#REF!</v>
      </c>
      <c r="Q116" s="340" t="e">
        <f>+'Planilla de Avance'!#REF!-O116</f>
        <v>#REF!</v>
      </c>
    </row>
    <row r="117" spans="1:17" ht="12.75" customHeight="1">
      <c r="A117" s="292" t="s">
        <v>102</v>
      </c>
      <c r="B117" s="35" t="s">
        <v>103</v>
      </c>
      <c r="C117" s="59" t="s">
        <v>0</v>
      </c>
      <c r="D117" s="65">
        <v>1451.74</v>
      </c>
      <c r="E117" s="36">
        <v>41.6</v>
      </c>
      <c r="F117" s="66">
        <f t="shared" si="52"/>
        <v>60392.38</v>
      </c>
      <c r="G117" s="320" t="e">
        <f>SUMIF(#REF!,G4,#REF!)</f>
        <v>#REF!</v>
      </c>
      <c r="H117" s="37" t="e">
        <f t="shared" si="53"/>
        <v>#REF!</v>
      </c>
      <c r="I117" s="320" t="e">
        <f>SUMIF(#REF!,I4,#REF!)</f>
        <v>#REF!</v>
      </c>
      <c r="J117" s="37" t="e">
        <f t="shared" si="54"/>
        <v>#REF!</v>
      </c>
      <c r="K117" s="320" t="e">
        <f>SUMIF(#REF!,K4,#REF!)</f>
        <v>#REF!</v>
      </c>
      <c r="L117" s="37" t="e">
        <f t="shared" si="55"/>
        <v>#REF!</v>
      </c>
      <c r="M117" s="320" t="e">
        <f>SUMIF(#REF!,M4,#REF!)</f>
        <v>#REF!</v>
      </c>
      <c r="N117" s="37" t="e">
        <f t="shared" si="56"/>
        <v>#REF!</v>
      </c>
      <c r="O117" s="320" t="e">
        <f t="shared" si="57"/>
        <v>#REF!</v>
      </c>
      <c r="P117" s="37" t="e">
        <f t="shared" si="58"/>
        <v>#REF!</v>
      </c>
      <c r="Q117" s="340" t="e">
        <f>+'Planilla de Avance'!#REF!-O117</f>
        <v>#REF!</v>
      </c>
    </row>
    <row r="118" spans="1:17" ht="12.75" customHeight="1">
      <c r="A118" s="292">
        <v>11.11</v>
      </c>
      <c r="B118" s="35" t="s">
        <v>88</v>
      </c>
      <c r="C118" s="59" t="s">
        <v>0</v>
      </c>
      <c r="D118" s="65">
        <v>1048.27</v>
      </c>
      <c r="E118" s="36">
        <v>25.08</v>
      </c>
      <c r="F118" s="66">
        <f t="shared" si="52"/>
        <v>26290.61</v>
      </c>
      <c r="G118" s="320" t="e">
        <f>SUMIF(#REF!,G4,#REF!)</f>
        <v>#REF!</v>
      </c>
      <c r="H118" s="37" t="e">
        <f t="shared" si="53"/>
        <v>#REF!</v>
      </c>
      <c r="I118" s="320" t="e">
        <f>SUMIF(#REF!,I4,#REF!)</f>
        <v>#REF!</v>
      </c>
      <c r="J118" s="37" t="e">
        <f t="shared" si="54"/>
        <v>#REF!</v>
      </c>
      <c r="K118" s="320" t="e">
        <f>SUMIF(#REF!,K4,#REF!)</f>
        <v>#REF!</v>
      </c>
      <c r="L118" s="37" t="e">
        <f t="shared" si="55"/>
        <v>#REF!</v>
      </c>
      <c r="M118" s="320" t="e">
        <f>SUMIF(#REF!,M4,#REF!)</f>
        <v>#REF!</v>
      </c>
      <c r="N118" s="37" t="e">
        <f t="shared" si="56"/>
        <v>#REF!</v>
      </c>
      <c r="O118" s="320" t="e">
        <f t="shared" si="57"/>
        <v>#REF!</v>
      </c>
      <c r="P118" s="37" t="e">
        <f t="shared" si="58"/>
        <v>#REF!</v>
      </c>
      <c r="Q118" s="340" t="e">
        <f>+'Planilla de Avance'!#REF!-O118</f>
        <v>#REF!</v>
      </c>
    </row>
    <row r="119" spans="1:17" ht="12.75" customHeight="1">
      <c r="A119" s="292">
        <v>11.12</v>
      </c>
      <c r="B119" s="35" t="s">
        <v>104</v>
      </c>
      <c r="C119" s="59" t="s">
        <v>0</v>
      </c>
      <c r="D119" s="65">
        <v>1175.6300000000001</v>
      </c>
      <c r="E119" s="36">
        <v>41.6</v>
      </c>
      <c r="F119" s="66">
        <f t="shared" si="52"/>
        <v>48906.21</v>
      </c>
      <c r="G119" s="320" t="e">
        <f>SUMIF(#REF!,G4,#REF!)</f>
        <v>#REF!</v>
      </c>
      <c r="H119" s="37" t="e">
        <f t="shared" si="53"/>
        <v>#REF!</v>
      </c>
      <c r="I119" s="320" t="e">
        <f>SUMIF(#REF!,I4,#REF!)</f>
        <v>#REF!</v>
      </c>
      <c r="J119" s="37" t="e">
        <f t="shared" si="54"/>
        <v>#REF!</v>
      </c>
      <c r="K119" s="320" t="e">
        <f>SUMIF(#REF!,K4,#REF!)</f>
        <v>#REF!</v>
      </c>
      <c r="L119" s="37" t="e">
        <f t="shared" si="55"/>
        <v>#REF!</v>
      </c>
      <c r="M119" s="320" t="e">
        <f>SUMIF(#REF!,M4,#REF!)</f>
        <v>#REF!</v>
      </c>
      <c r="N119" s="37" t="e">
        <f t="shared" si="56"/>
        <v>#REF!</v>
      </c>
      <c r="O119" s="320" t="e">
        <f t="shared" si="57"/>
        <v>#REF!</v>
      </c>
      <c r="P119" s="37" t="e">
        <f t="shared" si="58"/>
        <v>#REF!</v>
      </c>
      <c r="Q119" s="340" t="e">
        <f>+'Planilla de Avance'!#REF!-O119</f>
        <v>#REF!</v>
      </c>
    </row>
    <row r="120" spans="1:17" ht="12.75" customHeight="1">
      <c r="A120" s="292">
        <v>11.13</v>
      </c>
      <c r="B120" s="35" t="s">
        <v>94</v>
      </c>
      <c r="C120" s="59" t="s">
        <v>93</v>
      </c>
      <c r="D120" s="65">
        <v>27971.21</v>
      </c>
      <c r="E120" s="36">
        <v>6</v>
      </c>
      <c r="F120" s="66">
        <f t="shared" si="52"/>
        <v>167827.26</v>
      </c>
      <c r="G120" s="320" t="e">
        <f>SUMIF(#REF!,G4,#REF!)</f>
        <v>#REF!</v>
      </c>
      <c r="H120" s="37" t="e">
        <f t="shared" si="53"/>
        <v>#REF!</v>
      </c>
      <c r="I120" s="320" t="e">
        <f>SUMIF(#REF!,I4,#REF!)</f>
        <v>#REF!</v>
      </c>
      <c r="J120" s="37" t="e">
        <f t="shared" si="54"/>
        <v>#REF!</v>
      </c>
      <c r="K120" s="320" t="e">
        <f>SUMIF(#REF!,K4,#REF!)</f>
        <v>#REF!</v>
      </c>
      <c r="L120" s="37" t="e">
        <f t="shared" si="55"/>
        <v>#REF!</v>
      </c>
      <c r="M120" s="320" t="e">
        <f>SUMIF(#REF!,M4,#REF!)</f>
        <v>#REF!</v>
      </c>
      <c r="N120" s="37" t="e">
        <f t="shared" si="56"/>
        <v>#REF!</v>
      </c>
      <c r="O120" s="320" t="e">
        <f t="shared" si="57"/>
        <v>#REF!</v>
      </c>
      <c r="P120" s="37" t="e">
        <f t="shared" si="58"/>
        <v>#REF!</v>
      </c>
      <c r="Q120" s="340" t="e">
        <f>+'Planilla de Avance'!#REF!-O120</f>
        <v>#REF!</v>
      </c>
    </row>
    <row r="121" spans="1:17" ht="12.75" customHeight="1">
      <c r="A121" s="292">
        <v>11.14</v>
      </c>
      <c r="B121" s="35" t="s">
        <v>91</v>
      </c>
      <c r="C121" s="59" t="s">
        <v>0</v>
      </c>
      <c r="D121" s="65">
        <v>237.24</v>
      </c>
      <c r="E121" s="36">
        <v>246.6</v>
      </c>
      <c r="F121" s="66">
        <f t="shared" si="52"/>
        <v>58503.38</v>
      </c>
      <c r="G121" s="320" t="e">
        <f>SUMIF(#REF!,G4,#REF!)</f>
        <v>#REF!</v>
      </c>
      <c r="H121" s="37" t="e">
        <f t="shared" si="53"/>
        <v>#REF!</v>
      </c>
      <c r="I121" s="320" t="e">
        <f>SUMIF(#REF!,I4,#REF!)</f>
        <v>#REF!</v>
      </c>
      <c r="J121" s="37" t="e">
        <f t="shared" si="54"/>
        <v>#REF!</v>
      </c>
      <c r="K121" s="320" t="e">
        <f>SUMIF(#REF!,K4,#REF!)</f>
        <v>#REF!</v>
      </c>
      <c r="L121" s="37" t="e">
        <f t="shared" si="55"/>
        <v>#REF!</v>
      </c>
      <c r="M121" s="320" t="e">
        <f>SUMIF(#REF!,M4,#REF!)</f>
        <v>#REF!</v>
      </c>
      <c r="N121" s="37" t="e">
        <f t="shared" si="56"/>
        <v>#REF!</v>
      </c>
      <c r="O121" s="320" t="e">
        <f t="shared" si="57"/>
        <v>#REF!</v>
      </c>
      <c r="P121" s="37" t="e">
        <f t="shared" si="58"/>
        <v>#REF!</v>
      </c>
      <c r="Q121" s="340" t="e">
        <f>+'Planilla de Avance'!#REF!-O121</f>
        <v>#REF!</v>
      </c>
    </row>
    <row r="122" spans="1:17" ht="12.75" customHeight="1">
      <c r="A122" s="292">
        <v>11.15</v>
      </c>
      <c r="B122" s="35" t="s">
        <v>89</v>
      </c>
      <c r="C122" s="59" t="s">
        <v>27</v>
      </c>
      <c r="D122" s="65">
        <v>2838.05</v>
      </c>
      <c r="E122" s="36">
        <v>51</v>
      </c>
      <c r="F122" s="66">
        <f t="shared" si="52"/>
        <v>144740.54999999999</v>
      </c>
      <c r="G122" s="320" t="e">
        <f>SUMIF(#REF!,G4,#REF!)</f>
        <v>#REF!</v>
      </c>
      <c r="H122" s="37" t="e">
        <f t="shared" si="53"/>
        <v>#REF!</v>
      </c>
      <c r="I122" s="320" t="e">
        <f>SUMIF(#REF!,I4,#REF!)</f>
        <v>#REF!</v>
      </c>
      <c r="J122" s="37" t="e">
        <f t="shared" si="54"/>
        <v>#REF!</v>
      </c>
      <c r="K122" s="320" t="e">
        <f>SUMIF(#REF!,K4,#REF!)</f>
        <v>#REF!</v>
      </c>
      <c r="L122" s="37" t="e">
        <f t="shared" si="55"/>
        <v>#REF!</v>
      </c>
      <c r="M122" s="320" t="e">
        <f>SUMIF(#REF!,M4,#REF!)</f>
        <v>#REF!</v>
      </c>
      <c r="N122" s="37" t="e">
        <f t="shared" si="56"/>
        <v>#REF!</v>
      </c>
      <c r="O122" s="320" t="e">
        <f t="shared" si="57"/>
        <v>#REF!</v>
      </c>
      <c r="P122" s="37" t="e">
        <f t="shared" si="58"/>
        <v>#REF!</v>
      </c>
      <c r="Q122" s="340" t="e">
        <f>+'Planilla de Avance'!#REF!-O122</f>
        <v>#REF!</v>
      </c>
    </row>
    <row r="123" spans="1:17" ht="12.75" customHeight="1">
      <c r="A123" s="292">
        <v>11.16</v>
      </c>
      <c r="B123" s="35" t="s">
        <v>90</v>
      </c>
      <c r="C123" s="59" t="s">
        <v>46</v>
      </c>
      <c r="D123" s="65">
        <v>59.71</v>
      </c>
      <c r="E123" s="36">
        <v>2100</v>
      </c>
      <c r="F123" s="66">
        <f t="shared" si="52"/>
        <v>125391</v>
      </c>
      <c r="G123" s="320" t="e">
        <f>SUMIF(#REF!,G4,#REF!)</f>
        <v>#REF!</v>
      </c>
      <c r="H123" s="37" t="e">
        <f t="shared" si="53"/>
        <v>#REF!</v>
      </c>
      <c r="I123" s="320" t="e">
        <f>SUMIF(#REF!,I4,#REF!)</f>
        <v>#REF!</v>
      </c>
      <c r="J123" s="37" t="e">
        <f t="shared" si="54"/>
        <v>#REF!</v>
      </c>
      <c r="K123" s="320" t="e">
        <f>SUMIF(#REF!,K4,#REF!)</f>
        <v>#REF!</v>
      </c>
      <c r="L123" s="37" t="e">
        <f t="shared" si="55"/>
        <v>#REF!</v>
      </c>
      <c r="M123" s="320" t="e">
        <f>SUMIF(#REF!,M4,#REF!)</f>
        <v>#REF!</v>
      </c>
      <c r="N123" s="37" t="e">
        <f t="shared" si="56"/>
        <v>#REF!</v>
      </c>
      <c r="O123" s="320" t="e">
        <f t="shared" si="57"/>
        <v>#REF!</v>
      </c>
      <c r="P123" s="37" t="e">
        <f t="shared" si="58"/>
        <v>#REF!</v>
      </c>
      <c r="Q123" s="340" t="e">
        <f>+'Planilla de Avance'!#REF!-O123</f>
        <v>#REF!</v>
      </c>
    </row>
    <row r="124" spans="1:17" ht="12.75" customHeight="1">
      <c r="A124" s="292">
        <v>11.17</v>
      </c>
      <c r="B124" s="35" t="s">
        <v>92</v>
      </c>
      <c r="C124" s="59" t="s">
        <v>93</v>
      </c>
      <c r="D124" s="65">
        <v>3053.84</v>
      </c>
      <c r="E124" s="36">
        <v>24</v>
      </c>
      <c r="F124" s="66">
        <f t="shared" si="52"/>
        <v>73292.160000000003</v>
      </c>
      <c r="G124" s="320" t="e">
        <f>SUMIF(#REF!,G4,#REF!)</f>
        <v>#REF!</v>
      </c>
      <c r="H124" s="37" t="e">
        <f t="shared" si="53"/>
        <v>#REF!</v>
      </c>
      <c r="I124" s="320" t="e">
        <f>SUMIF(#REF!,I4,#REF!)</f>
        <v>#REF!</v>
      </c>
      <c r="J124" s="37" t="e">
        <f t="shared" si="54"/>
        <v>#REF!</v>
      </c>
      <c r="K124" s="320" t="e">
        <f>SUMIF(#REF!,K4,#REF!)</f>
        <v>#REF!</v>
      </c>
      <c r="L124" s="37" t="e">
        <f t="shared" si="55"/>
        <v>#REF!</v>
      </c>
      <c r="M124" s="320" t="e">
        <f>SUMIF(#REF!,M4,#REF!)</f>
        <v>#REF!</v>
      </c>
      <c r="N124" s="37" t="e">
        <f t="shared" si="56"/>
        <v>#REF!</v>
      </c>
      <c r="O124" s="320" t="e">
        <f t="shared" si="57"/>
        <v>#REF!</v>
      </c>
      <c r="P124" s="37" t="e">
        <f t="shared" si="58"/>
        <v>#REF!</v>
      </c>
      <c r="Q124" s="340" t="e">
        <f>+'Planilla de Avance'!#REF!-O124</f>
        <v>#REF!</v>
      </c>
    </row>
    <row r="125" spans="1:17" ht="12.75" customHeight="1">
      <c r="A125" s="93"/>
      <c r="B125" s="48" t="s">
        <v>10</v>
      </c>
      <c r="C125" s="49"/>
      <c r="D125" s="69"/>
      <c r="E125" s="51"/>
      <c r="F125" s="70">
        <f>SUM(F115:F124)</f>
        <v>954244.34</v>
      </c>
      <c r="G125" s="52"/>
      <c r="H125" s="76" t="e">
        <f>SUM(H115:H124)</f>
        <v>#REF!</v>
      </c>
      <c r="I125" s="52"/>
      <c r="J125" s="76" t="e">
        <f>SUM(J115:J124)</f>
        <v>#REF!</v>
      </c>
      <c r="K125" s="52"/>
      <c r="L125" s="76" t="e">
        <f>SUM(L115:L124)</f>
        <v>#REF!</v>
      </c>
      <c r="M125" s="52"/>
      <c r="N125" s="76" t="e">
        <f>SUM(N115:N124)</f>
        <v>#REF!</v>
      </c>
      <c r="O125" s="52"/>
      <c r="P125" s="76" t="e">
        <f>SUM(P115:P124)</f>
        <v>#REF!</v>
      </c>
      <c r="Q125" s="340" t="e">
        <f>+'Planilla de Avance'!#REF!-O125</f>
        <v>#REF!</v>
      </c>
    </row>
    <row r="126" spans="1:17" ht="12.75" customHeight="1">
      <c r="A126" s="93"/>
      <c r="B126" s="94" t="s">
        <v>84</v>
      </c>
      <c r="C126" s="74"/>
      <c r="D126" s="50"/>
      <c r="E126" s="51"/>
      <c r="F126" s="50"/>
      <c r="G126" s="52"/>
      <c r="H126" s="53"/>
      <c r="I126" s="52"/>
      <c r="J126" s="53"/>
      <c r="K126" s="52"/>
      <c r="L126" s="53"/>
      <c r="M126" s="52"/>
      <c r="N126" s="54"/>
      <c r="O126" s="52"/>
      <c r="P126" s="54"/>
      <c r="Q126" s="340" t="e">
        <f>+'Planilla de Avance'!#REF!-O126</f>
        <v>#REF!</v>
      </c>
    </row>
    <row r="127" spans="1:17" ht="12.75" customHeight="1">
      <c r="A127" s="296">
        <v>11.18</v>
      </c>
      <c r="B127" s="85" t="s">
        <v>50</v>
      </c>
      <c r="C127" s="87" t="s">
        <v>27</v>
      </c>
      <c r="D127" s="103">
        <v>103.86</v>
      </c>
      <c r="E127" s="86">
        <v>2535</v>
      </c>
      <c r="F127" s="104">
        <f>ROUND(E127*D127,2)</f>
        <v>263285.09999999998</v>
      </c>
      <c r="G127" s="329" t="e">
        <f>SUMIF(#REF!,G4,#REF!)</f>
        <v>#REF!</v>
      </c>
      <c r="H127" s="96" t="e">
        <f>+($D127*G127)</f>
        <v>#REF!</v>
      </c>
      <c r="I127" s="329" t="e">
        <f>SUMIF(#REF!,I4,#REF!)</f>
        <v>#REF!</v>
      </c>
      <c r="J127" s="96" t="e">
        <f>($D127*I127)</f>
        <v>#REF!</v>
      </c>
      <c r="K127" s="329" t="e">
        <f>SUMIF(#REF!,K4,#REF!)</f>
        <v>#REF!</v>
      </c>
      <c r="L127" s="96" t="e">
        <f>($D127*K127)</f>
        <v>#REF!</v>
      </c>
      <c r="M127" s="329" t="e">
        <f>SUMIF(#REF!,M4,#REF!)</f>
        <v>#REF!</v>
      </c>
      <c r="N127" s="96" t="e">
        <f>($D127*M127)</f>
        <v>#REF!</v>
      </c>
      <c r="O127" s="329" t="e">
        <f>+G127+I127+K127+M127</f>
        <v>#REF!</v>
      </c>
      <c r="P127" s="96" t="e">
        <f>+H127+J127+L127+N127</f>
        <v>#REF!</v>
      </c>
      <c r="Q127" s="340" t="e">
        <f>+'Planilla de Avance'!#REF!-O127</f>
        <v>#REF!</v>
      </c>
    </row>
    <row r="128" spans="1:17" ht="12.75" customHeight="1">
      <c r="A128" s="287"/>
      <c r="B128" s="48" t="s">
        <v>10</v>
      </c>
      <c r="C128" s="49"/>
      <c r="D128" s="69"/>
      <c r="E128" s="51"/>
      <c r="F128" s="70">
        <f>SUM(F127)</f>
        <v>263285.09999999998</v>
      </c>
      <c r="G128" s="52"/>
      <c r="H128" s="76" t="e">
        <f>SUM(H127)</f>
        <v>#REF!</v>
      </c>
      <c r="I128" s="52"/>
      <c r="J128" s="76" t="e">
        <f>SUM(J127)</f>
        <v>#REF!</v>
      </c>
      <c r="K128" s="52"/>
      <c r="L128" s="76" t="e">
        <f>SUM(L127)</f>
        <v>#REF!</v>
      </c>
      <c r="M128" s="52"/>
      <c r="N128" s="76" t="e">
        <f>SUM(N127)</f>
        <v>#REF!</v>
      </c>
      <c r="O128" s="52"/>
      <c r="P128" s="76" t="e">
        <f>SUM(P127)</f>
        <v>#REF!</v>
      </c>
      <c r="Q128" s="340" t="e">
        <f>+'Planilla de Avance'!#REF!-O128</f>
        <v>#REF!</v>
      </c>
    </row>
    <row r="129" spans="1:17" ht="12.75" customHeight="1">
      <c r="A129" s="287" t="s">
        <v>105</v>
      </c>
      <c r="B129" s="41" t="s">
        <v>106</v>
      </c>
      <c r="C129" s="74"/>
      <c r="D129" s="57"/>
      <c r="E129" s="57"/>
      <c r="F129" s="57"/>
      <c r="G129" s="53"/>
      <c r="H129" s="53"/>
      <c r="I129" s="53"/>
      <c r="J129" s="53"/>
      <c r="K129" s="53"/>
      <c r="L129" s="53"/>
      <c r="M129" s="53"/>
      <c r="N129" s="54"/>
      <c r="O129" s="53"/>
      <c r="P129" s="54"/>
      <c r="Q129" s="340" t="e">
        <f>+'Planilla de Avance'!#REF!-O129</f>
        <v>#REF!</v>
      </c>
    </row>
    <row r="130" spans="1:17" ht="12.75" customHeight="1">
      <c r="A130" s="289">
        <v>12.1</v>
      </c>
      <c r="B130" s="40" t="s">
        <v>11</v>
      </c>
      <c r="C130" s="58" t="s">
        <v>27</v>
      </c>
      <c r="D130" s="79">
        <v>25.820000000000004</v>
      </c>
      <c r="E130" s="100">
        <v>1981.08</v>
      </c>
      <c r="F130" s="80">
        <f t="shared" ref="F130:F137" si="59">ROUND(E130*D130,2)</f>
        <v>51151.49</v>
      </c>
      <c r="G130" s="319" t="e">
        <f>SUMIF(#REF!,G4,#REF!)</f>
        <v>#REF!</v>
      </c>
      <c r="H130" s="73" t="e">
        <f t="shared" ref="H130:H137" si="60">+($D130*G130)</f>
        <v>#REF!</v>
      </c>
      <c r="I130" s="319" t="e">
        <f>SUMIF(#REF!,I4,#REF!)</f>
        <v>#REF!</v>
      </c>
      <c r="J130" s="73" t="e">
        <f t="shared" ref="J130:J137" si="61">($D130*I130)</f>
        <v>#REF!</v>
      </c>
      <c r="K130" s="319" t="e">
        <f>SUMIF(#REF!,K4,#REF!)</f>
        <v>#REF!</v>
      </c>
      <c r="L130" s="73" t="e">
        <f t="shared" ref="L130:L137" si="62">($D130*K130)</f>
        <v>#REF!</v>
      </c>
      <c r="M130" s="319" t="e">
        <f>SUMIF(#REF!,M4,#REF!)</f>
        <v>#REF!</v>
      </c>
      <c r="N130" s="73" t="e">
        <f t="shared" ref="N130:N137" si="63">($D130*M130)</f>
        <v>#REF!</v>
      </c>
      <c r="O130" s="319" t="e">
        <f t="shared" ref="O130:O137" si="64">+G130+I130+K130+M130</f>
        <v>#REF!</v>
      </c>
      <c r="P130" s="73" t="e">
        <f t="shared" ref="P130:P137" si="65">+H130+J130+L130+N130</f>
        <v>#REF!</v>
      </c>
      <c r="Q130" s="340" t="e">
        <f>+'Planilla de Avance'!#REF!-O130</f>
        <v>#REF!</v>
      </c>
    </row>
    <row r="131" spans="1:17" ht="12.75" customHeight="1">
      <c r="A131" s="290">
        <v>12.2</v>
      </c>
      <c r="B131" s="35" t="s">
        <v>50</v>
      </c>
      <c r="C131" s="59" t="s">
        <v>27</v>
      </c>
      <c r="D131" s="81">
        <v>103.86</v>
      </c>
      <c r="E131" s="36">
        <v>1594.04</v>
      </c>
      <c r="F131" s="82">
        <f t="shared" si="59"/>
        <v>165556.99</v>
      </c>
      <c r="G131" s="320" t="e">
        <f>SUMIF(#REF!,G4,#REF!)</f>
        <v>#REF!</v>
      </c>
      <c r="H131" s="37" t="e">
        <f t="shared" si="60"/>
        <v>#REF!</v>
      </c>
      <c r="I131" s="320" t="e">
        <f>SUMIF(#REF!,I4,#REF!)</f>
        <v>#REF!</v>
      </c>
      <c r="J131" s="37" t="e">
        <f t="shared" si="61"/>
        <v>#REF!</v>
      </c>
      <c r="K131" s="320" t="e">
        <f>SUMIF(#REF!,K4,#REF!)</f>
        <v>#REF!</v>
      </c>
      <c r="L131" s="37" t="e">
        <f t="shared" si="62"/>
        <v>#REF!</v>
      </c>
      <c r="M131" s="320" t="e">
        <f>SUMIF(#REF!,M4,#REF!)</f>
        <v>#REF!</v>
      </c>
      <c r="N131" s="37" t="e">
        <f t="shared" si="63"/>
        <v>#REF!</v>
      </c>
      <c r="O131" s="320" t="e">
        <f t="shared" si="64"/>
        <v>#REF!</v>
      </c>
      <c r="P131" s="37" t="e">
        <f t="shared" si="65"/>
        <v>#REF!</v>
      </c>
      <c r="Q131" s="340" t="e">
        <f>+'Planilla de Avance'!#REF!-O131</f>
        <v>#REF!</v>
      </c>
    </row>
    <row r="132" spans="1:17" ht="12.75" customHeight="1">
      <c r="A132" s="290">
        <v>12.3</v>
      </c>
      <c r="B132" s="35" t="s">
        <v>55</v>
      </c>
      <c r="C132" s="59" t="s">
        <v>31</v>
      </c>
      <c r="D132" s="81">
        <v>69.8</v>
      </c>
      <c r="E132" s="38">
        <v>26.8</v>
      </c>
      <c r="F132" s="82">
        <f t="shared" si="59"/>
        <v>1870.64</v>
      </c>
      <c r="G132" s="320" t="e">
        <f>SUMIF(#REF!,G4,#REF!)</f>
        <v>#REF!</v>
      </c>
      <c r="H132" s="37" t="e">
        <f t="shared" si="60"/>
        <v>#REF!</v>
      </c>
      <c r="I132" s="320" t="e">
        <f>SUMIF(#REF!,I4,#REF!)</f>
        <v>#REF!</v>
      </c>
      <c r="J132" s="37" t="e">
        <f t="shared" si="61"/>
        <v>#REF!</v>
      </c>
      <c r="K132" s="320" t="e">
        <f>SUMIF(#REF!,K4,#REF!)</f>
        <v>#REF!</v>
      </c>
      <c r="L132" s="37" t="e">
        <f t="shared" si="62"/>
        <v>#REF!</v>
      </c>
      <c r="M132" s="320" t="e">
        <f>SUMIF(#REF!,M4,#REF!)</f>
        <v>#REF!</v>
      </c>
      <c r="N132" s="37" t="e">
        <f t="shared" si="63"/>
        <v>#REF!</v>
      </c>
      <c r="O132" s="320" t="e">
        <f t="shared" si="64"/>
        <v>#REF!</v>
      </c>
      <c r="P132" s="37" t="e">
        <f t="shared" si="65"/>
        <v>#REF!</v>
      </c>
      <c r="Q132" s="340" t="e">
        <f>+'Planilla de Avance'!#REF!-O132</f>
        <v>#REF!</v>
      </c>
    </row>
    <row r="133" spans="1:17" ht="12.75" customHeight="1">
      <c r="A133" s="290">
        <v>12.4</v>
      </c>
      <c r="B133" s="35" t="s">
        <v>47</v>
      </c>
      <c r="C133" s="59" t="s">
        <v>27</v>
      </c>
      <c r="D133" s="81">
        <v>2471.46</v>
      </c>
      <c r="E133" s="38">
        <v>290.13</v>
      </c>
      <c r="F133" s="82">
        <f t="shared" si="59"/>
        <v>717044.69</v>
      </c>
      <c r="G133" s="320" t="e">
        <f>SUMIF(#REF!,G4,#REF!)</f>
        <v>#REF!</v>
      </c>
      <c r="H133" s="37" t="e">
        <f t="shared" si="60"/>
        <v>#REF!</v>
      </c>
      <c r="I133" s="320" t="e">
        <f>SUMIF(#REF!,I4,#REF!)</f>
        <v>#REF!</v>
      </c>
      <c r="J133" s="37" t="e">
        <f t="shared" si="61"/>
        <v>#REF!</v>
      </c>
      <c r="K133" s="320" t="e">
        <f>SUMIF(#REF!,K4,#REF!)</f>
        <v>#REF!</v>
      </c>
      <c r="L133" s="37" t="e">
        <f t="shared" si="62"/>
        <v>#REF!</v>
      </c>
      <c r="M133" s="320" t="e">
        <f>SUMIF(#REF!,M4,#REF!)</f>
        <v>#REF!</v>
      </c>
      <c r="N133" s="37" t="e">
        <f t="shared" si="63"/>
        <v>#REF!</v>
      </c>
      <c r="O133" s="320" t="e">
        <f t="shared" si="64"/>
        <v>#REF!</v>
      </c>
      <c r="P133" s="37" t="e">
        <f t="shared" si="65"/>
        <v>#REF!</v>
      </c>
      <c r="Q133" s="340" t="e">
        <f>+'Planilla de Avance'!#REF!-O133</f>
        <v>#REF!</v>
      </c>
    </row>
    <row r="134" spans="1:17" ht="12.75" customHeight="1">
      <c r="A134" s="290">
        <v>12.5</v>
      </c>
      <c r="B134" s="35" t="s">
        <v>19</v>
      </c>
      <c r="C134" s="59" t="s">
        <v>46</v>
      </c>
      <c r="D134" s="81">
        <v>28.13</v>
      </c>
      <c r="E134" s="38">
        <v>21187.13</v>
      </c>
      <c r="F134" s="82">
        <f t="shared" si="59"/>
        <v>595993.97</v>
      </c>
      <c r="G134" s="320" t="e">
        <f>SUMIF(#REF!,G4,#REF!)</f>
        <v>#REF!</v>
      </c>
      <c r="H134" s="37" t="e">
        <f t="shared" si="60"/>
        <v>#REF!</v>
      </c>
      <c r="I134" s="320" t="e">
        <f>SUMIF(#REF!,I4,#REF!)</f>
        <v>#REF!</v>
      </c>
      <c r="J134" s="37" t="e">
        <f t="shared" si="61"/>
        <v>#REF!</v>
      </c>
      <c r="K134" s="320" t="e">
        <f>SUMIF(#REF!,K4,#REF!)</f>
        <v>#REF!</v>
      </c>
      <c r="L134" s="37" t="e">
        <f t="shared" si="62"/>
        <v>#REF!</v>
      </c>
      <c r="M134" s="320" t="e">
        <f>SUMIF(#REF!,M4,#REF!)</f>
        <v>#REF!</v>
      </c>
      <c r="N134" s="37" t="e">
        <f t="shared" si="63"/>
        <v>#REF!</v>
      </c>
      <c r="O134" s="320" t="e">
        <f t="shared" si="64"/>
        <v>#REF!</v>
      </c>
      <c r="P134" s="37" t="e">
        <f t="shared" si="65"/>
        <v>#REF!</v>
      </c>
      <c r="Q134" s="340" t="e">
        <f>+'Planilla de Avance'!#REF!-O134</f>
        <v>#REF!</v>
      </c>
    </row>
    <row r="135" spans="1:17" ht="12.75" customHeight="1">
      <c r="A135" s="290">
        <v>12.6</v>
      </c>
      <c r="B135" s="35" t="s">
        <v>76</v>
      </c>
      <c r="C135" s="59" t="s">
        <v>27</v>
      </c>
      <c r="D135" s="81">
        <v>1270.8999999999999</v>
      </c>
      <c r="E135" s="38">
        <v>21.76</v>
      </c>
      <c r="F135" s="82">
        <f t="shared" si="59"/>
        <v>27654.78</v>
      </c>
      <c r="G135" s="320" t="e">
        <f>SUMIF(#REF!,G4,#REF!)</f>
        <v>#REF!</v>
      </c>
      <c r="H135" s="37" t="e">
        <f t="shared" si="60"/>
        <v>#REF!</v>
      </c>
      <c r="I135" s="320" t="e">
        <f>SUMIF(#REF!,I4,#REF!)</f>
        <v>#REF!</v>
      </c>
      <c r="J135" s="37" t="e">
        <f t="shared" si="61"/>
        <v>#REF!</v>
      </c>
      <c r="K135" s="320" t="e">
        <f>SUMIF(#REF!,K4,#REF!)</f>
        <v>#REF!</v>
      </c>
      <c r="L135" s="37" t="e">
        <f t="shared" si="62"/>
        <v>#REF!</v>
      </c>
      <c r="M135" s="320" t="e">
        <f>SUMIF(#REF!,M4,#REF!)</f>
        <v>#REF!</v>
      </c>
      <c r="N135" s="37" t="e">
        <f t="shared" si="63"/>
        <v>#REF!</v>
      </c>
      <c r="O135" s="320" t="e">
        <f t="shared" si="64"/>
        <v>#REF!</v>
      </c>
      <c r="P135" s="37" t="e">
        <f t="shared" si="65"/>
        <v>#REF!</v>
      </c>
      <c r="Q135" s="340" t="e">
        <f>+'Planilla de Avance'!#REF!-O135</f>
        <v>#REF!</v>
      </c>
    </row>
    <row r="136" spans="1:17" ht="12.75" customHeight="1">
      <c r="A136" s="290">
        <v>12.7</v>
      </c>
      <c r="B136" s="35" t="s">
        <v>65</v>
      </c>
      <c r="C136" s="59" t="s">
        <v>27</v>
      </c>
      <c r="D136" s="81">
        <v>746.52</v>
      </c>
      <c r="E136" s="38">
        <v>7.2</v>
      </c>
      <c r="F136" s="82">
        <f t="shared" si="59"/>
        <v>5374.94</v>
      </c>
      <c r="G136" s="320" t="e">
        <f>SUMIF(#REF!,G4,#REF!)</f>
        <v>#REF!</v>
      </c>
      <c r="H136" s="37" t="e">
        <f t="shared" si="60"/>
        <v>#REF!</v>
      </c>
      <c r="I136" s="320" t="e">
        <f>SUMIF(#REF!,I4,#REF!)</f>
        <v>#REF!</v>
      </c>
      <c r="J136" s="37" t="e">
        <f t="shared" si="61"/>
        <v>#REF!</v>
      </c>
      <c r="K136" s="320" t="e">
        <f>SUMIF(#REF!,K4,#REF!)</f>
        <v>#REF!</v>
      </c>
      <c r="L136" s="37" t="e">
        <f t="shared" si="62"/>
        <v>#REF!</v>
      </c>
      <c r="M136" s="320" t="e">
        <f>SUMIF(#REF!,M4,#REF!)</f>
        <v>#REF!</v>
      </c>
      <c r="N136" s="37" t="e">
        <f t="shared" si="63"/>
        <v>#REF!</v>
      </c>
      <c r="O136" s="320" t="e">
        <f t="shared" si="64"/>
        <v>#REF!</v>
      </c>
      <c r="P136" s="37" t="e">
        <f t="shared" si="65"/>
        <v>#REF!</v>
      </c>
      <c r="Q136" s="340" t="e">
        <f>+'Planilla de Avance'!#REF!-O136</f>
        <v>#REF!</v>
      </c>
    </row>
    <row r="137" spans="1:17" ht="12.75" customHeight="1">
      <c r="A137" s="291">
        <v>12.8</v>
      </c>
      <c r="B137" s="45" t="s">
        <v>77</v>
      </c>
      <c r="C137" s="60" t="s">
        <v>0</v>
      </c>
      <c r="D137" s="83">
        <v>92.990000000000023</v>
      </c>
      <c r="E137" s="78">
        <v>8.75</v>
      </c>
      <c r="F137" s="84">
        <f t="shared" si="59"/>
        <v>813.66</v>
      </c>
      <c r="G137" s="321" t="e">
        <f>SUMIF(#REF!,G4,#REF!)</f>
        <v>#REF!</v>
      </c>
      <c r="H137" s="47" t="e">
        <f t="shared" si="60"/>
        <v>#REF!</v>
      </c>
      <c r="I137" s="321" t="e">
        <f>SUMIF(#REF!,I4,#REF!)</f>
        <v>#REF!</v>
      </c>
      <c r="J137" s="47" t="e">
        <f t="shared" si="61"/>
        <v>#REF!</v>
      </c>
      <c r="K137" s="321" t="e">
        <f>SUMIF(#REF!,K4,#REF!)</f>
        <v>#REF!</v>
      </c>
      <c r="L137" s="47" t="e">
        <f t="shared" si="62"/>
        <v>#REF!</v>
      </c>
      <c r="M137" s="321" t="e">
        <f>SUMIF(#REF!,M4,#REF!)</f>
        <v>#REF!</v>
      </c>
      <c r="N137" s="47" t="e">
        <f t="shared" si="63"/>
        <v>#REF!</v>
      </c>
      <c r="O137" s="321" t="e">
        <f t="shared" si="64"/>
        <v>#REF!</v>
      </c>
      <c r="P137" s="47" t="e">
        <f t="shared" si="65"/>
        <v>#REF!</v>
      </c>
      <c r="Q137" s="340" t="e">
        <f>+'Planilla de Avance'!#REF!-O137</f>
        <v>#REF!</v>
      </c>
    </row>
    <row r="138" spans="1:17" ht="12.75" customHeight="1">
      <c r="A138" s="97"/>
      <c r="B138" s="48" t="s">
        <v>10</v>
      </c>
      <c r="C138" s="49"/>
      <c r="D138" s="69"/>
      <c r="E138" s="51"/>
      <c r="F138" s="70">
        <f>SUM(F130:F137)</f>
        <v>1565461.1599999997</v>
      </c>
      <c r="G138" s="52"/>
      <c r="H138" s="76" t="e">
        <f>SUM(H130:H137)</f>
        <v>#REF!</v>
      </c>
      <c r="I138" s="52"/>
      <c r="J138" s="76" t="e">
        <f>SUM(J130:J137)</f>
        <v>#REF!</v>
      </c>
      <c r="K138" s="52"/>
      <c r="L138" s="76" t="e">
        <f>SUM(L130:L137)</f>
        <v>#REF!</v>
      </c>
      <c r="M138" s="52"/>
      <c r="N138" s="76" t="e">
        <f>SUM(N130:N137)</f>
        <v>#REF!</v>
      </c>
      <c r="O138" s="52"/>
      <c r="P138" s="76" t="e">
        <f>SUM(P130:P137)</f>
        <v>#REF!</v>
      </c>
      <c r="Q138" s="340" t="e">
        <f>+'Planilla de Avance'!#REF!-O138</f>
        <v>#REF!</v>
      </c>
    </row>
    <row r="139" spans="1:17" ht="12.75" customHeight="1">
      <c r="A139" s="287" t="s">
        <v>108</v>
      </c>
      <c r="B139" s="41" t="s">
        <v>107</v>
      </c>
      <c r="C139" s="74"/>
      <c r="D139" s="57"/>
      <c r="E139" s="57"/>
      <c r="F139" s="57"/>
      <c r="G139" s="53"/>
      <c r="H139" s="53"/>
      <c r="I139" s="53"/>
      <c r="J139" s="53"/>
      <c r="K139" s="53"/>
      <c r="L139" s="53"/>
      <c r="M139" s="53"/>
      <c r="N139" s="54"/>
      <c r="O139" s="53"/>
      <c r="P139" s="54"/>
      <c r="Q139" s="340" t="e">
        <f>+'Planilla de Avance'!#REF!-O139</f>
        <v>#REF!</v>
      </c>
    </row>
    <row r="140" spans="1:17" ht="12.75" customHeight="1">
      <c r="A140" s="289">
        <v>13.1</v>
      </c>
      <c r="B140" s="40" t="s">
        <v>11</v>
      </c>
      <c r="C140" s="58" t="s">
        <v>27</v>
      </c>
      <c r="D140" s="79">
        <v>25.820000000000004</v>
      </c>
      <c r="E140" s="100">
        <v>2439.4299999999998</v>
      </c>
      <c r="F140" s="80">
        <f t="shared" ref="F140:F147" si="66">ROUND(E140*D140,2)</f>
        <v>62986.080000000002</v>
      </c>
      <c r="G140" s="319" t="e">
        <f>SUMIF(#REF!,G4,#REF!)</f>
        <v>#REF!</v>
      </c>
      <c r="H140" s="73" t="e">
        <f t="shared" ref="H140:H147" si="67">+($D140*G140)</f>
        <v>#REF!</v>
      </c>
      <c r="I140" s="319" t="e">
        <f>SUMIF(#REF!,I4,#REF!)</f>
        <v>#REF!</v>
      </c>
      <c r="J140" s="73" t="e">
        <f t="shared" ref="J140:J147" si="68">($D140*I140)</f>
        <v>#REF!</v>
      </c>
      <c r="K140" s="319" t="e">
        <f>SUMIF(#REF!,K4,#REF!)</f>
        <v>#REF!</v>
      </c>
      <c r="L140" s="73" t="e">
        <f t="shared" ref="L140:L147" si="69">($D140*K140)</f>
        <v>#REF!</v>
      </c>
      <c r="M140" s="319" t="e">
        <f>SUMIF(#REF!,M4,#REF!)</f>
        <v>#REF!</v>
      </c>
      <c r="N140" s="73" t="e">
        <f t="shared" ref="N140:N147" si="70">($D140*M140)</f>
        <v>#REF!</v>
      </c>
      <c r="O140" s="319" t="e">
        <f t="shared" ref="O140:O147" si="71">+G140+I140+K140+M140</f>
        <v>#REF!</v>
      </c>
      <c r="P140" s="73" t="e">
        <f t="shared" ref="P140:P147" si="72">+H140+J140+L140+N140</f>
        <v>#REF!</v>
      </c>
      <c r="Q140" s="340" t="e">
        <f>+'Planilla de Avance'!#REF!-O140</f>
        <v>#REF!</v>
      </c>
    </row>
    <row r="141" spans="1:17" ht="12.75" customHeight="1">
      <c r="A141" s="290">
        <v>13.2</v>
      </c>
      <c r="B141" s="35" t="s">
        <v>50</v>
      </c>
      <c r="C141" s="59" t="s">
        <v>27</v>
      </c>
      <c r="D141" s="81">
        <v>101.18999999999998</v>
      </c>
      <c r="E141" s="38">
        <v>1962.84</v>
      </c>
      <c r="F141" s="82">
        <f t="shared" si="66"/>
        <v>198619.78</v>
      </c>
      <c r="G141" s="320" t="e">
        <f>SUMIF(#REF!,G4,#REF!)</f>
        <v>#REF!</v>
      </c>
      <c r="H141" s="37" t="e">
        <f t="shared" si="67"/>
        <v>#REF!</v>
      </c>
      <c r="I141" s="320" t="e">
        <f>SUMIF(#REF!,I4,#REF!)</f>
        <v>#REF!</v>
      </c>
      <c r="J141" s="37" t="e">
        <f t="shared" si="68"/>
        <v>#REF!</v>
      </c>
      <c r="K141" s="320" t="e">
        <f>SUMIF(#REF!,K4,#REF!)</f>
        <v>#REF!</v>
      </c>
      <c r="L141" s="37" t="e">
        <f t="shared" si="69"/>
        <v>#REF!</v>
      </c>
      <c r="M141" s="320" t="e">
        <f>SUMIF(#REF!,M4,#REF!)</f>
        <v>#REF!</v>
      </c>
      <c r="N141" s="37" t="e">
        <f t="shared" si="70"/>
        <v>#REF!</v>
      </c>
      <c r="O141" s="320" t="e">
        <f t="shared" si="71"/>
        <v>#REF!</v>
      </c>
      <c r="P141" s="37" t="e">
        <f t="shared" si="72"/>
        <v>#REF!</v>
      </c>
      <c r="Q141" s="340" t="e">
        <f>+'Planilla de Avance'!#REF!-O141</f>
        <v>#REF!</v>
      </c>
    </row>
    <row r="142" spans="1:17" ht="12.75" customHeight="1">
      <c r="A142" s="290">
        <v>13.3</v>
      </c>
      <c r="B142" s="35" t="s">
        <v>55</v>
      </c>
      <c r="C142" s="59" t="s">
        <v>31</v>
      </c>
      <c r="D142" s="81">
        <v>69.8</v>
      </c>
      <c r="E142" s="38">
        <v>30.31</v>
      </c>
      <c r="F142" s="82">
        <f t="shared" si="66"/>
        <v>2115.64</v>
      </c>
      <c r="G142" s="320" t="e">
        <f>SUMIF(#REF!,G4,#REF!)</f>
        <v>#REF!</v>
      </c>
      <c r="H142" s="37" t="e">
        <f t="shared" si="67"/>
        <v>#REF!</v>
      </c>
      <c r="I142" s="320" t="e">
        <f>SUMIF(#REF!,I4,#REF!)</f>
        <v>#REF!</v>
      </c>
      <c r="J142" s="37" t="e">
        <f t="shared" si="68"/>
        <v>#REF!</v>
      </c>
      <c r="K142" s="320" t="e">
        <f>SUMIF(#REF!,K4,#REF!)</f>
        <v>#REF!</v>
      </c>
      <c r="L142" s="37" t="e">
        <f t="shared" si="69"/>
        <v>#REF!</v>
      </c>
      <c r="M142" s="320" t="e">
        <f>SUMIF(#REF!,M4,#REF!)</f>
        <v>#REF!</v>
      </c>
      <c r="N142" s="37" t="e">
        <f t="shared" si="70"/>
        <v>#REF!</v>
      </c>
      <c r="O142" s="320" t="e">
        <f t="shared" si="71"/>
        <v>#REF!</v>
      </c>
      <c r="P142" s="37" t="e">
        <f t="shared" si="72"/>
        <v>#REF!</v>
      </c>
      <c r="Q142" s="340" t="e">
        <f>+'Planilla de Avance'!#REF!-O142</f>
        <v>#REF!</v>
      </c>
    </row>
    <row r="143" spans="1:17" ht="12.75" customHeight="1">
      <c r="A143" s="290">
        <v>13.4</v>
      </c>
      <c r="B143" s="35" t="s">
        <v>47</v>
      </c>
      <c r="C143" s="59" t="s">
        <v>27</v>
      </c>
      <c r="D143" s="81">
        <v>2471.46</v>
      </c>
      <c r="E143" s="38">
        <v>296.39999999999998</v>
      </c>
      <c r="F143" s="82">
        <f t="shared" si="66"/>
        <v>732540.74</v>
      </c>
      <c r="G143" s="320" t="e">
        <f>SUMIF(#REF!,G4,#REF!)</f>
        <v>#REF!</v>
      </c>
      <c r="H143" s="37" t="e">
        <f t="shared" si="67"/>
        <v>#REF!</v>
      </c>
      <c r="I143" s="320" t="e">
        <f>SUMIF(#REF!,I4,#REF!)</f>
        <v>#REF!</v>
      </c>
      <c r="J143" s="37" t="e">
        <f t="shared" si="68"/>
        <v>#REF!</v>
      </c>
      <c r="K143" s="320" t="e">
        <f>SUMIF(#REF!,K4,#REF!)</f>
        <v>#REF!</v>
      </c>
      <c r="L143" s="37" t="e">
        <f t="shared" si="69"/>
        <v>#REF!</v>
      </c>
      <c r="M143" s="320" t="e">
        <f>SUMIF(#REF!,M4,#REF!)</f>
        <v>#REF!</v>
      </c>
      <c r="N143" s="37" t="e">
        <f t="shared" si="70"/>
        <v>#REF!</v>
      </c>
      <c r="O143" s="320" t="e">
        <f t="shared" si="71"/>
        <v>#REF!</v>
      </c>
      <c r="P143" s="37" t="e">
        <f t="shared" si="72"/>
        <v>#REF!</v>
      </c>
      <c r="Q143" s="340" t="e">
        <f>+'Planilla de Avance'!#REF!-O143</f>
        <v>#REF!</v>
      </c>
    </row>
    <row r="144" spans="1:17" ht="12.75" customHeight="1">
      <c r="A144" s="290">
        <v>13.5</v>
      </c>
      <c r="B144" s="35" t="s">
        <v>19</v>
      </c>
      <c r="C144" s="59" t="s">
        <v>46</v>
      </c>
      <c r="D144" s="81">
        <v>28.13</v>
      </c>
      <c r="E144" s="38">
        <v>22032.85</v>
      </c>
      <c r="F144" s="82">
        <f t="shared" si="66"/>
        <v>619784.06999999995</v>
      </c>
      <c r="G144" s="320" t="e">
        <f>SUMIF(#REF!,G4,#REF!)</f>
        <v>#REF!</v>
      </c>
      <c r="H144" s="37" t="e">
        <f t="shared" si="67"/>
        <v>#REF!</v>
      </c>
      <c r="I144" s="320" t="e">
        <f>SUMIF(#REF!,I4,#REF!)</f>
        <v>#REF!</v>
      </c>
      <c r="J144" s="37" t="e">
        <f t="shared" si="68"/>
        <v>#REF!</v>
      </c>
      <c r="K144" s="320" t="e">
        <f>SUMIF(#REF!,K4,#REF!)</f>
        <v>#REF!</v>
      </c>
      <c r="L144" s="37" t="e">
        <f t="shared" si="69"/>
        <v>#REF!</v>
      </c>
      <c r="M144" s="320" t="e">
        <f>SUMIF(#REF!,M4,#REF!)</f>
        <v>#REF!</v>
      </c>
      <c r="N144" s="37" t="e">
        <f t="shared" si="70"/>
        <v>#REF!</v>
      </c>
      <c r="O144" s="320" t="e">
        <f t="shared" si="71"/>
        <v>#REF!</v>
      </c>
      <c r="P144" s="37" t="e">
        <f t="shared" si="72"/>
        <v>#REF!</v>
      </c>
      <c r="Q144" s="340" t="e">
        <f>+'Planilla de Avance'!#REF!-O144</f>
        <v>#REF!</v>
      </c>
    </row>
    <row r="145" spans="1:17" ht="12.75" customHeight="1">
      <c r="A145" s="290">
        <v>13.6</v>
      </c>
      <c r="B145" s="35" t="s">
        <v>76</v>
      </c>
      <c r="C145" s="59" t="s">
        <v>27</v>
      </c>
      <c r="D145" s="81">
        <v>1270.8999999999999</v>
      </c>
      <c r="E145" s="38">
        <v>22.23</v>
      </c>
      <c r="F145" s="82">
        <f t="shared" si="66"/>
        <v>28252.11</v>
      </c>
      <c r="G145" s="320" t="e">
        <f>SUMIF(#REF!,G4,#REF!)</f>
        <v>#REF!</v>
      </c>
      <c r="H145" s="37" t="e">
        <f t="shared" si="67"/>
        <v>#REF!</v>
      </c>
      <c r="I145" s="320" t="e">
        <f>SUMIF(#REF!,I4,#REF!)</f>
        <v>#REF!</v>
      </c>
      <c r="J145" s="37" t="e">
        <f t="shared" si="68"/>
        <v>#REF!</v>
      </c>
      <c r="K145" s="320" t="e">
        <f>SUMIF(#REF!,K4,#REF!)</f>
        <v>#REF!</v>
      </c>
      <c r="L145" s="37" t="e">
        <f t="shared" si="69"/>
        <v>#REF!</v>
      </c>
      <c r="M145" s="320" t="e">
        <f>SUMIF(#REF!,M4,#REF!)</f>
        <v>#REF!</v>
      </c>
      <c r="N145" s="37" t="e">
        <f t="shared" si="70"/>
        <v>#REF!</v>
      </c>
      <c r="O145" s="320" t="e">
        <f t="shared" si="71"/>
        <v>#REF!</v>
      </c>
      <c r="P145" s="37" t="e">
        <f t="shared" si="72"/>
        <v>#REF!</v>
      </c>
      <c r="Q145" s="340" t="e">
        <f>+'Planilla de Avance'!#REF!-O145</f>
        <v>#REF!</v>
      </c>
    </row>
    <row r="146" spans="1:17" ht="12.75" customHeight="1">
      <c r="A146" s="290">
        <v>13.7</v>
      </c>
      <c r="B146" s="35" t="s">
        <v>65</v>
      </c>
      <c r="C146" s="59" t="s">
        <v>27</v>
      </c>
      <c r="D146" s="81">
        <v>746.52</v>
      </c>
      <c r="E146" s="38">
        <v>7.31</v>
      </c>
      <c r="F146" s="82">
        <f t="shared" si="66"/>
        <v>5457.06</v>
      </c>
      <c r="G146" s="320" t="e">
        <f>SUMIF(#REF!,G4,#REF!)</f>
        <v>#REF!</v>
      </c>
      <c r="H146" s="37" t="e">
        <f t="shared" si="67"/>
        <v>#REF!</v>
      </c>
      <c r="I146" s="320" t="e">
        <f>SUMIF(#REF!,I4,#REF!)</f>
        <v>#REF!</v>
      </c>
      <c r="J146" s="37" t="e">
        <f t="shared" si="68"/>
        <v>#REF!</v>
      </c>
      <c r="K146" s="320" t="e">
        <f>SUMIF(#REF!,K4,#REF!)</f>
        <v>#REF!</v>
      </c>
      <c r="L146" s="37" t="e">
        <f t="shared" si="69"/>
        <v>#REF!</v>
      </c>
      <c r="M146" s="320" t="e">
        <f>SUMIF(#REF!,M4,#REF!)</f>
        <v>#REF!</v>
      </c>
      <c r="N146" s="37" t="e">
        <f t="shared" si="70"/>
        <v>#REF!</v>
      </c>
      <c r="O146" s="320" t="e">
        <f t="shared" si="71"/>
        <v>#REF!</v>
      </c>
      <c r="P146" s="37" t="e">
        <f t="shared" si="72"/>
        <v>#REF!</v>
      </c>
      <c r="Q146" s="340" t="e">
        <f>+'Planilla de Avance'!#REF!-O146</f>
        <v>#REF!</v>
      </c>
    </row>
    <row r="147" spans="1:17" ht="12.75" customHeight="1">
      <c r="A147" s="291">
        <v>13.8</v>
      </c>
      <c r="B147" s="45" t="s">
        <v>77</v>
      </c>
      <c r="C147" s="60" t="s">
        <v>0</v>
      </c>
      <c r="D147" s="83">
        <v>92.990000000000023</v>
      </c>
      <c r="E147" s="78">
        <v>8.9</v>
      </c>
      <c r="F147" s="84">
        <f t="shared" si="66"/>
        <v>827.61</v>
      </c>
      <c r="G147" s="321" t="e">
        <f>SUMIF(#REF!,G4,#REF!)</f>
        <v>#REF!</v>
      </c>
      <c r="H147" s="47" t="e">
        <f t="shared" si="67"/>
        <v>#REF!</v>
      </c>
      <c r="I147" s="321" t="e">
        <f>SUMIF(#REF!,I4,#REF!)</f>
        <v>#REF!</v>
      </c>
      <c r="J147" s="47" t="e">
        <f t="shared" si="68"/>
        <v>#REF!</v>
      </c>
      <c r="K147" s="321" t="e">
        <f>SUMIF(#REF!,K4,#REF!)</f>
        <v>#REF!</v>
      </c>
      <c r="L147" s="47" t="e">
        <f t="shared" si="69"/>
        <v>#REF!</v>
      </c>
      <c r="M147" s="321" t="e">
        <f>SUMIF(#REF!,M4,#REF!)</f>
        <v>#REF!</v>
      </c>
      <c r="N147" s="47" t="e">
        <f t="shared" si="70"/>
        <v>#REF!</v>
      </c>
      <c r="O147" s="321" t="e">
        <f t="shared" si="71"/>
        <v>#REF!</v>
      </c>
      <c r="P147" s="47" t="e">
        <f t="shared" si="72"/>
        <v>#REF!</v>
      </c>
      <c r="Q147" s="340" t="e">
        <f>+'Planilla de Avance'!#REF!-O147</f>
        <v>#REF!</v>
      </c>
    </row>
    <row r="148" spans="1:17" ht="12.75" customHeight="1">
      <c r="A148" s="97"/>
      <c r="B148" s="48" t="s">
        <v>10</v>
      </c>
      <c r="C148" s="49"/>
      <c r="D148" s="69"/>
      <c r="E148" s="51"/>
      <c r="F148" s="70">
        <f>SUM(F140:F147)</f>
        <v>1650583.0900000003</v>
      </c>
      <c r="G148" s="52"/>
      <c r="H148" s="76" t="e">
        <f>SUM(H140:H147)</f>
        <v>#REF!</v>
      </c>
      <c r="I148" s="52"/>
      <c r="J148" s="76" t="e">
        <f>SUM(J140:J147)</f>
        <v>#REF!</v>
      </c>
      <c r="K148" s="52"/>
      <c r="L148" s="76" t="e">
        <f>SUM(L140:L147)</f>
        <v>#REF!</v>
      </c>
      <c r="M148" s="52"/>
      <c r="N148" s="76" t="e">
        <f>SUM(N140:N147)</f>
        <v>#REF!</v>
      </c>
      <c r="O148" s="52"/>
      <c r="P148" s="76" t="e">
        <f>SUM(P140:P147)</f>
        <v>#REF!</v>
      </c>
      <c r="Q148" s="340" t="e">
        <f>+'Planilla de Avance'!#REF!-O148</f>
        <v>#REF!</v>
      </c>
    </row>
    <row r="149" spans="1:17" ht="12.75" customHeight="1">
      <c r="A149" s="287" t="s">
        <v>111</v>
      </c>
      <c r="B149" s="41" t="s">
        <v>109</v>
      </c>
      <c r="C149" s="74"/>
      <c r="D149" s="50"/>
      <c r="E149" s="51"/>
      <c r="F149" s="50"/>
      <c r="G149" s="53"/>
      <c r="H149" s="53"/>
      <c r="I149" s="53"/>
      <c r="J149" s="53"/>
      <c r="K149" s="53"/>
      <c r="L149" s="53"/>
      <c r="M149" s="53"/>
      <c r="N149" s="54"/>
      <c r="O149" s="53"/>
      <c r="P149" s="54"/>
      <c r="Q149" s="340" t="e">
        <f>+'Planilla de Avance'!#REF!-O149</f>
        <v>#REF!</v>
      </c>
    </row>
    <row r="150" spans="1:17" ht="12.75" customHeight="1">
      <c r="A150" s="294">
        <v>14.1</v>
      </c>
      <c r="B150" s="85" t="s">
        <v>110</v>
      </c>
      <c r="C150" s="87" t="s">
        <v>23</v>
      </c>
      <c r="D150" s="88">
        <v>14899757.960000001</v>
      </c>
      <c r="E150" s="101">
        <v>1</v>
      </c>
      <c r="F150" s="90">
        <f>ROUND(E150*D150,2)</f>
        <v>14899757.960000001</v>
      </c>
      <c r="G150" s="328" t="e">
        <f>SUMIF(#REF!,G4,#REF!)</f>
        <v>#REF!</v>
      </c>
      <c r="H150" s="91" t="e">
        <f>+($D150*G150)</f>
        <v>#REF!</v>
      </c>
      <c r="I150" s="328" t="e">
        <f>SUMIF(#REF!,I4,#REF!)</f>
        <v>#REF!</v>
      </c>
      <c r="J150" s="91" t="e">
        <f>($D150*I150)</f>
        <v>#REF!</v>
      </c>
      <c r="K150" s="328" t="e">
        <f>SUMIF(#REF!,K4,#REF!)</f>
        <v>#REF!</v>
      </c>
      <c r="L150" s="91" t="e">
        <f>($D150*K150)</f>
        <v>#REF!</v>
      </c>
      <c r="M150" s="328" t="e">
        <f>SUMIF(#REF!,M4,#REF!)</f>
        <v>#REF!</v>
      </c>
      <c r="N150" s="91" t="e">
        <f>($D150*M150)</f>
        <v>#REF!</v>
      </c>
      <c r="O150" s="328" t="e">
        <f>+G150+I150+K150+M150</f>
        <v>#REF!</v>
      </c>
      <c r="P150" s="91" t="e">
        <f>+H150+J150+L150+N150</f>
        <v>#REF!</v>
      </c>
      <c r="Q150" s="340" t="e">
        <f>+'Planilla de Avance'!#REF!-O150</f>
        <v>#REF!</v>
      </c>
    </row>
    <row r="151" spans="1:17" ht="12.75" customHeight="1">
      <c r="A151" s="97"/>
      <c r="B151" s="48" t="s">
        <v>10</v>
      </c>
      <c r="C151" s="49"/>
      <c r="D151" s="69"/>
      <c r="E151" s="51"/>
      <c r="F151" s="70">
        <f>SUM(F150)</f>
        <v>14899757.960000001</v>
      </c>
      <c r="G151" s="52"/>
      <c r="H151" s="76" t="e">
        <f>SUM(H150)</f>
        <v>#REF!</v>
      </c>
      <c r="I151" s="52"/>
      <c r="J151" s="76" t="e">
        <f>SUM(J150)</f>
        <v>#REF!</v>
      </c>
      <c r="K151" s="52"/>
      <c r="L151" s="76" t="e">
        <f>SUM(L150)</f>
        <v>#REF!</v>
      </c>
      <c r="M151" s="52"/>
      <c r="N151" s="76" t="e">
        <f>SUM(N150)</f>
        <v>#REF!</v>
      </c>
      <c r="O151" s="52"/>
      <c r="P151" s="76" t="e">
        <f>SUM(P150)</f>
        <v>#REF!</v>
      </c>
      <c r="Q151" s="340" t="e">
        <f>+'Planilla de Avance'!#REF!-O151</f>
        <v>#REF!</v>
      </c>
    </row>
    <row r="152" spans="1:17" ht="12.75" customHeight="1">
      <c r="A152" s="287" t="s">
        <v>113</v>
      </c>
      <c r="B152" s="41" t="s">
        <v>112</v>
      </c>
      <c r="C152" s="74"/>
      <c r="D152" s="50"/>
      <c r="E152" s="51"/>
      <c r="F152" s="50"/>
      <c r="G152" s="53"/>
      <c r="H152" s="53"/>
      <c r="I152" s="53"/>
      <c r="J152" s="53"/>
      <c r="K152" s="53"/>
      <c r="L152" s="53"/>
      <c r="M152" s="53"/>
      <c r="N152" s="54"/>
      <c r="O152" s="53"/>
      <c r="P152" s="54"/>
      <c r="Q152" s="340" t="e">
        <f>+'Planilla de Avance'!#REF!-O152</f>
        <v>#REF!</v>
      </c>
    </row>
    <row r="153" spans="1:17" ht="12.75" customHeight="1">
      <c r="A153" s="97"/>
      <c r="B153" s="94" t="s">
        <v>82</v>
      </c>
      <c r="C153" s="74"/>
      <c r="D153" s="50"/>
      <c r="E153" s="51"/>
      <c r="F153" s="50"/>
      <c r="G153" s="53"/>
      <c r="H153" s="53"/>
      <c r="I153" s="53"/>
      <c r="J153" s="53"/>
      <c r="K153" s="53"/>
      <c r="L153" s="53"/>
      <c r="M153" s="53"/>
      <c r="N153" s="54"/>
      <c r="O153" s="53"/>
      <c r="P153" s="54"/>
      <c r="Q153" s="340" t="e">
        <f>+'Planilla de Avance'!#REF!-O153</f>
        <v>#REF!</v>
      </c>
    </row>
    <row r="154" spans="1:17" ht="12.75" customHeight="1">
      <c r="A154" s="289">
        <v>15.1</v>
      </c>
      <c r="B154" s="40" t="s">
        <v>47</v>
      </c>
      <c r="C154" s="58" t="s">
        <v>27</v>
      </c>
      <c r="D154" s="79">
        <v>2471.46</v>
      </c>
      <c r="E154" s="100">
        <v>453.31</v>
      </c>
      <c r="F154" s="80">
        <f>ROUND(E154*D154,2)</f>
        <v>1120337.53</v>
      </c>
      <c r="G154" s="319" t="e">
        <f>SUMIF(#REF!,G4,#REF!)</f>
        <v>#REF!</v>
      </c>
      <c r="H154" s="73" t="e">
        <f>+($D154*G154)</f>
        <v>#REF!</v>
      </c>
      <c r="I154" s="319" t="e">
        <f>SUMIF(#REF!,I4,#REF!)</f>
        <v>#REF!</v>
      </c>
      <c r="J154" s="73" t="e">
        <f>($D154*I154)</f>
        <v>#REF!</v>
      </c>
      <c r="K154" s="319" t="e">
        <f>SUMIF(#REF!,K4,#REF!)</f>
        <v>#REF!</v>
      </c>
      <c r="L154" s="73" t="e">
        <f>($D154*K154)</f>
        <v>#REF!</v>
      </c>
      <c r="M154" s="319" t="e">
        <f>SUMIF(#REF!,M4,#REF!)</f>
        <v>#REF!</v>
      </c>
      <c r="N154" s="73" t="e">
        <f>($D154*M154)</f>
        <v>#REF!</v>
      </c>
      <c r="O154" s="319" t="e">
        <f t="shared" ref="O154:P158" si="73">+G154+I154+K154+M154</f>
        <v>#REF!</v>
      </c>
      <c r="P154" s="73" t="e">
        <f t="shared" si="73"/>
        <v>#REF!</v>
      </c>
      <c r="Q154" s="340" t="e">
        <f>+'Planilla de Avance'!#REF!-O154</f>
        <v>#REF!</v>
      </c>
    </row>
    <row r="155" spans="1:17" ht="12.75" customHeight="1">
      <c r="A155" s="290">
        <v>15.2</v>
      </c>
      <c r="B155" s="35" t="s">
        <v>19</v>
      </c>
      <c r="C155" s="59" t="s">
        <v>46</v>
      </c>
      <c r="D155" s="81">
        <v>28.13</v>
      </c>
      <c r="E155" s="38">
        <v>29067.63</v>
      </c>
      <c r="F155" s="82">
        <f>ROUND(E155*D155,2)</f>
        <v>817672.43</v>
      </c>
      <c r="G155" s="320" t="e">
        <f>SUMIF(#REF!,G4,#REF!)</f>
        <v>#REF!</v>
      </c>
      <c r="H155" s="37" t="e">
        <f>+($D155*G155)</f>
        <v>#REF!</v>
      </c>
      <c r="I155" s="320" t="e">
        <f>SUMIF(#REF!,I4,#REF!)</f>
        <v>#REF!</v>
      </c>
      <c r="J155" s="37" t="e">
        <f>($D155*I155)</f>
        <v>#REF!</v>
      </c>
      <c r="K155" s="320" t="e">
        <f>SUMIF(#REF!,K4,#REF!)</f>
        <v>#REF!</v>
      </c>
      <c r="L155" s="37" t="e">
        <f>($D155*K155)</f>
        <v>#REF!</v>
      </c>
      <c r="M155" s="320" t="e">
        <f>SUMIF(#REF!,M4,#REF!)</f>
        <v>#REF!</v>
      </c>
      <c r="N155" s="37" t="e">
        <f>($D155*M155)</f>
        <v>#REF!</v>
      </c>
      <c r="O155" s="320" t="e">
        <f t="shared" si="73"/>
        <v>#REF!</v>
      </c>
      <c r="P155" s="37" t="e">
        <f t="shared" si="73"/>
        <v>#REF!</v>
      </c>
      <c r="Q155" s="340" t="e">
        <f>+'Planilla de Avance'!#REF!-O155</f>
        <v>#REF!</v>
      </c>
    </row>
    <row r="156" spans="1:17" ht="12.75" customHeight="1">
      <c r="A156" s="290">
        <v>15.3</v>
      </c>
      <c r="B156" s="35" t="s">
        <v>11</v>
      </c>
      <c r="C156" s="59" t="s">
        <v>27</v>
      </c>
      <c r="D156" s="81">
        <v>25.820000000000004</v>
      </c>
      <c r="E156" s="38">
        <v>1064</v>
      </c>
      <c r="F156" s="82">
        <f>ROUND(E156*D156,2)</f>
        <v>27472.48</v>
      </c>
      <c r="G156" s="320" t="e">
        <f>SUMIF(#REF!,G4,#REF!)</f>
        <v>#REF!</v>
      </c>
      <c r="H156" s="37" t="e">
        <f>+($D156*G156)</f>
        <v>#REF!</v>
      </c>
      <c r="I156" s="320" t="e">
        <f>SUMIF(#REF!,I4,#REF!)</f>
        <v>#REF!</v>
      </c>
      <c r="J156" s="37" t="e">
        <f>($D156*I156)</f>
        <v>#REF!</v>
      </c>
      <c r="K156" s="320" t="e">
        <f>SUMIF(#REF!,K4,#REF!)</f>
        <v>#REF!</v>
      </c>
      <c r="L156" s="37" t="e">
        <f>($D156*K156)</f>
        <v>#REF!</v>
      </c>
      <c r="M156" s="320" t="e">
        <f>SUMIF(#REF!,M4,#REF!)</f>
        <v>#REF!</v>
      </c>
      <c r="N156" s="37" t="e">
        <f>($D156*M156)</f>
        <v>#REF!</v>
      </c>
      <c r="O156" s="320" t="e">
        <f t="shared" si="73"/>
        <v>#REF!</v>
      </c>
      <c r="P156" s="37" t="e">
        <f t="shared" si="73"/>
        <v>#REF!</v>
      </c>
      <c r="Q156" s="340" t="e">
        <f>+'Planilla de Avance'!#REF!-O156</f>
        <v>#REF!</v>
      </c>
    </row>
    <row r="157" spans="1:17" ht="12.75" customHeight="1">
      <c r="A157" s="290">
        <v>15.4</v>
      </c>
      <c r="B157" s="35" t="s">
        <v>76</v>
      </c>
      <c r="C157" s="59" t="s">
        <v>27</v>
      </c>
      <c r="D157" s="81">
        <v>1270.8999999999999</v>
      </c>
      <c r="E157" s="38">
        <v>14.98</v>
      </c>
      <c r="F157" s="82">
        <f>ROUND(E157*D157,2)</f>
        <v>19038.080000000002</v>
      </c>
      <c r="G157" s="320" t="e">
        <f>SUMIF(#REF!,G4,#REF!)</f>
        <v>#REF!</v>
      </c>
      <c r="H157" s="37" t="e">
        <f>+($D157*G157)</f>
        <v>#REF!</v>
      </c>
      <c r="I157" s="320" t="e">
        <f>SUMIF(#REF!,I4,#REF!)</f>
        <v>#REF!</v>
      </c>
      <c r="J157" s="37" t="e">
        <f>($D157*I157)</f>
        <v>#REF!</v>
      </c>
      <c r="K157" s="320" t="e">
        <f>SUMIF(#REF!,K4,#REF!)</f>
        <v>#REF!</v>
      </c>
      <c r="L157" s="37" t="e">
        <f>($D157*K157)</f>
        <v>#REF!</v>
      </c>
      <c r="M157" s="320" t="e">
        <f>SUMIF(#REF!,M4,#REF!)</f>
        <v>#REF!</v>
      </c>
      <c r="N157" s="37" t="e">
        <f>($D157*M157)</f>
        <v>#REF!</v>
      </c>
      <c r="O157" s="320" t="e">
        <f t="shared" si="73"/>
        <v>#REF!</v>
      </c>
      <c r="P157" s="37" t="e">
        <f t="shared" si="73"/>
        <v>#REF!</v>
      </c>
      <c r="Q157" s="340" t="e">
        <f>+'Planilla de Avance'!#REF!-O157</f>
        <v>#REF!</v>
      </c>
    </row>
    <row r="158" spans="1:17" ht="12.75" customHeight="1">
      <c r="A158" s="290">
        <v>15.5</v>
      </c>
      <c r="B158" s="35" t="s">
        <v>85</v>
      </c>
      <c r="C158" s="59" t="s">
        <v>86</v>
      </c>
      <c r="D158" s="81">
        <v>508.86</v>
      </c>
      <c r="E158" s="38">
        <v>100</v>
      </c>
      <c r="F158" s="82">
        <f>ROUND(E158*D158,2)</f>
        <v>50886</v>
      </c>
      <c r="G158" s="320" t="e">
        <f>SUMIF(#REF!,G4,#REF!)</f>
        <v>#REF!</v>
      </c>
      <c r="H158" s="37" t="e">
        <f>+($D158*G158)</f>
        <v>#REF!</v>
      </c>
      <c r="I158" s="320" t="e">
        <f>SUMIF(#REF!,I4,#REF!)</f>
        <v>#REF!</v>
      </c>
      <c r="J158" s="37" t="e">
        <f>($D158*I158)</f>
        <v>#REF!</v>
      </c>
      <c r="K158" s="320" t="e">
        <f>SUMIF(#REF!,K4,#REF!)</f>
        <v>#REF!</v>
      </c>
      <c r="L158" s="37" t="e">
        <f>($D158*K158)</f>
        <v>#REF!</v>
      </c>
      <c r="M158" s="320" t="e">
        <f>SUMIF(#REF!,M4,#REF!)</f>
        <v>#REF!</v>
      </c>
      <c r="N158" s="37" t="e">
        <f>($D158*M158)</f>
        <v>#REF!</v>
      </c>
      <c r="O158" s="320" t="e">
        <f t="shared" si="73"/>
        <v>#REF!</v>
      </c>
      <c r="P158" s="37" t="e">
        <f t="shared" si="73"/>
        <v>#REF!</v>
      </c>
      <c r="Q158" s="340" t="e">
        <f>+'Planilla de Avance'!#REF!-O158</f>
        <v>#REF!</v>
      </c>
    </row>
    <row r="159" spans="1:17" ht="12.75" customHeight="1">
      <c r="A159" s="97"/>
      <c r="B159" s="48" t="s">
        <v>10</v>
      </c>
      <c r="C159" s="49"/>
      <c r="D159" s="69"/>
      <c r="E159" s="51"/>
      <c r="F159" s="70">
        <f>SUM(F154:F158)</f>
        <v>2035406.52</v>
      </c>
      <c r="G159" s="52"/>
      <c r="H159" s="76" t="e">
        <f>SUM(H154:H158)</f>
        <v>#REF!</v>
      </c>
      <c r="I159" s="52"/>
      <c r="J159" s="76" t="e">
        <f>SUM(J154:J158)</f>
        <v>#REF!</v>
      </c>
      <c r="K159" s="52"/>
      <c r="L159" s="76" t="e">
        <f>SUM(L154:L158)</f>
        <v>#REF!</v>
      </c>
      <c r="M159" s="52"/>
      <c r="N159" s="76" t="e">
        <f>SUM(N154:N158)</f>
        <v>#REF!</v>
      </c>
      <c r="O159" s="52"/>
      <c r="P159" s="76" t="e">
        <f>SUM(P154:P158)</f>
        <v>#REF!</v>
      </c>
      <c r="Q159" s="340" t="e">
        <f>+'Planilla de Avance'!#REF!-O159</f>
        <v>#REF!</v>
      </c>
    </row>
    <row r="160" spans="1:17" ht="12.75" customHeight="1">
      <c r="A160" s="93"/>
      <c r="B160" s="94" t="s">
        <v>83</v>
      </c>
      <c r="C160" s="74"/>
      <c r="D160" s="57"/>
      <c r="E160" s="57"/>
      <c r="F160" s="57"/>
      <c r="G160" s="53"/>
      <c r="H160" s="53"/>
      <c r="I160" s="53"/>
      <c r="J160" s="53"/>
      <c r="K160" s="53"/>
      <c r="L160" s="53"/>
      <c r="M160" s="53"/>
      <c r="N160" s="54"/>
      <c r="O160" s="53"/>
      <c r="P160" s="54"/>
      <c r="Q160" s="340" t="e">
        <f>+'Planilla de Avance'!#REF!-O160</f>
        <v>#REF!</v>
      </c>
    </row>
    <row r="161" spans="1:17" ht="12.75" customHeight="1">
      <c r="A161" s="289">
        <v>15.6</v>
      </c>
      <c r="B161" s="40" t="s">
        <v>47</v>
      </c>
      <c r="C161" s="58" t="s">
        <v>27</v>
      </c>
      <c r="D161" s="79">
        <v>2471.46</v>
      </c>
      <c r="E161" s="100">
        <v>48.59</v>
      </c>
      <c r="F161" s="80">
        <f t="shared" ref="F161:F170" si="74">ROUND(E161*D161,2)</f>
        <v>120088.24</v>
      </c>
      <c r="G161" s="319" t="e">
        <f>SUMIF(#REF!,G4,#REF!)</f>
        <v>#REF!</v>
      </c>
      <c r="H161" s="73" t="e">
        <f t="shared" ref="H161:H170" si="75">+($D161*G161)</f>
        <v>#REF!</v>
      </c>
      <c r="I161" s="319" t="e">
        <f>SUMIF(#REF!,I4,#REF!)</f>
        <v>#REF!</v>
      </c>
      <c r="J161" s="73" t="e">
        <f t="shared" ref="J161:J170" si="76">($D161*I161)</f>
        <v>#REF!</v>
      </c>
      <c r="K161" s="319" t="e">
        <f>SUMIF(#REF!,K4,#REF!)</f>
        <v>#REF!</v>
      </c>
      <c r="L161" s="73" t="e">
        <f t="shared" ref="L161:L170" si="77">($D161*K161)</f>
        <v>#REF!</v>
      </c>
      <c r="M161" s="319" t="e">
        <f>SUMIF(#REF!,M4,#REF!)</f>
        <v>#REF!</v>
      </c>
      <c r="N161" s="73" t="e">
        <f t="shared" ref="N161:N170" si="78">($D161*M161)</f>
        <v>#REF!</v>
      </c>
      <c r="O161" s="319" t="e">
        <f t="shared" ref="O161:P170" si="79">+G161+I161+K161+M161</f>
        <v>#REF!</v>
      </c>
      <c r="P161" s="73" t="e">
        <f t="shared" si="79"/>
        <v>#REF!</v>
      </c>
      <c r="Q161" s="340" t="e">
        <f>+'Planilla de Avance'!#REF!-O161</f>
        <v>#REF!</v>
      </c>
    </row>
    <row r="162" spans="1:17" ht="12.75" customHeight="1">
      <c r="A162" s="290">
        <v>15.7</v>
      </c>
      <c r="B162" s="35" t="s">
        <v>19</v>
      </c>
      <c r="C162" s="59" t="s">
        <v>46</v>
      </c>
      <c r="D162" s="81">
        <v>28.13</v>
      </c>
      <c r="E162" s="38">
        <v>5344.9</v>
      </c>
      <c r="F162" s="82">
        <f t="shared" si="74"/>
        <v>150352.04</v>
      </c>
      <c r="G162" s="320" t="e">
        <f>SUMIF(#REF!,G4,#REF!)</f>
        <v>#REF!</v>
      </c>
      <c r="H162" s="37" t="e">
        <f t="shared" si="75"/>
        <v>#REF!</v>
      </c>
      <c r="I162" s="320" t="e">
        <f>SUMIF(#REF!,I4,#REF!)</f>
        <v>#REF!</v>
      </c>
      <c r="J162" s="37" t="e">
        <f t="shared" si="76"/>
        <v>#REF!</v>
      </c>
      <c r="K162" s="320" t="e">
        <f>SUMIF(#REF!,K4,#REF!)</f>
        <v>#REF!</v>
      </c>
      <c r="L162" s="37" t="e">
        <f t="shared" si="77"/>
        <v>#REF!</v>
      </c>
      <c r="M162" s="320" t="e">
        <f>SUMIF(#REF!,M4,#REF!)</f>
        <v>#REF!</v>
      </c>
      <c r="N162" s="37" t="e">
        <f t="shared" si="78"/>
        <v>#REF!</v>
      </c>
      <c r="O162" s="320" t="e">
        <f t="shared" si="79"/>
        <v>#REF!</v>
      </c>
      <c r="P162" s="37" t="e">
        <f t="shared" si="79"/>
        <v>#REF!</v>
      </c>
      <c r="Q162" s="340" t="e">
        <f>+'Planilla de Avance'!#REF!-O162</f>
        <v>#REF!</v>
      </c>
    </row>
    <row r="163" spans="1:17" ht="12.75" customHeight="1">
      <c r="A163" s="290">
        <v>15.8</v>
      </c>
      <c r="B163" s="35" t="s">
        <v>103</v>
      </c>
      <c r="C163" s="59" t="s">
        <v>20</v>
      </c>
      <c r="D163" s="81">
        <v>1451.74</v>
      </c>
      <c r="E163" s="38">
        <v>45.2</v>
      </c>
      <c r="F163" s="82">
        <f t="shared" si="74"/>
        <v>65618.649999999994</v>
      </c>
      <c r="G163" s="320" t="e">
        <f>SUMIF(#REF!,G4,#REF!)</f>
        <v>#REF!</v>
      </c>
      <c r="H163" s="37" t="e">
        <f t="shared" si="75"/>
        <v>#REF!</v>
      </c>
      <c r="I163" s="320" t="e">
        <f>SUMIF(#REF!,I4,#REF!)</f>
        <v>#REF!</v>
      </c>
      <c r="J163" s="37" t="e">
        <f t="shared" si="76"/>
        <v>#REF!</v>
      </c>
      <c r="K163" s="320" t="e">
        <f>SUMIF(#REF!,K4,#REF!)</f>
        <v>#REF!</v>
      </c>
      <c r="L163" s="37" t="e">
        <f t="shared" si="77"/>
        <v>#REF!</v>
      </c>
      <c r="M163" s="320" t="e">
        <f>SUMIF(#REF!,M4,#REF!)</f>
        <v>#REF!</v>
      </c>
      <c r="N163" s="37" t="e">
        <f t="shared" si="78"/>
        <v>#REF!</v>
      </c>
      <c r="O163" s="320" t="e">
        <f t="shared" si="79"/>
        <v>#REF!</v>
      </c>
      <c r="P163" s="37" t="e">
        <f t="shared" si="79"/>
        <v>#REF!</v>
      </c>
      <c r="Q163" s="340" t="e">
        <f>+'Planilla de Avance'!#REF!-O163</f>
        <v>#REF!</v>
      </c>
    </row>
    <row r="164" spans="1:17" ht="12.75" customHeight="1">
      <c r="A164" s="290">
        <v>15.9</v>
      </c>
      <c r="B164" s="35" t="s">
        <v>87</v>
      </c>
      <c r="C164" s="59" t="s">
        <v>0</v>
      </c>
      <c r="D164" s="81">
        <v>109.44</v>
      </c>
      <c r="E164" s="38">
        <v>5.4</v>
      </c>
      <c r="F164" s="82">
        <f t="shared" si="74"/>
        <v>590.98</v>
      </c>
      <c r="G164" s="320" t="e">
        <f>SUMIF(#REF!,G4,#REF!)</f>
        <v>#REF!</v>
      </c>
      <c r="H164" s="37" t="e">
        <f t="shared" si="75"/>
        <v>#REF!</v>
      </c>
      <c r="I164" s="320" t="e">
        <f>SUMIF(#REF!,I4,#REF!)</f>
        <v>#REF!</v>
      </c>
      <c r="J164" s="37" t="e">
        <f t="shared" si="76"/>
        <v>#REF!</v>
      </c>
      <c r="K164" s="320" t="e">
        <f>SUMIF(#REF!,K4,#REF!)</f>
        <v>#REF!</v>
      </c>
      <c r="L164" s="37" t="e">
        <f t="shared" si="77"/>
        <v>#REF!</v>
      </c>
      <c r="M164" s="320" t="e">
        <f>SUMIF(#REF!,M4,#REF!)</f>
        <v>#REF!</v>
      </c>
      <c r="N164" s="37" t="e">
        <f t="shared" si="78"/>
        <v>#REF!</v>
      </c>
      <c r="O164" s="320" t="e">
        <f t="shared" si="79"/>
        <v>#REF!</v>
      </c>
      <c r="P164" s="37" t="e">
        <f t="shared" si="79"/>
        <v>#REF!</v>
      </c>
      <c r="Q164" s="340" t="e">
        <f>+'Planilla de Avance'!#REF!-O164</f>
        <v>#REF!</v>
      </c>
    </row>
    <row r="165" spans="1:17" ht="12.75" customHeight="1">
      <c r="A165" s="292" t="s">
        <v>114</v>
      </c>
      <c r="B165" s="35" t="s">
        <v>89</v>
      </c>
      <c r="C165" s="59" t="s">
        <v>27</v>
      </c>
      <c r="D165" s="81">
        <v>2838.05</v>
      </c>
      <c r="E165" s="38">
        <v>91</v>
      </c>
      <c r="F165" s="82">
        <f t="shared" si="74"/>
        <v>258262.55</v>
      </c>
      <c r="G165" s="320" t="e">
        <f>SUMIF(#REF!,G4,#REF!)</f>
        <v>#REF!</v>
      </c>
      <c r="H165" s="37" t="e">
        <f t="shared" si="75"/>
        <v>#REF!</v>
      </c>
      <c r="I165" s="320" t="e">
        <f>SUMIF(#REF!,I4,#REF!)</f>
        <v>#REF!</v>
      </c>
      <c r="J165" s="37" t="e">
        <f t="shared" si="76"/>
        <v>#REF!</v>
      </c>
      <c r="K165" s="320" t="e">
        <f>SUMIF(#REF!,K4,#REF!)</f>
        <v>#REF!</v>
      </c>
      <c r="L165" s="37" t="e">
        <f t="shared" si="77"/>
        <v>#REF!</v>
      </c>
      <c r="M165" s="320" t="e">
        <f>SUMIF(#REF!,M4,#REF!)</f>
        <v>#REF!</v>
      </c>
      <c r="N165" s="37" t="e">
        <f t="shared" si="78"/>
        <v>#REF!</v>
      </c>
      <c r="O165" s="320" t="e">
        <f t="shared" si="79"/>
        <v>#REF!</v>
      </c>
      <c r="P165" s="37" t="e">
        <f t="shared" si="79"/>
        <v>#REF!</v>
      </c>
      <c r="Q165" s="340" t="e">
        <f>+'Planilla de Avance'!#REF!-O165</f>
        <v>#REF!</v>
      </c>
    </row>
    <row r="166" spans="1:17" ht="12.75" customHeight="1">
      <c r="A166" s="292">
        <v>15.11</v>
      </c>
      <c r="B166" s="35" t="s">
        <v>90</v>
      </c>
      <c r="C166" s="59" t="s">
        <v>46</v>
      </c>
      <c r="D166" s="81">
        <v>59.71</v>
      </c>
      <c r="E166" s="38">
        <v>3760</v>
      </c>
      <c r="F166" s="82">
        <f t="shared" si="74"/>
        <v>224509.6</v>
      </c>
      <c r="G166" s="320" t="e">
        <f>SUMIF(#REF!,G4,#REF!)</f>
        <v>#REF!</v>
      </c>
      <c r="H166" s="37" t="e">
        <f t="shared" si="75"/>
        <v>#REF!</v>
      </c>
      <c r="I166" s="320" t="e">
        <f>SUMIF(#REF!,I4,#REF!)</f>
        <v>#REF!</v>
      </c>
      <c r="J166" s="37" t="e">
        <f t="shared" si="76"/>
        <v>#REF!</v>
      </c>
      <c r="K166" s="320" t="e">
        <f>SUMIF(#REF!,K4,#REF!)</f>
        <v>#REF!</v>
      </c>
      <c r="L166" s="37" t="e">
        <f t="shared" si="77"/>
        <v>#REF!</v>
      </c>
      <c r="M166" s="320" t="e">
        <f>SUMIF(#REF!,M4,#REF!)</f>
        <v>#REF!</v>
      </c>
      <c r="N166" s="37" t="e">
        <f t="shared" si="78"/>
        <v>#REF!</v>
      </c>
      <c r="O166" s="320" t="e">
        <f t="shared" si="79"/>
        <v>#REF!</v>
      </c>
      <c r="P166" s="37" t="e">
        <f t="shared" si="79"/>
        <v>#REF!</v>
      </c>
      <c r="Q166" s="340" t="e">
        <f>+'Planilla de Avance'!#REF!-O166</f>
        <v>#REF!</v>
      </c>
    </row>
    <row r="167" spans="1:17" ht="12.75" customHeight="1">
      <c r="A167" s="292">
        <v>15.12</v>
      </c>
      <c r="B167" s="35" t="s">
        <v>92</v>
      </c>
      <c r="C167" s="59" t="s">
        <v>93</v>
      </c>
      <c r="D167" s="81">
        <v>3053.84</v>
      </c>
      <c r="E167" s="38">
        <v>40</v>
      </c>
      <c r="F167" s="82">
        <f t="shared" si="74"/>
        <v>122153.60000000001</v>
      </c>
      <c r="G167" s="320" t="e">
        <f>SUMIF(#REF!,G4,#REF!)</f>
        <v>#REF!</v>
      </c>
      <c r="H167" s="37" t="e">
        <f t="shared" si="75"/>
        <v>#REF!</v>
      </c>
      <c r="I167" s="320" t="e">
        <f>SUMIF(#REF!,I4,#REF!)</f>
        <v>#REF!</v>
      </c>
      <c r="J167" s="37" t="e">
        <f t="shared" si="76"/>
        <v>#REF!</v>
      </c>
      <c r="K167" s="320" t="e">
        <f>SUMIF(#REF!,K4,#REF!)</f>
        <v>#REF!</v>
      </c>
      <c r="L167" s="37" t="e">
        <f t="shared" si="77"/>
        <v>#REF!</v>
      </c>
      <c r="M167" s="320" t="e">
        <f>SUMIF(#REF!,M4,#REF!)</f>
        <v>#REF!</v>
      </c>
      <c r="N167" s="37" t="e">
        <f t="shared" si="78"/>
        <v>#REF!</v>
      </c>
      <c r="O167" s="320" t="e">
        <f t="shared" si="79"/>
        <v>#REF!</v>
      </c>
      <c r="P167" s="37" t="e">
        <f t="shared" si="79"/>
        <v>#REF!</v>
      </c>
      <c r="Q167" s="340" t="e">
        <f>+'Planilla de Avance'!#REF!-O167</f>
        <v>#REF!</v>
      </c>
    </row>
    <row r="168" spans="1:17" ht="12.75" customHeight="1">
      <c r="A168" s="292">
        <v>15.13</v>
      </c>
      <c r="B168" s="35" t="s">
        <v>88</v>
      </c>
      <c r="C168" s="59" t="s">
        <v>0</v>
      </c>
      <c r="D168" s="81">
        <v>1048.27</v>
      </c>
      <c r="E168" s="38">
        <v>46.94</v>
      </c>
      <c r="F168" s="82">
        <f t="shared" si="74"/>
        <v>49205.79</v>
      </c>
      <c r="G168" s="320" t="e">
        <f>SUMIF(#REF!,G4,#REF!)</f>
        <v>#REF!</v>
      </c>
      <c r="H168" s="37" t="e">
        <f t="shared" si="75"/>
        <v>#REF!</v>
      </c>
      <c r="I168" s="320" t="e">
        <f>SUMIF(#REF!,I4,#REF!)</f>
        <v>#REF!</v>
      </c>
      <c r="J168" s="37" t="e">
        <f t="shared" si="76"/>
        <v>#REF!</v>
      </c>
      <c r="K168" s="320" t="e">
        <f>SUMIF(#REF!,K4,#REF!)</f>
        <v>#REF!</v>
      </c>
      <c r="L168" s="37" t="e">
        <f t="shared" si="77"/>
        <v>#REF!</v>
      </c>
      <c r="M168" s="320" t="e">
        <f>SUMIF(#REF!,M4,#REF!)</f>
        <v>#REF!</v>
      </c>
      <c r="N168" s="37" t="e">
        <f t="shared" si="78"/>
        <v>#REF!</v>
      </c>
      <c r="O168" s="320" t="e">
        <f t="shared" si="79"/>
        <v>#REF!</v>
      </c>
      <c r="P168" s="37" t="e">
        <f t="shared" si="79"/>
        <v>#REF!</v>
      </c>
      <c r="Q168" s="340" t="e">
        <f>+'Planilla de Avance'!#REF!-O168</f>
        <v>#REF!</v>
      </c>
    </row>
    <row r="169" spans="1:17" ht="12.75" customHeight="1">
      <c r="A169" s="292">
        <v>15.14</v>
      </c>
      <c r="B169" s="35" t="s">
        <v>91</v>
      </c>
      <c r="C169" s="59" t="s">
        <v>0</v>
      </c>
      <c r="D169" s="81">
        <v>237.24</v>
      </c>
      <c r="E169" s="38">
        <v>445</v>
      </c>
      <c r="F169" s="82">
        <f t="shared" si="74"/>
        <v>105571.8</v>
      </c>
      <c r="G169" s="320" t="e">
        <f>SUMIF(#REF!,G4,#REF!)</f>
        <v>#REF!</v>
      </c>
      <c r="H169" s="37" t="e">
        <f t="shared" si="75"/>
        <v>#REF!</v>
      </c>
      <c r="I169" s="320" t="e">
        <f>SUMIF(#REF!,I4,#REF!)</f>
        <v>#REF!</v>
      </c>
      <c r="J169" s="37" t="e">
        <f t="shared" si="76"/>
        <v>#REF!</v>
      </c>
      <c r="K169" s="320" t="e">
        <f>SUMIF(#REF!,K4,#REF!)</f>
        <v>#REF!</v>
      </c>
      <c r="L169" s="37" t="e">
        <f t="shared" si="77"/>
        <v>#REF!</v>
      </c>
      <c r="M169" s="320" t="e">
        <f>SUMIF(#REF!,M4,#REF!)</f>
        <v>#REF!</v>
      </c>
      <c r="N169" s="37" t="e">
        <f t="shared" si="78"/>
        <v>#REF!</v>
      </c>
      <c r="O169" s="320" t="e">
        <f t="shared" si="79"/>
        <v>#REF!</v>
      </c>
      <c r="P169" s="37" t="e">
        <f t="shared" si="79"/>
        <v>#REF!</v>
      </c>
      <c r="Q169" s="340" t="e">
        <f>+'Planilla de Avance'!#REF!-O169</f>
        <v>#REF!</v>
      </c>
    </row>
    <row r="170" spans="1:17" ht="12.75" customHeight="1">
      <c r="A170" s="292">
        <v>15.15</v>
      </c>
      <c r="B170" s="35" t="s">
        <v>94</v>
      </c>
      <c r="C170" s="59" t="s">
        <v>93</v>
      </c>
      <c r="D170" s="81">
        <v>31441.78</v>
      </c>
      <c r="E170" s="38">
        <v>10</v>
      </c>
      <c r="F170" s="82">
        <f t="shared" si="74"/>
        <v>314417.8</v>
      </c>
      <c r="G170" s="320" t="e">
        <f>SUMIF(#REF!,G4,#REF!)</f>
        <v>#REF!</v>
      </c>
      <c r="H170" s="37" t="e">
        <f t="shared" si="75"/>
        <v>#REF!</v>
      </c>
      <c r="I170" s="320" t="e">
        <f>SUMIF(#REF!,I4,#REF!)</f>
        <v>#REF!</v>
      </c>
      <c r="J170" s="37" t="e">
        <f t="shared" si="76"/>
        <v>#REF!</v>
      </c>
      <c r="K170" s="320" t="e">
        <f>SUMIF(#REF!,K4,#REF!)</f>
        <v>#REF!</v>
      </c>
      <c r="L170" s="37" t="e">
        <f t="shared" si="77"/>
        <v>#REF!</v>
      </c>
      <c r="M170" s="320" t="e">
        <f>SUMIF(#REF!,M4,#REF!)</f>
        <v>#REF!</v>
      </c>
      <c r="N170" s="37" t="e">
        <f t="shared" si="78"/>
        <v>#REF!</v>
      </c>
      <c r="O170" s="320" t="e">
        <f t="shared" si="79"/>
        <v>#REF!</v>
      </c>
      <c r="P170" s="37" t="e">
        <f t="shared" si="79"/>
        <v>#REF!</v>
      </c>
      <c r="Q170" s="340" t="e">
        <f>+'Planilla de Avance'!#REF!-O170</f>
        <v>#REF!</v>
      </c>
    </row>
    <row r="171" spans="1:17" ht="12.75" customHeight="1">
      <c r="A171" s="97"/>
      <c r="B171" s="48" t="s">
        <v>10</v>
      </c>
      <c r="C171" s="49"/>
      <c r="D171" s="69"/>
      <c r="E171" s="51"/>
      <c r="F171" s="70">
        <f>SUM(F161:F170)</f>
        <v>1410771.05</v>
      </c>
      <c r="G171" s="52"/>
      <c r="H171" s="76" t="e">
        <f>SUM(H161:H170)</f>
        <v>#REF!</v>
      </c>
      <c r="I171" s="52"/>
      <c r="J171" s="76" t="e">
        <f>SUM(J161:J170)</f>
        <v>#REF!</v>
      </c>
      <c r="K171" s="52"/>
      <c r="L171" s="76" t="e">
        <f>SUM(L161:L170)</f>
        <v>#REF!</v>
      </c>
      <c r="M171" s="52"/>
      <c r="N171" s="76" t="e">
        <f>SUM(N161:N170)</f>
        <v>#REF!</v>
      </c>
      <c r="O171" s="52"/>
      <c r="P171" s="76" t="e">
        <f>SUM(P161:P170)</f>
        <v>#REF!</v>
      </c>
      <c r="Q171" s="340" t="e">
        <f>+'Planilla de Avance'!#REF!-O171</f>
        <v>#REF!</v>
      </c>
    </row>
    <row r="172" spans="1:17" ht="12.75" customHeight="1">
      <c r="A172" s="93"/>
      <c r="B172" s="94" t="s">
        <v>84</v>
      </c>
      <c r="C172" s="74"/>
      <c r="D172" s="57"/>
      <c r="E172" s="57"/>
      <c r="F172" s="57"/>
      <c r="G172" s="53"/>
      <c r="H172" s="53"/>
      <c r="I172" s="53"/>
      <c r="J172" s="53"/>
      <c r="K172" s="53"/>
      <c r="L172" s="53"/>
      <c r="M172" s="53"/>
      <c r="N172" s="54"/>
      <c r="O172" s="53"/>
      <c r="P172" s="54"/>
      <c r="Q172" s="340" t="e">
        <f>+'Planilla de Avance'!#REF!-O172</f>
        <v>#REF!</v>
      </c>
    </row>
    <row r="173" spans="1:17" ht="12.75" customHeight="1">
      <c r="A173" s="296">
        <v>15.16</v>
      </c>
      <c r="B173" s="85" t="s">
        <v>95</v>
      </c>
      <c r="C173" s="87" t="s">
        <v>27</v>
      </c>
      <c r="D173" s="88">
        <v>160.85999999999999</v>
      </c>
      <c r="E173" s="101">
        <v>982.03</v>
      </c>
      <c r="F173" s="90">
        <f>ROUND(E173*D173,2)</f>
        <v>157969.35</v>
      </c>
      <c r="G173" s="328" t="e">
        <f>SUMIF(#REF!,G4,#REF!)</f>
        <v>#REF!</v>
      </c>
      <c r="H173" s="91" t="e">
        <f>+($D173*G173)</f>
        <v>#REF!</v>
      </c>
      <c r="I173" s="328" t="e">
        <f>SUMIF(#REF!,I4,#REF!)</f>
        <v>#REF!</v>
      </c>
      <c r="J173" s="91" t="e">
        <f>($D173*I173)</f>
        <v>#REF!</v>
      </c>
      <c r="K173" s="328" t="e">
        <f>SUMIF(#REF!,K4,#REF!)</f>
        <v>#REF!</v>
      </c>
      <c r="L173" s="91" t="e">
        <f>($D173*K173)</f>
        <v>#REF!</v>
      </c>
      <c r="M173" s="328" t="e">
        <f>SUMIF(#REF!,M4,#REF!)</f>
        <v>#REF!</v>
      </c>
      <c r="N173" s="91" t="e">
        <f>($D173*M173)</f>
        <v>#REF!</v>
      </c>
      <c r="O173" s="328" t="e">
        <f>+G173+I173+K173+M173</f>
        <v>#REF!</v>
      </c>
      <c r="P173" s="91" t="e">
        <f>+H173+J173+L173+N173</f>
        <v>#REF!</v>
      </c>
      <c r="Q173" s="340" t="e">
        <f>+'Planilla de Avance'!#REF!-O173</f>
        <v>#REF!</v>
      </c>
    </row>
    <row r="174" spans="1:17" ht="12.75" customHeight="1">
      <c r="A174" s="93"/>
      <c r="B174" s="48" t="s">
        <v>10</v>
      </c>
      <c r="C174" s="49"/>
      <c r="D174" s="69"/>
      <c r="E174" s="51"/>
      <c r="F174" s="70">
        <f>SUM(F173)</f>
        <v>157969.35</v>
      </c>
      <c r="G174" s="52"/>
      <c r="H174" s="76" t="e">
        <f>SUM(H173)</f>
        <v>#REF!</v>
      </c>
      <c r="I174" s="52"/>
      <c r="J174" s="76" t="e">
        <f>SUM(J173)</f>
        <v>#REF!</v>
      </c>
      <c r="K174" s="52"/>
      <c r="L174" s="76" t="e">
        <f>SUM(L173)</f>
        <v>#REF!</v>
      </c>
      <c r="M174" s="52"/>
      <c r="N174" s="76" t="e">
        <f>SUM(N173)</f>
        <v>#REF!</v>
      </c>
      <c r="O174" s="52"/>
      <c r="P174" s="76" t="e">
        <f>SUM(P173)</f>
        <v>#REF!</v>
      </c>
      <c r="Q174" s="340" t="e">
        <f>+'Planilla de Avance'!#REF!-O174</f>
        <v>#REF!</v>
      </c>
    </row>
    <row r="175" spans="1:17" ht="12.75" customHeight="1">
      <c r="A175" s="287" t="s">
        <v>115</v>
      </c>
      <c r="B175" s="41" t="s">
        <v>116</v>
      </c>
      <c r="C175" s="74"/>
      <c r="D175" s="95"/>
      <c r="E175" s="95"/>
      <c r="F175" s="57"/>
      <c r="G175" s="53"/>
      <c r="H175" s="53"/>
      <c r="I175" s="53"/>
      <c r="J175" s="53"/>
      <c r="K175" s="53"/>
      <c r="L175" s="53"/>
      <c r="M175" s="53"/>
      <c r="N175" s="54"/>
      <c r="O175" s="53"/>
      <c r="P175" s="54"/>
      <c r="Q175" s="340" t="e">
        <f>+'Planilla de Avance'!#REF!-O175</f>
        <v>#REF!</v>
      </c>
    </row>
    <row r="176" spans="1:17" ht="12.75" customHeight="1">
      <c r="A176" s="289">
        <v>16.100000000000001</v>
      </c>
      <c r="B176" s="40" t="s">
        <v>47</v>
      </c>
      <c r="C176" s="58" t="s">
        <v>27</v>
      </c>
      <c r="D176" s="79">
        <v>2471.46</v>
      </c>
      <c r="E176" s="100">
        <v>1909.02</v>
      </c>
      <c r="F176" s="80">
        <f>ROUND(E176*D176,2)</f>
        <v>4718066.57</v>
      </c>
      <c r="G176" s="319" t="e">
        <f>SUMIF(#REF!,G4,#REF!)</f>
        <v>#REF!</v>
      </c>
      <c r="H176" s="73" t="e">
        <f>+($D176*G176)</f>
        <v>#REF!</v>
      </c>
      <c r="I176" s="319" t="e">
        <f>SUMIF(#REF!,I4,#REF!)</f>
        <v>#REF!</v>
      </c>
      <c r="J176" s="73" t="e">
        <f>($D176*I176)</f>
        <v>#REF!</v>
      </c>
      <c r="K176" s="319" t="e">
        <f>SUMIF(#REF!,K4,#REF!)</f>
        <v>#REF!</v>
      </c>
      <c r="L176" s="73" t="e">
        <f>($D176*K176)</f>
        <v>#REF!</v>
      </c>
      <c r="M176" s="319" t="e">
        <f>SUMIF(#REF!,M4,#REF!)</f>
        <v>#REF!</v>
      </c>
      <c r="N176" s="73" t="e">
        <f>($D176*M176)</f>
        <v>#REF!</v>
      </c>
      <c r="O176" s="319" t="e">
        <f t="shared" ref="O176:P179" si="80">+G176+I176+K176+M176</f>
        <v>#REF!</v>
      </c>
      <c r="P176" s="73" t="e">
        <f t="shared" si="80"/>
        <v>#REF!</v>
      </c>
      <c r="Q176" s="340" t="e">
        <f>+'Planilla de Avance'!#REF!-O176</f>
        <v>#REF!</v>
      </c>
    </row>
    <row r="177" spans="1:17" ht="12.75" customHeight="1">
      <c r="A177" s="290">
        <v>16.2</v>
      </c>
      <c r="B177" s="35" t="s">
        <v>19</v>
      </c>
      <c r="C177" s="59" t="s">
        <v>46</v>
      </c>
      <c r="D177" s="81">
        <v>28.13</v>
      </c>
      <c r="E177" s="38">
        <v>158520.67000000001</v>
      </c>
      <c r="F177" s="82">
        <f>ROUND(E177*D177,2)</f>
        <v>4459186.45</v>
      </c>
      <c r="G177" s="320" t="e">
        <f>SUMIF(#REF!,G4,#REF!)</f>
        <v>#REF!</v>
      </c>
      <c r="H177" s="37" t="e">
        <f>+($D177*G177)</f>
        <v>#REF!</v>
      </c>
      <c r="I177" s="320" t="e">
        <f>SUMIF(#REF!,I4,#REF!)</f>
        <v>#REF!</v>
      </c>
      <c r="J177" s="37" t="e">
        <f>($D177*I177)</f>
        <v>#REF!</v>
      </c>
      <c r="K177" s="320" t="e">
        <f>SUMIF(#REF!,K4,#REF!)</f>
        <v>#REF!</v>
      </c>
      <c r="L177" s="37" t="e">
        <f>($D177*K177)</f>
        <v>#REF!</v>
      </c>
      <c r="M177" s="320" t="e">
        <f>SUMIF(#REF!,M4,#REF!)</f>
        <v>#REF!</v>
      </c>
      <c r="N177" s="37" t="e">
        <f>($D177*M177)</f>
        <v>#REF!</v>
      </c>
      <c r="O177" s="320" t="e">
        <f t="shared" si="80"/>
        <v>#REF!</v>
      </c>
      <c r="P177" s="37" t="e">
        <f t="shared" si="80"/>
        <v>#REF!</v>
      </c>
      <c r="Q177" s="340" t="e">
        <f>+'Planilla de Avance'!#REF!-O177</f>
        <v>#REF!</v>
      </c>
    </row>
    <row r="178" spans="1:17" ht="12.75" customHeight="1">
      <c r="A178" s="290">
        <v>16.3</v>
      </c>
      <c r="B178" s="35" t="s">
        <v>76</v>
      </c>
      <c r="C178" s="59" t="s">
        <v>27</v>
      </c>
      <c r="D178" s="81">
        <v>1270.8999999999999</v>
      </c>
      <c r="E178" s="38">
        <v>95.71</v>
      </c>
      <c r="F178" s="82">
        <f>ROUND(E178*D178,2)</f>
        <v>121637.84</v>
      </c>
      <c r="G178" s="320" t="e">
        <f>SUMIF(#REF!,G4,#REF!)</f>
        <v>#REF!</v>
      </c>
      <c r="H178" s="37" t="e">
        <f>+($D178*G178)</f>
        <v>#REF!</v>
      </c>
      <c r="I178" s="320" t="e">
        <f>SUMIF(#REF!,I4,#REF!)</f>
        <v>#REF!</v>
      </c>
      <c r="J178" s="37" t="e">
        <f>($D178*I178)</f>
        <v>#REF!</v>
      </c>
      <c r="K178" s="320" t="e">
        <f>SUMIF(#REF!,K4,#REF!)</f>
        <v>#REF!</v>
      </c>
      <c r="L178" s="37" t="e">
        <f>($D178*K178)</f>
        <v>#REF!</v>
      </c>
      <c r="M178" s="320" t="e">
        <f>SUMIF(#REF!,M4,#REF!)</f>
        <v>#REF!</v>
      </c>
      <c r="N178" s="37" t="e">
        <f>($D178*M178)</f>
        <v>#REF!</v>
      </c>
      <c r="O178" s="320" t="e">
        <f t="shared" si="80"/>
        <v>#REF!</v>
      </c>
      <c r="P178" s="37" t="e">
        <f t="shared" si="80"/>
        <v>#REF!</v>
      </c>
      <c r="Q178" s="340" t="e">
        <f>+'Planilla de Avance'!#REF!-O178</f>
        <v>#REF!</v>
      </c>
    </row>
    <row r="179" spans="1:17" ht="12.75" customHeight="1">
      <c r="A179" s="291">
        <v>16.399999999999999</v>
      </c>
      <c r="B179" s="45" t="s">
        <v>11</v>
      </c>
      <c r="C179" s="60" t="s">
        <v>27</v>
      </c>
      <c r="D179" s="83">
        <v>25.820000000000004</v>
      </c>
      <c r="E179" s="78">
        <v>7543.25</v>
      </c>
      <c r="F179" s="84">
        <f>ROUND(E179*D179,2)</f>
        <v>194766.72</v>
      </c>
      <c r="G179" s="321" t="e">
        <f>SUMIF(#REF!,G4,#REF!)</f>
        <v>#REF!</v>
      </c>
      <c r="H179" s="47" t="e">
        <f>+($D179*G179)</f>
        <v>#REF!</v>
      </c>
      <c r="I179" s="321" t="e">
        <f>SUMIF(#REF!,I4,#REF!)</f>
        <v>#REF!</v>
      </c>
      <c r="J179" s="47" t="e">
        <f>($D179*I179)</f>
        <v>#REF!</v>
      </c>
      <c r="K179" s="321" t="e">
        <f>SUMIF(#REF!,K4,#REF!)</f>
        <v>#REF!</v>
      </c>
      <c r="L179" s="47" t="e">
        <f>($D179*K179)</f>
        <v>#REF!</v>
      </c>
      <c r="M179" s="321" t="e">
        <f>SUMIF(#REF!,M4,#REF!)</f>
        <v>#REF!</v>
      </c>
      <c r="N179" s="47" t="e">
        <f>($D179*M179)</f>
        <v>#REF!</v>
      </c>
      <c r="O179" s="321" t="e">
        <f t="shared" si="80"/>
        <v>#REF!</v>
      </c>
      <c r="P179" s="47" t="e">
        <f t="shared" si="80"/>
        <v>#REF!</v>
      </c>
      <c r="Q179" s="340" t="e">
        <f>+'Planilla de Avance'!#REF!-O179</f>
        <v>#REF!</v>
      </c>
    </row>
    <row r="180" spans="1:17" ht="12.75" customHeight="1">
      <c r="A180" s="93"/>
      <c r="B180" s="48" t="s">
        <v>10</v>
      </c>
      <c r="C180" s="49"/>
      <c r="D180" s="69"/>
      <c r="E180" s="51"/>
      <c r="F180" s="70">
        <f>SUM(F176:F179)</f>
        <v>9493657.5800000001</v>
      </c>
      <c r="G180" s="52"/>
      <c r="H180" s="76" t="e">
        <f>SUM(H176:H179)</f>
        <v>#REF!</v>
      </c>
      <c r="I180" s="52"/>
      <c r="J180" s="76" t="e">
        <f>SUM(J176:J179)</f>
        <v>#REF!</v>
      </c>
      <c r="K180" s="52"/>
      <c r="L180" s="76" t="e">
        <f>SUM(L176:L179)</f>
        <v>#REF!</v>
      </c>
      <c r="M180" s="52"/>
      <c r="N180" s="76" t="e">
        <f>SUM(N176:N179)</f>
        <v>#REF!</v>
      </c>
      <c r="O180" s="52"/>
      <c r="P180" s="76" t="e">
        <f>SUM(P176:P179)</f>
        <v>#REF!</v>
      </c>
      <c r="Q180" s="340" t="e">
        <f>+'Planilla de Avance'!#REF!-O180</f>
        <v>#REF!</v>
      </c>
    </row>
    <row r="181" spans="1:17" ht="12.75" customHeight="1">
      <c r="A181" s="287" t="s">
        <v>117</v>
      </c>
      <c r="B181" s="41" t="s">
        <v>118</v>
      </c>
      <c r="C181" s="74"/>
      <c r="D181" s="95"/>
      <c r="E181" s="95"/>
      <c r="F181" s="57"/>
      <c r="G181" s="53"/>
      <c r="H181" s="53"/>
      <c r="I181" s="53"/>
      <c r="J181" s="53"/>
      <c r="K181" s="53"/>
      <c r="L181" s="53"/>
      <c r="M181" s="53"/>
      <c r="N181" s="54"/>
      <c r="O181" s="53"/>
      <c r="P181" s="54"/>
      <c r="Q181" s="340" t="e">
        <f>+'Planilla de Avance'!#REF!-O181</f>
        <v>#REF!</v>
      </c>
    </row>
    <row r="182" spans="1:17" ht="12.75" customHeight="1">
      <c r="A182" s="289">
        <v>17.100000000000001</v>
      </c>
      <c r="B182" s="40" t="s">
        <v>47</v>
      </c>
      <c r="C182" s="58" t="s">
        <v>27</v>
      </c>
      <c r="D182" s="79">
        <v>2471.46</v>
      </c>
      <c r="E182" s="100">
        <v>465.9</v>
      </c>
      <c r="F182" s="80">
        <f>ROUND(E182*D182,2)</f>
        <v>1151453.21</v>
      </c>
      <c r="G182" s="319" t="e">
        <f>SUMIF(#REF!,G4,#REF!)</f>
        <v>#REF!</v>
      </c>
      <c r="H182" s="73" t="e">
        <f>+($D182*G182)</f>
        <v>#REF!</v>
      </c>
      <c r="I182" s="319" t="e">
        <f>SUMIF(#REF!,I4,#REF!)</f>
        <v>#REF!</v>
      </c>
      <c r="J182" s="73" t="e">
        <f>($D182*I182)</f>
        <v>#REF!</v>
      </c>
      <c r="K182" s="319" t="e">
        <f>SUMIF(#REF!,K4,#REF!)</f>
        <v>#REF!</v>
      </c>
      <c r="L182" s="73" t="e">
        <f>($D182*K182)</f>
        <v>#REF!</v>
      </c>
      <c r="M182" s="319" t="e">
        <f>SUMIF(#REF!,M4,#REF!)</f>
        <v>#REF!</v>
      </c>
      <c r="N182" s="73" t="e">
        <f>($D182*M182)</f>
        <v>#REF!</v>
      </c>
      <c r="O182" s="319" t="e">
        <f t="shared" ref="O182:P186" si="81">+G182+I182+K182+M182</f>
        <v>#REF!</v>
      </c>
      <c r="P182" s="73" t="e">
        <f t="shared" si="81"/>
        <v>#REF!</v>
      </c>
      <c r="Q182" s="340" t="e">
        <f>+'Planilla de Avance'!#REF!-O182</f>
        <v>#REF!</v>
      </c>
    </row>
    <row r="183" spans="1:17" ht="12.75" customHeight="1">
      <c r="A183" s="290">
        <v>17.2</v>
      </c>
      <c r="B183" s="35" t="s">
        <v>19</v>
      </c>
      <c r="C183" s="59" t="s">
        <v>46</v>
      </c>
      <c r="D183" s="81">
        <v>28.13</v>
      </c>
      <c r="E183" s="38">
        <v>48655.92</v>
      </c>
      <c r="F183" s="82">
        <f>ROUND(E183*D183,2)</f>
        <v>1368691.03</v>
      </c>
      <c r="G183" s="320" t="e">
        <f>SUMIF(#REF!,G4,#REF!)</f>
        <v>#REF!</v>
      </c>
      <c r="H183" s="37" t="e">
        <f>+($D183*G183)</f>
        <v>#REF!</v>
      </c>
      <c r="I183" s="320" t="e">
        <f>SUMIF(#REF!,I4,#REF!)</f>
        <v>#REF!</v>
      </c>
      <c r="J183" s="37" t="e">
        <f>($D183*I183)</f>
        <v>#REF!</v>
      </c>
      <c r="K183" s="320" t="e">
        <f>SUMIF(#REF!,K4,#REF!)</f>
        <v>#REF!</v>
      </c>
      <c r="L183" s="37" t="e">
        <f>($D183*K183)</f>
        <v>#REF!</v>
      </c>
      <c r="M183" s="320" t="e">
        <f>SUMIF(#REF!,M4,#REF!)</f>
        <v>#REF!</v>
      </c>
      <c r="N183" s="37" t="e">
        <f>($D183*M183)</f>
        <v>#REF!</v>
      </c>
      <c r="O183" s="320" t="e">
        <f t="shared" si="81"/>
        <v>#REF!</v>
      </c>
      <c r="P183" s="37" t="e">
        <f t="shared" si="81"/>
        <v>#REF!</v>
      </c>
      <c r="Q183" s="340" t="e">
        <f>+'Planilla de Avance'!#REF!-O183</f>
        <v>#REF!</v>
      </c>
    </row>
    <row r="184" spans="1:17" ht="12.75" customHeight="1">
      <c r="A184" s="290">
        <v>17.3</v>
      </c>
      <c r="B184" s="35" t="s">
        <v>76</v>
      </c>
      <c r="C184" s="59" t="s">
        <v>27</v>
      </c>
      <c r="D184" s="81">
        <v>1270.8999999999999</v>
      </c>
      <c r="E184" s="38">
        <v>37.36</v>
      </c>
      <c r="F184" s="82">
        <f>ROUND(E184*D184,2)</f>
        <v>47480.82</v>
      </c>
      <c r="G184" s="320" t="e">
        <f>SUMIF(#REF!,G4,#REF!)</f>
        <v>#REF!</v>
      </c>
      <c r="H184" s="37" t="e">
        <f>+($D184*G184)</f>
        <v>#REF!</v>
      </c>
      <c r="I184" s="320" t="e">
        <f>SUMIF(#REF!,I4,#REF!)</f>
        <v>#REF!</v>
      </c>
      <c r="J184" s="37" t="e">
        <f>($D184*I184)</f>
        <v>#REF!</v>
      </c>
      <c r="K184" s="320" t="e">
        <f>SUMIF(#REF!,K4,#REF!)</f>
        <v>#REF!</v>
      </c>
      <c r="L184" s="37" t="e">
        <f>($D184*K184)</f>
        <v>#REF!</v>
      </c>
      <c r="M184" s="320" t="e">
        <f>SUMIF(#REF!,M4,#REF!)</f>
        <v>#REF!</v>
      </c>
      <c r="N184" s="37" t="e">
        <f>($D184*M184)</f>
        <v>#REF!</v>
      </c>
      <c r="O184" s="320" t="e">
        <f t="shared" si="81"/>
        <v>#REF!</v>
      </c>
      <c r="P184" s="37" t="e">
        <f t="shared" si="81"/>
        <v>#REF!</v>
      </c>
      <c r="Q184" s="340" t="e">
        <f>+'Planilla de Avance'!#REF!-O184</f>
        <v>#REF!</v>
      </c>
    </row>
    <row r="185" spans="1:17" ht="12.75" customHeight="1">
      <c r="A185" s="290">
        <v>17.399999999999999</v>
      </c>
      <c r="B185" s="35" t="s">
        <v>87</v>
      </c>
      <c r="C185" s="59" t="s">
        <v>0</v>
      </c>
      <c r="D185" s="81">
        <v>109.44</v>
      </c>
      <c r="E185" s="38">
        <v>6.7</v>
      </c>
      <c r="F185" s="82">
        <f>ROUND(E185*D185,2)</f>
        <v>733.25</v>
      </c>
      <c r="G185" s="320" t="e">
        <f>SUMIF(#REF!,G4,#REF!)</f>
        <v>#REF!</v>
      </c>
      <c r="H185" s="37" t="e">
        <f>+($D185*G185)</f>
        <v>#REF!</v>
      </c>
      <c r="I185" s="320" t="e">
        <f>SUMIF(#REF!,I4,#REF!)</f>
        <v>#REF!</v>
      </c>
      <c r="J185" s="37" t="e">
        <f>($D185*I185)</f>
        <v>#REF!</v>
      </c>
      <c r="K185" s="320" t="e">
        <f>SUMIF(#REF!,K4,#REF!)</f>
        <v>#REF!</v>
      </c>
      <c r="L185" s="37" t="e">
        <f>($D185*K185)</f>
        <v>#REF!</v>
      </c>
      <c r="M185" s="320" t="e">
        <f>SUMIF(#REF!,M4,#REF!)</f>
        <v>#REF!</v>
      </c>
      <c r="N185" s="37" t="e">
        <f>($D185*M185)</f>
        <v>#REF!</v>
      </c>
      <c r="O185" s="320" t="e">
        <f t="shared" si="81"/>
        <v>#REF!</v>
      </c>
      <c r="P185" s="37" t="e">
        <f t="shared" si="81"/>
        <v>#REF!</v>
      </c>
      <c r="Q185" s="340" t="e">
        <f>+'Planilla de Avance'!#REF!-O185</f>
        <v>#REF!</v>
      </c>
    </row>
    <row r="186" spans="1:17" ht="12.75" customHeight="1">
      <c r="A186" s="291">
        <v>17.5</v>
      </c>
      <c r="B186" s="45" t="s">
        <v>11</v>
      </c>
      <c r="C186" s="60" t="s">
        <v>27</v>
      </c>
      <c r="D186" s="83">
        <v>25.820000000000004</v>
      </c>
      <c r="E186" s="78">
        <v>2805.78</v>
      </c>
      <c r="F186" s="84">
        <f>ROUND(E186*D186,2)</f>
        <v>72445.240000000005</v>
      </c>
      <c r="G186" s="321" t="e">
        <f>SUMIF(#REF!,G4,#REF!)</f>
        <v>#REF!</v>
      </c>
      <c r="H186" s="47" t="e">
        <f>+($D186*G186)</f>
        <v>#REF!</v>
      </c>
      <c r="I186" s="321" t="e">
        <f>SUMIF(#REF!,I4,#REF!)</f>
        <v>#REF!</v>
      </c>
      <c r="J186" s="47" t="e">
        <f>($D186*I186)</f>
        <v>#REF!</v>
      </c>
      <c r="K186" s="321" t="e">
        <f>SUMIF(#REF!,K4,#REF!)</f>
        <v>#REF!</v>
      </c>
      <c r="L186" s="47" t="e">
        <f>($D186*K186)</f>
        <v>#REF!</v>
      </c>
      <c r="M186" s="321" t="e">
        <f>SUMIF(#REF!,M4,#REF!)</f>
        <v>#REF!</v>
      </c>
      <c r="N186" s="47" t="e">
        <f>($D186*M186)</f>
        <v>#REF!</v>
      </c>
      <c r="O186" s="321" t="e">
        <f t="shared" si="81"/>
        <v>#REF!</v>
      </c>
      <c r="P186" s="47" t="e">
        <f t="shared" si="81"/>
        <v>#REF!</v>
      </c>
      <c r="Q186" s="340" t="e">
        <f>+'Planilla de Avance'!#REF!-O186</f>
        <v>#REF!</v>
      </c>
    </row>
    <row r="187" spans="1:17" ht="12.75" customHeight="1">
      <c r="A187" s="287"/>
      <c r="B187" s="48" t="s">
        <v>10</v>
      </c>
      <c r="C187" s="49"/>
      <c r="D187" s="69"/>
      <c r="E187" s="51"/>
      <c r="F187" s="70">
        <f>SUM(F182:F186)</f>
        <v>2640803.5500000003</v>
      </c>
      <c r="G187" s="52"/>
      <c r="H187" s="76" t="e">
        <f>SUM(H182:H186)</f>
        <v>#REF!</v>
      </c>
      <c r="I187" s="52"/>
      <c r="J187" s="76" t="e">
        <f>SUM(J182:J186)</f>
        <v>#REF!</v>
      </c>
      <c r="K187" s="52"/>
      <c r="L187" s="76" t="e">
        <f>SUM(L182:L186)</f>
        <v>#REF!</v>
      </c>
      <c r="M187" s="52"/>
      <c r="N187" s="76" t="e">
        <f>SUM(N182:N186)</f>
        <v>#REF!</v>
      </c>
      <c r="O187" s="52"/>
      <c r="P187" s="76" t="e">
        <f>SUM(P182:P186)</f>
        <v>#REF!</v>
      </c>
      <c r="Q187" s="340" t="e">
        <f>+'Planilla de Avance'!#REF!-O187</f>
        <v>#REF!</v>
      </c>
    </row>
    <row r="188" spans="1:17" ht="12.75" customHeight="1">
      <c r="A188" s="287" t="s">
        <v>119</v>
      </c>
      <c r="B188" s="41" t="s">
        <v>120</v>
      </c>
      <c r="C188" s="74"/>
      <c r="D188" s="50"/>
      <c r="E188" s="51"/>
      <c r="F188" s="50"/>
      <c r="G188" s="53"/>
      <c r="H188" s="53"/>
      <c r="I188" s="53"/>
      <c r="J188" s="53"/>
      <c r="K188" s="53"/>
      <c r="L188" s="53"/>
      <c r="M188" s="53"/>
      <c r="N188" s="54"/>
      <c r="O188" s="53"/>
      <c r="P188" s="54"/>
      <c r="Q188" s="340" t="e">
        <f>+'Planilla de Avance'!#REF!-O188</f>
        <v>#REF!</v>
      </c>
    </row>
    <row r="189" spans="1:17" ht="12.75" customHeight="1">
      <c r="A189" s="289">
        <v>18.100000000000001</v>
      </c>
      <c r="B189" s="40" t="s">
        <v>89</v>
      </c>
      <c r="C189" s="58" t="s">
        <v>27</v>
      </c>
      <c r="D189" s="79">
        <v>2838.05</v>
      </c>
      <c r="E189" s="100">
        <v>176.89</v>
      </c>
      <c r="F189" s="80">
        <f t="shared" ref="F189:F196" si="82">ROUND(E189*D189,2)</f>
        <v>502022.66</v>
      </c>
      <c r="G189" s="319" t="e">
        <f>SUMIF(#REF!,G4,#REF!)</f>
        <v>#REF!</v>
      </c>
      <c r="H189" s="73" t="e">
        <f t="shared" ref="H189:H196" si="83">+($D189*G189)</f>
        <v>#REF!</v>
      </c>
      <c r="I189" s="319" t="e">
        <f>SUMIF(#REF!,I4,#REF!)</f>
        <v>#REF!</v>
      </c>
      <c r="J189" s="73" t="e">
        <f t="shared" ref="J189:J196" si="84">($D189*I189)</f>
        <v>#REF!</v>
      </c>
      <c r="K189" s="319" t="e">
        <f>SUMIF(#REF!,K4,#REF!)</f>
        <v>#REF!</v>
      </c>
      <c r="L189" s="73" t="e">
        <f t="shared" ref="L189:L196" si="85">($D189*K189)</f>
        <v>#REF!</v>
      </c>
      <c r="M189" s="319" t="e">
        <f>SUMIF(#REF!,M4,#REF!)</f>
        <v>#REF!</v>
      </c>
      <c r="N189" s="73" t="e">
        <f t="shared" ref="N189:N196" si="86">($D189*M189)</f>
        <v>#REF!</v>
      </c>
      <c r="O189" s="319" t="e">
        <f t="shared" ref="O189:P196" si="87">+G189+I189+K189+M189</f>
        <v>#REF!</v>
      </c>
      <c r="P189" s="73" t="e">
        <f t="shared" si="87"/>
        <v>#REF!</v>
      </c>
      <c r="Q189" s="340" t="e">
        <f>+'Planilla de Avance'!#REF!-O189</f>
        <v>#REF!</v>
      </c>
    </row>
    <row r="190" spans="1:17" ht="12.75" customHeight="1">
      <c r="A190" s="290">
        <v>18.2</v>
      </c>
      <c r="B190" s="35" t="s">
        <v>90</v>
      </c>
      <c r="C190" s="59" t="s">
        <v>46</v>
      </c>
      <c r="D190" s="81">
        <v>59.71</v>
      </c>
      <c r="E190" s="38">
        <v>2837.96</v>
      </c>
      <c r="F190" s="82">
        <f t="shared" si="82"/>
        <v>169454.59</v>
      </c>
      <c r="G190" s="320" t="e">
        <f>SUMIF(#REF!,G4,#REF!)</f>
        <v>#REF!</v>
      </c>
      <c r="H190" s="37" t="e">
        <f t="shared" si="83"/>
        <v>#REF!</v>
      </c>
      <c r="I190" s="320" t="e">
        <f>SUMIF(#REF!,I4,#REF!)</f>
        <v>#REF!</v>
      </c>
      <c r="J190" s="37" t="e">
        <f t="shared" si="84"/>
        <v>#REF!</v>
      </c>
      <c r="K190" s="320" t="e">
        <f>SUMIF(#REF!,K4,#REF!)</f>
        <v>#REF!</v>
      </c>
      <c r="L190" s="37" t="e">
        <f t="shared" si="85"/>
        <v>#REF!</v>
      </c>
      <c r="M190" s="320" t="e">
        <f>SUMIF(#REF!,M4,#REF!)</f>
        <v>#REF!</v>
      </c>
      <c r="N190" s="37" t="e">
        <f t="shared" si="86"/>
        <v>#REF!</v>
      </c>
      <c r="O190" s="320" t="e">
        <f t="shared" si="87"/>
        <v>#REF!</v>
      </c>
      <c r="P190" s="37" t="e">
        <f t="shared" si="87"/>
        <v>#REF!</v>
      </c>
      <c r="Q190" s="340" t="e">
        <f>+'Planilla de Avance'!#REF!-O190</f>
        <v>#REF!</v>
      </c>
    </row>
    <row r="191" spans="1:17" ht="12.75" customHeight="1">
      <c r="A191" s="290">
        <v>18.3</v>
      </c>
      <c r="B191" s="35" t="s">
        <v>92</v>
      </c>
      <c r="C191" s="59" t="s">
        <v>93</v>
      </c>
      <c r="D191" s="81">
        <v>3053.84</v>
      </c>
      <c r="E191" s="38">
        <v>44.44</v>
      </c>
      <c r="F191" s="82">
        <f t="shared" si="82"/>
        <v>135712.65</v>
      </c>
      <c r="G191" s="320" t="e">
        <f>SUMIF(#REF!,G4,#REF!)</f>
        <v>#REF!</v>
      </c>
      <c r="H191" s="37" t="e">
        <f t="shared" si="83"/>
        <v>#REF!</v>
      </c>
      <c r="I191" s="320" t="e">
        <f>SUMIF(#REF!,I4,#REF!)</f>
        <v>#REF!</v>
      </c>
      <c r="J191" s="37" t="e">
        <f t="shared" si="84"/>
        <v>#REF!</v>
      </c>
      <c r="K191" s="320" t="e">
        <f>SUMIF(#REF!,K4,#REF!)</f>
        <v>#REF!</v>
      </c>
      <c r="L191" s="37" t="e">
        <f t="shared" si="85"/>
        <v>#REF!</v>
      </c>
      <c r="M191" s="320" t="e">
        <f>SUMIF(#REF!,M4,#REF!)</f>
        <v>#REF!</v>
      </c>
      <c r="N191" s="37" t="e">
        <f t="shared" si="86"/>
        <v>#REF!</v>
      </c>
      <c r="O191" s="320" t="e">
        <f t="shared" si="87"/>
        <v>#REF!</v>
      </c>
      <c r="P191" s="37" t="e">
        <f t="shared" si="87"/>
        <v>#REF!</v>
      </c>
      <c r="Q191" s="340" t="e">
        <f>+'Planilla de Avance'!#REF!-O191</f>
        <v>#REF!</v>
      </c>
    </row>
    <row r="192" spans="1:17" ht="12.75" customHeight="1">
      <c r="A192" s="290">
        <v>18.399999999999999</v>
      </c>
      <c r="B192" s="35" t="s">
        <v>98</v>
      </c>
      <c r="C192" s="59" t="s">
        <v>86</v>
      </c>
      <c r="D192" s="81">
        <v>384.87</v>
      </c>
      <c r="E192" s="38">
        <v>718.06</v>
      </c>
      <c r="F192" s="82">
        <f t="shared" si="82"/>
        <v>276359.75</v>
      </c>
      <c r="G192" s="320" t="e">
        <f>SUMIF(#REF!,G4,#REF!)</f>
        <v>#REF!</v>
      </c>
      <c r="H192" s="37" t="e">
        <f t="shared" si="83"/>
        <v>#REF!</v>
      </c>
      <c r="I192" s="320" t="e">
        <f>SUMIF(#REF!,I4,#REF!)</f>
        <v>#REF!</v>
      </c>
      <c r="J192" s="37" t="e">
        <f t="shared" si="84"/>
        <v>#REF!</v>
      </c>
      <c r="K192" s="320" t="e">
        <f>SUMIF(#REF!,K4,#REF!)</f>
        <v>#REF!</v>
      </c>
      <c r="L192" s="37" t="e">
        <f t="shared" si="85"/>
        <v>#REF!</v>
      </c>
      <c r="M192" s="320" t="e">
        <f>SUMIF(#REF!,M4,#REF!)</f>
        <v>#REF!</v>
      </c>
      <c r="N192" s="37" t="e">
        <f t="shared" si="86"/>
        <v>#REF!</v>
      </c>
      <c r="O192" s="320" t="e">
        <f t="shared" si="87"/>
        <v>#REF!</v>
      </c>
      <c r="P192" s="37" t="e">
        <f t="shared" si="87"/>
        <v>#REF!</v>
      </c>
      <c r="Q192" s="340" t="e">
        <f>+'Planilla de Avance'!#REF!-O192</f>
        <v>#REF!</v>
      </c>
    </row>
    <row r="193" spans="1:17" ht="12.75" customHeight="1">
      <c r="A193" s="290">
        <v>18.5</v>
      </c>
      <c r="B193" s="35" t="s">
        <v>94</v>
      </c>
      <c r="C193" s="59" t="s">
        <v>93</v>
      </c>
      <c r="D193" s="81">
        <v>31441.78</v>
      </c>
      <c r="E193" s="38">
        <v>22.22</v>
      </c>
      <c r="F193" s="82">
        <f t="shared" si="82"/>
        <v>698636.35</v>
      </c>
      <c r="G193" s="320" t="e">
        <f>SUMIF(#REF!,G4,#REF!)</f>
        <v>#REF!</v>
      </c>
      <c r="H193" s="37" t="e">
        <f t="shared" si="83"/>
        <v>#REF!</v>
      </c>
      <c r="I193" s="320" t="e">
        <f>SUMIF(#REF!,I4,#REF!)</f>
        <v>#REF!</v>
      </c>
      <c r="J193" s="37" t="e">
        <f t="shared" si="84"/>
        <v>#REF!</v>
      </c>
      <c r="K193" s="320" t="e">
        <f>SUMIF(#REF!,K4,#REF!)</f>
        <v>#REF!</v>
      </c>
      <c r="L193" s="37" t="e">
        <f t="shared" si="85"/>
        <v>#REF!</v>
      </c>
      <c r="M193" s="320" t="e">
        <f>SUMIF(#REF!,M4,#REF!)</f>
        <v>#REF!</v>
      </c>
      <c r="N193" s="37" t="e">
        <f t="shared" si="86"/>
        <v>#REF!</v>
      </c>
      <c r="O193" s="320" t="e">
        <f t="shared" si="87"/>
        <v>#REF!</v>
      </c>
      <c r="P193" s="37" t="e">
        <f t="shared" si="87"/>
        <v>#REF!</v>
      </c>
      <c r="Q193" s="340" t="e">
        <f>+'Planilla de Avance'!#REF!-O193</f>
        <v>#REF!</v>
      </c>
    </row>
    <row r="194" spans="1:17" ht="12.75" customHeight="1">
      <c r="A194" s="290">
        <v>18.600000000000001</v>
      </c>
      <c r="B194" s="35" t="s">
        <v>19</v>
      </c>
      <c r="C194" s="59" t="s">
        <v>46</v>
      </c>
      <c r="D194" s="81">
        <v>28.13</v>
      </c>
      <c r="E194" s="38">
        <v>44575.46</v>
      </c>
      <c r="F194" s="82">
        <f t="shared" si="82"/>
        <v>1253907.69</v>
      </c>
      <c r="G194" s="320" t="e">
        <f>SUMIF(#REF!,G4,#REF!)</f>
        <v>#REF!</v>
      </c>
      <c r="H194" s="37" t="e">
        <f t="shared" si="83"/>
        <v>#REF!</v>
      </c>
      <c r="I194" s="320" t="e">
        <f>SUMIF(#REF!,I4,#REF!)</f>
        <v>#REF!</v>
      </c>
      <c r="J194" s="37" t="e">
        <f t="shared" si="84"/>
        <v>#REF!</v>
      </c>
      <c r="K194" s="320" t="e">
        <f>SUMIF(#REF!,K4,#REF!)</f>
        <v>#REF!</v>
      </c>
      <c r="L194" s="37" t="e">
        <f t="shared" si="85"/>
        <v>#REF!</v>
      </c>
      <c r="M194" s="320" t="e">
        <f>SUMIF(#REF!,M4,#REF!)</f>
        <v>#REF!</v>
      </c>
      <c r="N194" s="37" t="e">
        <f t="shared" si="86"/>
        <v>#REF!</v>
      </c>
      <c r="O194" s="320" t="e">
        <f t="shared" si="87"/>
        <v>#REF!</v>
      </c>
      <c r="P194" s="37" t="e">
        <f t="shared" si="87"/>
        <v>#REF!</v>
      </c>
      <c r="Q194" s="340" t="e">
        <f>+'Planilla de Avance'!#REF!-O194</f>
        <v>#REF!</v>
      </c>
    </row>
    <row r="195" spans="1:17" ht="12.75" customHeight="1">
      <c r="A195" s="290">
        <v>18.7</v>
      </c>
      <c r="B195" s="35" t="s">
        <v>11</v>
      </c>
      <c r="C195" s="59" t="s">
        <v>27</v>
      </c>
      <c r="D195" s="81">
        <v>25.820000000000004</v>
      </c>
      <c r="E195" s="38">
        <v>143.06</v>
      </c>
      <c r="F195" s="82">
        <f t="shared" si="82"/>
        <v>3693.81</v>
      </c>
      <c r="G195" s="320" t="e">
        <f>SUMIF(#REF!,G4,#REF!)</f>
        <v>#REF!</v>
      </c>
      <c r="H195" s="37" t="e">
        <f t="shared" si="83"/>
        <v>#REF!</v>
      </c>
      <c r="I195" s="320" t="e">
        <f>SUMIF(#REF!,I4,#REF!)</f>
        <v>#REF!</v>
      </c>
      <c r="J195" s="37" t="e">
        <f t="shared" si="84"/>
        <v>#REF!</v>
      </c>
      <c r="K195" s="320" t="e">
        <f>SUMIF(#REF!,K4,#REF!)</f>
        <v>#REF!</v>
      </c>
      <c r="L195" s="37" t="e">
        <f t="shared" si="85"/>
        <v>#REF!</v>
      </c>
      <c r="M195" s="320" t="e">
        <f>SUMIF(#REF!,M4,#REF!)</f>
        <v>#REF!</v>
      </c>
      <c r="N195" s="37" t="e">
        <f t="shared" si="86"/>
        <v>#REF!</v>
      </c>
      <c r="O195" s="320" t="e">
        <f t="shared" si="87"/>
        <v>#REF!</v>
      </c>
      <c r="P195" s="37" t="e">
        <f t="shared" si="87"/>
        <v>#REF!</v>
      </c>
      <c r="Q195" s="340" t="e">
        <f>+'Planilla de Avance'!#REF!-O195</f>
        <v>#REF!</v>
      </c>
    </row>
    <row r="196" spans="1:17" ht="12.75" customHeight="1">
      <c r="A196" s="291">
        <v>18.8</v>
      </c>
      <c r="B196" s="45" t="s">
        <v>47</v>
      </c>
      <c r="C196" s="60" t="s">
        <v>27</v>
      </c>
      <c r="D196" s="83">
        <v>2471.46</v>
      </c>
      <c r="E196" s="78">
        <v>265.27999999999997</v>
      </c>
      <c r="F196" s="84">
        <f t="shared" si="82"/>
        <v>655628.91</v>
      </c>
      <c r="G196" s="321" t="e">
        <f>SUMIF(#REF!,G4,#REF!)</f>
        <v>#REF!</v>
      </c>
      <c r="H196" s="47" t="e">
        <f t="shared" si="83"/>
        <v>#REF!</v>
      </c>
      <c r="I196" s="321" t="e">
        <f>SUMIF(#REF!,I4,#REF!)</f>
        <v>#REF!</v>
      </c>
      <c r="J196" s="47" t="e">
        <f t="shared" si="84"/>
        <v>#REF!</v>
      </c>
      <c r="K196" s="321" t="e">
        <f>SUMIF(#REF!,K4,#REF!)</f>
        <v>#REF!</v>
      </c>
      <c r="L196" s="47" t="e">
        <f t="shared" si="85"/>
        <v>#REF!</v>
      </c>
      <c r="M196" s="321" t="e">
        <f>SUMIF(#REF!,M4,#REF!)</f>
        <v>#REF!</v>
      </c>
      <c r="N196" s="47" t="e">
        <f t="shared" si="86"/>
        <v>#REF!</v>
      </c>
      <c r="O196" s="321" t="e">
        <f t="shared" si="87"/>
        <v>#REF!</v>
      </c>
      <c r="P196" s="47" t="e">
        <f t="shared" si="87"/>
        <v>#REF!</v>
      </c>
      <c r="Q196" s="340" t="e">
        <f>+'Planilla de Avance'!#REF!-O196</f>
        <v>#REF!</v>
      </c>
    </row>
    <row r="197" spans="1:17" ht="12.75" customHeight="1">
      <c r="A197" s="93"/>
      <c r="B197" s="48" t="s">
        <v>10</v>
      </c>
      <c r="C197" s="49"/>
      <c r="D197" s="69"/>
      <c r="E197" s="51"/>
      <c r="F197" s="70">
        <f>SUM(F189:F196)</f>
        <v>3695416.41</v>
      </c>
      <c r="G197" s="52"/>
      <c r="H197" s="76" t="e">
        <f>SUM(H189:H196)</f>
        <v>#REF!</v>
      </c>
      <c r="I197" s="52"/>
      <c r="J197" s="76" t="e">
        <f>SUM(J189:J196)</f>
        <v>#REF!</v>
      </c>
      <c r="K197" s="52"/>
      <c r="L197" s="76" t="e">
        <f>SUM(L189:L196)</f>
        <v>#REF!</v>
      </c>
      <c r="M197" s="52"/>
      <c r="N197" s="76" t="e">
        <f>SUM(N189:N196)</f>
        <v>#REF!</v>
      </c>
      <c r="O197" s="52"/>
      <c r="P197" s="76" t="e">
        <f>SUM(P189:P196)</f>
        <v>#REF!</v>
      </c>
      <c r="Q197" s="340" t="e">
        <f>+'Planilla de Avance'!#REF!-O197</f>
        <v>#REF!</v>
      </c>
    </row>
    <row r="198" spans="1:17" ht="12.75" customHeight="1">
      <c r="A198" s="287" t="s">
        <v>122</v>
      </c>
      <c r="B198" s="41" t="s">
        <v>121</v>
      </c>
      <c r="C198" s="74"/>
      <c r="D198" s="50"/>
      <c r="E198" s="51"/>
      <c r="F198" s="50"/>
      <c r="G198" s="53"/>
      <c r="H198" s="53"/>
      <c r="I198" s="53"/>
      <c r="J198" s="53"/>
      <c r="K198" s="53"/>
      <c r="L198" s="53"/>
      <c r="M198" s="53"/>
      <c r="N198" s="54"/>
      <c r="O198" s="53"/>
      <c r="P198" s="54"/>
      <c r="Q198" s="340" t="e">
        <f>+'Planilla de Avance'!#REF!-O198</f>
        <v>#REF!</v>
      </c>
    </row>
    <row r="199" spans="1:17" ht="12.75" customHeight="1">
      <c r="A199" s="289">
        <v>19.100000000000001</v>
      </c>
      <c r="B199" s="40" t="s">
        <v>123</v>
      </c>
      <c r="C199" s="58" t="s">
        <v>93</v>
      </c>
      <c r="D199" s="79">
        <v>921.92</v>
      </c>
      <c r="E199" s="100">
        <v>31</v>
      </c>
      <c r="F199" s="80">
        <f t="shared" ref="F199:F208" si="88">ROUND(E199*D199,2)</f>
        <v>28579.52</v>
      </c>
      <c r="G199" s="319" t="e">
        <f>SUMIF(#REF!,G4,#REF!)</f>
        <v>#REF!</v>
      </c>
      <c r="H199" s="73" t="e">
        <f t="shared" ref="H199:H208" si="89">+($D199*G199)</f>
        <v>#REF!</v>
      </c>
      <c r="I199" s="319" t="e">
        <f>SUMIF(#REF!,I4,#REF!)</f>
        <v>#REF!</v>
      </c>
      <c r="J199" s="73" t="e">
        <f t="shared" ref="J199:J208" si="90">($D199*I199)</f>
        <v>#REF!</v>
      </c>
      <c r="K199" s="319" t="e">
        <f>SUMIF(#REF!,K4,#REF!)</f>
        <v>#REF!</v>
      </c>
      <c r="L199" s="73" t="e">
        <f t="shared" ref="L199:L208" si="91">($D199*K199)</f>
        <v>#REF!</v>
      </c>
      <c r="M199" s="319" t="e">
        <f>SUMIF(#REF!,M4,#REF!)</f>
        <v>#REF!</v>
      </c>
      <c r="N199" s="73" t="e">
        <f t="shared" ref="N199:N208" si="92">($D199*M199)</f>
        <v>#REF!</v>
      </c>
      <c r="O199" s="319" t="e">
        <f t="shared" ref="O199:P208" si="93">+G199+I199+K199+M199</f>
        <v>#REF!</v>
      </c>
      <c r="P199" s="73" t="e">
        <f t="shared" si="93"/>
        <v>#REF!</v>
      </c>
      <c r="Q199" s="340" t="e">
        <f>+'Planilla de Avance'!#REF!-O199</f>
        <v>#REF!</v>
      </c>
    </row>
    <row r="200" spans="1:17" ht="12.75" customHeight="1">
      <c r="A200" s="290">
        <v>19.2</v>
      </c>
      <c r="B200" s="35" t="s">
        <v>13</v>
      </c>
      <c r="C200" s="59" t="s">
        <v>93</v>
      </c>
      <c r="D200" s="81">
        <v>853.03000000000009</v>
      </c>
      <c r="E200" s="38">
        <v>55</v>
      </c>
      <c r="F200" s="82">
        <f t="shared" si="88"/>
        <v>46916.65</v>
      </c>
      <c r="G200" s="320" t="e">
        <f>SUMIF(#REF!,G4,#REF!)</f>
        <v>#REF!</v>
      </c>
      <c r="H200" s="37" t="e">
        <f t="shared" si="89"/>
        <v>#REF!</v>
      </c>
      <c r="I200" s="320" t="e">
        <f>SUMIF(#REF!,I4,#REF!)</f>
        <v>#REF!</v>
      </c>
      <c r="J200" s="37" t="e">
        <f t="shared" si="90"/>
        <v>#REF!</v>
      </c>
      <c r="K200" s="320" t="e">
        <f>SUMIF(#REF!,K4,#REF!)</f>
        <v>#REF!</v>
      </c>
      <c r="L200" s="37" t="e">
        <f t="shared" si="91"/>
        <v>#REF!</v>
      </c>
      <c r="M200" s="320" t="e">
        <f>SUMIF(#REF!,M4,#REF!)</f>
        <v>#REF!</v>
      </c>
      <c r="N200" s="37" t="e">
        <f t="shared" si="92"/>
        <v>#REF!</v>
      </c>
      <c r="O200" s="320" t="e">
        <f t="shared" si="93"/>
        <v>#REF!</v>
      </c>
      <c r="P200" s="37" t="e">
        <f t="shared" si="93"/>
        <v>#REF!</v>
      </c>
      <c r="Q200" s="340" t="e">
        <f>+'Planilla de Avance'!#REF!-O200</f>
        <v>#REF!</v>
      </c>
    </row>
    <row r="201" spans="1:17" ht="12.75" customHeight="1">
      <c r="A201" s="290">
        <v>19.3</v>
      </c>
      <c r="B201" s="35" t="s">
        <v>124</v>
      </c>
      <c r="C201" s="59" t="s">
        <v>93</v>
      </c>
      <c r="D201" s="81">
        <v>1473.0400000000004</v>
      </c>
      <c r="E201" s="38">
        <v>26</v>
      </c>
      <c r="F201" s="82">
        <f t="shared" si="88"/>
        <v>38299.040000000001</v>
      </c>
      <c r="G201" s="320" t="e">
        <f>SUMIF(#REF!,G4,#REF!)</f>
        <v>#REF!</v>
      </c>
      <c r="H201" s="37" t="e">
        <f t="shared" si="89"/>
        <v>#REF!</v>
      </c>
      <c r="I201" s="320" t="e">
        <f>SUMIF(#REF!,I4,#REF!)</f>
        <v>#REF!</v>
      </c>
      <c r="J201" s="37" t="e">
        <f t="shared" si="90"/>
        <v>#REF!</v>
      </c>
      <c r="K201" s="320" t="e">
        <f>SUMIF(#REF!,K4,#REF!)</f>
        <v>#REF!</v>
      </c>
      <c r="L201" s="37" t="e">
        <f t="shared" si="91"/>
        <v>#REF!</v>
      </c>
      <c r="M201" s="320" t="e">
        <f>SUMIF(#REF!,M4,#REF!)</f>
        <v>#REF!</v>
      </c>
      <c r="N201" s="37" t="e">
        <f t="shared" si="92"/>
        <v>#REF!</v>
      </c>
      <c r="O201" s="320" t="e">
        <f t="shared" si="93"/>
        <v>#REF!</v>
      </c>
      <c r="P201" s="37" t="e">
        <f t="shared" si="93"/>
        <v>#REF!</v>
      </c>
      <c r="Q201" s="340" t="e">
        <f>+'Planilla de Avance'!#REF!-O201</f>
        <v>#REF!</v>
      </c>
    </row>
    <row r="202" spans="1:17" ht="12.75" customHeight="1">
      <c r="A202" s="290">
        <v>19.399999999999999</v>
      </c>
      <c r="B202" s="35" t="s">
        <v>125</v>
      </c>
      <c r="C202" s="59" t="s">
        <v>93</v>
      </c>
      <c r="D202" s="81">
        <v>1404.1499999999999</v>
      </c>
      <c r="E202" s="38">
        <v>52</v>
      </c>
      <c r="F202" s="82">
        <f t="shared" si="88"/>
        <v>73015.8</v>
      </c>
      <c r="G202" s="320" t="e">
        <f>SUMIF(#REF!,G4,#REF!)</f>
        <v>#REF!</v>
      </c>
      <c r="H202" s="37" t="e">
        <f t="shared" si="89"/>
        <v>#REF!</v>
      </c>
      <c r="I202" s="320" t="e">
        <f>SUMIF(#REF!,I4,#REF!)</f>
        <v>#REF!</v>
      </c>
      <c r="J202" s="37" t="e">
        <f t="shared" si="90"/>
        <v>#REF!</v>
      </c>
      <c r="K202" s="320" t="e">
        <f>SUMIF(#REF!,K4,#REF!)</f>
        <v>#REF!</v>
      </c>
      <c r="L202" s="37" t="e">
        <f t="shared" si="91"/>
        <v>#REF!</v>
      </c>
      <c r="M202" s="320" t="e">
        <f>SUMIF(#REF!,M4,#REF!)</f>
        <v>#REF!</v>
      </c>
      <c r="N202" s="37" t="e">
        <f t="shared" si="92"/>
        <v>#REF!</v>
      </c>
      <c r="O202" s="320" t="e">
        <f t="shared" si="93"/>
        <v>#REF!</v>
      </c>
      <c r="P202" s="37" t="e">
        <f t="shared" si="93"/>
        <v>#REF!</v>
      </c>
      <c r="Q202" s="340" t="e">
        <f>+'Planilla de Avance'!#REF!-O202</f>
        <v>#REF!</v>
      </c>
    </row>
    <row r="203" spans="1:17" ht="12.75" customHeight="1">
      <c r="A203" s="290">
        <v>19.5</v>
      </c>
      <c r="B203" s="35" t="s">
        <v>126</v>
      </c>
      <c r="C203" s="59" t="s">
        <v>93</v>
      </c>
      <c r="D203" s="81">
        <v>1128.5899999999999</v>
      </c>
      <c r="E203" s="38">
        <v>56</v>
      </c>
      <c r="F203" s="82">
        <f t="shared" si="88"/>
        <v>63201.04</v>
      </c>
      <c r="G203" s="320" t="e">
        <f>SUMIF(#REF!,G4,#REF!)</f>
        <v>#REF!</v>
      </c>
      <c r="H203" s="37" t="e">
        <f t="shared" si="89"/>
        <v>#REF!</v>
      </c>
      <c r="I203" s="320" t="e">
        <f>SUMIF(#REF!,I4,#REF!)</f>
        <v>#REF!</v>
      </c>
      <c r="J203" s="37" t="e">
        <f t="shared" si="90"/>
        <v>#REF!</v>
      </c>
      <c r="K203" s="320" t="e">
        <f>SUMIF(#REF!,K4,#REF!)</f>
        <v>#REF!</v>
      </c>
      <c r="L203" s="37" t="e">
        <f t="shared" si="91"/>
        <v>#REF!</v>
      </c>
      <c r="M203" s="320" t="e">
        <f>SUMIF(#REF!,M4,#REF!)</f>
        <v>#REF!</v>
      </c>
      <c r="N203" s="37" t="e">
        <f t="shared" si="92"/>
        <v>#REF!</v>
      </c>
      <c r="O203" s="320" t="e">
        <f t="shared" si="93"/>
        <v>#REF!</v>
      </c>
      <c r="P203" s="37" t="e">
        <f t="shared" si="93"/>
        <v>#REF!</v>
      </c>
      <c r="Q203" s="340" t="e">
        <f>+'Planilla de Avance'!#REF!-O203</f>
        <v>#REF!</v>
      </c>
    </row>
    <row r="204" spans="1:17" ht="12.75" customHeight="1">
      <c r="A204" s="290">
        <v>19.600000000000001</v>
      </c>
      <c r="B204" s="35" t="s">
        <v>127</v>
      </c>
      <c r="C204" s="59" t="s">
        <v>0</v>
      </c>
      <c r="D204" s="81">
        <v>14.019999999999998</v>
      </c>
      <c r="E204" s="38">
        <v>49839</v>
      </c>
      <c r="F204" s="82">
        <f t="shared" si="88"/>
        <v>698742.78</v>
      </c>
      <c r="G204" s="320" t="e">
        <f>SUMIF(#REF!,G4,#REF!)</f>
        <v>#REF!</v>
      </c>
      <c r="H204" s="37" t="e">
        <f t="shared" si="89"/>
        <v>#REF!</v>
      </c>
      <c r="I204" s="320" t="e">
        <f>SUMIF(#REF!,I4,#REF!)</f>
        <v>#REF!</v>
      </c>
      <c r="J204" s="37" t="e">
        <f t="shared" si="90"/>
        <v>#REF!</v>
      </c>
      <c r="K204" s="320" t="e">
        <f>SUMIF(#REF!,K4,#REF!)</f>
        <v>#REF!</v>
      </c>
      <c r="L204" s="37" t="e">
        <f t="shared" si="91"/>
        <v>#REF!</v>
      </c>
      <c r="M204" s="320" t="e">
        <f>SUMIF(#REF!,M4,#REF!)</f>
        <v>#REF!</v>
      </c>
      <c r="N204" s="37" t="e">
        <f t="shared" si="92"/>
        <v>#REF!</v>
      </c>
      <c r="O204" s="320" t="e">
        <f t="shared" si="93"/>
        <v>#REF!</v>
      </c>
      <c r="P204" s="37" t="e">
        <f t="shared" si="93"/>
        <v>#REF!</v>
      </c>
      <c r="Q204" s="340" t="e">
        <f>+'Planilla de Avance'!#REF!-O204</f>
        <v>#REF!</v>
      </c>
    </row>
    <row r="205" spans="1:17" ht="12.75" customHeight="1">
      <c r="A205" s="290">
        <v>19.7</v>
      </c>
      <c r="B205" s="35" t="s">
        <v>128</v>
      </c>
      <c r="C205" s="59" t="s">
        <v>93</v>
      </c>
      <c r="D205" s="81">
        <v>586.83000000000004</v>
      </c>
      <c r="E205" s="38">
        <v>12</v>
      </c>
      <c r="F205" s="82">
        <f t="shared" si="88"/>
        <v>7041.96</v>
      </c>
      <c r="G205" s="320" t="e">
        <f>SUMIF(#REF!,G4,#REF!)</f>
        <v>#REF!</v>
      </c>
      <c r="H205" s="37" t="e">
        <f t="shared" si="89"/>
        <v>#REF!</v>
      </c>
      <c r="I205" s="320" t="e">
        <f>SUMIF(#REF!,I4,#REF!)</f>
        <v>#REF!</v>
      </c>
      <c r="J205" s="37" t="e">
        <f t="shared" si="90"/>
        <v>#REF!</v>
      </c>
      <c r="K205" s="320" t="e">
        <f>SUMIF(#REF!,K4,#REF!)</f>
        <v>#REF!</v>
      </c>
      <c r="L205" s="37" t="e">
        <f t="shared" si="91"/>
        <v>#REF!</v>
      </c>
      <c r="M205" s="320" t="e">
        <f>SUMIF(#REF!,M4,#REF!)</f>
        <v>#REF!</v>
      </c>
      <c r="N205" s="37" t="e">
        <f t="shared" si="92"/>
        <v>#REF!</v>
      </c>
      <c r="O205" s="320" t="e">
        <f t="shared" si="93"/>
        <v>#REF!</v>
      </c>
      <c r="P205" s="37" t="e">
        <f t="shared" si="93"/>
        <v>#REF!</v>
      </c>
      <c r="Q205" s="340" t="e">
        <f>+'Planilla de Avance'!#REF!-O205</f>
        <v>#REF!</v>
      </c>
    </row>
    <row r="206" spans="1:17" ht="12.75" customHeight="1">
      <c r="A206" s="290">
        <v>19.8</v>
      </c>
      <c r="B206" s="35" t="s">
        <v>129</v>
      </c>
      <c r="C206" s="59" t="s">
        <v>93</v>
      </c>
      <c r="D206" s="81">
        <v>11581.69</v>
      </c>
      <c r="E206" s="38">
        <v>370</v>
      </c>
      <c r="F206" s="82">
        <f t="shared" si="88"/>
        <v>4285225.3</v>
      </c>
      <c r="G206" s="320" t="e">
        <f>SUMIF(#REF!,G4,#REF!)</f>
        <v>#REF!</v>
      </c>
      <c r="H206" s="37" t="e">
        <f t="shared" si="89"/>
        <v>#REF!</v>
      </c>
      <c r="I206" s="320" t="e">
        <f>SUMIF(#REF!,I4,#REF!)</f>
        <v>#REF!</v>
      </c>
      <c r="J206" s="37" t="e">
        <f t="shared" si="90"/>
        <v>#REF!</v>
      </c>
      <c r="K206" s="320" t="e">
        <f>SUMIF(#REF!,K4,#REF!)</f>
        <v>#REF!</v>
      </c>
      <c r="L206" s="37" t="e">
        <f t="shared" si="91"/>
        <v>#REF!</v>
      </c>
      <c r="M206" s="320" t="e">
        <f>SUMIF(#REF!,M4,#REF!)</f>
        <v>#REF!</v>
      </c>
      <c r="N206" s="37" t="e">
        <f t="shared" si="92"/>
        <v>#REF!</v>
      </c>
      <c r="O206" s="320" t="e">
        <f t="shared" si="93"/>
        <v>#REF!</v>
      </c>
      <c r="P206" s="37" t="e">
        <f t="shared" si="93"/>
        <v>#REF!</v>
      </c>
      <c r="Q206" s="340" t="e">
        <f>+'Planilla de Avance'!#REF!-O206</f>
        <v>#REF!</v>
      </c>
    </row>
    <row r="207" spans="1:17" ht="12.75" customHeight="1">
      <c r="A207" s="290">
        <v>19.899999999999999</v>
      </c>
      <c r="B207" s="35" t="s">
        <v>130</v>
      </c>
      <c r="C207" s="59" t="s">
        <v>93</v>
      </c>
      <c r="D207" s="81">
        <v>502.5</v>
      </c>
      <c r="E207" s="38">
        <v>189</v>
      </c>
      <c r="F207" s="82">
        <f t="shared" si="88"/>
        <v>94972.5</v>
      </c>
      <c r="G207" s="320" t="e">
        <f>SUMIF(#REF!,G4,#REF!)</f>
        <v>#REF!</v>
      </c>
      <c r="H207" s="37" t="e">
        <f t="shared" si="89"/>
        <v>#REF!</v>
      </c>
      <c r="I207" s="320" t="e">
        <f>SUMIF(#REF!,I4,#REF!)</f>
        <v>#REF!</v>
      </c>
      <c r="J207" s="37" t="e">
        <f t="shared" si="90"/>
        <v>#REF!</v>
      </c>
      <c r="K207" s="320" t="e">
        <f>SUMIF(#REF!,K4,#REF!)</f>
        <v>#REF!</v>
      </c>
      <c r="L207" s="37" t="e">
        <f t="shared" si="91"/>
        <v>#REF!</v>
      </c>
      <c r="M207" s="320" t="e">
        <f>SUMIF(#REF!,M4,#REF!)</f>
        <v>#REF!</v>
      </c>
      <c r="N207" s="37" t="e">
        <f t="shared" si="92"/>
        <v>#REF!</v>
      </c>
      <c r="O207" s="320" t="e">
        <f t="shared" si="93"/>
        <v>#REF!</v>
      </c>
      <c r="P207" s="37" t="e">
        <f t="shared" si="93"/>
        <v>#REF!</v>
      </c>
      <c r="Q207" s="340" t="e">
        <f>+'Planilla de Avance'!#REF!-O207</f>
        <v>#REF!</v>
      </c>
    </row>
    <row r="208" spans="1:17" ht="12.75" customHeight="1">
      <c r="A208" s="291" t="s">
        <v>131</v>
      </c>
      <c r="B208" s="45" t="s">
        <v>132</v>
      </c>
      <c r="C208" s="60" t="s">
        <v>93</v>
      </c>
      <c r="D208" s="83">
        <v>80.67</v>
      </c>
      <c r="E208" s="78">
        <v>8484</v>
      </c>
      <c r="F208" s="84">
        <f t="shared" si="88"/>
        <v>684404.28</v>
      </c>
      <c r="G208" s="321" t="e">
        <f>SUMIF(#REF!,G4,#REF!)</f>
        <v>#REF!</v>
      </c>
      <c r="H208" s="47" t="e">
        <f t="shared" si="89"/>
        <v>#REF!</v>
      </c>
      <c r="I208" s="321" t="e">
        <f>SUMIF(#REF!,I4,#REF!)</f>
        <v>#REF!</v>
      </c>
      <c r="J208" s="47" t="e">
        <f t="shared" si="90"/>
        <v>#REF!</v>
      </c>
      <c r="K208" s="321" t="e">
        <f>SUMIF(#REF!,K4,#REF!)</f>
        <v>#REF!</v>
      </c>
      <c r="L208" s="47" t="e">
        <f t="shared" si="91"/>
        <v>#REF!</v>
      </c>
      <c r="M208" s="321" t="e">
        <f>SUMIF(#REF!,M4,#REF!)</f>
        <v>#REF!</v>
      </c>
      <c r="N208" s="47" t="e">
        <f t="shared" si="92"/>
        <v>#REF!</v>
      </c>
      <c r="O208" s="321" t="e">
        <f t="shared" si="93"/>
        <v>#REF!</v>
      </c>
      <c r="P208" s="47" t="e">
        <f t="shared" si="93"/>
        <v>#REF!</v>
      </c>
      <c r="Q208" s="340" t="e">
        <f>+'Planilla de Avance'!#REF!-O208</f>
        <v>#REF!</v>
      </c>
    </row>
    <row r="209" spans="1:21" ht="12.75" customHeight="1">
      <c r="A209" s="93"/>
      <c r="B209" s="48" t="s">
        <v>10</v>
      </c>
      <c r="C209" s="49"/>
      <c r="D209" s="69"/>
      <c r="E209" s="51"/>
      <c r="F209" s="70">
        <f>SUM(F199:F208)</f>
        <v>6020398.8700000001</v>
      </c>
      <c r="G209" s="52"/>
      <c r="H209" s="76" t="e">
        <f>SUM(H199:H208)</f>
        <v>#REF!</v>
      </c>
      <c r="I209" s="52"/>
      <c r="J209" s="76" t="e">
        <f>SUM(J199:J208)</f>
        <v>#REF!</v>
      </c>
      <c r="K209" s="52"/>
      <c r="L209" s="76" t="e">
        <f>SUM(L199:L208)</f>
        <v>#REF!</v>
      </c>
      <c r="M209" s="52"/>
      <c r="N209" s="76" t="e">
        <f>SUM(N199:N208)</f>
        <v>#REF!</v>
      </c>
      <c r="O209" s="52"/>
      <c r="P209" s="76" t="e">
        <f>SUM(P199:P208)</f>
        <v>#REF!</v>
      </c>
      <c r="Q209" s="340" t="e">
        <f>+'Planilla de Avance'!#REF!-O209</f>
        <v>#REF!</v>
      </c>
    </row>
    <row r="210" spans="1:21" ht="12.75" customHeight="1">
      <c r="A210" s="287" t="s">
        <v>133</v>
      </c>
      <c r="B210" s="41" t="s">
        <v>134</v>
      </c>
      <c r="C210" s="74"/>
      <c r="D210" s="50"/>
      <c r="E210" s="51"/>
      <c r="F210" s="50"/>
      <c r="G210" s="53"/>
      <c r="H210" s="53"/>
      <c r="I210" s="53"/>
      <c r="J210" s="53"/>
      <c r="K210" s="53"/>
      <c r="L210" s="53"/>
      <c r="M210" s="53"/>
      <c r="N210" s="54"/>
      <c r="O210" s="53"/>
      <c r="P210" s="54"/>
      <c r="Q210" s="340" t="e">
        <f>+'Planilla de Avance'!#REF!-O210</f>
        <v>#REF!</v>
      </c>
    </row>
    <row r="211" spans="1:21" ht="12.75" customHeight="1">
      <c r="A211" s="294">
        <v>20.100000000000001</v>
      </c>
      <c r="B211" s="85" t="s">
        <v>135</v>
      </c>
      <c r="C211" s="87" t="s">
        <v>23</v>
      </c>
      <c r="D211" s="88">
        <v>1940100</v>
      </c>
      <c r="E211" s="101">
        <v>1</v>
      </c>
      <c r="F211" s="90">
        <f>ROUND(E211*D211,2)</f>
        <v>1940100</v>
      </c>
      <c r="G211" s="328" t="e">
        <f>SUMIF(#REF!,G4,#REF!)</f>
        <v>#REF!</v>
      </c>
      <c r="H211" s="91" t="e">
        <f>+($D211*G211)</f>
        <v>#REF!</v>
      </c>
      <c r="I211" s="328" t="e">
        <f>SUMIF(#REF!,I4,#REF!)</f>
        <v>#REF!</v>
      </c>
      <c r="J211" s="91" t="e">
        <f>($D211*I211)</f>
        <v>#REF!</v>
      </c>
      <c r="K211" s="328" t="e">
        <f>SUMIF(#REF!,K4,#REF!)</f>
        <v>#REF!</v>
      </c>
      <c r="L211" s="91" t="e">
        <f>($D211*K211)</f>
        <v>#REF!</v>
      </c>
      <c r="M211" s="328" t="e">
        <f>SUMIF(#REF!,M4,#REF!)</f>
        <v>#REF!</v>
      </c>
      <c r="N211" s="91" t="e">
        <f>($D211*M211)</f>
        <v>#REF!</v>
      </c>
      <c r="O211" s="328" t="e">
        <f>+G211+I211+K211+M211</f>
        <v>#REF!</v>
      </c>
      <c r="P211" s="91" t="e">
        <f>+H211+J211+L211+N211</f>
        <v>#REF!</v>
      </c>
      <c r="Q211" s="340" t="e">
        <f>+'Planilla de Avance'!#REF!-O211</f>
        <v>#REF!</v>
      </c>
    </row>
    <row r="212" spans="1:21" ht="12.75" customHeight="1">
      <c r="A212" s="288"/>
      <c r="B212" s="48" t="s">
        <v>10</v>
      </c>
      <c r="C212" s="49"/>
      <c r="D212" s="69"/>
      <c r="E212" s="51"/>
      <c r="F212" s="70">
        <f>SUM(F211)</f>
        <v>1940100</v>
      </c>
      <c r="G212" s="52"/>
      <c r="H212" s="76" t="e">
        <f>SUM(H211)</f>
        <v>#REF!</v>
      </c>
      <c r="I212" s="52"/>
      <c r="J212" s="76" t="e">
        <f>SUM(J211)</f>
        <v>#REF!</v>
      </c>
      <c r="K212" s="52"/>
      <c r="L212" s="76" t="e">
        <f>SUM(L211)</f>
        <v>#REF!</v>
      </c>
      <c r="M212" s="52"/>
      <c r="N212" s="76" t="e">
        <f>SUM(N211)</f>
        <v>#REF!</v>
      </c>
      <c r="O212" s="52"/>
      <c r="P212" s="76" t="e">
        <f>SUM(P211)</f>
        <v>#REF!</v>
      </c>
      <c r="Q212" s="340" t="e">
        <f>+'Planilla de Avance'!#REF!-O212</f>
        <v>#REF!</v>
      </c>
      <c r="R212" s="1775" t="s">
        <v>272</v>
      </c>
      <c r="S212" s="1775"/>
      <c r="T212" s="1775"/>
      <c r="U212" s="1775"/>
    </row>
    <row r="213" spans="1:21" ht="12.75" customHeight="1">
      <c r="A213" s="287" t="s">
        <v>136</v>
      </c>
      <c r="B213" s="41" t="s">
        <v>137</v>
      </c>
      <c r="C213" s="74"/>
      <c r="D213" s="56"/>
      <c r="E213" s="56"/>
      <c r="F213" s="57"/>
      <c r="G213" s="53"/>
      <c r="H213" s="53"/>
      <c r="I213" s="53"/>
      <c r="J213" s="53"/>
      <c r="K213" s="53"/>
      <c r="L213" s="53"/>
      <c r="M213" s="53"/>
      <c r="N213" s="54"/>
      <c r="O213" s="53"/>
      <c r="P213" s="54"/>
      <c r="Q213" s="340" t="e">
        <f>+'Planilla de Avance'!#REF!-O213</f>
        <v>#REF!</v>
      </c>
      <c r="R213" s="513" t="s">
        <v>273</v>
      </c>
      <c r="T213" t="s">
        <v>274</v>
      </c>
    </row>
    <row r="214" spans="1:21" ht="12.75" customHeight="1">
      <c r="A214" s="289">
        <v>21.1</v>
      </c>
      <c r="B214" s="40" t="s">
        <v>138</v>
      </c>
      <c r="C214" s="58" t="s">
        <v>31</v>
      </c>
      <c r="D214" s="79">
        <v>3356.31</v>
      </c>
      <c r="E214" s="63">
        <v>260</v>
      </c>
      <c r="F214" s="80">
        <f>ROUND(E214*D214,2)</f>
        <v>872640.6</v>
      </c>
      <c r="G214" s="319" t="e">
        <f>SUMIF(#REF!,G4,#REF!)</f>
        <v>#REF!</v>
      </c>
      <c r="H214" s="73" t="e">
        <f>+($D214*G214)</f>
        <v>#REF!</v>
      </c>
      <c r="I214" s="319" t="e">
        <f>SUMIF(#REF!,I4,#REF!)</f>
        <v>#REF!</v>
      </c>
      <c r="J214" s="73" t="e">
        <f>($D214*I214)</f>
        <v>#REF!</v>
      </c>
      <c r="K214" s="319" t="e">
        <f>SUMIF(#REF!,K4,#REF!)</f>
        <v>#REF!</v>
      </c>
      <c r="L214" s="73" t="e">
        <f>($D214*K214)</f>
        <v>#REF!</v>
      </c>
      <c r="M214" s="319" t="e">
        <f>SUMIF(#REF!,M4,#REF!)</f>
        <v>#REF!</v>
      </c>
      <c r="N214" s="73" t="e">
        <f>($D214*M214)</f>
        <v>#REF!</v>
      </c>
      <c r="O214" s="319" t="e">
        <f t="shared" ref="O214:P218" si="94">+G214+I214+K214+M214</f>
        <v>#REF!</v>
      </c>
      <c r="P214" s="73" t="e">
        <f t="shared" si="94"/>
        <v>#REF!</v>
      </c>
      <c r="Q214" s="340" t="e">
        <f>+'Planilla de Avance'!#REF!-O214</f>
        <v>#REF!</v>
      </c>
      <c r="R214" s="512">
        <v>2.97</v>
      </c>
      <c r="S214" s="511">
        <f>+R214*D214</f>
        <v>9968.2407000000003</v>
      </c>
      <c r="T214">
        <v>2.89</v>
      </c>
      <c r="U214" s="511">
        <f>+T214*D214</f>
        <v>9699.7358999999997</v>
      </c>
    </row>
    <row r="215" spans="1:21" ht="12.75" customHeight="1">
      <c r="A215" s="290">
        <v>21.2</v>
      </c>
      <c r="B215" s="35" t="s">
        <v>139</v>
      </c>
      <c r="C215" s="59" t="s">
        <v>140</v>
      </c>
      <c r="D215" s="81">
        <v>62.01</v>
      </c>
      <c r="E215" s="36">
        <v>14600</v>
      </c>
      <c r="F215" s="82">
        <f>ROUND(E215*D215,2)</f>
        <v>905346</v>
      </c>
      <c r="G215" s="320" t="e">
        <f>SUMIF(#REF!,G4,#REF!)</f>
        <v>#REF!</v>
      </c>
      <c r="H215" s="37" t="e">
        <f>+($D215*G215)</f>
        <v>#REF!</v>
      </c>
      <c r="I215" s="320" t="e">
        <f>SUMIF(#REF!,I4,#REF!)</f>
        <v>#REF!</v>
      </c>
      <c r="J215" s="37" t="e">
        <f>($D215*I215)</f>
        <v>#REF!</v>
      </c>
      <c r="K215" s="320" t="e">
        <f>SUMIF(#REF!,K4,#REF!)</f>
        <v>#REF!</v>
      </c>
      <c r="L215" s="37" t="e">
        <f>($D215*K215)</f>
        <v>#REF!</v>
      </c>
      <c r="M215" s="320" t="e">
        <f>SUMIF(#REF!,M4,#REF!)</f>
        <v>#REF!</v>
      </c>
      <c r="N215" s="37" t="e">
        <f>($D215*M215)</f>
        <v>#REF!</v>
      </c>
      <c r="O215" s="320" t="e">
        <f t="shared" si="94"/>
        <v>#REF!</v>
      </c>
      <c r="P215" s="37" t="e">
        <f t="shared" si="94"/>
        <v>#REF!</v>
      </c>
      <c r="Q215" s="340" t="e">
        <f>+'Planilla de Avance'!#REF!-O215</f>
        <v>#REF!</v>
      </c>
      <c r="R215" s="512">
        <v>177.88</v>
      </c>
      <c r="S215" s="511">
        <f>+R215*D215</f>
        <v>11030.3388</v>
      </c>
      <c r="T215">
        <v>172.66</v>
      </c>
      <c r="U215" s="511">
        <f>+T215*D215</f>
        <v>10706.6466</v>
      </c>
    </row>
    <row r="216" spans="1:21" ht="12.75" customHeight="1">
      <c r="A216" s="290">
        <v>21.3</v>
      </c>
      <c r="B216" s="35" t="s">
        <v>141</v>
      </c>
      <c r="C216" s="59" t="s">
        <v>142</v>
      </c>
      <c r="D216" s="81">
        <v>13777.98</v>
      </c>
      <c r="E216" s="36">
        <v>24</v>
      </c>
      <c r="F216" s="82">
        <f>ROUND(E216*D216,2)</f>
        <v>330671.52</v>
      </c>
      <c r="G216" s="320" t="e">
        <f>SUMIF(#REF!,G4,#REF!)</f>
        <v>#REF!</v>
      </c>
      <c r="H216" s="37" t="e">
        <f>+($D216*G216)</f>
        <v>#REF!</v>
      </c>
      <c r="I216" s="320" t="e">
        <f>SUMIF(#REF!,I4,#REF!)</f>
        <v>#REF!</v>
      </c>
      <c r="J216" s="37" t="e">
        <f>($D216*I216)</f>
        <v>#REF!</v>
      </c>
      <c r="K216" s="320" t="e">
        <f>SUMIF(#REF!,K4,#REF!)</f>
        <v>#REF!</v>
      </c>
      <c r="L216" s="37" t="e">
        <f>($D216*K216)</f>
        <v>#REF!</v>
      </c>
      <c r="M216" s="320" t="e">
        <f>SUMIF(#REF!,M4,#REF!)</f>
        <v>#REF!</v>
      </c>
      <c r="N216" s="37" t="e">
        <f>($D216*M216)</f>
        <v>#REF!</v>
      </c>
      <c r="O216" s="320" t="e">
        <f t="shared" si="94"/>
        <v>#REF!</v>
      </c>
      <c r="P216" s="37" t="e">
        <f t="shared" si="94"/>
        <v>#REF!</v>
      </c>
      <c r="Q216" s="340" t="e">
        <f>+'Planilla de Avance'!#REF!-O216</f>
        <v>#REF!</v>
      </c>
      <c r="R216" s="512">
        <v>0.23</v>
      </c>
      <c r="S216" s="511">
        <f>+R216*D216</f>
        <v>3168.9353999999998</v>
      </c>
      <c r="T216">
        <v>0.22</v>
      </c>
      <c r="U216" s="511">
        <f>+T216*D216</f>
        <v>3031.1556</v>
      </c>
    </row>
    <row r="217" spans="1:21" ht="12.75" customHeight="1">
      <c r="A217" s="290">
        <v>21.4</v>
      </c>
      <c r="B217" s="35" t="s">
        <v>143</v>
      </c>
      <c r="C217" s="59" t="s">
        <v>156</v>
      </c>
      <c r="D217" s="81">
        <v>373989.45</v>
      </c>
      <c r="E217" s="36">
        <v>1</v>
      </c>
      <c r="F217" s="82">
        <f>ROUND(E217*D217,2)</f>
        <v>373989.45</v>
      </c>
      <c r="G217" s="320" t="e">
        <f>SUMIF(#REF!,G4,#REF!)</f>
        <v>#REF!</v>
      </c>
      <c r="H217" s="37" t="e">
        <f>+($D217*G217)</f>
        <v>#REF!</v>
      </c>
      <c r="I217" s="320" t="e">
        <f>SUMIF(#REF!,I4,#REF!)</f>
        <v>#REF!</v>
      </c>
      <c r="J217" s="37" t="e">
        <f>($D217*I217)</f>
        <v>#REF!</v>
      </c>
      <c r="K217" s="320" t="e">
        <f>SUMIF(#REF!,K4,#REF!)</f>
        <v>#REF!</v>
      </c>
      <c r="L217" s="37" t="e">
        <f>($D217*K217)</f>
        <v>#REF!</v>
      </c>
      <c r="M217" s="320" t="e">
        <f>SUMIF(#REF!,M4,#REF!)</f>
        <v>#REF!</v>
      </c>
      <c r="N217" s="37" t="e">
        <f>($D217*M217)</f>
        <v>#REF!</v>
      </c>
      <c r="O217" s="320" t="e">
        <f t="shared" si="94"/>
        <v>#REF!</v>
      </c>
      <c r="P217" s="37" t="e">
        <f t="shared" si="94"/>
        <v>#REF!</v>
      </c>
      <c r="Q217" s="340" t="e">
        <f>+'Planilla de Avance'!#REF!-O217</f>
        <v>#REF!</v>
      </c>
    </row>
    <row r="218" spans="1:21" ht="12.75" customHeight="1">
      <c r="A218" s="291">
        <v>21.5</v>
      </c>
      <c r="B218" s="45" t="s">
        <v>144</v>
      </c>
      <c r="C218" s="60" t="s">
        <v>156</v>
      </c>
      <c r="D218" s="83">
        <v>523232.51</v>
      </c>
      <c r="E218" s="46">
        <v>2</v>
      </c>
      <c r="F218" s="84">
        <f>ROUND(E218*D218,2)</f>
        <v>1046465.02</v>
      </c>
      <c r="G218" s="321" t="e">
        <f>SUMIF(#REF!,G4,#REF!)</f>
        <v>#REF!</v>
      </c>
      <c r="H218" s="47" t="e">
        <f>+($D218*G218)</f>
        <v>#REF!</v>
      </c>
      <c r="I218" s="321" t="e">
        <f>SUMIF(#REF!,I4,#REF!)</f>
        <v>#REF!</v>
      </c>
      <c r="J218" s="47" t="e">
        <f>($D218*I218)</f>
        <v>#REF!</v>
      </c>
      <c r="K218" s="321" t="e">
        <f>SUMIF(#REF!,K4,#REF!)</f>
        <v>#REF!</v>
      </c>
      <c r="L218" s="47" t="e">
        <f>($D218*K218)</f>
        <v>#REF!</v>
      </c>
      <c r="M218" s="321" t="e">
        <f>SUMIF(#REF!,M4,#REF!)</f>
        <v>#REF!</v>
      </c>
      <c r="N218" s="47" t="e">
        <f>($D218*M218)</f>
        <v>#REF!</v>
      </c>
      <c r="O218" s="321" t="e">
        <f t="shared" si="94"/>
        <v>#REF!</v>
      </c>
      <c r="P218" s="47" t="e">
        <f t="shared" si="94"/>
        <v>#REF!</v>
      </c>
      <c r="Q218" s="340" t="e">
        <f>+'Planilla de Avance'!#REF!-O218</f>
        <v>#REF!</v>
      </c>
    </row>
    <row r="219" spans="1:21" ht="12.75" customHeight="1">
      <c r="A219" s="288"/>
      <c r="B219" s="48" t="s">
        <v>10</v>
      </c>
      <c r="C219" s="49"/>
      <c r="D219" s="69"/>
      <c r="E219" s="51"/>
      <c r="F219" s="70">
        <f>SUM(F214:F218)</f>
        <v>3529112.5900000003</v>
      </c>
      <c r="G219" s="52"/>
      <c r="H219" s="76" t="e">
        <f>SUM(H214:H218)</f>
        <v>#REF!</v>
      </c>
      <c r="I219" s="52"/>
      <c r="J219" s="76" t="e">
        <f>SUM(J214:J218)</f>
        <v>#REF!</v>
      </c>
      <c r="K219" s="52"/>
      <c r="L219" s="76" t="e">
        <f>SUM(L214:L218)</f>
        <v>#REF!</v>
      </c>
      <c r="M219" s="52"/>
      <c r="N219" s="76" t="e">
        <f>SUM(N214:N218)</f>
        <v>#REF!</v>
      </c>
      <c r="O219" s="52"/>
      <c r="P219" s="76" t="e">
        <f>SUM(P214:P218)</f>
        <v>#REF!</v>
      </c>
      <c r="Q219" s="340" t="e">
        <f>+'Planilla de Avance'!#REF!-O219</f>
        <v>#REF!</v>
      </c>
      <c r="S219" s="511">
        <f>SUM(S214:S218)</f>
        <v>24167.514899999998</v>
      </c>
      <c r="T219" s="511"/>
      <c r="U219" s="511">
        <f>SUM(U214:U218)</f>
        <v>23437.538099999998</v>
      </c>
    </row>
    <row r="220" spans="1:21" ht="12.75" customHeight="1">
      <c r="A220" s="287" t="s">
        <v>145</v>
      </c>
      <c r="B220" s="41" t="s">
        <v>146</v>
      </c>
      <c r="C220" s="74"/>
      <c r="D220" s="57"/>
      <c r="E220" s="75"/>
      <c r="F220" s="57"/>
      <c r="G220" s="53"/>
      <c r="H220" s="53"/>
      <c r="I220" s="53"/>
      <c r="J220" s="53"/>
      <c r="K220" s="53"/>
      <c r="L220" s="53"/>
      <c r="M220" s="53"/>
      <c r="N220" s="54"/>
      <c r="O220" s="53"/>
      <c r="P220" s="54"/>
      <c r="Q220" s="340" t="e">
        <f>+'Planilla de Avance'!#REF!-O220</f>
        <v>#REF!</v>
      </c>
    </row>
    <row r="221" spans="1:21" ht="12.75" customHeight="1">
      <c r="A221" s="289">
        <v>22.1</v>
      </c>
      <c r="B221" s="40" t="s">
        <v>147</v>
      </c>
      <c r="C221" s="58" t="s">
        <v>148</v>
      </c>
      <c r="D221" s="79">
        <v>125.69</v>
      </c>
      <c r="E221" s="63">
        <v>15000</v>
      </c>
      <c r="F221" s="80">
        <f t="shared" ref="F221:F226" si="95">ROUND(E221*D221,2)</f>
        <v>1885350</v>
      </c>
      <c r="G221" s="319" t="e">
        <f>SUMIF(#REF!,G4,#REF!)</f>
        <v>#REF!</v>
      </c>
      <c r="H221" s="73" t="e">
        <f t="shared" ref="H221:H226" si="96">+($D221*G221)</f>
        <v>#REF!</v>
      </c>
      <c r="I221" s="319" t="e">
        <f>SUMIF(#REF!,I4,#REF!)</f>
        <v>#REF!</v>
      </c>
      <c r="J221" s="73" t="e">
        <f t="shared" ref="J221:J226" si="97">($D221*I221)</f>
        <v>#REF!</v>
      </c>
      <c r="K221" s="319" t="e">
        <f>SUMIF(#REF!,K4,#REF!)</f>
        <v>#REF!</v>
      </c>
      <c r="L221" s="73" t="e">
        <f t="shared" ref="L221:L226" si="98">($D221*K221)</f>
        <v>#REF!</v>
      </c>
      <c r="M221" s="319" t="e">
        <f>SUMIF(#REF!,M4,#REF!)</f>
        <v>#REF!</v>
      </c>
      <c r="N221" s="73" t="e">
        <f t="shared" ref="N221:N226" si="99">($D221*M221)</f>
        <v>#REF!</v>
      </c>
      <c r="O221" s="319" t="e">
        <f t="shared" ref="O221:P226" si="100">+G221+I221+K221+M221</f>
        <v>#REF!</v>
      </c>
      <c r="P221" s="73" t="e">
        <f t="shared" si="100"/>
        <v>#REF!</v>
      </c>
      <c r="Q221" s="340" t="e">
        <f>+'Planilla de Avance'!#REF!-O221</f>
        <v>#REF!</v>
      </c>
      <c r="R221">
        <v>212.07</v>
      </c>
      <c r="S221" s="511">
        <f t="shared" ref="S221:S226" si="101">+R221*D221</f>
        <v>26655.078299999997</v>
      </c>
      <c r="T221">
        <v>205.83</v>
      </c>
      <c r="U221" s="511">
        <f t="shared" ref="U221:U226" si="102">+T221*D221</f>
        <v>25870.772700000001</v>
      </c>
    </row>
    <row r="222" spans="1:21" ht="12.75" customHeight="1">
      <c r="A222" s="290">
        <v>22.2</v>
      </c>
      <c r="B222" s="35" t="s">
        <v>149</v>
      </c>
      <c r="C222" s="59" t="s">
        <v>27</v>
      </c>
      <c r="D222" s="81">
        <v>127.29999999999998</v>
      </c>
      <c r="E222" s="36">
        <v>2350</v>
      </c>
      <c r="F222" s="82">
        <f t="shared" si="95"/>
        <v>299155</v>
      </c>
      <c r="G222" s="320" t="e">
        <f>SUMIF(#REF!,G4,#REF!)</f>
        <v>#REF!</v>
      </c>
      <c r="H222" s="37" t="e">
        <f t="shared" si="96"/>
        <v>#REF!</v>
      </c>
      <c r="I222" s="320" t="e">
        <f>SUMIF(#REF!,I4,#REF!)</f>
        <v>#REF!</v>
      </c>
      <c r="J222" s="37" t="e">
        <f t="shared" si="97"/>
        <v>#REF!</v>
      </c>
      <c r="K222" s="320" t="e">
        <f>SUMIF(#REF!,K4,#REF!)</f>
        <v>#REF!</v>
      </c>
      <c r="L222" s="37" t="e">
        <f t="shared" si="98"/>
        <v>#REF!</v>
      </c>
      <c r="M222" s="320" t="e">
        <f>SUMIF(#REF!,M4,#REF!)</f>
        <v>#REF!</v>
      </c>
      <c r="N222" s="37" t="e">
        <f t="shared" si="99"/>
        <v>#REF!</v>
      </c>
      <c r="O222" s="320" t="e">
        <f t="shared" si="100"/>
        <v>#REF!</v>
      </c>
      <c r="P222" s="37" t="e">
        <f t="shared" si="100"/>
        <v>#REF!</v>
      </c>
      <c r="Q222" s="340" t="e">
        <f>+'Planilla de Avance'!#REF!-O222</f>
        <v>#REF!</v>
      </c>
      <c r="R222">
        <v>85.68</v>
      </c>
      <c r="S222" s="511">
        <f t="shared" si="101"/>
        <v>10907.064</v>
      </c>
      <c r="T222">
        <v>83.16</v>
      </c>
      <c r="U222" s="511">
        <f t="shared" si="102"/>
        <v>10586.267999999998</v>
      </c>
    </row>
    <row r="223" spans="1:21" ht="12.75" customHeight="1">
      <c r="A223" s="290">
        <v>22.3</v>
      </c>
      <c r="B223" s="35" t="s">
        <v>150</v>
      </c>
      <c r="C223" s="59" t="s">
        <v>27</v>
      </c>
      <c r="D223" s="81">
        <v>79.399999999999991</v>
      </c>
      <c r="E223" s="36">
        <v>10000</v>
      </c>
      <c r="F223" s="82">
        <f t="shared" si="95"/>
        <v>794000</v>
      </c>
      <c r="G223" s="320" t="e">
        <f>SUMIF(#REF!,G4,#REF!)</f>
        <v>#REF!</v>
      </c>
      <c r="H223" s="37" t="e">
        <f t="shared" si="96"/>
        <v>#REF!</v>
      </c>
      <c r="I223" s="320" t="e">
        <f>SUMIF(#REF!,I4,#REF!)</f>
        <v>#REF!</v>
      </c>
      <c r="J223" s="37" t="e">
        <f t="shared" si="97"/>
        <v>#REF!</v>
      </c>
      <c r="K223" s="320" t="e">
        <f>SUMIF(#REF!,K4,#REF!)</f>
        <v>#REF!</v>
      </c>
      <c r="L223" s="37" t="e">
        <f t="shared" si="98"/>
        <v>#REF!</v>
      </c>
      <c r="M223" s="320" t="e">
        <f>SUMIF(#REF!,M4,#REF!)</f>
        <v>#REF!</v>
      </c>
      <c r="N223" s="37" t="e">
        <f t="shared" si="99"/>
        <v>#REF!</v>
      </c>
      <c r="O223" s="320" t="e">
        <f t="shared" si="100"/>
        <v>#REF!</v>
      </c>
      <c r="P223" s="37" t="e">
        <f t="shared" si="100"/>
        <v>#REF!</v>
      </c>
      <c r="Q223" s="340" t="e">
        <f>+'Planilla de Avance'!#REF!-O223</f>
        <v>#REF!</v>
      </c>
      <c r="R223">
        <v>268.92</v>
      </c>
      <c r="S223" s="511">
        <f t="shared" si="101"/>
        <v>21352.248</v>
      </c>
      <c r="T223">
        <v>261.01</v>
      </c>
      <c r="U223" s="511">
        <f t="shared" si="102"/>
        <v>20724.193999999996</v>
      </c>
    </row>
    <row r="224" spans="1:21" ht="12.75" customHeight="1">
      <c r="A224" s="290">
        <v>22.4</v>
      </c>
      <c r="B224" s="35" t="s">
        <v>151</v>
      </c>
      <c r="C224" s="59" t="s">
        <v>27</v>
      </c>
      <c r="D224" s="81">
        <v>15.46</v>
      </c>
      <c r="E224" s="36">
        <v>5000</v>
      </c>
      <c r="F224" s="82">
        <f t="shared" si="95"/>
        <v>77300</v>
      </c>
      <c r="G224" s="320" t="e">
        <f>SUMIF(#REF!,G4,#REF!)</f>
        <v>#REF!</v>
      </c>
      <c r="H224" s="37" t="e">
        <f t="shared" si="96"/>
        <v>#REF!</v>
      </c>
      <c r="I224" s="320" t="e">
        <f>SUMIF(#REF!,I4,#REF!)</f>
        <v>#REF!</v>
      </c>
      <c r="J224" s="37" t="e">
        <f t="shared" si="97"/>
        <v>#REF!</v>
      </c>
      <c r="K224" s="320" t="e">
        <f>SUMIF(#REF!,K4,#REF!)</f>
        <v>#REF!</v>
      </c>
      <c r="L224" s="37" t="e">
        <f t="shared" si="98"/>
        <v>#REF!</v>
      </c>
      <c r="M224" s="320" t="e">
        <f>SUMIF(#REF!,M4,#REF!)</f>
        <v>#REF!</v>
      </c>
      <c r="N224" s="37" t="e">
        <f t="shared" si="99"/>
        <v>#REF!</v>
      </c>
      <c r="O224" s="320" t="e">
        <f t="shared" si="100"/>
        <v>#REF!</v>
      </c>
      <c r="P224" s="37" t="e">
        <f t="shared" si="100"/>
        <v>#REF!</v>
      </c>
      <c r="Q224" s="340" t="e">
        <f>+'Planilla de Avance'!#REF!-O224</f>
        <v>#REF!</v>
      </c>
      <c r="R224">
        <v>122.44</v>
      </c>
      <c r="S224" s="511">
        <f t="shared" si="101"/>
        <v>1892.9224000000002</v>
      </c>
      <c r="T224">
        <v>118.85</v>
      </c>
      <c r="U224" s="511">
        <f t="shared" si="102"/>
        <v>1837.421</v>
      </c>
    </row>
    <row r="225" spans="1:21" ht="12.75" customHeight="1">
      <c r="A225" s="290">
        <v>22.5</v>
      </c>
      <c r="B225" s="35" t="s">
        <v>152</v>
      </c>
      <c r="C225" s="59" t="s">
        <v>20</v>
      </c>
      <c r="D225" s="81">
        <v>1507.63</v>
      </c>
      <c r="E225" s="36">
        <v>50</v>
      </c>
      <c r="F225" s="82">
        <f t="shared" si="95"/>
        <v>75381.5</v>
      </c>
      <c r="G225" s="320" t="e">
        <f>SUMIF(#REF!,G4,#REF!)</f>
        <v>#REF!</v>
      </c>
      <c r="H225" s="37" t="e">
        <f t="shared" si="96"/>
        <v>#REF!</v>
      </c>
      <c r="I225" s="320" t="e">
        <f>SUMIF(#REF!,I4,#REF!)</f>
        <v>#REF!</v>
      </c>
      <c r="J225" s="37" t="e">
        <f t="shared" si="97"/>
        <v>#REF!</v>
      </c>
      <c r="K225" s="320" t="e">
        <f>SUMIF(#REF!,K4,#REF!)</f>
        <v>#REF!</v>
      </c>
      <c r="L225" s="37" t="e">
        <f t="shared" si="98"/>
        <v>#REF!</v>
      </c>
      <c r="M225" s="320" t="e">
        <f>SUMIF(#REF!,M4,#REF!)</f>
        <v>#REF!</v>
      </c>
      <c r="N225" s="37" t="e">
        <f t="shared" si="99"/>
        <v>#REF!</v>
      </c>
      <c r="O225" s="320" t="e">
        <f t="shared" si="100"/>
        <v>#REF!</v>
      </c>
      <c r="P225" s="37" t="e">
        <f t="shared" si="100"/>
        <v>#REF!</v>
      </c>
      <c r="Q225" s="340" t="e">
        <f>+'Planilla de Avance'!#REF!-O225</f>
        <v>#REF!</v>
      </c>
      <c r="S225" s="511">
        <f t="shared" si="101"/>
        <v>0</v>
      </c>
      <c r="T225" t="e">
        <f>+O225*0.33</f>
        <v>#REF!</v>
      </c>
      <c r="U225" s="511" t="e">
        <f t="shared" si="102"/>
        <v>#REF!</v>
      </c>
    </row>
    <row r="226" spans="1:21" ht="12.75" customHeight="1">
      <c r="A226" s="291">
        <v>22.6</v>
      </c>
      <c r="B226" s="45" t="s">
        <v>153</v>
      </c>
      <c r="C226" s="60" t="s">
        <v>23</v>
      </c>
      <c r="D226" s="83">
        <v>97537.360000000015</v>
      </c>
      <c r="E226" s="46">
        <v>1</v>
      </c>
      <c r="F226" s="84">
        <f t="shared" si="95"/>
        <v>97537.36</v>
      </c>
      <c r="G226" s="321" t="e">
        <f>SUMIF(#REF!,G4,#REF!)</f>
        <v>#REF!</v>
      </c>
      <c r="H226" s="47" t="e">
        <f t="shared" si="96"/>
        <v>#REF!</v>
      </c>
      <c r="I226" s="321" t="e">
        <f>SUMIF(#REF!,I4,#REF!)</f>
        <v>#REF!</v>
      </c>
      <c r="J226" s="47" t="e">
        <f t="shared" si="97"/>
        <v>#REF!</v>
      </c>
      <c r="K226" s="321" t="e">
        <f>SUMIF(#REF!,K4,#REF!)</f>
        <v>#REF!</v>
      </c>
      <c r="L226" s="47" t="e">
        <f t="shared" si="98"/>
        <v>#REF!</v>
      </c>
      <c r="M226" s="321" t="e">
        <f>SUMIF(#REF!,M4,#REF!)</f>
        <v>#REF!</v>
      </c>
      <c r="N226" s="47" t="e">
        <f t="shared" si="99"/>
        <v>#REF!</v>
      </c>
      <c r="O226" s="321" t="e">
        <f t="shared" si="100"/>
        <v>#REF!</v>
      </c>
      <c r="P226" s="47" t="e">
        <f t="shared" si="100"/>
        <v>#REF!</v>
      </c>
      <c r="Q226" s="340" t="e">
        <f>+'Planilla de Avance'!#REF!-O226</f>
        <v>#REF!</v>
      </c>
      <c r="R226">
        <v>0.02</v>
      </c>
      <c r="S226" s="511">
        <f t="shared" si="101"/>
        <v>1950.7472000000002</v>
      </c>
      <c r="T226">
        <v>0.01</v>
      </c>
      <c r="U226" s="511">
        <f t="shared" si="102"/>
        <v>975.37360000000012</v>
      </c>
    </row>
    <row r="227" spans="1:21" ht="12.75" customHeight="1">
      <c r="A227" s="288"/>
      <c r="B227" s="48" t="s">
        <v>10</v>
      </c>
      <c r="C227" s="49"/>
      <c r="D227" s="69"/>
      <c r="E227" s="51"/>
      <c r="F227" s="70">
        <f>SUM(F221:F226)</f>
        <v>3228723.86</v>
      </c>
      <c r="G227" s="52"/>
      <c r="H227" s="76" t="e">
        <f>SUM(H221:H226)</f>
        <v>#REF!</v>
      </c>
      <c r="I227" s="52"/>
      <c r="J227" s="76" t="e">
        <f>SUM(J221:J226)</f>
        <v>#REF!</v>
      </c>
      <c r="K227" s="52"/>
      <c r="L227" s="76" t="e">
        <f>SUM(L221:L226)</f>
        <v>#REF!</v>
      </c>
      <c r="M227" s="52"/>
      <c r="N227" s="76" t="e">
        <f>SUM(N221:N226)</f>
        <v>#REF!</v>
      </c>
      <c r="O227" s="52"/>
      <c r="P227" s="76" t="e">
        <f>SUM(P221:P226)</f>
        <v>#REF!</v>
      </c>
      <c r="S227" s="511">
        <f>SUM(S221:S226)</f>
        <v>62758.0599</v>
      </c>
      <c r="T227" s="511"/>
      <c r="U227" s="511" t="e">
        <f>SUM(U221:U226)</f>
        <v>#REF!</v>
      </c>
    </row>
    <row r="228" spans="1:21" ht="12.75" customHeight="1">
      <c r="A228" s="288"/>
      <c r="B228" s="334" t="s">
        <v>204</v>
      </c>
      <c r="C228" s="49"/>
      <c r="D228" s="337">
        <f>+'Avance Financiero'!Q12</f>
        <v>168319.91</v>
      </c>
      <c r="E228" s="51"/>
      <c r="F228" s="70"/>
      <c r="G228" s="338"/>
      <c r="H228" s="76">
        <f>ROUND($D228*G228,2)</f>
        <v>0</v>
      </c>
      <c r="I228" s="335"/>
      <c r="J228" s="336">
        <f>ROUND($D228*I228,2)</f>
        <v>0</v>
      </c>
      <c r="K228" s="52"/>
      <c r="L228" s="336">
        <f>ROUND($D228*K228,2)</f>
        <v>0</v>
      </c>
      <c r="M228" s="52"/>
      <c r="N228" s="336">
        <f>ROUND($D228*M228,2)</f>
        <v>0</v>
      </c>
      <c r="O228" s="52"/>
      <c r="P228" s="336">
        <f>ROUND($D228*O228,2)</f>
        <v>0</v>
      </c>
    </row>
    <row r="229" spans="1:21" ht="12.75" customHeight="1">
      <c r="A229" s="288"/>
      <c r="B229" s="102" t="s">
        <v>154</v>
      </c>
      <c r="C229" s="49"/>
      <c r="D229" s="69"/>
      <c r="E229" s="51"/>
      <c r="F229" s="70">
        <f>+F227+F219+F212+F209+F197+F187+F180+F174+F171+F159+F151+F148+F138+F128+F125+F113+F103+F100+F88+F80+F70+F60+F55+F47+F35+F32+F28+F13</f>
        <v>162917236.21000001</v>
      </c>
      <c r="G229" s="52"/>
      <c r="H229" s="76" t="e">
        <f ca="1">+H227+H219+H212+H209+H197+H187+H180+H174+H171+H159+H151+H148+H138+H128+H125+H113+H103+H100+H88+H80+H70+H60+H55+H47+H35+H32+H28+H13</f>
        <v>#REF!</v>
      </c>
      <c r="I229" s="52"/>
      <c r="J229" s="76" t="e">
        <f ca="1">+J227+J219+J212+J209+J197+J187+J180+J174+J171+J159+J151+J148+J138+J128+J125+J113+J103+J100+J88+J80+J70+J60+J55+J47+J35+J32+J28+J13</f>
        <v>#REF!</v>
      </c>
      <c r="K229" s="52"/>
      <c r="L229" s="76" t="e">
        <f ca="1">+L227+L219+L212+L209+L197+L187+L180+L174+L171+L159+L151+L148+L138+L128+L125+L113+L103+L100+L88+L80+L70+L60+L55+L47+L35+L32+L28+L13</f>
        <v>#REF!</v>
      </c>
      <c r="M229" s="52"/>
      <c r="N229" s="76" t="e">
        <f ca="1">+N227+N219+N212+N209+N197+N187+N180+N174+N171+N159+N151+N148+N138+N128+N125+N113+N103+N100+N88+N80+N70+N60+N55+N47+N35+N32+N28+N13</f>
        <v>#REF!</v>
      </c>
      <c r="O229" s="52"/>
      <c r="P229" s="76" t="e">
        <f ca="1">+P227+P219+P212+P209+P197+P187+P180+P174+P171+P159+P151+P148+P138+P128+P125+P113+P103+P100+P88+P80+P70+P60+P55+P47+P35+P32+P28+P13</f>
        <v>#REF!</v>
      </c>
      <c r="S229" s="511">
        <f>+S227+S219</f>
        <v>86925.574800000002</v>
      </c>
    </row>
    <row r="230" spans="1:21" ht="12.75" customHeight="1">
      <c r="A230" s="446"/>
      <c r="B230" s="447"/>
      <c r="C230" s="448"/>
      <c r="D230" s="449"/>
      <c r="E230" s="450"/>
      <c r="F230" s="449"/>
      <c r="G230" s="451"/>
      <c r="H230" s="451"/>
      <c r="I230" s="451"/>
      <c r="J230" s="451"/>
      <c r="K230" s="451"/>
      <c r="L230" s="451"/>
      <c r="M230" s="451"/>
      <c r="N230" s="451"/>
      <c r="O230" s="451"/>
      <c r="P230" s="451"/>
      <c r="S230" s="511" t="e">
        <f ca="1">+L229+S229</f>
        <v>#REF!</v>
      </c>
      <c r="U230">
        <v>318.72000000000003</v>
      </c>
    </row>
    <row r="231" spans="1:21" ht="12.75" customHeight="1">
      <c r="A231" s="440"/>
      <c r="B231" s="441"/>
      <c r="C231" s="453" t="s">
        <v>288</v>
      </c>
      <c r="D231" s="443"/>
      <c r="E231" s="444"/>
      <c r="F231" s="443"/>
      <c r="G231" s="445"/>
      <c r="H231" s="445"/>
      <c r="I231" s="445"/>
      <c r="J231" s="445"/>
      <c r="K231" s="445"/>
      <c r="L231" s="445"/>
      <c r="M231" s="445"/>
      <c r="N231" s="445" t="e">
        <f>+N219*0.34</f>
        <v>#REF!</v>
      </c>
      <c r="O231" s="445"/>
      <c r="P231" s="445"/>
      <c r="U231">
        <v>318.7</v>
      </c>
    </row>
    <row r="232" spans="1:21" ht="12.75" customHeight="1" thickBot="1">
      <c r="A232" s="440"/>
      <c r="B232" s="441"/>
      <c r="C232" s="442"/>
      <c r="D232" s="443"/>
      <c r="E232" s="444"/>
      <c r="F232" s="443"/>
      <c r="G232" s="445"/>
      <c r="H232" s="445"/>
      <c r="I232" s="445"/>
      <c r="J232" s="445"/>
      <c r="K232" s="445"/>
      <c r="L232" s="445"/>
      <c r="M232" s="445"/>
      <c r="N232" s="445" t="e">
        <f>+N219*0.33</f>
        <v>#REF!</v>
      </c>
      <c r="O232" s="445"/>
      <c r="P232" s="445"/>
      <c r="R232" s="511" t="e">
        <f>+N222/D223</f>
        <v>#REF!</v>
      </c>
    </row>
    <row r="233" spans="1:21" ht="12.75" customHeight="1">
      <c r="A233" s="440"/>
      <c r="B233" s="1821" t="s">
        <v>189</v>
      </c>
      <c r="C233" s="1822"/>
      <c r="D233" s="1779" t="s">
        <v>252</v>
      </c>
      <c r="E233" s="1780"/>
      <c r="F233" s="1781"/>
      <c r="G233" s="1799" t="s">
        <v>255</v>
      </c>
      <c r="H233" s="1801" t="s">
        <v>263</v>
      </c>
      <c r="I233" s="1784" t="s">
        <v>280</v>
      </c>
      <c r="J233" s="1785"/>
      <c r="K233" s="1786"/>
      <c r="L233" s="1782" t="s">
        <v>255</v>
      </c>
      <c r="M233" s="516"/>
      <c r="N233" s="516"/>
      <c r="O233" s="516"/>
      <c r="P233" s="516"/>
      <c r="S233">
        <v>637.41999999999996</v>
      </c>
    </row>
    <row r="234" spans="1:21" ht="12.75" customHeight="1">
      <c r="A234" s="440"/>
      <c r="B234" s="1823"/>
      <c r="C234" s="1824"/>
      <c r="D234" s="454" t="s">
        <v>264</v>
      </c>
      <c r="E234" s="452" t="s">
        <v>265</v>
      </c>
      <c r="F234" s="455" t="s">
        <v>271</v>
      </c>
      <c r="G234" s="1800"/>
      <c r="H234" s="1801"/>
      <c r="I234" s="524" t="s">
        <v>282</v>
      </c>
      <c r="J234" s="525" t="s">
        <v>278</v>
      </c>
      <c r="K234" s="526" t="s">
        <v>279</v>
      </c>
      <c r="L234" s="1783"/>
      <c r="M234" s="516"/>
      <c r="N234" s="516"/>
      <c r="O234" s="516"/>
      <c r="P234" s="516"/>
    </row>
    <row r="235" spans="1:21" ht="12.75" customHeight="1">
      <c r="A235" s="440"/>
      <c r="B235" s="1804" t="s">
        <v>253</v>
      </c>
      <c r="C235" s="1805"/>
      <c r="D235" s="456" t="e">
        <f ca="1">+H229</f>
        <v>#REF!</v>
      </c>
      <c r="E235" s="457" t="e">
        <f ca="1">+J229</f>
        <v>#REF!</v>
      </c>
      <c r="F235" s="458" t="e">
        <f ca="1">+L229</f>
        <v>#REF!</v>
      </c>
      <c r="G235" s="459" t="e">
        <f ca="1">SUM(D235:F235)</f>
        <v>#REF!</v>
      </c>
      <c r="H235" s="445"/>
      <c r="I235" s="519" t="s">
        <v>281</v>
      </c>
      <c r="J235" s="528">
        <v>19823706.192586798</v>
      </c>
      <c r="K235" s="529">
        <v>8064403.1900000004</v>
      </c>
      <c r="L235" s="517">
        <f>SUM(J235:K235)</f>
        <v>27888109.3825868</v>
      </c>
      <c r="M235" s="516"/>
      <c r="N235" s="516"/>
      <c r="O235" s="516"/>
      <c r="P235" s="516"/>
    </row>
    <row r="236" spans="1:21" ht="12.75" customHeight="1" thickBot="1">
      <c r="A236" s="440"/>
      <c r="B236" s="1806" t="s">
        <v>254</v>
      </c>
      <c r="C236" s="1807"/>
      <c r="D236" s="460" t="e">
        <f ca="1">+N229*0.33</f>
        <v>#REF!</v>
      </c>
      <c r="E236" s="461" t="e">
        <f ca="1">+N229*0.33</f>
        <v>#REF!</v>
      </c>
      <c r="F236" s="462" t="e">
        <f ca="1">+N229*0.34</f>
        <v>#REF!</v>
      </c>
      <c r="G236" s="463" t="e">
        <f ca="1">SUM(D236:F236)</f>
        <v>#REF!</v>
      </c>
      <c r="H236" s="445"/>
      <c r="I236" s="520" t="s">
        <v>286</v>
      </c>
      <c r="J236" s="521" t="e">
        <f>+J235*100/Certificado!L16</f>
        <v>#DIV/0!</v>
      </c>
      <c r="K236" s="522" t="e">
        <f>+K235*100/Certificado!L16</f>
        <v>#DIV/0!</v>
      </c>
      <c r="L236" s="518" t="e">
        <f>SUM(J236:K236)</f>
        <v>#DIV/0!</v>
      </c>
      <c r="M236" s="516"/>
      <c r="N236" s="516"/>
      <c r="O236" s="516"/>
      <c r="P236" s="516"/>
    </row>
    <row r="237" spans="1:21" ht="12.75" customHeight="1" thickBot="1">
      <c r="A237" s="440"/>
      <c r="B237" s="1808" t="s">
        <v>256</v>
      </c>
      <c r="C237" s="1809"/>
      <c r="D237" s="464" t="e">
        <f ca="1">+D236+D235</f>
        <v>#REF!</v>
      </c>
      <c r="E237" s="465" t="e">
        <f ca="1">+E236+E235</f>
        <v>#REF!</v>
      </c>
      <c r="F237" s="466" t="e">
        <f ca="1">+F236+F235</f>
        <v>#REF!</v>
      </c>
      <c r="G237" s="467" t="e">
        <f ca="1">+G236+G235</f>
        <v>#REF!</v>
      </c>
      <c r="H237" s="445" t="e">
        <f ca="1">+IF((SUM(D237:F237))=G237,"OK","ERROR")</f>
        <v>#REF!</v>
      </c>
      <c r="I237" s="445"/>
      <c r="J237" s="530"/>
      <c r="K237" s="530"/>
      <c r="L237" s="445"/>
      <c r="M237" s="516"/>
      <c r="N237" s="516"/>
      <c r="O237" s="516"/>
      <c r="P237" s="516"/>
    </row>
    <row r="238" spans="1:21" ht="12.75" customHeight="1">
      <c r="A238" s="440"/>
      <c r="B238" s="1810"/>
      <c r="C238" s="1811"/>
      <c r="D238" s="468"/>
      <c r="E238" s="469"/>
      <c r="F238" s="470"/>
      <c r="G238" s="471"/>
      <c r="H238" s="445"/>
      <c r="I238" s="1787" t="s">
        <v>283</v>
      </c>
      <c r="J238" s="1788"/>
      <c r="K238" s="1789"/>
      <c r="L238" s="523">
        <f>SUM(L239:L241)</f>
        <v>27888109.380000003</v>
      </c>
      <c r="M238" s="516"/>
      <c r="N238" s="516"/>
      <c r="O238" s="516"/>
      <c r="P238" s="516"/>
    </row>
    <row r="239" spans="1:21" ht="12.75" customHeight="1">
      <c r="A239" s="440"/>
      <c r="B239" s="1825" t="s">
        <v>284</v>
      </c>
      <c r="C239" s="1826"/>
      <c r="D239" s="472">
        <v>58.26</v>
      </c>
      <c r="E239" s="473">
        <v>1.69</v>
      </c>
      <c r="F239" s="474">
        <v>6.98</v>
      </c>
      <c r="G239" s="475">
        <v>72.260000000000005</v>
      </c>
      <c r="H239" s="445"/>
      <c r="I239" s="531" t="s">
        <v>199</v>
      </c>
      <c r="J239" s="532">
        <f>8064403.19-1329293.87</f>
        <v>6735109.3200000003</v>
      </c>
      <c r="K239" s="533"/>
      <c r="L239" s="517">
        <f t="shared" ref="L239:L244" si="103">SUM(J239:K239)</f>
        <v>6735109.3200000003</v>
      </c>
      <c r="M239" s="516"/>
      <c r="N239" s="516"/>
      <c r="O239" s="516"/>
      <c r="P239" s="516"/>
    </row>
    <row r="240" spans="1:21" ht="12.75" customHeight="1">
      <c r="A240" s="440"/>
      <c r="B240" s="1827" t="s">
        <v>276</v>
      </c>
      <c r="C240" s="1828"/>
      <c r="D240" s="500" t="e">
        <f ca="1">+D239*G237/100</f>
        <v>#REF!</v>
      </c>
      <c r="E240" s="501" t="e">
        <f ca="1">+E239*G237/100</f>
        <v>#REF!</v>
      </c>
      <c r="F240" s="502" t="e">
        <f ca="1">+F239*G237/100</f>
        <v>#REF!</v>
      </c>
      <c r="G240" s="476" t="e">
        <f ca="1">+G239*G237/100</f>
        <v>#REF!</v>
      </c>
      <c r="H240" s="445" t="e">
        <f ca="1">+IF((SUM(D240:F240,D242:F242))=G240,"OK","ERROR")</f>
        <v>#REF!</v>
      </c>
      <c r="I240" s="534" t="s">
        <v>200</v>
      </c>
      <c r="J240" s="36">
        <f>2688134.4-132372.88</f>
        <v>2555761.52</v>
      </c>
      <c r="K240" s="535">
        <v>8064403.1900000004</v>
      </c>
      <c r="L240" s="536">
        <f t="shared" si="103"/>
        <v>10620164.710000001</v>
      </c>
      <c r="M240" s="516"/>
      <c r="N240" s="516"/>
      <c r="O240" s="516"/>
      <c r="P240" s="516"/>
    </row>
    <row r="241" spans="1:16" ht="12.75" customHeight="1">
      <c r="A241" s="440"/>
      <c r="B241" s="1825" t="s">
        <v>285</v>
      </c>
      <c r="C241" s="1826"/>
      <c r="D241" s="500"/>
      <c r="E241" s="501">
        <v>5.33</v>
      </c>
      <c r="F241" s="502"/>
      <c r="G241" s="476"/>
      <c r="H241" s="445"/>
      <c r="I241" s="542" t="s">
        <v>201</v>
      </c>
      <c r="J241" s="543">
        <f>11078372.06-545536.71</f>
        <v>10532835.350000001</v>
      </c>
      <c r="K241" s="544"/>
      <c r="L241" s="545">
        <f t="shared" si="103"/>
        <v>10532835.350000001</v>
      </c>
      <c r="M241" s="516"/>
      <c r="N241" s="516"/>
      <c r="O241" s="516"/>
      <c r="P241" s="516"/>
    </row>
    <row r="242" spans="1:16" ht="12.75" customHeight="1">
      <c r="A242" s="440"/>
      <c r="B242" s="1827" t="s">
        <v>277</v>
      </c>
      <c r="C242" s="1828"/>
      <c r="D242" s="500" t="e">
        <f ca="1">+D241*G240/100</f>
        <v>#REF!</v>
      </c>
      <c r="E242" s="501" t="e">
        <f ca="1">+E241*G237/100</f>
        <v>#REF!</v>
      </c>
      <c r="F242" s="502" t="e">
        <f ca="1">+F241*G240/100</f>
        <v>#REF!</v>
      </c>
      <c r="G242" s="476"/>
      <c r="H242" s="445"/>
      <c r="I242" s="538" t="s">
        <v>199</v>
      </c>
      <c r="J242" s="539" t="e">
        <f>(8064403.19-1329293.87)*100/Certificado!L16</f>
        <v>#DIV/0!</v>
      </c>
      <c r="K242" s="540"/>
      <c r="L242" s="541" t="e">
        <f t="shared" si="103"/>
        <v>#DIV/0!</v>
      </c>
      <c r="M242" s="516"/>
      <c r="N242" s="516"/>
      <c r="O242" s="516"/>
      <c r="P242" s="516"/>
    </row>
    <row r="243" spans="1:16" ht="12.75" customHeight="1">
      <c r="A243" s="440"/>
      <c r="B243" s="1831" t="s">
        <v>287</v>
      </c>
      <c r="C243" s="1832"/>
      <c r="D243" s="477">
        <f>-0.49*'Avance Financiero'!K19</f>
        <v>0</v>
      </c>
      <c r="E243" s="478"/>
      <c r="F243" s="479">
        <f>-0.51*'Avance Financiero'!K19</f>
        <v>0</v>
      </c>
      <c r="G243" s="480">
        <f>+Certificado!J25</f>
        <v>0</v>
      </c>
      <c r="H243" s="445"/>
      <c r="I243" s="534" t="s">
        <v>200</v>
      </c>
      <c r="J243" s="539" t="e">
        <f>(2688134.4-132372.88)*100/Certificado!L16</f>
        <v>#DIV/0!</v>
      </c>
      <c r="K243" s="539" t="e">
        <f>8064403.19*100/Certificado!L16</f>
        <v>#DIV/0!</v>
      </c>
      <c r="L243" s="536" t="e">
        <f t="shared" si="103"/>
        <v>#DIV/0!</v>
      </c>
      <c r="M243" s="516"/>
      <c r="N243" s="516"/>
      <c r="O243" s="516"/>
      <c r="P243" s="516"/>
    </row>
    <row r="244" spans="1:16" ht="12.75" customHeight="1" thickBot="1">
      <c r="A244" s="440"/>
      <c r="B244" s="1829" t="s">
        <v>257</v>
      </c>
      <c r="C244" s="1830"/>
      <c r="D244" s="481" t="e">
        <f ca="1">+D237-D240-D242+D243</f>
        <v>#REF!</v>
      </c>
      <c r="E244" s="482" t="e">
        <f ca="1">+E237-E240-E242+E243</f>
        <v>#REF!</v>
      </c>
      <c r="F244" s="483" t="e">
        <f ca="1">+F237-F240-F242+F243</f>
        <v>#REF!</v>
      </c>
      <c r="G244" s="484" t="e">
        <f ca="1">+G237-G240-G243</f>
        <v>#REF!</v>
      </c>
      <c r="H244" s="445" t="e">
        <f ca="1">+IF((SUM(D244:F244))=G244,"OK","ERROR")</f>
        <v>#REF!</v>
      </c>
      <c r="I244" s="537" t="s">
        <v>201</v>
      </c>
      <c r="J244" s="546" t="e">
        <f>(11078372.06-545536.71)*100/Certificado!L16</f>
        <v>#DIV/0!</v>
      </c>
      <c r="K244" s="546"/>
      <c r="L244" s="518" t="e">
        <f t="shared" si="103"/>
        <v>#DIV/0!</v>
      </c>
      <c r="M244" s="516"/>
      <c r="N244" s="516"/>
      <c r="O244" s="516"/>
      <c r="P244" s="516"/>
    </row>
    <row r="245" spans="1:16" ht="12.75" customHeight="1" thickBot="1">
      <c r="A245" s="440"/>
      <c r="B245" s="1808" t="s">
        <v>258</v>
      </c>
      <c r="C245" s="1809"/>
      <c r="D245" s="468"/>
      <c r="E245" s="469"/>
      <c r="F245" s="470"/>
      <c r="G245" s="485"/>
      <c r="H245" s="445"/>
      <c r="I245" s="516"/>
      <c r="J245" s="516"/>
      <c r="K245" s="516"/>
      <c r="L245" s="516"/>
      <c r="M245" s="516"/>
      <c r="N245" s="516"/>
      <c r="O245" s="516"/>
      <c r="P245" s="516"/>
    </row>
    <row r="246" spans="1:16" ht="12.75" customHeight="1">
      <c r="A246" s="440"/>
      <c r="B246" s="1804" t="s">
        <v>259</v>
      </c>
      <c r="C246" s="1805"/>
      <c r="D246" s="486"/>
      <c r="E246" s="487"/>
      <c r="F246" s="488"/>
      <c r="G246" s="489"/>
      <c r="H246" s="445"/>
      <c r="I246" s="1779" t="s">
        <v>280</v>
      </c>
      <c r="J246" s="1780"/>
      <c r="K246" s="1781"/>
      <c r="L246" s="516"/>
      <c r="M246" s="516"/>
      <c r="N246" s="516"/>
      <c r="O246" s="516"/>
      <c r="P246" s="516"/>
    </row>
    <row r="247" spans="1:16" ht="12.75" customHeight="1">
      <c r="A247" s="440"/>
      <c r="B247" s="1806" t="s">
        <v>260</v>
      </c>
      <c r="C247" s="1807"/>
      <c r="D247" s="460" t="e">
        <f ca="1">+ABS(IF(E244&lt;0,E244*D246,IF(F244&lt;0,F244*D246)))/100</f>
        <v>#REF!</v>
      </c>
      <c r="E247" s="461" t="e">
        <f ca="1">+ABS(IF(D244&lt;0,D244*E246,IF(F244&lt;0,F244*E246)))/100</f>
        <v>#REF!</v>
      </c>
      <c r="F247" s="462" t="e">
        <f ca="1">+ABS(IF(D244&lt;0,D244*F246,IF(E244&lt;0,E244*F246)))/100</f>
        <v>#REF!</v>
      </c>
      <c r="G247" s="490"/>
      <c r="H247" s="445"/>
      <c r="I247" s="454" t="s">
        <v>199</v>
      </c>
      <c r="J247" s="452" t="s">
        <v>200</v>
      </c>
      <c r="K247" s="455" t="s">
        <v>201</v>
      </c>
      <c r="L247" s="516"/>
      <c r="M247" s="516"/>
      <c r="N247" s="516"/>
      <c r="O247" s="516"/>
      <c r="P247" s="516"/>
    </row>
    <row r="248" spans="1:16" ht="12.75" customHeight="1">
      <c r="A248" s="440"/>
      <c r="B248" s="1808" t="s">
        <v>261</v>
      </c>
      <c r="C248" s="1809"/>
      <c r="D248" s="491" t="e">
        <f ca="1">+(((D240+D242+D247+IF(D244&lt;0,D244,0))))</f>
        <v>#REF!</v>
      </c>
      <c r="E248" s="492" t="e">
        <f ca="1">+(E240+E242+E247+IF(E244&lt;0,E244,0))</f>
        <v>#REF!</v>
      </c>
      <c r="F248" s="493" t="e">
        <f ca="1">+F240+F242+F247+IF(F244&lt;0,F244,0)</f>
        <v>#REF!</v>
      </c>
      <c r="G248" s="494" t="e">
        <f ca="1">+G240</f>
        <v>#REF!</v>
      </c>
      <c r="H248" s="445" t="e">
        <f ca="1">+IF((SUM(D248:F248))=G248,"OK","ERROR")</f>
        <v>#REF!</v>
      </c>
      <c r="I248" s="472">
        <v>4.45</v>
      </c>
      <c r="J248" s="473">
        <v>1.69</v>
      </c>
      <c r="K248" s="474">
        <v>6.98</v>
      </c>
      <c r="L248" s="516">
        <f>+I248+J248+K248+J250</f>
        <v>18.450000000000003</v>
      </c>
      <c r="M248" s="516"/>
      <c r="N248" s="516"/>
      <c r="O248" s="516"/>
      <c r="P248" s="516"/>
    </row>
    <row r="249" spans="1:16" ht="12.75" customHeight="1">
      <c r="A249" s="440"/>
      <c r="B249" s="495"/>
      <c r="C249" s="74"/>
      <c r="D249" s="468"/>
      <c r="E249" s="469"/>
      <c r="F249" s="470"/>
      <c r="G249" s="485"/>
      <c r="H249" s="445"/>
      <c r="I249" s="500" t="e">
        <f ca="1">+I248*G237/100</f>
        <v>#REF!</v>
      </c>
      <c r="J249" s="501" t="e">
        <f ca="1">+J248*G237/100</f>
        <v>#REF!</v>
      </c>
      <c r="K249" s="502" t="e">
        <f ca="1">+K248*G237/100</f>
        <v>#REF!</v>
      </c>
      <c r="L249" s="516"/>
      <c r="M249" s="516"/>
      <c r="N249" s="516"/>
      <c r="O249" s="516"/>
      <c r="P249" s="516"/>
    </row>
    <row r="250" spans="1:16" ht="12.75" customHeight="1" thickBot="1">
      <c r="A250" s="440"/>
      <c r="B250" s="1802" t="s">
        <v>262</v>
      </c>
      <c r="C250" s="1803"/>
      <c r="D250" s="496" t="e">
        <f ca="1">+D237+D243-D248</f>
        <v>#REF!</v>
      </c>
      <c r="E250" s="497" t="e">
        <f ca="1">+E237+E243-E248</f>
        <v>#REF!</v>
      </c>
      <c r="F250" s="498" t="e">
        <f ca="1">+F237+F243-F248</f>
        <v>#REF!</v>
      </c>
      <c r="G250" s="499" t="e">
        <f ca="1">+G237-G248-G243</f>
        <v>#REF!</v>
      </c>
      <c r="H250" s="445" t="e">
        <f ca="1">+IF((SUM(D250:F250))=G250,"OK","ERROR")</f>
        <v>#REF!</v>
      </c>
      <c r="I250" s="500"/>
      <c r="J250" s="501">
        <v>5.33</v>
      </c>
      <c r="K250" s="502"/>
      <c r="L250" s="516"/>
      <c r="M250" s="516"/>
      <c r="N250" s="516"/>
      <c r="O250" s="516"/>
      <c r="P250" s="516"/>
    </row>
    <row r="251" spans="1:16" ht="12.75" customHeight="1">
      <c r="A251" s="440"/>
      <c r="B251" s="441"/>
      <c r="C251" s="442"/>
      <c r="D251" s="443"/>
      <c r="E251" s="444"/>
      <c r="F251" s="443"/>
      <c r="G251" s="445"/>
      <c r="H251" s="445"/>
      <c r="I251" s="500"/>
      <c r="J251" s="501" t="e">
        <f ca="1">+J250*G237/100</f>
        <v>#REF!</v>
      </c>
      <c r="K251" s="502"/>
      <c r="L251" s="516"/>
      <c r="M251" s="516"/>
      <c r="N251" s="516"/>
      <c r="O251" s="516"/>
      <c r="P251" s="516"/>
    </row>
    <row r="252" spans="1:16" s="434" customFormat="1" ht="10.199999999999999">
      <c r="F252" s="435"/>
      <c r="I252" s="553" t="e">
        <f ca="1">+I249+I251</f>
        <v>#REF!</v>
      </c>
      <c r="J252" s="554" t="e">
        <f ca="1">+J249+J251</f>
        <v>#REF!</v>
      </c>
      <c r="K252" s="555" t="e">
        <f ca="1">+K249+K251</f>
        <v>#REF!</v>
      </c>
      <c r="L252" s="552" t="e">
        <f ca="1">+I252+J252+K252</f>
        <v>#REF!</v>
      </c>
      <c r="M252" s="527"/>
      <c r="N252" s="527"/>
      <c r="O252" s="527"/>
      <c r="P252" s="527"/>
    </row>
    <row r="253" spans="1:16" s="434" customFormat="1" ht="10.199999999999999">
      <c r="F253" s="435"/>
      <c r="I253" s="557">
        <f>886000*2</f>
        <v>1772000</v>
      </c>
      <c r="J253" s="558" t="e">
        <f ca="1">+J252</f>
        <v>#REF!</v>
      </c>
      <c r="K253" s="559" t="e">
        <f ca="1">+K252</f>
        <v>#REF!</v>
      </c>
      <c r="L253" s="527" t="e">
        <f ca="1">+I253+J253+K253</f>
        <v>#REF!</v>
      </c>
      <c r="M253" s="556" t="e">
        <f ca="1">+L253/G237</f>
        <v>#REF!</v>
      </c>
      <c r="N253" s="527"/>
      <c r="O253" s="527"/>
      <c r="P253" s="527"/>
    </row>
    <row r="254" spans="1:16" s="434" customFormat="1" ht="10.8" thickBot="1">
      <c r="F254" s="435"/>
      <c r="I254" s="560"/>
      <c r="J254" s="561"/>
      <c r="K254" s="562"/>
      <c r="L254" s="527" t="e">
        <f ca="1">+G240-F244-E244</f>
        <v>#REF!</v>
      </c>
      <c r="M254" s="527">
        <f>+G239-F239-E239-E241</f>
        <v>58.260000000000005</v>
      </c>
      <c r="N254" s="527"/>
      <c r="O254" s="527"/>
      <c r="P254" s="527"/>
    </row>
    <row r="255" spans="1:16" s="434" customFormat="1" ht="10.199999999999999">
      <c r="F255" s="435"/>
      <c r="I255" s="550"/>
      <c r="J255" s="551"/>
      <c r="K255" s="550"/>
      <c r="L255" s="527"/>
      <c r="M255" s="527"/>
      <c r="N255" s="527"/>
      <c r="O255" s="527"/>
      <c r="P255" s="527"/>
    </row>
    <row r="256" spans="1:16" s="434" customFormat="1" ht="10.199999999999999">
      <c r="F256" s="435"/>
      <c r="G256" s="563"/>
      <c r="I256" s="550"/>
      <c r="J256" s="551"/>
      <c r="K256" s="550"/>
      <c r="L256" s="527"/>
      <c r="M256" s="527"/>
      <c r="N256" s="527"/>
      <c r="O256" s="527"/>
      <c r="P256" s="527"/>
    </row>
    <row r="257" spans="1:16" s="434" customFormat="1" ht="10.199999999999999">
      <c r="F257" s="435"/>
      <c r="G257" s="563"/>
      <c r="I257" s="550"/>
      <c r="J257" s="551"/>
      <c r="K257" s="550"/>
      <c r="L257" s="527"/>
      <c r="M257" s="527"/>
      <c r="N257" s="527"/>
      <c r="O257" s="527"/>
      <c r="P257" s="527"/>
    </row>
    <row r="258" spans="1:16" s="434" customFormat="1" ht="10.199999999999999">
      <c r="F258" s="435"/>
      <c r="I258" s="550"/>
      <c r="J258" s="551"/>
      <c r="K258" s="550"/>
      <c r="L258" s="527"/>
      <c r="M258" s="527"/>
      <c r="N258" s="527"/>
      <c r="O258" s="527"/>
      <c r="P258" s="527"/>
    </row>
    <row r="259" spans="1:16" s="434" customFormat="1" ht="10.199999999999999"/>
    <row r="260" spans="1:16" s="434" customFormat="1" ht="10.199999999999999">
      <c r="A260" s="1790" t="s">
        <v>246</v>
      </c>
      <c r="B260" s="1791"/>
      <c r="C260" s="1792"/>
      <c r="D260" s="1776" t="s">
        <v>245</v>
      </c>
      <c r="E260" s="1778"/>
      <c r="F260" s="1777"/>
      <c r="G260" s="1776" t="s">
        <v>249</v>
      </c>
      <c r="H260" s="1777"/>
      <c r="I260" s="1776" t="s">
        <v>250</v>
      </c>
      <c r="J260" s="1777"/>
      <c r="K260" s="1776" t="s">
        <v>247</v>
      </c>
      <c r="L260" s="1777"/>
      <c r="M260" s="1776" t="s">
        <v>251</v>
      </c>
      <c r="N260" s="1777"/>
      <c r="O260" s="1776" t="s">
        <v>248</v>
      </c>
      <c r="P260" s="1777"/>
    </row>
    <row r="261" spans="1:16" s="434" customFormat="1" ht="10.199999999999999">
      <c r="A261" s="436">
        <v>22.1</v>
      </c>
      <c r="B261" s="40" t="s">
        <v>147</v>
      </c>
      <c r="C261" s="58" t="s">
        <v>148</v>
      </c>
      <c r="D261" s="428">
        <v>125.69</v>
      </c>
      <c r="E261" s="62">
        <v>15000</v>
      </c>
      <c r="F261" s="80">
        <f t="shared" ref="F261:F266" si="104">ROUND(E261*D261,2)</f>
        <v>1885350</v>
      </c>
      <c r="G261" s="62">
        <f t="shared" ref="G261:G266" si="105">+E261/26</f>
        <v>576.92307692307691</v>
      </c>
      <c r="H261" s="80">
        <f t="shared" ref="H261:H266" si="106">ROUND(G261*D261,2)</f>
        <v>72513.460000000006</v>
      </c>
      <c r="I261" s="62">
        <v>577</v>
      </c>
      <c r="J261" s="80">
        <f t="shared" ref="J261:J266" si="107">ROUND(I261*D261,2)</f>
        <v>72523.13</v>
      </c>
      <c r="K261" s="62">
        <f t="shared" ref="K261:K266" si="108">+I261*2</f>
        <v>1154</v>
      </c>
      <c r="L261" s="80">
        <f t="shared" ref="L261:L266" si="109">ROUND(K261*D261,2)</f>
        <v>145046.26</v>
      </c>
      <c r="M261" s="62">
        <v>602.24</v>
      </c>
      <c r="N261" s="80">
        <f t="shared" ref="N261:N266" si="110">ROUND(M261*D261,2)</f>
        <v>75695.55</v>
      </c>
      <c r="O261" s="62">
        <f>577+23.99</f>
        <v>600.99</v>
      </c>
      <c r="P261" s="80">
        <f t="shared" ref="P261:P266" si="111">ROUND(O261*D261,2)</f>
        <v>75538.429999999993</v>
      </c>
    </row>
    <row r="262" spans="1:16" s="434" customFormat="1" ht="10.199999999999999">
      <c r="A262" s="437">
        <v>22.2</v>
      </c>
      <c r="B262" s="35" t="s">
        <v>149</v>
      </c>
      <c r="C262" s="59" t="s">
        <v>27</v>
      </c>
      <c r="D262" s="429">
        <v>127.29999999999998</v>
      </c>
      <c r="E262" s="65">
        <v>2350</v>
      </c>
      <c r="F262" s="82">
        <f t="shared" si="104"/>
        <v>299155</v>
      </c>
      <c r="G262" s="65">
        <f t="shared" si="105"/>
        <v>90.384615384615387</v>
      </c>
      <c r="H262" s="82">
        <f t="shared" si="106"/>
        <v>11505.96</v>
      </c>
      <c r="I262" s="65">
        <v>90</v>
      </c>
      <c r="J262" s="82">
        <f t="shared" si="107"/>
        <v>11457</v>
      </c>
      <c r="K262" s="65">
        <f t="shared" si="108"/>
        <v>180</v>
      </c>
      <c r="L262" s="82">
        <f t="shared" si="109"/>
        <v>22914</v>
      </c>
      <c r="M262" s="65">
        <v>180</v>
      </c>
      <c r="N262" s="82">
        <f t="shared" si="110"/>
        <v>22914</v>
      </c>
      <c r="O262" s="65">
        <v>90</v>
      </c>
      <c r="P262" s="82">
        <f t="shared" si="111"/>
        <v>11457</v>
      </c>
    </row>
    <row r="263" spans="1:16" s="434" customFormat="1" ht="10.199999999999999">
      <c r="A263" s="437">
        <v>22.3</v>
      </c>
      <c r="B263" s="35" t="s">
        <v>150</v>
      </c>
      <c r="C263" s="59" t="s">
        <v>27</v>
      </c>
      <c r="D263" s="429">
        <v>79.399999999999991</v>
      </c>
      <c r="E263" s="65">
        <v>10000</v>
      </c>
      <c r="F263" s="82">
        <f t="shared" si="104"/>
        <v>794000</v>
      </c>
      <c r="G263" s="65">
        <f t="shared" si="105"/>
        <v>384.61538461538464</v>
      </c>
      <c r="H263" s="82">
        <f t="shared" si="106"/>
        <v>30538.46</v>
      </c>
      <c r="I263" s="65">
        <v>385</v>
      </c>
      <c r="J263" s="82">
        <f t="shared" si="107"/>
        <v>30569</v>
      </c>
      <c r="K263" s="65">
        <f t="shared" si="108"/>
        <v>770</v>
      </c>
      <c r="L263" s="82">
        <f t="shared" si="109"/>
        <v>61138</v>
      </c>
      <c r="M263" s="65">
        <v>770</v>
      </c>
      <c r="N263" s="82">
        <f t="shared" si="110"/>
        <v>61138</v>
      </c>
      <c r="O263" s="65">
        <v>385</v>
      </c>
      <c r="P263" s="82">
        <f t="shared" si="111"/>
        <v>30569</v>
      </c>
    </row>
    <row r="264" spans="1:16" s="434" customFormat="1" ht="10.199999999999999">
      <c r="A264" s="437">
        <v>22.4</v>
      </c>
      <c r="B264" s="35" t="s">
        <v>151</v>
      </c>
      <c r="C264" s="59" t="s">
        <v>27</v>
      </c>
      <c r="D264" s="429">
        <v>15.46</v>
      </c>
      <c r="E264" s="65">
        <v>5000</v>
      </c>
      <c r="F264" s="82">
        <f t="shared" si="104"/>
        <v>77300</v>
      </c>
      <c r="G264" s="65">
        <f t="shared" si="105"/>
        <v>192.30769230769232</v>
      </c>
      <c r="H264" s="82">
        <f t="shared" si="106"/>
        <v>2973.08</v>
      </c>
      <c r="I264" s="65">
        <v>192</v>
      </c>
      <c r="J264" s="82">
        <f t="shared" si="107"/>
        <v>2968.32</v>
      </c>
      <c r="K264" s="65">
        <f t="shared" si="108"/>
        <v>384</v>
      </c>
      <c r="L264" s="82">
        <f t="shared" si="109"/>
        <v>5936.64</v>
      </c>
      <c r="M264" s="65">
        <v>384</v>
      </c>
      <c r="N264" s="82">
        <f t="shared" si="110"/>
        <v>5936.64</v>
      </c>
      <c r="O264" s="65">
        <v>192</v>
      </c>
      <c r="P264" s="82">
        <f t="shared" si="111"/>
        <v>2968.32</v>
      </c>
    </row>
    <row r="265" spans="1:16" s="434" customFormat="1" ht="10.199999999999999">
      <c r="A265" s="437">
        <v>22.5</v>
      </c>
      <c r="B265" s="35" t="s">
        <v>152</v>
      </c>
      <c r="C265" s="59" t="s">
        <v>20</v>
      </c>
      <c r="D265" s="429">
        <v>1507.63</v>
      </c>
      <c r="E265" s="65">
        <v>50</v>
      </c>
      <c r="F265" s="82">
        <f t="shared" si="104"/>
        <v>75381.5</v>
      </c>
      <c r="G265" s="65">
        <f t="shared" si="105"/>
        <v>1.9230769230769231</v>
      </c>
      <c r="H265" s="82">
        <f t="shared" si="106"/>
        <v>2899.29</v>
      </c>
      <c r="I265" s="65">
        <v>2</v>
      </c>
      <c r="J265" s="82">
        <f t="shared" si="107"/>
        <v>3015.26</v>
      </c>
      <c r="K265" s="65">
        <f t="shared" si="108"/>
        <v>4</v>
      </c>
      <c r="L265" s="82">
        <f t="shared" si="109"/>
        <v>6030.52</v>
      </c>
      <c r="M265" s="65">
        <v>50</v>
      </c>
      <c r="N265" s="82">
        <f t="shared" si="110"/>
        <v>75381.5</v>
      </c>
      <c r="O265" s="65"/>
      <c r="P265" s="82">
        <f t="shared" si="111"/>
        <v>0</v>
      </c>
    </row>
    <row r="266" spans="1:16" s="434" customFormat="1" ht="10.199999999999999">
      <c r="A266" s="438">
        <v>22.6</v>
      </c>
      <c r="B266" s="45" t="s">
        <v>153</v>
      </c>
      <c r="C266" s="60" t="s">
        <v>23</v>
      </c>
      <c r="D266" s="430">
        <v>97537.360000000015</v>
      </c>
      <c r="E266" s="431">
        <v>1</v>
      </c>
      <c r="F266" s="432">
        <f t="shared" si="104"/>
        <v>97537.36</v>
      </c>
      <c r="G266" s="431">
        <f t="shared" si="105"/>
        <v>3.8461538461538464E-2</v>
      </c>
      <c r="H266" s="432">
        <f t="shared" si="106"/>
        <v>3751.44</v>
      </c>
      <c r="I266" s="431">
        <v>0.04</v>
      </c>
      <c r="J266" s="432">
        <f t="shared" si="107"/>
        <v>3901.49</v>
      </c>
      <c r="K266" s="431">
        <f t="shared" si="108"/>
        <v>0.08</v>
      </c>
      <c r="L266" s="432">
        <f t="shared" si="109"/>
        <v>7802.99</v>
      </c>
      <c r="M266" s="431">
        <v>0.08</v>
      </c>
      <c r="N266" s="432">
        <f t="shared" si="110"/>
        <v>7802.99</v>
      </c>
      <c r="O266" s="431">
        <v>0.04</v>
      </c>
      <c r="P266" s="432">
        <f t="shared" si="111"/>
        <v>3901.49</v>
      </c>
    </row>
    <row r="267" spans="1:16" s="434" customFormat="1" ht="10.199999999999999">
      <c r="A267" s="288"/>
      <c r="B267" s="48" t="s">
        <v>10</v>
      </c>
      <c r="C267" s="49"/>
      <c r="D267" s="69"/>
      <c r="E267" s="51"/>
      <c r="F267" s="70">
        <f>SUM(F261:F266)</f>
        <v>3228723.86</v>
      </c>
      <c r="G267" s="51"/>
      <c r="H267" s="70">
        <f>SUM(H261:H266)</f>
        <v>124181.69</v>
      </c>
      <c r="I267" s="51"/>
      <c r="J267" s="70">
        <f>SUM(J261:J266)</f>
        <v>124434.20000000001</v>
      </c>
      <c r="K267" s="51"/>
      <c r="L267" s="70">
        <f>SUM(L261:L266)</f>
        <v>248868.41</v>
      </c>
      <c r="M267" s="51"/>
      <c r="N267" s="70">
        <f>SUM(N261:N266)</f>
        <v>248868.68</v>
      </c>
      <c r="O267" s="51"/>
      <c r="P267" s="70">
        <f>SUM(P261:P266)</f>
        <v>124434.24000000001</v>
      </c>
    </row>
    <row r="268" spans="1:16" s="434" customFormat="1" ht="10.199999999999999"/>
    <row r="269" spans="1:16" s="108" customFormat="1" ht="13.8">
      <c r="M269" s="339"/>
      <c r="N269" s="339"/>
      <c r="O269" s="339"/>
      <c r="P269" s="339"/>
    </row>
    <row r="270" spans="1:16" s="108" customFormat="1" ht="13.8">
      <c r="O270" s="339"/>
    </row>
    <row r="271" spans="1:16" s="108" customFormat="1" ht="13.8">
      <c r="M271" s="339"/>
      <c r="O271" s="339"/>
      <c r="P271" s="339"/>
    </row>
    <row r="272" spans="1:16" s="108" customFormat="1" ht="13.8"/>
    <row r="274" spans="12:12">
      <c r="L274" s="340"/>
    </row>
  </sheetData>
  <mergeCells count="42">
    <mergeCell ref="B247:C247"/>
    <mergeCell ref="B233:C234"/>
    <mergeCell ref="B239:C239"/>
    <mergeCell ref="B240:C240"/>
    <mergeCell ref="B244:C244"/>
    <mergeCell ref="B245:C245"/>
    <mergeCell ref="B246:C246"/>
    <mergeCell ref="B242:C242"/>
    <mergeCell ref="B241:C241"/>
    <mergeCell ref="B243:C243"/>
    <mergeCell ref="O5:P5"/>
    <mergeCell ref="C1:L1"/>
    <mergeCell ref="C2:L2"/>
    <mergeCell ref="C3:L3"/>
    <mergeCell ref="M5:N5"/>
    <mergeCell ref="K5:L5"/>
    <mergeCell ref="A260:C260"/>
    <mergeCell ref="G260:H260"/>
    <mergeCell ref="I260:J260"/>
    <mergeCell ref="A5:A6"/>
    <mergeCell ref="B5:B6"/>
    <mergeCell ref="C5:F5"/>
    <mergeCell ref="G5:H5"/>
    <mergeCell ref="I5:J5"/>
    <mergeCell ref="G233:G234"/>
    <mergeCell ref="H233:H234"/>
    <mergeCell ref="B250:C250"/>
    <mergeCell ref="B235:C235"/>
    <mergeCell ref="B236:C236"/>
    <mergeCell ref="B237:C237"/>
    <mergeCell ref="B238:C238"/>
    <mergeCell ref="B248:C248"/>
    <mergeCell ref="R212:U212"/>
    <mergeCell ref="M260:N260"/>
    <mergeCell ref="K260:L260"/>
    <mergeCell ref="O260:P260"/>
    <mergeCell ref="D260:F260"/>
    <mergeCell ref="D233:F233"/>
    <mergeCell ref="L233:L234"/>
    <mergeCell ref="I233:K233"/>
    <mergeCell ref="I238:K238"/>
    <mergeCell ref="I246:K246"/>
  </mergeCells>
  <hyperlinks>
    <hyperlink ref="A8" location="'1.1'!A1" display="'1.1'!A1"/>
    <hyperlink ref="A9" location="'1.2'!A1" display="'1.2'!A1"/>
    <hyperlink ref="A10" location="'1.3'!A1" display="'1.3'!A1"/>
    <hyperlink ref="A11" location="'1.4'!A1" display="'1.4'!A1"/>
    <hyperlink ref="A12" location="'1.5'!A1" display="'1.5'!A1"/>
    <hyperlink ref="A15" location="'2.1'!A1" display="'2.1'!A1"/>
    <hyperlink ref="A16" location="'2.2'!A1" display="'2.2'!A1"/>
    <hyperlink ref="A17" location="'2.3'!A1" display="'2.3'!A1"/>
    <hyperlink ref="A18" location="'2.4'!A1" display="'2.4'!A1"/>
    <hyperlink ref="A19" location="'2.5'!A1" display="'2.5'!A1"/>
    <hyperlink ref="A20" location="'2.6'!A1" display="'2.6'!A1"/>
    <hyperlink ref="A21" location="'2.7'!A1" display="'2.7'!A1"/>
    <hyperlink ref="A22" location="'2.8'!A1" display="'2.8'!A1"/>
    <hyperlink ref="A23" location="'2.9'!A1" display="'2.9'!A1"/>
    <hyperlink ref="A24" location="'2.10'!A1" display="2.10"/>
    <hyperlink ref="A25" location="'2.11'!A1" display="'2.11'!A1"/>
    <hyperlink ref="A26" location="'2.12'!A1" display="'2.12'!A1"/>
    <hyperlink ref="A27" location="'2.13'!A1" display="'2.13'!A1"/>
    <hyperlink ref="A30" location="'3.1'!A1" display="'3.1'!A1"/>
    <hyperlink ref="A31" location="'3.2'!A1" display="'3.2'!A1"/>
    <hyperlink ref="A34" location="'4.1'!A1" display="'4.1'!A1"/>
    <hyperlink ref="A37" location="'5.1'!A1" display="'5.1'!A1"/>
    <hyperlink ref="A38" location="'5.2'!A1" display="'5.2'!A1"/>
    <hyperlink ref="A39" location="'5.3'!A1" display="'5.3'!A1"/>
    <hyperlink ref="A40" location="'5.4'!A1" display="'5.4'!A1"/>
    <hyperlink ref="A41" location="'5.5'!A1" display="'5.5'!A1"/>
    <hyperlink ref="A42" location="'5.6'!A1" display="'5.6'!A1"/>
    <hyperlink ref="A43" location="'5.7'!A1" display="'5.7'!A1"/>
    <hyperlink ref="A44" location="'5.8'!A1" display="'5.8'!A1"/>
    <hyperlink ref="A45" location="'5.9'!A1" display="'5.9'!A1"/>
    <hyperlink ref="A46" location="'5.10'!A1" display="5.10"/>
    <hyperlink ref="A49" location="'6.1'!A1" display="'6.1'!A1"/>
    <hyperlink ref="A50" location="'6.2'!A1" display="'6.2'!A1"/>
    <hyperlink ref="A51" location="'6.3'!A1" display="'6.3'!A1"/>
    <hyperlink ref="A52" location="'6.4'!A1" display="'6.4'!A1"/>
    <hyperlink ref="A53" location="'6.5'!A1" display="'6.5'!A1"/>
    <hyperlink ref="A54" location="'6.6'!A1" display="'6.6'!A1"/>
    <hyperlink ref="A57" location="'7.1'!A1" display="'7.1'!A1"/>
    <hyperlink ref="A58" location="'7.2'!A1" display="'7.2'!A1"/>
    <hyperlink ref="A59" location="'7.3'!A1" display="'7.3'!A1"/>
    <hyperlink ref="A62" location="'8.1'!A1" display="'8.1'!A1"/>
    <hyperlink ref="A63" location="'8.2'!A1" display="'8.2'!A1"/>
    <hyperlink ref="A64" location="'8.3'!A1" display="'8.3'!A1"/>
    <hyperlink ref="A65" location="'8.4'!A1" display="'8.4'!A1"/>
    <hyperlink ref="A66" location="'8.5'!A1" display="'8.5'!A1"/>
    <hyperlink ref="A67" location="'8.6'!A1" display="'8.6'!A1"/>
    <hyperlink ref="A68" location="'8.7'!A1" display="'8.7'!A1"/>
    <hyperlink ref="A69" location="'8.8'!A1" display="'8.8'!A1"/>
    <hyperlink ref="A72" location="'9.1'!A1" display="'9.1'!A1"/>
    <hyperlink ref="A73" location="'9.2'!A1" display="'9.2'!A1"/>
    <hyperlink ref="A74" location="'9.3'!A1" display="'9.3'!A1"/>
    <hyperlink ref="A75" location="'9.4'!A1" display="'9.4'!A1"/>
    <hyperlink ref="A76" location="'9.5'!A1" display="'9.5'!A1"/>
    <hyperlink ref="A77" location="'9.6'!A1" display="'9.6'!A1"/>
    <hyperlink ref="A78" location="'9.7'!A1" display="'9.7'!A1"/>
    <hyperlink ref="A79" location="'9.8'!A1" display="'9.8'!A1"/>
    <hyperlink ref="A83" location="'10.1'!A1" display="'10.1'!A1"/>
    <hyperlink ref="A84" location="'10.2'!A1" display="'10.2'!A1"/>
    <hyperlink ref="A85" location="'10.3'!A1" display="'10.3'!A1"/>
    <hyperlink ref="A86" location="'10.4'!A1" display="'10.4'!A1"/>
    <hyperlink ref="A87" location="'10.5'!A1" display="'10.5'!A1"/>
    <hyperlink ref="A90" location="'10.6'!A1" display="'10.6'!A1"/>
    <hyperlink ref="A91" location="'10.7'!A1" display="'10.7'!A1"/>
    <hyperlink ref="A92" location="'10.8'!A1" display="'10.8'!A1"/>
    <hyperlink ref="A93" location="'10.9'!A1" display="'10.9'!A1"/>
    <hyperlink ref="A94" location="'10.10'!A1" display="'10.10'!A1"/>
    <hyperlink ref="A95" location="'10.11'!A1" display="'10.11'!A1"/>
    <hyperlink ref="A96" location="'10.12'!A1" display="'10.12'!A1"/>
    <hyperlink ref="A97" location="'10.13'!A1" display="'10.13'!A1"/>
    <hyperlink ref="A98" location="'10.14'!A1" display="'10.14'!A1"/>
    <hyperlink ref="A99" location="'10.15'!A1" display="'10.15'!A1"/>
    <hyperlink ref="A102" location="'10.16'!A1" display="'10.16'!A1"/>
    <hyperlink ref="A106" location="'11.1'!A1" display="'11.1'!A1"/>
    <hyperlink ref="A107" location="'11.2'!A1" display="'11.2'!A1"/>
    <hyperlink ref="A108" location="'11.3'!A1" display="'11.3'!A1"/>
    <hyperlink ref="A109" location="'11.4'!A1" display="'11.4'!A1"/>
    <hyperlink ref="A110" location="'11.5'!A1" display="'11.5'!A1"/>
    <hyperlink ref="A111" location="'11.6'!A1" display="'11.6'!A1"/>
    <hyperlink ref="A112" location="'11.7'!A1" display="'11.7'!A1"/>
    <hyperlink ref="A115" location="'11.8'!A1" display="'11.8'!A1"/>
    <hyperlink ref="A116" location="'11.9'!A1" display="'11.9'!A1"/>
    <hyperlink ref="A117" location="'11.10'!A1" display="11.10"/>
    <hyperlink ref="A118" location="'11.11'!A1" display="'11.11'!A1"/>
    <hyperlink ref="A119" location="'11.12'!A1" display="'11.12'!A1"/>
    <hyperlink ref="A120" location="'11.13'!A1" display="'11.13'!A1"/>
    <hyperlink ref="A121" location="'11.14'!A1" display="'11.14'!A1"/>
    <hyperlink ref="A122" location="'11.15'!A1" display="'11.15'!A1"/>
    <hyperlink ref="A123" location="'11.16'!A1" display="'11.16'!A1"/>
    <hyperlink ref="A124" location="'11.17'!A1" display="'11.17'!A1"/>
    <hyperlink ref="A127" location="'11.18'!A1" display="'11.18'!A1"/>
    <hyperlink ref="A130" location="'12.1'!A1" display="'12.1'!A1"/>
    <hyperlink ref="A131" location="'12.2'!A1" display="'12.2'!A1"/>
    <hyperlink ref="A132" location="'12.3'!A1" display="'12.3'!A1"/>
    <hyperlink ref="A133" location="'12.4'!A1" display="'12.4'!A1"/>
    <hyperlink ref="A134" location="'12.5'!A1" display="'12.5'!A1"/>
    <hyperlink ref="A135" location="'12.6'!A1" display="'12.6'!A1"/>
    <hyperlink ref="A136" location="'12.7'!A1" display="'12.7'!A1"/>
    <hyperlink ref="A137" location="'12.8'!A1" display="'12.8'!A1"/>
    <hyperlink ref="A140" location="'13.1'!A1" display="'13.1'!A1"/>
    <hyperlink ref="A141" location="'13.2'!A1" display="'13.2'!A1"/>
    <hyperlink ref="A142" location="'13.3'!A1" display="'13.3'!A1"/>
    <hyperlink ref="A143" location="'13.4'!A1" display="'13.4'!A1"/>
    <hyperlink ref="A144" location="'13.5'!A1" display="'13.5'!A1"/>
    <hyperlink ref="A145" location="'13.6'!A1" display="'13.6'!A1"/>
    <hyperlink ref="A146" location="'13.7'!A1" display="'13.7'!A1"/>
    <hyperlink ref="A147" location="'13.8'!A1" display="'13.8'!A1"/>
    <hyperlink ref="A150" location="'14.1'!A1" display="'14.1'!A1"/>
    <hyperlink ref="A154" location="'15.1'!A1" display="'15.1'!A1"/>
    <hyperlink ref="A155" location="'15.2'!A1" display="'15.2'!A1"/>
    <hyperlink ref="A156" location="'15.3'!A1" display="'15.3'!A1"/>
    <hyperlink ref="A157" location="'15.4'!A1" display="'15.4'!A1"/>
    <hyperlink ref="A158" location="'15.5'!A1" display="'15.5'!A1"/>
    <hyperlink ref="A161" location="'15.6'!A1" display="'15.6'!A1"/>
    <hyperlink ref="A162" location="'15.7'!A1" display="'15.7'!A1"/>
    <hyperlink ref="A163" location="'15.8'!A1" display="'15.8'!A1"/>
    <hyperlink ref="A164" location="'15.9'!A1" display="'15.9'!A1"/>
    <hyperlink ref="A165" location="'15.10'!A1" display="15.10"/>
    <hyperlink ref="A166" location="'15.11'!A1" display="'15.11'!A1"/>
    <hyperlink ref="A167" location="'15.12'!A1" display="'15.12'!A1"/>
    <hyperlink ref="A168" location="'15.13'!A1" display="'15.13'!A1"/>
    <hyperlink ref="A169" location="'15.14'!A1" display="'15.14'!A1"/>
    <hyperlink ref="A170" location="'15.15'!A1" display="'15.15'!A1"/>
    <hyperlink ref="A173" location="'15.16'!A1" display="'15.16'!A1"/>
    <hyperlink ref="A176" location="'16.1'!A1" display="'16.1'!A1"/>
    <hyperlink ref="A177" location="'16.2'!A1" display="'16.2'!A1"/>
    <hyperlink ref="A178" location="'16.3'!A1" display="'16.3'!A1"/>
    <hyperlink ref="A179" location="'16.4'!A1" display="'16.4'!A1"/>
    <hyperlink ref="A182" location="'17.1'!A1" display="'17.1'!A1"/>
    <hyperlink ref="A183" location="'17.2'!A1" display="'17.2'!A1"/>
    <hyperlink ref="A184" location="'17.3'!A1" display="'17.3'!A1"/>
    <hyperlink ref="A185" location="'17.4'!A1" display="'17.4'!A1"/>
    <hyperlink ref="A186" location="'17.5'!A1" display="'17.5'!A1"/>
    <hyperlink ref="A189" location="'18.1'!A1" display="'18.1'!A1"/>
    <hyperlink ref="A190" location="'18.2'!A1" display="'18.2'!A1"/>
    <hyperlink ref="A191" location="'18.3'!A1" display="'18.3'!A1"/>
    <hyperlink ref="A192" location="'18.4'!A1" display="'18.4'!A1"/>
    <hyperlink ref="A193" location="'18.5'!A1" display="'18.5'!A1"/>
    <hyperlink ref="A194" location="'18.6'!A1" display="'18.6'!A1"/>
    <hyperlink ref="A195" location="'18.7'!A1" display="'18.7'!A1"/>
    <hyperlink ref="A196" location="'18.8'!A1" display="'18.8'!A1"/>
    <hyperlink ref="A199" location="'19.1'!A1" display="'19.1'!A1"/>
    <hyperlink ref="A200" location="'19.2'!A1" display="'19.2'!A1"/>
    <hyperlink ref="A201" location="'19.3'!A1" display="'19.3'!A1"/>
    <hyperlink ref="A202" location="'19.4'!A1" display="'19.4'!A1"/>
    <hyperlink ref="A203" location="'19.5'!A1" display="'19.5'!A1"/>
    <hyperlink ref="A204" location="'19.6'!A1" display="'19.6'!A1"/>
    <hyperlink ref="A205" location="'19.7'!A1" display="'19.7'!A1"/>
    <hyperlink ref="A206" location="'19.8'!A1" display="'19.8'!A1"/>
    <hyperlink ref="A207" location="'19.9'!A1" display="'19.9'!A1"/>
    <hyperlink ref="A208" location="'19.10'!A1" display="19.10"/>
    <hyperlink ref="A211" location="'20.1'!A1" display="'20.1'!A1"/>
    <hyperlink ref="A214" location="'21.1'!A1" display="'21.1'!A1"/>
    <hyperlink ref="A215" location="'21.2'!A1" display="'21.2'!A1"/>
    <hyperlink ref="A216" location="'21.3'!A1" display="'21.3'!A1"/>
    <hyperlink ref="A217" location="'21.4'!A1" display="'21.4'!A1"/>
    <hyperlink ref="A218" location="'21.5'!A1" display="'21.5'!A1"/>
    <hyperlink ref="A221" location="'22.1'!A1" display="'22.1'!A1"/>
    <hyperlink ref="A222" location="'22.2'!A1" display="'22.2'!A1"/>
    <hyperlink ref="A223" location="'22.3'!A1" display="'22.3'!A1"/>
    <hyperlink ref="A224" location="'22.4'!A1" display="'22.4'!A1"/>
    <hyperlink ref="A225" location="'22.5'!A1" display="'22.5'!A1"/>
    <hyperlink ref="A226" location="'22.6'!A1" display="'22.6'!A1"/>
    <hyperlink ref="C1:J1" location="Certificado!A1" display="Certificado!A1"/>
    <hyperlink ref="A261" location="'22.1'!A1" display="'22.1'!A1"/>
    <hyperlink ref="A262" location="'22.2'!A1" display="'22.2'!A1"/>
    <hyperlink ref="A263" location="'22.3'!A1" display="'22.3'!A1"/>
    <hyperlink ref="A264" location="'22.4'!A1" display="'22.4'!A1"/>
    <hyperlink ref="A265" location="'22.5'!A1" display="'22.5'!A1"/>
    <hyperlink ref="A266" location="'22.6'!A1" display="'22.6'!A1"/>
  </hyperlinks>
  <printOptions horizontalCentered="1"/>
  <pageMargins left="0.23622047244094491" right="0.23622047244094491" top="0.74803149606299213" bottom="0.74803149606299213" header="0.31496062992125984" footer="0.31496062992125984"/>
  <pageSetup scale="61" fitToHeight="4" orientation="landscape" horizontalDpi="4294967293" r:id="rId1"/>
  <colBreaks count="1" manualBreakCount="1">
    <brk id="16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  <pageSetUpPr fitToPage="1"/>
  </sheetPr>
  <dimension ref="B1:O57"/>
  <sheetViews>
    <sheetView showGridLines="0" view="pageBreakPreview" zoomScaleNormal="100" zoomScaleSheetLayoutView="100" workbookViewId="0">
      <selection activeCell="M11" sqref="M11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2" width="11.44140625" style="108"/>
    <col min="13" max="13" width="0" style="108" hidden="1" customWidth="1"/>
    <col min="14" max="16384" width="11.44140625" style="108"/>
  </cols>
  <sheetData>
    <row r="1" spans="2:15" ht="13.5" customHeight="1">
      <c r="B1" s="1833" t="s">
        <v>244</v>
      </c>
      <c r="C1" s="1834"/>
      <c r="D1" s="1839" t="s">
        <v>659</v>
      </c>
      <c r="E1" s="1840"/>
      <c r="F1" s="1840"/>
      <c r="G1" s="1840"/>
      <c r="H1" s="1841"/>
    </row>
    <row r="2" spans="2:15" ht="13.5" customHeight="1">
      <c r="B2" s="1068"/>
      <c r="C2" s="1069"/>
      <c r="D2" s="1842"/>
      <c r="E2" s="1843"/>
      <c r="F2" s="1843"/>
      <c r="G2" s="1843"/>
      <c r="H2" s="1844"/>
    </row>
    <row r="3" spans="2:15">
      <c r="B3" s="1835"/>
      <c r="C3" s="1836"/>
      <c r="D3" s="1851" t="s">
        <v>184</v>
      </c>
      <c r="E3" s="1851"/>
      <c r="F3" s="1851"/>
      <c r="G3" s="1851"/>
      <c r="H3" s="1852"/>
    </row>
    <row r="4" spans="2:15">
      <c r="B4" s="109"/>
      <c r="C4" s="110"/>
      <c r="D4" s="113" t="s">
        <v>188</v>
      </c>
      <c r="E4" s="136">
        <v>1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DESBROCE, DESTRONQUE Y LIMPIEZA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HAS</v>
      </c>
      <c r="F6" s="139"/>
      <c r="G6" s="612" t="s">
        <v>385</v>
      </c>
      <c r="H6" s="1050">
        <f>+VLOOKUP(E4,'Planilla de Avance'!E10:J102,4,)</f>
        <v>94.18</v>
      </c>
    </row>
    <row r="8" spans="2:15">
      <c r="B8" s="1837" t="s">
        <v>183</v>
      </c>
      <c r="C8" s="1864" t="s">
        <v>180</v>
      </c>
      <c r="D8" s="1865"/>
      <c r="E8" s="1859" t="s">
        <v>160</v>
      </c>
      <c r="F8" s="1860"/>
      <c r="G8" s="1861"/>
      <c r="H8" s="1862" t="s">
        <v>161</v>
      </c>
    </row>
    <row r="9" spans="2:15">
      <c r="B9" s="1838"/>
      <c r="C9" s="284" t="s">
        <v>181</v>
      </c>
      <c r="D9" s="285" t="s">
        <v>182</v>
      </c>
      <c r="E9" s="282" t="s">
        <v>178</v>
      </c>
      <c r="F9" s="283" t="s">
        <v>1</v>
      </c>
      <c r="G9" s="281" t="s">
        <v>179</v>
      </c>
      <c r="H9" s="1863"/>
    </row>
    <row r="10" spans="2:15" s="1367" customFormat="1" ht="26.1" customHeight="1">
      <c r="B10" s="1361">
        <v>1</v>
      </c>
      <c r="C10" s="1362">
        <v>16685</v>
      </c>
      <c r="D10" s="1363">
        <v>23500</v>
      </c>
      <c r="E10" s="1364"/>
      <c r="F10" s="1365">
        <f>IF(B10="","",VLOOKUP($E$4,'Cant. Ejec,'!$E$5:$BB$91,17+B10*2+(B10-2),0))</f>
        <v>9.6300000000000008</v>
      </c>
      <c r="G10" s="1366">
        <f>+E10+F10</f>
        <v>9.6300000000000008</v>
      </c>
      <c r="H10" s="1368" t="s">
        <v>682</v>
      </c>
      <c r="I10" s="1379">
        <f>VLOOKUP($E$4,'Cant. Ejec,'!$E$5:$BB$91,17+B10*2+(B10-2),0)</f>
        <v>9.6300000000000008</v>
      </c>
    </row>
    <row r="11" spans="2:15" ht="26.1" customHeight="1">
      <c r="B11" s="1369">
        <f>IF(Datos!$C$19&gt;'5'!B10,'5'!B10+1,"")</f>
        <v>2</v>
      </c>
      <c r="C11" s="1370">
        <v>23500</v>
      </c>
      <c r="D11" s="1371">
        <v>34000</v>
      </c>
      <c r="E11" s="1372">
        <f>+F10</f>
        <v>9.6300000000000008</v>
      </c>
      <c r="F11" s="1373">
        <f>IF(B11="","",VLOOKUP($E$4,'Cant. Ejec,'!$E$5:$BB$91,17+B11*2+(B11-2),0))</f>
        <v>10</v>
      </c>
      <c r="G11" s="1374">
        <f>+E11+F11</f>
        <v>19.630000000000003</v>
      </c>
      <c r="H11" s="1368" t="s">
        <v>683</v>
      </c>
      <c r="I11" s="1380">
        <f>VLOOKUP($E$4,'Cant. Ejec,'!$E$5:$BB$91,17+B11*2+(B11-2),0)</f>
        <v>10</v>
      </c>
      <c r="K11" s="339"/>
      <c r="L11" s="339"/>
    </row>
    <row r="12" spans="2:15" s="1367" customFormat="1" ht="26.1" customHeight="1">
      <c r="B12" s="1369">
        <f>IF(Datos!$C$19&gt;'5'!B11,'5'!B11+1,"")</f>
        <v>3</v>
      </c>
      <c r="C12" s="1370">
        <v>18500</v>
      </c>
      <c r="D12" s="1371">
        <v>33000</v>
      </c>
      <c r="E12" s="1375">
        <f>+G11</f>
        <v>19.630000000000003</v>
      </c>
      <c r="F12" s="1376">
        <f>IF(B12="","",VLOOKUP($E$4,'Cant. Ejec,'!$E$5:$BB$91,17+B12*2+(B12-2),0))</f>
        <v>15</v>
      </c>
      <c r="G12" s="1377">
        <f>+E12+F12</f>
        <v>34.630000000000003</v>
      </c>
      <c r="H12" s="1368" t="s">
        <v>684</v>
      </c>
      <c r="I12" s="1379">
        <f>VLOOKUP($E$4,'Cant. Ejec,'!$E$5:$BB$91,17+B12*2+(B12-2),0)</f>
        <v>15</v>
      </c>
      <c r="K12" s="1378"/>
      <c r="L12" s="1378"/>
      <c r="M12" s="1378"/>
    </row>
    <row r="13" spans="2:15">
      <c r="B13" s="146">
        <f>IF(Datos!$C$19&gt;'5'!B12,'5'!B12+1,"")</f>
        <v>4</v>
      </c>
      <c r="C13" s="142">
        <v>8700</v>
      </c>
      <c r="D13" s="143">
        <v>16685</v>
      </c>
      <c r="E13" s="123">
        <f>+G12</f>
        <v>34.630000000000003</v>
      </c>
      <c r="F13" s="124">
        <f>IF(B13="","",VLOOKUP($E$4,'Cant. Ejec,'!$E$5:$BB$91,17+B13*2+(B13-2),0))</f>
        <v>15.97</v>
      </c>
      <c r="G13" s="125">
        <f>+E13+F13</f>
        <v>50.6</v>
      </c>
      <c r="H13" s="1262" t="s">
        <v>660</v>
      </c>
      <c r="I13" s="1380">
        <f>VLOOKUP($E$4,'Cant. Ejec,'!$E$5:$BB$91,17+B13*2+(B13-2),0)</f>
        <v>15.97</v>
      </c>
      <c r="K13" s="339"/>
      <c r="O13" s="339"/>
    </row>
    <row r="14" spans="2:15">
      <c r="B14" s="146" t="str">
        <f>IF(Datos!$C$19&gt;'5'!B13,'5'!B13+1,"")</f>
        <v/>
      </c>
      <c r="C14" s="142"/>
      <c r="D14" s="143"/>
      <c r="E14" s="123"/>
      <c r="F14" s="124" t="str">
        <f>IF(B14="","",VLOOKUP($E$4,'Cant. Ejec,'!$E$5:$BB$91,17+B14*2+(B14-2),0))</f>
        <v/>
      </c>
      <c r="G14" s="125"/>
      <c r="H14" s="1262"/>
      <c r="K14" s="339"/>
      <c r="L14" s="339"/>
      <c r="M14" s="339"/>
      <c r="N14" s="339"/>
      <c r="O14" s="339"/>
    </row>
    <row r="15" spans="2:15">
      <c r="B15" s="146" t="str">
        <f>IF(Datos!$C$19&gt;'5'!B17,'5'!B17+1,"")</f>
        <v/>
      </c>
      <c r="C15" s="142"/>
      <c r="D15" s="143"/>
      <c r="E15" s="123"/>
      <c r="F15" s="124" t="str">
        <f>IF(B15="","",VLOOKUP($E$4,'Cant. Ejec,'!$E$5:$BB$91,17+B15*2+(B15-2),0))</f>
        <v/>
      </c>
      <c r="G15" s="125"/>
      <c r="H15" s="1262"/>
    </row>
    <row r="16" spans="2:15">
      <c r="B16" s="146" t="str">
        <f>IF(Datos!$C$19&gt;'5'!B18,'5'!B18+1,"")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262"/>
    </row>
    <row r="17" spans="2:10">
      <c r="B17" s="146" t="str">
        <f>IF(Datos!$C$19&gt;'5'!B19,'5'!B19+1,"")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262"/>
    </row>
    <row r="18" spans="2:10">
      <c r="B18" s="146" t="str">
        <f>IF(Datos!$C$19&gt;'5'!B20,'5'!B20+1,"")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262"/>
      <c r="J18" s="339"/>
    </row>
    <row r="19" spans="2:10">
      <c r="B19" s="146" t="str">
        <f>IF(Datos!$C$19&gt;'5'!B21,'5'!B21+1,"")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262"/>
    </row>
    <row r="20" spans="2:10">
      <c r="B20" s="146" t="str">
        <f>IF(Datos!$C$19&gt;'5'!B22,'5'!B22+1,"")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262"/>
    </row>
    <row r="21" spans="2:10">
      <c r="B21" s="146" t="str">
        <f>IF(Datos!$C$19&gt;'5'!B23,'5'!B23+1,"")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262"/>
    </row>
    <row r="22" spans="2:10">
      <c r="B22" s="146" t="str">
        <f>IF(Datos!$C$19&gt;'5'!B24,'5'!B24+1,"")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262"/>
    </row>
    <row r="23" spans="2:10">
      <c r="B23" s="146" t="str">
        <f>IF(Datos!$C$19&gt;'5'!B25,'5'!B25+1,"")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262"/>
    </row>
    <row r="24" spans="2:10">
      <c r="B24" s="146" t="str">
        <f>IF(Datos!$C$19&gt;'5'!B26,'5'!B26+1,"")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262"/>
    </row>
    <row r="25" spans="2:10">
      <c r="B25" s="146" t="str">
        <f>IF(Datos!$C$19&gt;'5'!B27,'5'!B27+1,"")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262"/>
    </row>
    <row r="26" spans="2:10">
      <c r="B26" s="146" t="str">
        <f>IF(Datos!$C$19&gt;'5'!B28,'5'!B28+1,"")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262"/>
    </row>
    <row r="27" spans="2:10">
      <c r="B27" s="146" t="str">
        <f>IF(Datos!$C$19&gt;'5'!B29,'5'!B29+1,"")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262"/>
    </row>
    <row r="28" spans="2:10">
      <c r="B28" s="146" t="str">
        <f>IF(Datos!$C$19&gt;'5'!B30,'5'!B30+1,"")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262"/>
    </row>
    <row r="29" spans="2:10">
      <c r="B29" s="146" t="str">
        <f>IF(Datos!$C$19&gt;'5'!B31,'5'!B31+1,"")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262"/>
    </row>
    <row r="30" spans="2:10">
      <c r="B30" s="146" t="str">
        <f>IF(Datos!$C$19&gt;'5'!B32,'5'!B32+1,"")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262"/>
    </row>
    <row r="31" spans="2:10">
      <c r="B31" s="146" t="str">
        <f>IF(Datos!$C$19&gt;'5'!B33,'5'!B33+1,"")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262"/>
    </row>
    <row r="32" spans="2:10">
      <c r="B32" s="146" t="str">
        <f>IF(Datos!$C$19&gt;'5'!B34,'5'!B34+1,"")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262"/>
    </row>
    <row r="33" spans="2:8">
      <c r="B33" s="146" t="str">
        <f>IF(Datos!$C$19&gt;'5'!B35,'5'!B35+1,"")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262"/>
    </row>
    <row r="34" spans="2:8">
      <c r="B34" s="146" t="str">
        <f>IF(Datos!$C$19&gt;'5'!B36,'5'!B36+1,"")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262"/>
    </row>
    <row r="35" spans="2:8">
      <c r="B35" s="146" t="str">
        <f>IF(Datos!$C$19&gt;'5'!B37,'5'!B37+1,"")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262"/>
    </row>
    <row r="36" spans="2:8">
      <c r="B36" s="146" t="str">
        <f>IF(Datos!$C$19&gt;'5'!B38,'5'!B38+1,"")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262"/>
    </row>
    <row r="37" spans="2:8">
      <c r="B37" s="146" t="str">
        <f>IF(Datos!$C$19&gt;'5'!B39,'5'!B39+1,"")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262"/>
    </row>
    <row r="38" spans="2:8">
      <c r="B38" s="146" t="str">
        <f>IF(Datos!$C$19&gt;'5'!B40,'5'!B40+1,"")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262"/>
    </row>
    <row r="39" spans="2:8">
      <c r="B39" s="146" t="str">
        <f>IF(Datos!$C$19&gt;'5'!B41,'5'!B41+1,"")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262"/>
    </row>
    <row r="40" spans="2:8">
      <c r="B40" s="146" t="str">
        <f>IF(Datos!$C$19&gt;'5'!B42,'5'!B42+1,"")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262"/>
    </row>
    <row r="41" spans="2:8">
      <c r="B41" s="146" t="str">
        <f>IF(Datos!$C$19&gt;'5'!B43,'5'!B43+1,"")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262"/>
    </row>
    <row r="42" spans="2:8">
      <c r="B42" s="146" t="str">
        <f>IF(Datos!$C$19&gt;'5'!B44,'5'!B44+1,"")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262"/>
    </row>
    <row r="43" spans="2:8">
      <c r="B43" s="146" t="str">
        <f>IF(Datos!$C$19&gt;'5'!B45,'5'!B45+1,"")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262"/>
    </row>
    <row r="44" spans="2:8">
      <c r="B44" s="146" t="str">
        <f>IF(Datos!$C$19&gt;'5'!B46,'5'!B46+1,"")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262"/>
    </row>
    <row r="45" spans="2:8">
      <c r="B45" s="146" t="str">
        <f>IF(Datos!$C$19&gt;'5'!B47,'5'!B47+1,"")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262"/>
    </row>
    <row r="46" spans="2:8">
      <c r="B46" s="146" t="str">
        <f>IF(Datos!$C$19&gt;'5'!B48,'5'!B48+1,"")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262"/>
    </row>
    <row r="47" spans="2:8">
      <c r="B47" s="146" t="str">
        <f>IF(Datos!$C$19&gt;'5'!B49,'5'!B49+1,"")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262"/>
    </row>
    <row r="48" spans="2:8">
      <c r="B48" s="146" t="str">
        <f>IF(Datos!$C$19&gt;'5'!B50,'5'!B50+1,"")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262"/>
    </row>
    <row r="49" spans="2:8">
      <c r="B49" s="146" t="str">
        <f>IF(Datos!$C$19&gt;'5'!B51,'5'!B51+1,"")</f>
        <v/>
      </c>
      <c r="C49" s="144"/>
      <c r="D49" s="145"/>
      <c r="E49" s="126"/>
      <c r="F49" s="127" t="str">
        <f>IF(B49="","",VLOOKUP($E$4,'Cant. Ejec,'!$E$5:$BB$91,17+B49*2+(B49-2),0))</f>
        <v/>
      </c>
      <c r="G49" s="128"/>
      <c r="H49" s="1262"/>
    </row>
    <row r="50" spans="2:8">
      <c r="B50" s="1853" t="s">
        <v>297</v>
      </c>
      <c r="C50" s="1854"/>
      <c r="D50" s="1855"/>
      <c r="E50" s="129">
        <f>+MAX(E10:E49)</f>
        <v>34.630000000000003</v>
      </c>
      <c r="F50" s="130">
        <f>+G50-E50</f>
        <v>15.969999999999999</v>
      </c>
      <c r="G50" s="131">
        <f>+MAX(G10:G49)</f>
        <v>50.6</v>
      </c>
      <c r="H50" s="118"/>
    </row>
    <row r="51" spans="2:8">
      <c r="B51" s="1856" t="s">
        <v>187</v>
      </c>
      <c r="C51" s="1857"/>
      <c r="D51" s="1858"/>
      <c r="E51" s="1215">
        <f>ROUND((E50/H6),4)</f>
        <v>0.36770000000000003</v>
      </c>
      <c r="F51" s="1216">
        <f>ROUND((F50/H6),4)</f>
        <v>0.1696</v>
      </c>
      <c r="G51" s="1217">
        <f>ROUND((G50/H6),4)</f>
        <v>0.5373</v>
      </c>
      <c r="H51" s="119"/>
    </row>
    <row r="52" spans="2:8">
      <c r="B52" s="135" t="s">
        <v>162</v>
      </c>
      <c r="C52" s="132"/>
      <c r="D52" s="132"/>
      <c r="E52" s="133"/>
      <c r="F52" s="135" t="s">
        <v>157</v>
      </c>
      <c r="G52" s="132"/>
      <c r="H52" s="133"/>
    </row>
    <row r="53" spans="2:8">
      <c r="B53" s="109"/>
      <c r="C53" s="134"/>
      <c r="D53" s="134"/>
      <c r="E53" s="110"/>
      <c r="F53" s="109"/>
      <c r="G53" s="134"/>
      <c r="H53" s="110"/>
    </row>
    <row r="54" spans="2:8">
      <c r="B54" s="109"/>
      <c r="C54" s="134"/>
      <c r="D54" s="134"/>
      <c r="E54" s="110"/>
      <c r="F54" s="109"/>
      <c r="G54" s="134"/>
      <c r="H54" s="110"/>
    </row>
    <row r="55" spans="2:8">
      <c r="B55" s="109"/>
      <c r="C55" s="134"/>
      <c r="D55" s="134"/>
      <c r="E55" s="110"/>
      <c r="F55" s="109"/>
      <c r="G55" s="134"/>
      <c r="H55" s="110"/>
    </row>
    <row r="56" spans="2:8">
      <c r="B56" s="1848" t="str">
        <f>+'Planilla de Avance'!F111</f>
        <v>Ing. Gabriel Daza Chavez</v>
      </c>
      <c r="C56" s="1849"/>
      <c r="D56" s="1849"/>
      <c r="E56" s="1850"/>
      <c r="F56" s="1848" t="str">
        <f>+'Planilla de Avance'!J111</f>
        <v>Ing. Herlan Rene Ramos Estrada</v>
      </c>
      <c r="G56" s="1849"/>
      <c r="H56" s="1850"/>
    </row>
    <row r="57" spans="2:8">
      <c r="B57" s="1845" t="str">
        <f>+'Planilla de Avance'!F112</f>
        <v>SUPERINTENDENTE DE OBRA</v>
      </c>
      <c r="C57" s="1846"/>
      <c r="D57" s="1846"/>
      <c r="E57" s="1847"/>
      <c r="F57" s="1845" t="str">
        <f>+'Planilla de Avance'!J112</f>
        <v>SUPERVISOR DE OBRA</v>
      </c>
      <c r="G57" s="1846"/>
      <c r="H57" s="1847"/>
    </row>
  </sheetData>
  <mergeCells count="14">
    <mergeCell ref="B1:C1"/>
    <mergeCell ref="B3:C3"/>
    <mergeCell ref="B8:B9"/>
    <mergeCell ref="D1:H2"/>
    <mergeCell ref="B57:E57"/>
    <mergeCell ref="F56:H56"/>
    <mergeCell ref="F57:H57"/>
    <mergeCell ref="D3:H3"/>
    <mergeCell ref="B50:D50"/>
    <mergeCell ref="B51:D51"/>
    <mergeCell ref="B56:E56"/>
    <mergeCell ref="E8:G8"/>
    <mergeCell ref="H8:H9"/>
    <mergeCell ref="C8:D8"/>
  </mergeCells>
  <pageMargins left="0.59055118110236227" right="0.23622047244094491" top="0.59055118110236227" bottom="0.59055118110236227" header="0.31496062992125984" footer="0.31496062992125984"/>
  <pageSetup scale="88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F24" sqref="F24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833" t="s">
        <v>244</v>
      </c>
      <c r="C1" s="1834"/>
      <c r="D1" s="1839" t="s">
        <v>659</v>
      </c>
      <c r="E1" s="1840"/>
      <c r="F1" s="1840"/>
      <c r="G1" s="1840"/>
      <c r="H1" s="1841"/>
    </row>
    <row r="2" spans="2:15" ht="13.5" customHeight="1">
      <c r="B2" s="1068"/>
      <c r="C2" s="1069"/>
      <c r="D2" s="1842"/>
      <c r="E2" s="1843"/>
      <c r="F2" s="1843"/>
      <c r="G2" s="1843"/>
      <c r="H2" s="1844"/>
    </row>
    <row r="3" spans="2:15">
      <c r="B3" s="1835"/>
      <c r="C3" s="1836"/>
      <c r="D3" s="1851" t="s">
        <v>184</v>
      </c>
      <c r="E3" s="1851"/>
      <c r="F3" s="1851"/>
      <c r="G3" s="1851"/>
      <c r="H3" s="1852"/>
    </row>
    <row r="4" spans="2:15">
      <c r="B4" s="109"/>
      <c r="C4" s="110"/>
      <c r="D4" s="113" t="s">
        <v>188</v>
      </c>
      <c r="E4" s="136">
        <v>5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TRANSPORTE DE CAPA BASE REMOVIDA DMT 12.70 KM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M3*KM</v>
      </c>
      <c r="F6" s="139"/>
      <c r="G6" s="612" t="s">
        <v>385</v>
      </c>
      <c r="H6" s="1050">
        <f>+VLOOKUP(E4,'Planilla de Avance'!E10:J102,4,)</f>
        <v>439169.3</v>
      </c>
    </row>
    <row r="8" spans="2:15">
      <c r="B8" s="1837" t="s">
        <v>183</v>
      </c>
      <c r="C8" s="1864" t="s">
        <v>180</v>
      </c>
      <c r="D8" s="1865"/>
      <c r="E8" s="1859" t="s">
        <v>160</v>
      </c>
      <c r="F8" s="1860"/>
      <c r="G8" s="1861"/>
      <c r="H8" s="1862" t="s">
        <v>161</v>
      </c>
    </row>
    <row r="9" spans="2:15">
      <c r="B9" s="1838"/>
      <c r="C9" s="284" t="s">
        <v>181</v>
      </c>
      <c r="D9" s="285" t="s">
        <v>182</v>
      </c>
      <c r="E9" s="282" t="s">
        <v>178</v>
      </c>
      <c r="F9" s="283" t="s">
        <v>1</v>
      </c>
      <c r="G9" s="281" t="s">
        <v>179</v>
      </c>
      <c r="H9" s="1863"/>
    </row>
    <row r="10" spans="2:15">
      <c r="B10" s="117">
        <v>1</v>
      </c>
      <c r="C10" s="140">
        <v>23600</v>
      </c>
      <c r="D10" s="141">
        <v>29600</v>
      </c>
      <c r="E10" s="120"/>
      <c r="F10" s="121">
        <f>IF(B10="","",VLOOKUP($E$4,'Cant. Ejec,'!$E$5:$BB$91,17+B10*2+(B10-2),0))</f>
        <v>47637</v>
      </c>
      <c r="G10" s="122">
        <f>+E10+F10</f>
        <v>47637</v>
      </c>
      <c r="H10" s="1200" t="s">
        <v>660</v>
      </c>
    </row>
    <row r="11" spans="2:15">
      <c r="B11" s="146">
        <f>IF(Datos!$C$19&gt;'5'!B10,'5'!B10+1,"")</f>
        <v>2</v>
      </c>
      <c r="C11" s="142">
        <v>29600</v>
      </c>
      <c r="D11" s="143">
        <v>39000</v>
      </c>
      <c r="E11" s="123">
        <f>+G10</f>
        <v>47637</v>
      </c>
      <c r="F11" s="124">
        <f>IF(B11="","",VLOOKUP($E$4,'Cant. Ejec,'!$E$5:$BB$91,17+B11*2+(B11-2),0))</f>
        <v>112503.9</v>
      </c>
      <c r="G11" s="125">
        <f t="shared" ref="G11:G13" si="0">+E11+F11</f>
        <v>160140.9</v>
      </c>
      <c r="H11" s="1199" t="s">
        <v>660</v>
      </c>
      <c r="K11" s="339"/>
      <c r="L11" s="339"/>
    </row>
    <row r="12" spans="2:15">
      <c r="B12" s="146">
        <f>IF(Datos!$C$19&gt;'5'!B11,'5'!B11+1,"")</f>
        <v>3</v>
      </c>
      <c r="C12" s="142">
        <v>39000</v>
      </c>
      <c r="D12" s="143">
        <v>45000</v>
      </c>
      <c r="E12" s="123">
        <f>+G11</f>
        <v>160140.9</v>
      </c>
      <c r="F12" s="124">
        <f>IF(B12="","",VLOOKUP($E$4,'Cant. Ejec,'!$E$5:$BB$91,17+B12*2+(B12-2),0))</f>
        <v>186282</v>
      </c>
      <c r="G12" s="125">
        <f t="shared" si="0"/>
        <v>346422.9</v>
      </c>
      <c r="H12" s="1199" t="s">
        <v>660</v>
      </c>
      <c r="K12" s="339"/>
      <c r="L12" s="339"/>
      <c r="M12" s="339"/>
    </row>
    <row r="13" spans="2:15">
      <c r="B13" s="146">
        <f>IF(Datos!$C$19&gt;'5'!B12,'5'!B12+1,"")</f>
        <v>4</v>
      </c>
      <c r="C13" s="142"/>
      <c r="D13" s="143"/>
      <c r="E13" s="123">
        <f>+G12</f>
        <v>346422.9</v>
      </c>
      <c r="F13" s="124">
        <f>IF(B13="","",VLOOKUP($E$4,'Cant. Ejec,'!$E$5:$BB$91,17+B13*2+(B13-2),0))</f>
        <v>0</v>
      </c>
      <c r="G13" s="125">
        <f t="shared" si="0"/>
        <v>346422.9</v>
      </c>
      <c r="H13" s="1199"/>
      <c r="K13" s="339"/>
      <c r="O13" s="339"/>
    </row>
    <row r="14" spans="2:15">
      <c r="B14" s="146" t="str">
        <f>IF(Datos!$C$19&gt;'5'!B13,'5'!B13+1,"")</f>
        <v/>
      </c>
      <c r="C14" s="142"/>
      <c r="D14" s="143"/>
      <c r="E14" s="123"/>
      <c r="F14" s="124" t="str">
        <f>IF(B14="","",VLOOKUP($E$4,'Cant. Ejec,'!$E$5:$BB$91,17+B14*2+(B14-2),0))</f>
        <v/>
      </c>
      <c r="G14" s="125"/>
      <c r="H14" s="1199"/>
      <c r="K14" s="339"/>
      <c r="L14" s="339"/>
      <c r="M14" s="339"/>
      <c r="N14" s="339"/>
      <c r="O14" s="339"/>
    </row>
    <row r="15" spans="2:15">
      <c r="B15" s="146" t="str">
        <f>IF(Datos!$C$19&gt;'5'!B14,'5'!B14+1,"")</f>
        <v/>
      </c>
      <c r="C15" s="142"/>
      <c r="D15" s="143"/>
      <c r="E15" s="123"/>
      <c r="F15" s="124" t="str">
        <f>IF(B15="","",VLOOKUP($E$4,'Cant. Ejec,'!$E$5:$BB$91,17+B15*2+(B15-2),0))</f>
        <v/>
      </c>
      <c r="G15" s="125"/>
      <c r="H15" s="1199"/>
    </row>
    <row r="16" spans="2:15">
      <c r="B16" s="146" t="str">
        <f>IF(Datos!$C$19&gt;'5'!B15,'5'!B15+1,"")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199"/>
      <c r="L16" s="339"/>
    </row>
    <row r="17" spans="2:14">
      <c r="B17" s="146" t="str">
        <f>IF(Datos!$C$19&gt;'5'!B16,'5'!B16+1,"")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99"/>
      <c r="L17" s="339"/>
      <c r="M17" s="339"/>
      <c r="N17" s="339"/>
    </row>
    <row r="18" spans="2:14">
      <c r="B18" s="146" t="str">
        <f>IF(Datos!$C$19&gt;'5'!B17,'5'!B17+1,"")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99"/>
    </row>
    <row r="19" spans="2:14">
      <c r="B19" s="146" t="str">
        <f>IF(Datos!$C$19&gt;'5'!B18,'5'!B18+1,"")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99"/>
    </row>
    <row r="20" spans="2:14">
      <c r="B20" s="146" t="str">
        <f>IF(Datos!$C$19&gt;'5'!B19,'5'!B19+1,"")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IF(Datos!$C$19&gt;'5'!B20,'5'!B20+1,"")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9"/>
    </row>
    <row r="22" spans="2:14">
      <c r="B22" s="146" t="str">
        <f>IF(Datos!$C$19&gt;'5'!B21,'5'!B21+1,"")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IF(Datos!$C$19&gt;'5'!B22,'5'!B22+1,"")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IF(Datos!$C$19&gt;'5'!B23,'5'!B23+1,"")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IF(Datos!$C$19&gt;'5'!B24,'5'!B24+1,"")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IF(Datos!$C$19&gt;'5'!B25,'5'!B25+1,"")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IF(Datos!$C$19&gt;'5'!B26,'5'!B26+1,"")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IF(Datos!$C$19&gt;'5'!B27,'5'!B27+1,"")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IF(Datos!$C$19&gt;'5'!B28,'5'!B28+1,"")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IF(Datos!$C$19&gt;'5'!B29,'5'!B29+1,"")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IF(Datos!$C$19&gt;'5'!B30,'5'!B30+1,"")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IF(Datos!$C$19&gt;'5'!B31,'5'!B31+1,"")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IF(Datos!$C$19&gt;'5'!B32,'5'!B32+1,"")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IF(Datos!$C$19&gt;'5'!B33,'5'!B33+1,"")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IF(Datos!$C$19&gt;'5'!B34,'5'!B34+1,"")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IF(Datos!$C$19&gt;'5'!B35,'5'!B35+1,"")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IF(Datos!$C$19&gt;'5'!B36,'5'!B36+1,"")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IF(Datos!$C$19&gt;'5'!B37,'5'!B37+1,"")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IF(Datos!$C$19&gt;'5'!B38,'5'!B38+1,"")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IF(Datos!$C$19&gt;'5'!B39,'5'!B39+1,"")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IF(Datos!$C$19&gt;'5'!B40,'5'!B40+1,"")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IF(Datos!$C$19&gt;'5'!B41,'5'!B41+1,"")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IF(Datos!$C$19&gt;'5'!B42,'5'!B42+1,"")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IF(Datos!$C$19&gt;'5'!B43,'5'!B43+1,"")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IF(Datos!$C$19&gt;'5'!B44,'5'!B44+1,"")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IF(Datos!$C$19&gt;'5'!B45,'5'!B45+1,"")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IF(Datos!$C$19&gt;'5'!B46,'5'!B46+1,"")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IF(Datos!$C$19&gt;'5'!B47,'5'!B47+1,"")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IF(Datos!$C$19&gt;'5'!B48,'5'!B48+1,"")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IF(Datos!$C$19&gt;'5'!B49,'5'!B49+1,"")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IF(Datos!$C$19&gt;'5'!B50,'5'!B50+1,"")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IF(Datos!$C$19&gt;'5'!B51,'5'!B51+1,"")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853" t="s">
        <v>297</v>
      </c>
      <c r="C53" s="1854"/>
      <c r="D53" s="1855"/>
      <c r="E53" s="129">
        <f>+MAX(E10:E52)</f>
        <v>346422.9</v>
      </c>
      <c r="F53" s="130">
        <f>+G53-E53</f>
        <v>0</v>
      </c>
      <c r="G53" s="131">
        <f>+MAX(G10:G52)</f>
        <v>346422.9</v>
      </c>
      <c r="H53" s="118"/>
    </row>
    <row r="54" spans="2:8">
      <c r="B54" s="1856" t="s">
        <v>187</v>
      </c>
      <c r="C54" s="1857"/>
      <c r="D54" s="1858"/>
      <c r="E54" s="1215">
        <f>ROUND((E53/H6),4)</f>
        <v>0.78879999999999995</v>
      </c>
      <c r="F54" s="1216">
        <f>ROUND((F53/H6),4)</f>
        <v>0</v>
      </c>
      <c r="G54" s="1217">
        <f>ROUND((G53/H6),4)</f>
        <v>0.78879999999999995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848" t="str">
        <f>+'Planilla de Avance'!F111</f>
        <v>Ing. Gabriel Daza Chavez</v>
      </c>
      <c r="C59" s="1849"/>
      <c r="D59" s="1849"/>
      <c r="E59" s="1850"/>
      <c r="F59" s="1848" t="str">
        <f>+'Planilla de Avance'!J111</f>
        <v>Ing. Herlan Rene Ramos Estrada</v>
      </c>
      <c r="G59" s="1849"/>
      <c r="H59" s="1850"/>
    </row>
    <row r="60" spans="2:8">
      <c r="B60" s="1845" t="str">
        <f>+'Planilla de Avance'!F112</f>
        <v>SUPERINTENDENTE DE OBRA</v>
      </c>
      <c r="C60" s="1846"/>
      <c r="D60" s="1846"/>
      <c r="E60" s="1847"/>
      <c r="F60" s="1845" t="str">
        <f>+'Planilla de Avance'!J112</f>
        <v>SUPERVISOR DE OBRA</v>
      </c>
      <c r="G60" s="1846"/>
      <c r="H60" s="1847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>
      <selection activeCell="B3" sqref="B3"/>
    </sheetView>
  </sheetViews>
  <sheetFormatPr baseColWidth="10" defaultRowHeight="13.2"/>
  <cols>
    <col min="1" max="1" width="19.5546875" customWidth="1"/>
    <col min="3" max="3" width="18.44140625" customWidth="1"/>
    <col min="5" max="5" width="14.109375" customWidth="1"/>
  </cols>
  <sheetData>
    <row r="1" spans="1:17">
      <c r="A1" s="818" t="s">
        <v>454</v>
      </c>
      <c r="B1" s="818" t="s">
        <v>453</v>
      </c>
    </row>
    <row r="2" spans="1:17">
      <c r="B2" s="818" t="s">
        <v>524</v>
      </c>
    </row>
    <row r="3" spans="1:17">
      <c r="B3" s="818" t="s">
        <v>523</v>
      </c>
    </row>
    <row r="4" spans="1:17">
      <c r="A4" s="960" t="s">
        <v>663</v>
      </c>
      <c r="B4" s="818" t="s">
        <v>525</v>
      </c>
    </row>
    <row r="5" spans="1:17">
      <c r="A5" s="960" t="s">
        <v>662</v>
      </c>
      <c r="B5" s="818" t="s">
        <v>661</v>
      </c>
    </row>
    <row r="6" spans="1:17" ht="13.8">
      <c r="B6" s="1095" t="s">
        <v>641</v>
      </c>
      <c r="D6" t="str">
        <f>+B6&amp;"        "&amp;B7</f>
        <v>Ing. Herlan Rene Ramos Estrada        SUPERVISOR DE OBRA</v>
      </c>
    </row>
    <row r="7" spans="1:17" ht="13.8">
      <c r="B7" s="965" t="s">
        <v>520</v>
      </c>
    </row>
    <row r="8" spans="1:17" ht="15.6">
      <c r="B8" s="965" t="s">
        <v>521</v>
      </c>
      <c r="N8" s="1114" t="str">
        <f>+C25</f>
        <v>01-Dic-2020</v>
      </c>
      <c r="O8" s="1115"/>
      <c r="P8" s="1116" t="str">
        <f>+E25</f>
        <v>28-Feb-2021</v>
      </c>
      <c r="Q8" s="1113"/>
    </row>
    <row r="9" spans="1:17" ht="13.8">
      <c r="B9" s="1096" t="s">
        <v>642</v>
      </c>
      <c r="D9" t="str">
        <f>+B9&amp;"                     "&amp;B10</f>
        <v>Ing. Franz Reynaldo Salazar Martinez                     FISCAL DE OBRA</v>
      </c>
    </row>
    <row r="10" spans="1:17" ht="13.8">
      <c r="B10" s="966" t="s">
        <v>522</v>
      </c>
    </row>
    <row r="11" spans="1:17" ht="13.8">
      <c r="B11" s="965" t="s">
        <v>521</v>
      </c>
    </row>
    <row r="12" spans="1:17" ht="13.8">
      <c r="B12" s="108"/>
    </row>
    <row r="13" spans="1:17" ht="13.8">
      <c r="B13" s="108"/>
    </row>
    <row r="14" spans="1:17" ht="13.8">
      <c r="B14" s="1096" t="s">
        <v>666</v>
      </c>
      <c r="D14" t="str">
        <f>+B14&amp;"        "&amp;B15</f>
        <v>Ing. Gabriel Daza Chavez        SUPERINTENDENTE DE OBRA</v>
      </c>
    </row>
    <row r="15" spans="1:17" ht="13.8">
      <c r="B15" s="967" t="s">
        <v>158</v>
      </c>
    </row>
    <row r="16" spans="1:17">
      <c r="B16" s="832" t="s">
        <v>448</v>
      </c>
    </row>
    <row r="19" spans="1:7" ht="15.6">
      <c r="A19" s="1077"/>
      <c r="B19" s="1078" t="s">
        <v>646</v>
      </c>
      <c r="C19" s="1076">
        <v>4</v>
      </c>
      <c r="D19" s="1077"/>
      <c r="E19" s="1077"/>
    </row>
    <row r="20" spans="1:7">
      <c r="A20" s="1077"/>
      <c r="B20" s="1077"/>
      <c r="C20" s="1077"/>
      <c r="D20" s="1077"/>
      <c r="E20" s="1077"/>
    </row>
    <row r="21" spans="1:7" ht="13.8">
      <c r="A21" s="1077"/>
      <c r="B21" s="1077"/>
      <c r="C21" s="1075" t="str">
        <f>B19&amp;C19</f>
        <v>CERTIFICADO DE PAGO Nº 4</v>
      </c>
      <c r="D21" s="1077"/>
      <c r="E21" s="1077"/>
    </row>
    <row r="22" spans="1:7">
      <c r="A22" s="1077"/>
      <c r="B22" s="1077"/>
      <c r="C22" s="1077"/>
      <c r="D22" s="1077"/>
      <c r="E22" s="1077"/>
    </row>
    <row r="23" spans="1:7" ht="15.6">
      <c r="A23" s="1077"/>
      <c r="B23" s="1078" t="s">
        <v>211</v>
      </c>
      <c r="C23" s="1177" t="s">
        <v>671</v>
      </c>
      <c r="D23" s="1077"/>
      <c r="E23" s="1077"/>
    </row>
    <row r="25" spans="1:7" ht="15.6">
      <c r="B25" s="1078" t="s">
        <v>652</v>
      </c>
      <c r="C25" s="1110" t="s">
        <v>672</v>
      </c>
      <c r="D25" s="1109" t="s">
        <v>177</v>
      </c>
      <c r="E25" s="1110" t="s">
        <v>673</v>
      </c>
    </row>
    <row r="26" spans="1:7">
      <c r="G26" s="1112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G14" sqref="G14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833" t="s">
        <v>244</v>
      </c>
      <c r="C1" s="1834"/>
      <c r="D1" s="1839" t="s">
        <v>659</v>
      </c>
      <c r="E1" s="1840"/>
      <c r="F1" s="1840"/>
      <c r="G1" s="1840"/>
      <c r="H1" s="1841"/>
    </row>
    <row r="2" spans="2:15" ht="13.5" customHeight="1">
      <c r="B2" s="1160"/>
      <c r="C2" s="1161"/>
      <c r="D2" s="1842"/>
      <c r="E2" s="1843"/>
      <c r="F2" s="1843"/>
      <c r="G2" s="1843"/>
      <c r="H2" s="1844"/>
    </row>
    <row r="3" spans="2:15">
      <c r="B3" s="1835"/>
      <c r="C3" s="1836"/>
      <c r="D3" s="1851" t="s">
        <v>184</v>
      </c>
      <c r="E3" s="1851"/>
      <c r="F3" s="1851"/>
      <c r="G3" s="1851"/>
      <c r="H3" s="1852"/>
    </row>
    <row r="4" spans="2:15">
      <c r="B4" s="109"/>
      <c r="C4" s="110"/>
      <c r="D4" s="113" t="s">
        <v>188</v>
      </c>
      <c r="E4" s="136">
        <v>74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MEDIDAS DE MITIGACION AMBIENTAL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GLB</v>
      </c>
      <c r="F6" s="139"/>
      <c r="G6" s="612" t="s">
        <v>385</v>
      </c>
      <c r="H6" s="1050">
        <f>+VLOOKUP(E4,'Planilla de Avance'!E10:J102,4,)</f>
        <v>1</v>
      </c>
    </row>
    <row r="8" spans="2:15">
      <c r="B8" s="1837" t="s">
        <v>183</v>
      </c>
      <c r="C8" s="1864" t="s">
        <v>180</v>
      </c>
      <c r="D8" s="1865"/>
      <c r="E8" s="1859" t="s">
        <v>160</v>
      </c>
      <c r="F8" s="1860"/>
      <c r="G8" s="1861"/>
      <c r="H8" s="1862" t="s">
        <v>161</v>
      </c>
    </row>
    <row r="9" spans="2:15">
      <c r="B9" s="1838"/>
      <c r="C9" s="284" t="s">
        <v>181</v>
      </c>
      <c r="D9" s="285" t="s">
        <v>182</v>
      </c>
      <c r="E9" s="282" t="s">
        <v>178</v>
      </c>
      <c r="F9" s="283" t="s">
        <v>1</v>
      </c>
      <c r="G9" s="281" t="s">
        <v>179</v>
      </c>
      <c r="H9" s="1863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IF(Datos!$C$19&gt;'5'!B10,'5'!B10+1,"")</f>
        <v>2</v>
      </c>
      <c r="C11" s="142"/>
      <c r="D11" s="143"/>
      <c r="E11" s="123">
        <v>0</v>
      </c>
      <c r="F11" s="124">
        <f>IF(B11="","",VLOOKUP($E$4,'Cant. Ejec,'!$E$5:$BB$91,17+B11*2+(B11-2),0))</f>
        <v>0.04</v>
      </c>
      <c r="G11" s="125">
        <f t="shared" ref="G11:G13" si="0">+E11+F11</f>
        <v>0.04</v>
      </c>
      <c r="H11" s="115"/>
      <c r="K11" s="339"/>
      <c r="L11" s="339"/>
    </row>
    <row r="12" spans="2:15">
      <c r="B12" s="146">
        <f>IF(Datos!$C$19&gt;'5'!B11,'5'!B11+1,"")</f>
        <v>3</v>
      </c>
      <c r="C12" s="142"/>
      <c r="D12" s="143"/>
      <c r="E12" s="123">
        <f>+G11</f>
        <v>0.04</v>
      </c>
      <c r="F12" s="124">
        <f>IF(B12="","",VLOOKUP($E$4,'Cant. Ejec,'!$E$5:$BB$91,17+B12*2+(B12-2),0))</f>
        <v>0</v>
      </c>
      <c r="G12" s="125">
        <f t="shared" si="0"/>
        <v>0.04</v>
      </c>
      <c r="H12" s="115"/>
      <c r="K12" s="339"/>
      <c r="L12" s="339"/>
      <c r="M12" s="339"/>
    </row>
    <row r="13" spans="2:15">
      <c r="B13" s="146">
        <f>IF(Datos!$C$19&gt;'5'!B12,'5'!B12+1,"")</f>
        <v>4</v>
      </c>
      <c r="C13" s="142"/>
      <c r="D13" s="143"/>
      <c r="E13" s="123">
        <f>+G12</f>
        <v>0.04</v>
      </c>
      <c r="F13" s="124">
        <f>IF(B13="","",VLOOKUP($E$4,'Cant. Ejec,'!$E$5:$BB$91,17+B13*2+(B13-2),0))</f>
        <v>0</v>
      </c>
      <c r="G13" s="125">
        <f t="shared" si="0"/>
        <v>0.04</v>
      </c>
      <c r="H13" s="115"/>
      <c r="K13" s="339"/>
      <c r="O13" s="339"/>
    </row>
    <row r="14" spans="2:15">
      <c r="B14" s="146" t="str">
        <f>IF(Datos!$C$19&gt;'5'!B13,'5'!B13+1,"")</f>
        <v/>
      </c>
      <c r="C14" s="142"/>
      <c r="D14" s="143"/>
      <c r="E14" s="123"/>
      <c r="F14" s="124" t="str">
        <f>IF(B14="","",VLOOKUP($E$4,'Cant. Ejec,'!$E$5:$BB$91,17+B14*2+(B14-2),0))</f>
        <v/>
      </c>
      <c r="G14" s="125"/>
      <c r="H14" s="115"/>
      <c r="K14" s="339"/>
      <c r="L14" s="339"/>
      <c r="M14" s="339"/>
      <c r="N14" s="339"/>
      <c r="O14" s="339"/>
    </row>
    <row r="15" spans="2:15">
      <c r="B15" s="146" t="str">
        <f>IF(Datos!$C$19&gt;'5'!B14,'5'!B14+1,"")</f>
        <v/>
      </c>
      <c r="C15" s="142"/>
      <c r="D15" s="143"/>
      <c r="E15" s="123"/>
      <c r="F15" s="124" t="str">
        <f>IF(B15="","",VLOOKUP($E$4,'Cant. Ejec,'!$E$5:$BB$91,17+B15*2+(B15-2),0))</f>
        <v/>
      </c>
      <c r="G15" s="125"/>
      <c r="H15" s="115"/>
    </row>
    <row r="16" spans="2:15">
      <c r="B16" s="146" t="str">
        <f>IF(Datos!$C$19&gt;'5'!B15,'5'!B15+1,"")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15"/>
      <c r="L16" s="339"/>
    </row>
    <row r="17" spans="2:14">
      <c r="B17" s="146" t="str">
        <f>IF(Datos!$C$19&gt;'5'!B16,'5'!B16+1,"")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9"/>
      <c r="M17" s="339"/>
      <c r="N17" s="339"/>
    </row>
    <row r="18" spans="2:14">
      <c r="B18" s="146" t="str">
        <f>IF(Datos!$C$19&gt;'5'!B17,'5'!B17+1,"")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IF(Datos!$C$19&gt;'5'!B18,'5'!B18+1,"")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IF(Datos!$C$19&gt;'5'!B19,'5'!B19+1,"")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IF(Datos!$C$19&gt;'5'!B20,'5'!B20+1,"")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9"/>
    </row>
    <row r="22" spans="2:14">
      <c r="B22" s="146" t="str">
        <f>IF(Datos!$C$19&gt;'5'!B21,'5'!B21+1,"")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IF(Datos!$C$19&gt;'5'!B22,'5'!B22+1,"")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IF(Datos!$C$19&gt;'5'!B23,'5'!B23+1,"")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IF(Datos!$C$19&gt;'5'!B24,'5'!B24+1,"")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IF(Datos!$C$19&gt;'5'!B25,'5'!B25+1,"")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IF(Datos!$C$19&gt;'5'!B26,'5'!B26+1,"")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IF(Datos!$C$19&gt;'5'!B27,'5'!B27+1,"")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IF(Datos!$C$19&gt;'5'!B28,'5'!B28+1,"")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IF(Datos!$C$19&gt;'5'!B29,'5'!B29+1,"")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IF(Datos!$C$19&gt;'5'!B30,'5'!B30+1,"")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IF(Datos!$C$19&gt;'5'!B31,'5'!B31+1,"")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IF(Datos!$C$19&gt;'5'!B32,'5'!B32+1,"")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IF(Datos!$C$19&gt;'5'!B33,'5'!B33+1,"")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IF(Datos!$C$19&gt;'5'!B34,'5'!B34+1,"")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IF(Datos!$C$19&gt;'5'!B35,'5'!B35+1,"")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IF(Datos!$C$19&gt;'5'!B36,'5'!B36+1,"")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IF(Datos!$C$19&gt;'5'!B37,'5'!B37+1,"")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IF(Datos!$C$19&gt;'5'!B38,'5'!B38+1,"")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IF(Datos!$C$19&gt;'5'!B39,'5'!B39+1,"")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IF(Datos!$C$19&gt;'5'!B40,'5'!B40+1,"")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IF(Datos!$C$19&gt;'5'!B41,'5'!B41+1,"")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IF(Datos!$C$19&gt;'5'!B42,'5'!B42+1,"")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IF(Datos!$C$19&gt;'5'!B43,'5'!B43+1,"")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IF(Datos!$C$19&gt;'5'!B44,'5'!B44+1,"")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IF(Datos!$C$19&gt;'5'!B45,'5'!B45+1,"")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IF(Datos!$C$19&gt;'5'!B46,'5'!B46+1,"")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IF(Datos!$C$19&gt;'5'!B47,'5'!B47+1,"")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IF(Datos!$C$19&gt;'5'!B48,'5'!B48+1,"")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IF(Datos!$C$19&gt;'5'!B49,'5'!B49+1,"")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IF(Datos!$C$19&gt;'5'!B50,'5'!B50+1,"")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IF(Datos!$C$19&gt;'5'!B51,'5'!B51+1,"")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853" t="s">
        <v>297</v>
      </c>
      <c r="C53" s="1854"/>
      <c r="D53" s="1855"/>
      <c r="E53" s="129">
        <f>+MAX(E10:E52)</f>
        <v>0.04</v>
      </c>
      <c r="F53" s="130">
        <f>+G53-E53</f>
        <v>0</v>
      </c>
      <c r="G53" s="131">
        <f>+MAX(G10:G52)</f>
        <v>0.04</v>
      </c>
      <c r="H53" s="118"/>
    </row>
    <row r="54" spans="2:8">
      <c r="B54" s="1856" t="s">
        <v>187</v>
      </c>
      <c r="C54" s="1857"/>
      <c r="D54" s="1858"/>
      <c r="E54" s="1215">
        <f>ROUND((E53/H6),4)</f>
        <v>0.04</v>
      </c>
      <c r="F54" s="1216">
        <f>ROUND((F53/H6),4)</f>
        <v>0</v>
      </c>
      <c r="G54" s="1217">
        <f>ROUND((G53/H6),4)</f>
        <v>0.04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848" t="str">
        <f>+'Planilla de Avance'!F111</f>
        <v>Ing. Gabriel Daza Chavez</v>
      </c>
      <c r="C59" s="1849"/>
      <c r="D59" s="1849"/>
      <c r="E59" s="1850"/>
      <c r="F59" s="1848" t="str">
        <f>+'Planilla de Avance'!J111</f>
        <v>Ing. Herlan Rene Ramos Estrada</v>
      </c>
      <c r="G59" s="1849"/>
      <c r="H59" s="1850"/>
    </row>
    <row r="60" spans="2:8">
      <c r="B60" s="1845" t="str">
        <f>+'Planilla de Avance'!F112</f>
        <v>SUPERINTENDENTE DE OBRA</v>
      </c>
      <c r="C60" s="1846"/>
      <c r="D60" s="1846"/>
      <c r="E60" s="1847"/>
      <c r="F60" s="1845" t="str">
        <f>+'Planilla de Avance'!J112</f>
        <v>SUPERVISOR DE OBRA</v>
      </c>
      <c r="G60" s="1846"/>
      <c r="H60" s="1847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J17" sqref="J17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833" t="s">
        <v>244</v>
      </c>
      <c r="C1" s="1834"/>
      <c r="D1" s="1839" t="s">
        <v>659</v>
      </c>
      <c r="E1" s="1840"/>
      <c r="F1" s="1840"/>
      <c r="G1" s="1840"/>
      <c r="H1" s="1841"/>
    </row>
    <row r="2" spans="2:15" ht="13.5" customHeight="1">
      <c r="B2" s="1068"/>
      <c r="C2" s="1069"/>
      <c r="D2" s="1842"/>
      <c r="E2" s="1843"/>
      <c r="F2" s="1843"/>
      <c r="G2" s="1843"/>
      <c r="H2" s="1844"/>
    </row>
    <row r="3" spans="2:15">
      <c r="B3" s="1835"/>
      <c r="C3" s="1836"/>
      <c r="D3" s="1851" t="s">
        <v>184</v>
      </c>
      <c r="E3" s="1851"/>
      <c r="F3" s="1851"/>
      <c r="G3" s="1851"/>
      <c r="H3" s="1852"/>
    </row>
    <row r="4" spans="2:15">
      <c r="B4" s="109"/>
      <c r="C4" s="110"/>
      <c r="D4" s="113" t="s">
        <v>188</v>
      </c>
      <c r="E4" s="136">
        <v>79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ALQUILER DE OFICINAS  VIVIENDAS Y OTRAS INSTALACIONES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M2*M</v>
      </c>
      <c r="F6" s="139"/>
      <c r="G6" s="612" t="s">
        <v>385</v>
      </c>
      <c r="H6" s="1050">
        <f>+VLOOKUP(E4,'Planilla de Avance'!E10:J102,4,)</f>
        <v>33004.019999999997</v>
      </c>
    </row>
    <row r="8" spans="2:15">
      <c r="B8" s="1837" t="s">
        <v>183</v>
      </c>
      <c r="C8" s="1864" t="s">
        <v>180</v>
      </c>
      <c r="D8" s="1865"/>
      <c r="E8" s="1859" t="s">
        <v>160</v>
      </c>
      <c r="F8" s="1860"/>
      <c r="G8" s="1861"/>
      <c r="H8" s="1862" t="s">
        <v>161</v>
      </c>
    </row>
    <row r="9" spans="2:15">
      <c r="B9" s="1838"/>
      <c r="C9" s="284" t="s">
        <v>181</v>
      </c>
      <c r="D9" s="285" t="s">
        <v>182</v>
      </c>
      <c r="E9" s="282" t="s">
        <v>178</v>
      </c>
      <c r="F9" s="283" t="s">
        <v>1</v>
      </c>
      <c r="G9" s="281" t="s">
        <v>179</v>
      </c>
      <c r="H9" s="1863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IF(Datos!$C$19&gt;'5'!B10,'5'!B10+1,"")</f>
        <v>2</v>
      </c>
      <c r="C11" s="142"/>
      <c r="D11" s="143"/>
      <c r="E11" s="123">
        <f t="shared" ref="E11:E13" si="0">+G10</f>
        <v>0</v>
      </c>
      <c r="F11" s="124">
        <f>IF(B11="","",VLOOKUP($E$4,'Cant. Ejec,'!$E$5:$BB$91,17+B11*2+(B11-2),0))</f>
        <v>0</v>
      </c>
      <c r="G11" s="125">
        <f>+E11+F11</f>
        <v>0</v>
      </c>
      <c r="H11" s="115"/>
      <c r="K11" s="339"/>
      <c r="L11" s="339"/>
    </row>
    <row r="12" spans="2:15">
      <c r="B12" s="146">
        <f>IF(Datos!$C$19&gt;'5'!B11,'5'!B11+1,"")</f>
        <v>3</v>
      </c>
      <c r="C12" s="142"/>
      <c r="D12" s="143"/>
      <c r="E12" s="123">
        <f t="shared" si="0"/>
        <v>0</v>
      </c>
      <c r="F12" s="124">
        <f>IF(B12="","",VLOOKUP($E$4,'Cant. Ejec,'!$E$5:$BB$91,17+B12*2+(B12-2),0))</f>
        <v>0</v>
      </c>
      <c r="G12" s="125">
        <f t="shared" ref="G12" si="1">+E12+F12</f>
        <v>0</v>
      </c>
      <c r="H12" s="115"/>
      <c r="K12" s="339"/>
      <c r="L12" s="339"/>
      <c r="M12" s="339"/>
    </row>
    <row r="13" spans="2:15">
      <c r="B13" s="146">
        <f>IF(Datos!$C$19&gt;'5'!B12,'5'!B12+1,"")</f>
        <v>4</v>
      </c>
      <c r="C13" s="142"/>
      <c r="D13" s="143"/>
      <c r="E13" s="123">
        <f t="shared" si="0"/>
        <v>0</v>
      </c>
      <c r="F13" s="124">
        <f>IF(B13="","",VLOOKUP($E$4,'Cant. Ejec,'!$E$5:$BB$91,17+B13*2+(B13-2),0))</f>
        <v>0</v>
      </c>
      <c r="G13" s="125">
        <f>+E13+F13</f>
        <v>0</v>
      </c>
      <c r="H13" s="115"/>
      <c r="K13" s="339"/>
      <c r="O13" s="339"/>
    </row>
    <row r="14" spans="2:15">
      <c r="B14" s="146" t="str">
        <f>IF(Datos!$C$19&gt;'5'!B13,'5'!B13+1,"")</f>
        <v/>
      </c>
      <c r="C14" s="142"/>
      <c r="D14" s="143"/>
      <c r="E14" s="123"/>
      <c r="F14" s="124" t="str">
        <f>IF(B14="","",VLOOKUP($E$4,'Cant. Ejec,'!$E$5:$BB$91,17+B14*2+(B14-2),0))</f>
        <v/>
      </c>
      <c r="G14" s="125"/>
      <c r="H14" s="115"/>
      <c r="K14" s="339"/>
      <c r="L14" s="339"/>
      <c r="M14" s="339"/>
      <c r="N14" s="339"/>
      <c r="O14" s="339"/>
    </row>
    <row r="15" spans="2:15">
      <c r="B15" s="146" t="str">
        <f>IF(Datos!$C$19&gt;'5'!B14,'5'!B14+1,"")</f>
        <v/>
      </c>
      <c r="C15" s="142"/>
      <c r="D15" s="143"/>
      <c r="E15" s="123"/>
      <c r="F15" s="124" t="str">
        <f>IF(B15="","",VLOOKUP($E$4,'Cant. Ejec,'!$E$5:$BB$91,17+B15*2+(B15-2),0))</f>
        <v/>
      </c>
      <c r="G15" s="125"/>
      <c r="H15" s="115"/>
    </row>
    <row r="16" spans="2:15">
      <c r="B16" s="146" t="str">
        <f>IF(Datos!$C$19&gt;'5'!B15,'5'!B15+1,"")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15"/>
      <c r="L16" s="339"/>
    </row>
    <row r="17" spans="2:14">
      <c r="B17" s="146" t="str">
        <f>IF(Datos!$C$19&gt;'5'!B16,'5'!B16+1,"")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9"/>
      <c r="M17" s="339"/>
      <c r="N17" s="339"/>
    </row>
    <row r="18" spans="2:14">
      <c r="B18" s="146" t="str">
        <f>IF(Datos!$C$19&gt;'5'!B17,'5'!B17+1,"")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IF(Datos!$C$19&gt;'5'!B18,'5'!B18+1,"")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IF(Datos!$C$19&gt;'5'!B19,'5'!B19+1,"")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IF(Datos!$C$19&gt;'5'!B20,'5'!B20+1,"")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9"/>
    </row>
    <row r="22" spans="2:14">
      <c r="B22" s="146" t="str">
        <f>IF(Datos!$C$19&gt;'5'!B21,'5'!B21+1,"")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IF(Datos!$C$19&gt;'5'!B22,'5'!B22+1,"")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IF(Datos!$C$19&gt;'5'!B23,'5'!B23+1,"")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IF(Datos!$C$19&gt;'5'!B24,'5'!B24+1,"")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IF(Datos!$C$19&gt;'5'!B25,'5'!B25+1,"")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IF(Datos!$C$19&gt;'5'!B26,'5'!B26+1,"")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IF(Datos!$C$19&gt;'5'!B27,'5'!B27+1,"")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IF(Datos!$C$19&gt;'5'!B28,'5'!B28+1,"")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IF(Datos!$C$19&gt;'5'!B29,'5'!B29+1,"")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IF(Datos!$C$19&gt;'5'!B30,'5'!B30+1,"")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IF(Datos!$C$19&gt;'5'!B31,'5'!B31+1,"")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IF(Datos!$C$19&gt;'5'!B32,'5'!B32+1,"")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IF(Datos!$C$19&gt;'5'!B33,'5'!B33+1,"")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IF(Datos!$C$19&gt;'5'!B34,'5'!B34+1,"")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IF(Datos!$C$19&gt;'5'!B35,'5'!B35+1,"")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IF(Datos!$C$19&gt;'5'!B36,'5'!B36+1,"")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IF(Datos!$C$19&gt;'5'!B37,'5'!B37+1,"")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IF(Datos!$C$19&gt;'5'!B38,'5'!B38+1,"")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IF(Datos!$C$19&gt;'5'!B39,'5'!B39+1,"")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IF(Datos!$C$19&gt;'5'!B40,'5'!B40+1,"")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IF(Datos!$C$19&gt;'5'!B41,'5'!B41+1,"")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IF(Datos!$C$19&gt;'5'!B42,'5'!B42+1,"")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IF(Datos!$C$19&gt;'5'!B43,'5'!B43+1,"")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IF(Datos!$C$19&gt;'5'!B44,'5'!B44+1,"")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IF(Datos!$C$19&gt;'5'!B45,'5'!B45+1,"")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IF(Datos!$C$19&gt;'5'!B46,'5'!B46+1,"")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IF(Datos!$C$19&gt;'5'!B47,'5'!B47+1,"")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IF(Datos!$C$19&gt;'5'!B48,'5'!B48+1,"")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IF(Datos!$C$19&gt;'5'!B49,'5'!B49+1,"")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IF(Datos!$C$19&gt;'5'!B50,'5'!B50+1,"")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IF(Datos!$C$19&gt;'5'!B51,'5'!B51+1,"")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853" t="s">
        <v>297</v>
      </c>
      <c r="C53" s="1854"/>
      <c r="D53" s="1855"/>
      <c r="E53" s="129">
        <f>+MAX(E10:E52)</f>
        <v>0</v>
      </c>
      <c r="F53" s="130">
        <f>+G53-E53</f>
        <v>0</v>
      </c>
      <c r="G53" s="131">
        <f>+MAX(G10:G52)</f>
        <v>0</v>
      </c>
      <c r="H53" s="118"/>
    </row>
    <row r="54" spans="2:8">
      <c r="B54" s="1856" t="s">
        <v>187</v>
      </c>
      <c r="C54" s="1857"/>
      <c r="D54" s="1858"/>
      <c r="E54" s="1215">
        <f>ROUND((E53/H6),4)</f>
        <v>0</v>
      </c>
      <c r="F54" s="1216">
        <f>ROUND((F53/H6),4)</f>
        <v>0</v>
      </c>
      <c r="G54" s="1217">
        <f>ROUND((G53/H6),4)</f>
        <v>0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848" t="str">
        <f>+'Planilla de Avance'!F111</f>
        <v>Ing. Gabriel Daza Chavez</v>
      </c>
      <c r="C59" s="1849"/>
      <c r="D59" s="1849"/>
      <c r="E59" s="1850"/>
      <c r="F59" s="1848" t="str">
        <f>+'Planilla de Avance'!J111</f>
        <v>Ing. Herlan Rene Ramos Estrada</v>
      </c>
      <c r="G59" s="1849"/>
      <c r="H59" s="1850"/>
    </row>
    <row r="60" spans="2:8">
      <c r="B60" s="1845" t="str">
        <f>+'Planilla de Avance'!F112</f>
        <v>SUPERINTENDENTE DE OBRA</v>
      </c>
      <c r="C60" s="1846"/>
      <c r="D60" s="1846"/>
      <c r="E60" s="1847"/>
      <c r="F60" s="1845" t="str">
        <f>+'Planilla de Avance'!J112</f>
        <v>SUPERVISOR DE OBRA</v>
      </c>
      <c r="G60" s="1846"/>
      <c r="H60" s="1847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1"/>
  <sheetViews>
    <sheetView view="pageBreakPreview" zoomScale="85" zoomScaleNormal="100" zoomScaleSheetLayoutView="85" workbookViewId="0">
      <selection activeCell="M11" sqref="M11"/>
    </sheetView>
  </sheetViews>
  <sheetFormatPr baseColWidth="10" defaultColWidth="11.44140625" defaultRowHeight="14.4"/>
  <cols>
    <col min="1" max="2" width="4.33203125" style="898" customWidth="1"/>
    <col min="3" max="3" width="4.33203125" style="899" customWidth="1"/>
    <col min="4" max="10" width="11.44140625" style="899"/>
    <col min="11" max="11" width="14.6640625" style="899" customWidth="1"/>
    <col min="12" max="12" width="11.44140625" style="899"/>
    <col min="13" max="13" width="0" style="899" hidden="1" customWidth="1"/>
    <col min="14" max="16384" width="11.44140625" style="899"/>
  </cols>
  <sheetData>
    <row r="1" spans="1:10" ht="15" thickBot="1"/>
    <row r="2" spans="1:10" ht="15" thickTop="1">
      <c r="A2" s="900"/>
      <c r="B2" s="901"/>
      <c r="C2" s="902"/>
      <c r="D2" s="902"/>
      <c r="E2" s="902"/>
      <c r="F2" s="902"/>
      <c r="G2" s="902"/>
      <c r="H2" s="902"/>
      <c r="I2" s="902"/>
      <c r="J2" s="903"/>
    </row>
    <row r="3" spans="1:10" ht="17.399999999999999">
      <c r="A3" s="1392" t="s">
        <v>498</v>
      </c>
      <c r="B3" s="1393"/>
      <c r="C3" s="1393"/>
      <c r="D3" s="1393"/>
      <c r="E3" s="1393"/>
      <c r="F3" s="1393"/>
      <c r="G3" s="1393"/>
      <c r="H3" s="1393"/>
      <c r="I3" s="1393"/>
      <c r="J3" s="1394"/>
    </row>
    <row r="4" spans="1:10" ht="15" customHeight="1">
      <c r="A4" s="1396" t="str">
        <f>+Datos!C21</f>
        <v>CERTIFICADO DE PAGO Nº 4</v>
      </c>
      <c r="B4" s="1397"/>
      <c r="C4" s="1397"/>
      <c r="D4" s="1397"/>
      <c r="E4" s="1397"/>
      <c r="F4" s="1397"/>
      <c r="G4" s="1397"/>
      <c r="H4" s="1397"/>
      <c r="I4" s="1397"/>
      <c r="J4" s="1398"/>
    </row>
    <row r="5" spans="1:10" ht="44.25" customHeight="1">
      <c r="A5" s="904"/>
      <c r="B5" s="905"/>
      <c r="C5" s="905"/>
      <c r="D5" s="905"/>
      <c r="E5" s="905"/>
      <c r="F5" s="905"/>
      <c r="G5" s="905"/>
      <c r="H5" s="905"/>
      <c r="I5" s="905"/>
      <c r="J5" s="906"/>
    </row>
    <row r="6" spans="1:10" ht="23.1" customHeight="1">
      <c r="A6" s="904"/>
      <c r="B6" s="905"/>
      <c r="C6" s="1289" t="s">
        <v>471</v>
      </c>
      <c r="D6" s="905"/>
      <c r="E6" s="905"/>
      <c r="F6" s="905"/>
      <c r="G6" s="905"/>
      <c r="H6" s="905"/>
      <c r="I6" s="905"/>
      <c r="J6" s="906"/>
    </row>
    <row r="7" spans="1:10" ht="23.1" customHeight="1">
      <c r="A7" s="907"/>
      <c r="B7" s="908"/>
      <c r="C7" s="909" t="s">
        <v>503</v>
      </c>
      <c r="D7" s="910"/>
      <c r="E7" s="911"/>
      <c r="F7" s="911"/>
      <c r="G7" s="911"/>
      <c r="H7" s="911"/>
      <c r="I7" s="912"/>
      <c r="J7" s="913"/>
    </row>
    <row r="8" spans="1:10" ht="23.1" customHeight="1">
      <c r="A8" s="907"/>
      <c r="B8" s="908"/>
      <c r="C8" s="909" t="s">
        <v>504</v>
      </c>
      <c r="D8" s="909"/>
      <c r="E8" s="914"/>
      <c r="F8" s="914"/>
      <c r="G8" s="914"/>
      <c r="H8" s="914"/>
      <c r="I8" s="915"/>
      <c r="J8" s="916"/>
    </row>
    <row r="9" spans="1:10" ht="23.1" customHeight="1">
      <c r="A9" s="917"/>
      <c r="B9" s="908"/>
      <c r="C9" s="909" t="s">
        <v>505</v>
      </c>
      <c r="D9" s="909"/>
      <c r="E9" s="914"/>
      <c r="F9" s="914"/>
      <c r="G9" s="914"/>
      <c r="H9" s="914"/>
      <c r="I9" s="915" t="s">
        <v>499</v>
      </c>
      <c r="J9" s="916">
        <v>5</v>
      </c>
    </row>
    <row r="10" spans="1:10" ht="23.1" customHeight="1">
      <c r="A10" s="907"/>
      <c r="B10" s="908"/>
      <c r="C10" s="909" t="s">
        <v>506</v>
      </c>
      <c r="D10" s="910"/>
      <c r="E10" s="911"/>
      <c r="F10" s="911"/>
      <c r="G10" s="911"/>
      <c r="H10" s="911"/>
      <c r="I10" s="912"/>
      <c r="J10" s="913"/>
    </row>
    <row r="11" spans="1:10" ht="23.1" customHeight="1">
      <c r="A11" s="907"/>
      <c r="B11" s="908"/>
      <c r="C11" s="909" t="s">
        <v>507</v>
      </c>
      <c r="D11" s="910"/>
      <c r="E11" s="911"/>
      <c r="F11" s="911"/>
      <c r="G11" s="911"/>
      <c r="H11" s="911"/>
      <c r="I11" s="912"/>
      <c r="J11" s="913"/>
    </row>
    <row r="12" spans="1:10" ht="23.1" customHeight="1">
      <c r="A12" s="917"/>
      <c r="B12" s="908"/>
      <c r="C12" s="909" t="s">
        <v>210</v>
      </c>
      <c r="D12" s="909"/>
      <c r="E12" s="914"/>
      <c r="F12" s="914"/>
      <c r="G12" s="914"/>
      <c r="H12" s="914"/>
      <c r="I12" s="915" t="s">
        <v>499</v>
      </c>
      <c r="J12" s="916">
        <v>6</v>
      </c>
    </row>
    <row r="13" spans="1:10" ht="23.1" customHeight="1">
      <c r="A13" s="907"/>
      <c r="B13" s="908"/>
      <c r="C13" s="909" t="s">
        <v>508</v>
      </c>
      <c r="D13" s="909"/>
      <c r="E13" s="914"/>
      <c r="F13" s="914"/>
      <c r="G13" s="914"/>
      <c r="H13" s="914"/>
      <c r="I13" s="915"/>
      <c r="J13" s="916"/>
    </row>
    <row r="14" spans="1:10" ht="23.1" customHeight="1">
      <c r="A14" s="907"/>
      <c r="B14" s="908"/>
      <c r="C14" s="909" t="s">
        <v>509</v>
      </c>
      <c r="D14" s="909"/>
      <c r="E14" s="914"/>
      <c r="F14" s="914"/>
      <c r="G14" s="914"/>
      <c r="H14" s="914"/>
      <c r="I14" s="915"/>
      <c r="J14" s="916"/>
    </row>
    <row r="15" spans="1:10" ht="23.1" customHeight="1">
      <c r="A15" s="917"/>
      <c r="B15" s="908"/>
      <c r="C15" s="909" t="s">
        <v>510</v>
      </c>
      <c r="D15" s="909"/>
      <c r="E15" s="914"/>
      <c r="F15" s="914"/>
      <c r="G15" s="914"/>
      <c r="H15" s="914"/>
      <c r="I15" s="915" t="s">
        <v>499</v>
      </c>
      <c r="J15" s="916">
        <v>8</v>
      </c>
    </row>
    <row r="16" spans="1:10" ht="23.1" customHeight="1">
      <c r="A16" s="917"/>
      <c r="B16" s="908"/>
      <c r="C16" s="909" t="s">
        <v>511</v>
      </c>
      <c r="D16" s="909"/>
      <c r="E16" s="914"/>
      <c r="F16" s="914"/>
      <c r="G16" s="914"/>
      <c r="H16" s="914"/>
      <c r="I16" s="915"/>
      <c r="J16" s="916"/>
    </row>
    <row r="17" spans="1:10" ht="23.1" customHeight="1">
      <c r="A17" s="917"/>
      <c r="B17" s="908"/>
      <c r="C17" s="909" t="s">
        <v>512</v>
      </c>
      <c r="D17" s="909"/>
      <c r="E17" s="914"/>
      <c r="F17" s="914"/>
      <c r="G17" s="914"/>
      <c r="H17" s="914"/>
      <c r="I17" s="915"/>
      <c r="J17" s="916"/>
    </row>
    <row r="18" spans="1:10" ht="23.1" customHeight="1">
      <c r="A18" s="907"/>
      <c r="B18" s="908"/>
      <c r="C18" s="909" t="s">
        <v>513</v>
      </c>
      <c r="D18" s="909"/>
      <c r="E18" s="914"/>
      <c r="F18" s="914"/>
      <c r="G18" s="914"/>
      <c r="H18" s="914"/>
      <c r="I18" s="915"/>
      <c r="J18" s="916"/>
    </row>
    <row r="19" spans="1:10" ht="23.1" customHeight="1">
      <c r="A19" s="907"/>
      <c r="B19" s="908"/>
      <c r="C19" s="909" t="s">
        <v>514</v>
      </c>
      <c r="D19" s="909"/>
      <c r="E19" s="914"/>
      <c r="F19" s="914"/>
      <c r="G19" s="914"/>
      <c r="H19" s="914"/>
      <c r="I19" s="915"/>
      <c r="J19" s="916"/>
    </row>
    <row r="20" spans="1:10" ht="23.1" customHeight="1">
      <c r="A20" s="907"/>
      <c r="B20" s="918"/>
      <c r="C20" s="1399" t="s">
        <v>515</v>
      </c>
      <c r="D20" s="1399"/>
      <c r="E20" s="1399"/>
      <c r="F20" s="1399"/>
      <c r="G20" s="1399"/>
      <c r="H20" s="1399"/>
      <c r="I20" s="1399"/>
      <c r="J20" s="1400"/>
    </row>
    <row r="21" spans="1:10" ht="41.25" customHeight="1">
      <c r="A21" s="917"/>
      <c r="B21" s="908"/>
      <c r="C21" s="1401" t="s">
        <v>516</v>
      </c>
      <c r="D21" s="1401"/>
      <c r="E21" s="1401"/>
      <c r="F21" s="1401"/>
      <c r="G21" s="1401"/>
      <c r="H21" s="1401"/>
      <c r="I21" s="1401"/>
      <c r="J21" s="1402"/>
    </row>
    <row r="22" spans="1:10" ht="23.1" customHeight="1">
      <c r="A22" s="917"/>
      <c r="B22" s="908"/>
      <c r="C22" s="909" t="s">
        <v>236</v>
      </c>
      <c r="D22" s="909"/>
      <c r="E22" s="914"/>
      <c r="F22" s="914"/>
      <c r="G22" s="914"/>
      <c r="H22" s="914"/>
      <c r="I22" s="915" t="s">
        <v>499</v>
      </c>
      <c r="J22" s="916">
        <v>12</v>
      </c>
    </row>
    <row r="23" spans="1:10" ht="23.1" customHeight="1">
      <c r="A23" s="917"/>
      <c r="B23" s="908"/>
      <c r="C23" s="919" t="s">
        <v>517</v>
      </c>
      <c r="D23" s="914"/>
      <c r="E23" s="914"/>
      <c r="F23" s="914"/>
      <c r="G23" s="914"/>
      <c r="H23" s="914"/>
      <c r="I23" s="915"/>
      <c r="J23" s="916"/>
    </row>
    <row r="24" spans="1:10" ht="23.1" customHeight="1">
      <c r="A24" s="917"/>
      <c r="B24" s="908"/>
      <c r="C24" s="919" t="s">
        <v>518</v>
      </c>
      <c r="D24" s="914"/>
      <c r="E24" s="914"/>
      <c r="F24" s="914"/>
      <c r="G24" s="914"/>
      <c r="H24" s="914"/>
      <c r="I24" s="915"/>
      <c r="J24" s="916"/>
    </row>
    <row r="25" spans="1:10" ht="23.1" customHeight="1">
      <c r="A25" s="917"/>
      <c r="B25" s="908"/>
      <c r="C25" s="1288" t="s">
        <v>500</v>
      </c>
      <c r="D25" s="914"/>
      <c r="E25" s="914"/>
      <c r="F25" s="914"/>
      <c r="G25" s="914"/>
      <c r="H25" s="914"/>
      <c r="I25" s="915"/>
      <c r="J25" s="916"/>
    </row>
    <row r="26" spans="1:10" ht="23.1" customHeight="1">
      <c r="A26" s="917"/>
      <c r="B26" s="908"/>
      <c r="C26" s="1288"/>
      <c r="D26" s="914"/>
      <c r="E26" s="914"/>
      <c r="F26" s="914"/>
      <c r="G26" s="914"/>
      <c r="H26" s="914"/>
      <c r="I26" s="915"/>
      <c r="J26" s="916"/>
    </row>
    <row r="27" spans="1:10" ht="23.1" customHeight="1">
      <c r="A27" s="917"/>
      <c r="B27" s="908"/>
      <c r="C27" s="919"/>
      <c r="D27" s="914"/>
      <c r="E27" s="914"/>
      <c r="F27" s="914"/>
      <c r="G27" s="914"/>
      <c r="H27" s="914"/>
      <c r="I27" s="915"/>
      <c r="J27" s="916"/>
    </row>
    <row r="28" spans="1:10" ht="23.1" customHeight="1">
      <c r="A28" s="907"/>
      <c r="B28" s="908"/>
      <c r="C28" s="920"/>
      <c r="D28" s="914"/>
      <c r="E28" s="914"/>
      <c r="F28" s="914"/>
      <c r="G28" s="914"/>
      <c r="H28" s="914"/>
      <c r="I28" s="915"/>
      <c r="J28" s="916"/>
    </row>
    <row r="29" spans="1:10" ht="23.1" customHeight="1">
      <c r="A29" s="917"/>
      <c r="B29" s="908"/>
      <c r="C29" s="920"/>
      <c r="D29" s="919"/>
      <c r="E29" s="914"/>
      <c r="F29" s="914"/>
      <c r="G29" s="914"/>
      <c r="H29" s="914"/>
      <c r="I29" s="915"/>
      <c r="J29" s="916"/>
    </row>
    <row r="30" spans="1:10" ht="23.1" customHeight="1">
      <c r="A30" s="907"/>
      <c r="B30" s="908"/>
      <c r="C30" s="914"/>
      <c r="D30" s="914"/>
      <c r="E30" s="914"/>
      <c r="F30" s="914"/>
      <c r="G30" s="914"/>
      <c r="H30" s="914"/>
      <c r="I30" s="915"/>
      <c r="J30" s="916"/>
    </row>
    <row r="31" spans="1:10" ht="23.1" customHeight="1">
      <c r="A31" s="917"/>
      <c r="B31" s="921"/>
      <c r="C31" s="914"/>
      <c r="D31" s="914"/>
      <c r="E31" s="914"/>
      <c r="F31" s="914"/>
      <c r="G31" s="914"/>
      <c r="H31" s="914"/>
      <c r="I31" s="915" t="s">
        <v>499</v>
      </c>
      <c r="J31" s="913">
        <v>16</v>
      </c>
    </row>
    <row r="32" spans="1:10" ht="23.1" customHeight="1">
      <c r="A32" s="907"/>
      <c r="B32" s="908"/>
      <c r="C32" s="914"/>
      <c r="D32" s="914"/>
      <c r="E32" s="914"/>
      <c r="F32" s="914"/>
      <c r="G32" s="914"/>
      <c r="H32" s="914"/>
      <c r="I32" s="915"/>
      <c r="J32" s="916"/>
    </row>
    <row r="33" spans="1:10" ht="23.1" customHeight="1">
      <c r="A33" s="917"/>
      <c r="B33" s="921"/>
      <c r="C33" s="911"/>
      <c r="D33" s="911"/>
      <c r="E33" s="911"/>
      <c r="F33" s="911"/>
      <c r="G33" s="911"/>
      <c r="H33" s="911"/>
      <c r="I33" s="915" t="s">
        <v>499</v>
      </c>
      <c r="J33" s="913">
        <v>17</v>
      </c>
    </row>
    <row r="34" spans="1:10" ht="23.1" customHeight="1" thickBot="1">
      <c r="A34" s="922"/>
      <c r="B34" s="923"/>
      <c r="C34" s="924"/>
      <c r="D34" s="924"/>
      <c r="E34" s="924"/>
      <c r="F34" s="924"/>
      <c r="G34" s="924"/>
      <c r="H34" s="924"/>
      <c r="I34" s="925"/>
      <c r="J34" s="926"/>
    </row>
    <row r="35" spans="1:10" ht="15.6" thickTop="1" thickBot="1"/>
    <row r="36" spans="1:10" ht="15" thickTop="1">
      <c r="A36" s="900"/>
      <c r="B36" s="901"/>
      <c r="C36" s="902"/>
      <c r="D36" s="902"/>
      <c r="E36" s="902"/>
      <c r="F36" s="902"/>
      <c r="G36" s="902"/>
      <c r="H36" s="902"/>
      <c r="I36" s="902"/>
      <c r="J36" s="903"/>
    </row>
    <row r="37" spans="1:10" ht="17.399999999999999">
      <c r="A37" s="1392"/>
      <c r="B37" s="1393"/>
      <c r="C37" s="1393"/>
      <c r="D37" s="1393"/>
      <c r="E37" s="1393"/>
      <c r="F37" s="1393"/>
      <c r="G37" s="1393"/>
      <c r="H37" s="1393"/>
      <c r="I37" s="1393"/>
      <c r="J37" s="1394"/>
    </row>
    <row r="38" spans="1:10">
      <c r="A38" s="907"/>
      <c r="B38" s="908"/>
      <c r="C38" s="911"/>
      <c r="D38" s="911"/>
      <c r="E38" s="911"/>
      <c r="F38" s="911"/>
      <c r="G38" s="911"/>
      <c r="H38" s="911"/>
      <c r="I38" s="911"/>
      <c r="J38" s="927"/>
    </row>
    <row r="39" spans="1:10">
      <c r="A39" s="917"/>
      <c r="B39" s="921"/>
      <c r="C39" s="1395"/>
      <c r="D39" s="1395"/>
      <c r="E39" s="1395"/>
      <c r="F39" s="1395"/>
      <c r="G39" s="1395"/>
      <c r="H39" s="1395"/>
      <c r="I39" s="915"/>
      <c r="J39" s="913"/>
    </row>
    <row r="40" spans="1:10">
      <c r="A40" s="907"/>
      <c r="B40" s="908"/>
      <c r="C40" s="911"/>
      <c r="D40" s="911"/>
      <c r="E40" s="911"/>
      <c r="F40" s="911"/>
      <c r="G40" s="911"/>
      <c r="H40" s="911"/>
      <c r="I40" s="912"/>
      <c r="J40" s="913"/>
    </row>
    <row r="41" spans="1:10">
      <c r="A41" s="917"/>
      <c r="B41" s="921"/>
      <c r="C41" s="914"/>
      <c r="D41" s="914"/>
      <c r="E41" s="914"/>
      <c r="F41" s="914"/>
      <c r="G41" s="914"/>
      <c r="H41" s="914"/>
      <c r="I41" s="915"/>
      <c r="J41" s="913"/>
    </row>
    <row r="42" spans="1:10">
      <c r="A42" s="917"/>
      <c r="B42" s="921"/>
      <c r="C42" s="914"/>
      <c r="D42" s="914"/>
      <c r="E42" s="914"/>
      <c r="F42" s="914"/>
      <c r="G42" s="914"/>
      <c r="H42" s="914"/>
      <c r="I42" s="915"/>
      <c r="J42" s="913"/>
    </row>
    <row r="43" spans="1:10">
      <c r="A43" s="917"/>
      <c r="B43" s="921"/>
      <c r="C43" s="914"/>
      <c r="D43" s="914"/>
      <c r="E43" s="914"/>
      <c r="F43" s="914"/>
      <c r="G43" s="914"/>
      <c r="H43" s="914"/>
      <c r="I43" s="915"/>
      <c r="J43" s="913"/>
    </row>
    <row r="44" spans="1:10">
      <c r="A44" s="917"/>
      <c r="B44" s="921"/>
      <c r="C44" s="914"/>
      <c r="D44" s="914"/>
      <c r="E44" s="914"/>
      <c r="F44" s="914"/>
      <c r="G44" s="914"/>
      <c r="H44" s="914"/>
      <c r="I44" s="915"/>
      <c r="J44" s="913"/>
    </row>
    <row r="45" spans="1:10">
      <c r="A45" s="917"/>
      <c r="B45" s="921"/>
      <c r="C45" s="914"/>
      <c r="D45" s="914"/>
      <c r="E45" s="914"/>
      <c r="F45" s="914"/>
      <c r="G45" s="914"/>
      <c r="H45" s="914"/>
      <c r="I45" s="915"/>
      <c r="J45" s="913"/>
    </row>
    <row r="46" spans="1:10">
      <c r="A46" s="917"/>
      <c r="B46" s="921"/>
      <c r="C46" s="914"/>
      <c r="D46" s="914"/>
      <c r="E46" s="914"/>
      <c r="F46" s="914"/>
      <c r="G46" s="914"/>
      <c r="H46" s="914"/>
      <c r="I46" s="915"/>
      <c r="J46" s="913"/>
    </row>
    <row r="47" spans="1:10">
      <c r="A47" s="917"/>
      <c r="B47" s="921"/>
      <c r="C47" s="914"/>
      <c r="D47" s="914"/>
      <c r="E47" s="914"/>
      <c r="F47" s="914"/>
      <c r="G47" s="914"/>
      <c r="H47" s="914"/>
      <c r="I47" s="915"/>
      <c r="J47" s="913"/>
    </row>
    <row r="48" spans="1:10">
      <c r="A48" s="917"/>
      <c r="B48" s="921"/>
      <c r="C48" s="914"/>
      <c r="D48" s="914"/>
      <c r="E48" s="914"/>
      <c r="F48" s="914"/>
      <c r="G48" s="914"/>
      <c r="H48" s="914"/>
      <c r="I48" s="915"/>
      <c r="J48" s="913"/>
    </row>
    <row r="49" spans="1:10">
      <c r="A49" s="917"/>
      <c r="B49" s="921"/>
      <c r="C49" s="914"/>
      <c r="D49" s="914"/>
      <c r="E49" s="914"/>
      <c r="F49" s="914"/>
      <c r="G49" s="914"/>
      <c r="H49" s="914"/>
      <c r="I49" s="915"/>
      <c r="J49" s="913"/>
    </row>
    <row r="50" spans="1:10">
      <c r="A50" s="917"/>
      <c r="B50" s="921"/>
      <c r="C50" s="914"/>
      <c r="D50" s="914"/>
      <c r="E50" s="914"/>
      <c r="F50" s="914"/>
      <c r="G50" s="914"/>
      <c r="H50" s="914"/>
      <c r="I50" s="915"/>
      <c r="J50" s="913"/>
    </row>
    <row r="51" spans="1:10">
      <c r="A51" s="917"/>
      <c r="B51" s="921"/>
      <c r="C51" s="914"/>
      <c r="D51" s="914"/>
      <c r="E51" s="914"/>
      <c r="F51" s="914"/>
      <c r="G51" s="914"/>
      <c r="H51" s="914"/>
      <c r="I51" s="915"/>
      <c r="J51" s="913"/>
    </row>
    <row r="52" spans="1:10">
      <c r="A52" s="917"/>
      <c r="B52" s="921"/>
      <c r="C52" s="914"/>
      <c r="D52" s="914"/>
      <c r="E52" s="914"/>
      <c r="F52" s="914"/>
      <c r="G52" s="914"/>
      <c r="H52" s="914"/>
      <c r="I52" s="915"/>
      <c r="J52" s="913"/>
    </row>
    <row r="53" spans="1:10">
      <c r="A53" s="917"/>
      <c r="B53" s="921"/>
      <c r="C53" s="914"/>
      <c r="D53" s="914"/>
      <c r="E53" s="914"/>
      <c r="F53" s="914"/>
      <c r="G53" s="914"/>
      <c r="H53" s="914"/>
      <c r="I53" s="915"/>
      <c r="J53" s="913"/>
    </row>
    <row r="54" spans="1:10">
      <c r="A54" s="907"/>
      <c r="B54" s="908"/>
      <c r="C54" s="911"/>
      <c r="D54" s="911"/>
      <c r="E54" s="911"/>
      <c r="F54" s="911"/>
      <c r="G54" s="911"/>
      <c r="H54" s="911"/>
      <c r="I54" s="912"/>
      <c r="J54" s="913"/>
    </row>
    <row r="55" spans="1:10">
      <c r="A55" s="917"/>
      <c r="B55" s="921"/>
      <c r="C55" s="914"/>
      <c r="D55" s="914"/>
      <c r="E55" s="914"/>
      <c r="F55" s="914"/>
      <c r="G55" s="914"/>
      <c r="H55" s="914"/>
      <c r="I55" s="915"/>
      <c r="J55" s="916"/>
    </row>
    <row r="56" spans="1:10">
      <c r="A56" s="907"/>
      <c r="B56" s="908"/>
      <c r="C56" s="914"/>
      <c r="D56" s="914"/>
      <c r="E56" s="914"/>
      <c r="F56" s="914"/>
      <c r="G56" s="914"/>
      <c r="H56" s="914"/>
      <c r="I56" s="915"/>
      <c r="J56" s="916"/>
    </row>
    <row r="57" spans="1:10">
      <c r="A57" s="917"/>
      <c r="B57" s="921"/>
      <c r="C57" s="914"/>
      <c r="D57" s="914"/>
      <c r="E57" s="914"/>
      <c r="F57" s="914"/>
      <c r="G57" s="914"/>
      <c r="H57" s="914"/>
      <c r="I57" s="915"/>
      <c r="J57" s="916"/>
    </row>
    <row r="58" spans="1:10">
      <c r="A58" s="907"/>
      <c r="B58" s="908"/>
      <c r="C58" s="914"/>
      <c r="D58" s="914"/>
      <c r="E58" s="914"/>
      <c r="F58" s="914"/>
      <c r="G58" s="914"/>
      <c r="H58" s="914"/>
      <c r="I58" s="915"/>
      <c r="J58" s="916"/>
    </row>
    <row r="59" spans="1:10">
      <c r="A59" s="917"/>
      <c r="B59" s="921"/>
      <c r="C59" s="914"/>
      <c r="D59" s="914"/>
      <c r="E59" s="914"/>
      <c r="F59" s="914"/>
      <c r="G59" s="914"/>
      <c r="H59" s="914"/>
      <c r="I59" s="915"/>
      <c r="J59" s="916"/>
    </row>
    <row r="60" spans="1:10">
      <c r="A60" s="907"/>
      <c r="B60" s="908"/>
      <c r="C60" s="911"/>
      <c r="D60" s="911"/>
      <c r="E60" s="911"/>
      <c r="F60" s="911"/>
      <c r="G60" s="911"/>
      <c r="H60" s="911"/>
      <c r="I60" s="912"/>
      <c r="J60" s="913"/>
    </row>
    <row r="61" spans="1:10">
      <c r="A61" s="917"/>
      <c r="B61" s="921"/>
      <c r="C61" s="914"/>
      <c r="D61" s="914"/>
      <c r="E61" s="914"/>
      <c r="F61" s="914"/>
      <c r="G61" s="914"/>
      <c r="H61" s="914"/>
      <c r="I61" s="915"/>
      <c r="J61" s="916"/>
    </row>
    <row r="62" spans="1:10" ht="38.25" customHeight="1">
      <c r="A62" s="907"/>
      <c r="B62" s="908"/>
      <c r="C62" s="1391" t="s">
        <v>501</v>
      </c>
      <c r="D62" s="1391"/>
      <c r="E62" s="1391"/>
      <c r="F62" s="1391"/>
      <c r="G62" s="1391"/>
      <c r="H62" s="1391"/>
      <c r="I62" s="1391"/>
      <c r="J62" s="916"/>
    </row>
    <row r="63" spans="1:10">
      <c r="A63" s="917"/>
      <c r="B63" s="921"/>
      <c r="C63" s="914"/>
      <c r="D63" s="914"/>
      <c r="E63" s="914"/>
      <c r="F63" s="914"/>
      <c r="G63" s="914"/>
      <c r="H63" s="914"/>
      <c r="I63" s="915"/>
      <c r="J63" s="916"/>
    </row>
    <row r="64" spans="1:10">
      <c r="A64" s="907"/>
      <c r="B64" s="908"/>
      <c r="C64" s="914"/>
      <c r="D64" s="914"/>
      <c r="E64" s="914"/>
      <c r="F64" s="914"/>
      <c r="G64" s="914"/>
      <c r="H64" s="914"/>
      <c r="I64" s="915"/>
      <c r="J64" s="916"/>
    </row>
    <row r="65" spans="1:10">
      <c r="A65" s="907"/>
      <c r="B65" s="908"/>
      <c r="C65" s="914"/>
      <c r="D65" s="914"/>
      <c r="E65" s="914"/>
      <c r="F65" s="914"/>
      <c r="G65" s="914"/>
      <c r="H65" s="914"/>
      <c r="I65" s="915"/>
      <c r="J65" s="916"/>
    </row>
    <row r="66" spans="1:10">
      <c r="A66" s="917"/>
      <c r="B66" s="921"/>
      <c r="C66" s="914"/>
      <c r="D66" s="914"/>
      <c r="E66" s="914"/>
      <c r="F66" s="914"/>
      <c r="G66" s="914"/>
      <c r="H66" s="914"/>
      <c r="I66" s="915"/>
      <c r="J66" s="916"/>
    </row>
    <row r="67" spans="1:10">
      <c r="A67" s="907"/>
      <c r="B67" s="908"/>
      <c r="C67" s="911"/>
      <c r="D67" s="911"/>
      <c r="E67" s="911"/>
      <c r="F67" s="911"/>
      <c r="G67" s="911"/>
      <c r="H67" s="911"/>
      <c r="I67" s="912"/>
      <c r="J67" s="913"/>
    </row>
    <row r="68" spans="1:10">
      <c r="A68" s="917"/>
      <c r="B68" s="921"/>
      <c r="C68" s="914"/>
      <c r="D68" s="914"/>
      <c r="E68" s="914"/>
      <c r="F68" s="914"/>
      <c r="G68" s="914"/>
      <c r="H68" s="914"/>
      <c r="I68" s="915"/>
      <c r="J68" s="916"/>
    </row>
    <row r="69" spans="1:10">
      <c r="A69" s="907"/>
      <c r="B69" s="908"/>
      <c r="C69" s="911"/>
      <c r="D69" s="911"/>
      <c r="E69" s="911"/>
      <c r="F69" s="911"/>
      <c r="G69" s="911"/>
      <c r="H69" s="911"/>
      <c r="I69" s="912"/>
      <c r="J69" s="913"/>
    </row>
    <row r="70" spans="1:10">
      <c r="A70" s="917"/>
      <c r="B70" s="921"/>
      <c r="C70" s="914"/>
      <c r="D70" s="914"/>
      <c r="E70" s="914"/>
      <c r="F70" s="914"/>
      <c r="G70" s="914"/>
      <c r="H70" s="914"/>
      <c r="I70" s="915"/>
      <c r="J70" s="916"/>
    </row>
    <row r="71" spans="1:10">
      <c r="A71" s="907"/>
      <c r="B71" s="908"/>
      <c r="C71" s="914"/>
      <c r="D71" s="914"/>
      <c r="E71" s="914"/>
      <c r="F71" s="914"/>
      <c r="G71" s="914"/>
      <c r="H71" s="914"/>
      <c r="I71" s="915"/>
      <c r="J71" s="916"/>
    </row>
    <row r="72" spans="1:10">
      <c r="A72" s="917"/>
      <c r="B72" s="921"/>
      <c r="C72" s="914"/>
      <c r="D72" s="914"/>
      <c r="E72" s="914"/>
      <c r="F72" s="914"/>
      <c r="G72" s="914"/>
      <c r="H72" s="914"/>
      <c r="I72" s="915"/>
      <c r="J72" s="916"/>
    </row>
    <row r="73" spans="1:10">
      <c r="A73" s="907"/>
      <c r="B73" s="908"/>
      <c r="C73" s="914"/>
      <c r="D73" s="914"/>
      <c r="E73" s="914"/>
      <c r="F73" s="914"/>
      <c r="G73" s="914"/>
      <c r="H73" s="914"/>
      <c r="I73" s="915"/>
      <c r="J73" s="916"/>
    </row>
    <row r="74" spans="1:10">
      <c r="A74" s="917"/>
      <c r="B74" s="921"/>
      <c r="C74" s="914"/>
      <c r="D74" s="914"/>
      <c r="E74" s="914"/>
      <c r="F74" s="914"/>
      <c r="G74" s="914"/>
      <c r="H74" s="914"/>
      <c r="I74" s="915"/>
      <c r="J74" s="916"/>
    </row>
    <row r="75" spans="1:10">
      <c r="A75" s="907"/>
      <c r="B75" s="908"/>
      <c r="C75" s="914"/>
      <c r="D75" s="914"/>
      <c r="E75" s="914"/>
      <c r="F75" s="914"/>
      <c r="G75" s="914"/>
      <c r="H75" s="914"/>
      <c r="I75" s="915"/>
      <c r="J75" s="916"/>
    </row>
    <row r="76" spans="1:10">
      <c r="A76" s="917"/>
      <c r="B76" s="921"/>
      <c r="C76" s="914"/>
      <c r="D76" s="914"/>
      <c r="E76" s="914"/>
      <c r="F76" s="914"/>
      <c r="G76" s="914"/>
      <c r="H76" s="914"/>
      <c r="I76" s="915"/>
      <c r="J76" s="916"/>
    </row>
    <row r="77" spans="1:10">
      <c r="A77" s="907"/>
      <c r="B77" s="908"/>
      <c r="C77" s="914"/>
      <c r="D77" s="914"/>
      <c r="E77" s="914"/>
      <c r="F77" s="914"/>
      <c r="G77" s="914"/>
      <c r="H77" s="914"/>
      <c r="I77" s="915"/>
      <c r="J77" s="916"/>
    </row>
    <row r="78" spans="1:10">
      <c r="A78" s="917"/>
      <c r="B78" s="921"/>
      <c r="C78" s="914"/>
      <c r="D78" s="914"/>
      <c r="E78" s="914"/>
      <c r="F78" s="914"/>
      <c r="G78" s="914"/>
      <c r="H78" s="914"/>
      <c r="I78" s="915"/>
      <c r="J78" s="916"/>
    </row>
    <row r="79" spans="1:10">
      <c r="A79" s="907"/>
      <c r="B79" s="908"/>
      <c r="C79" s="914"/>
      <c r="D79" s="914"/>
      <c r="E79" s="914"/>
      <c r="F79" s="914"/>
      <c r="G79" s="914"/>
      <c r="H79" s="914"/>
      <c r="I79" s="915"/>
      <c r="J79" s="916"/>
    </row>
    <row r="80" spans="1:10">
      <c r="A80" s="917"/>
      <c r="B80" s="921"/>
      <c r="C80" s="928"/>
      <c r="D80" s="928"/>
      <c r="E80" s="928"/>
      <c r="F80" s="928"/>
      <c r="G80" s="928"/>
      <c r="H80" s="928"/>
      <c r="I80" s="915"/>
      <c r="J80" s="916"/>
    </row>
    <row r="81" spans="1:10">
      <c r="A81" s="907"/>
      <c r="B81" s="908"/>
      <c r="C81" s="914"/>
      <c r="D81" s="914"/>
      <c r="E81" s="914"/>
      <c r="F81" s="914"/>
      <c r="G81" s="914"/>
      <c r="H81" s="914"/>
      <c r="I81" s="915"/>
      <c r="J81" s="916"/>
    </row>
    <row r="82" spans="1:10">
      <c r="A82" s="917"/>
      <c r="B82" s="921"/>
      <c r="C82" s="914"/>
      <c r="D82" s="914"/>
      <c r="E82" s="914"/>
      <c r="F82" s="914"/>
      <c r="G82" s="914"/>
      <c r="H82" s="914"/>
      <c r="I82" s="915"/>
      <c r="J82" s="913"/>
    </row>
    <row r="83" spans="1:10">
      <c r="A83" s="907"/>
      <c r="B83" s="908"/>
      <c r="C83" s="914"/>
      <c r="D83" s="914"/>
      <c r="E83" s="914"/>
      <c r="F83" s="914"/>
      <c r="G83" s="914"/>
      <c r="H83" s="914"/>
      <c r="I83" s="915"/>
      <c r="J83" s="916"/>
    </row>
    <row r="84" spans="1:10">
      <c r="A84" s="917"/>
      <c r="B84" s="921"/>
      <c r="C84" s="911"/>
      <c r="D84" s="911"/>
      <c r="E84" s="911"/>
      <c r="F84" s="911"/>
      <c r="G84" s="911"/>
      <c r="H84" s="911"/>
      <c r="I84" s="915"/>
      <c r="J84" s="913"/>
    </row>
    <row r="85" spans="1:10">
      <c r="A85" s="907"/>
      <c r="B85" s="908"/>
      <c r="C85" s="914"/>
      <c r="D85" s="914"/>
      <c r="E85" s="914"/>
      <c r="F85" s="914"/>
      <c r="G85" s="914"/>
      <c r="H85" s="914"/>
      <c r="I85" s="929"/>
      <c r="J85" s="930"/>
    </row>
    <row r="86" spans="1:10" ht="15" thickBot="1">
      <c r="A86" s="922"/>
      <c r="B86" s="923"/>
      <c r="C86" s="1389"/>
      <c r="D86" s="1389"/>
      <c r="E86" s="1389"/>
      <c r="F86" s="1389"/>
      <c r="G86" s="1389"/>
      <c r="H86" s="1389"/>
      <c r="I86" s="1389"/>
      <c r="J86" s="1390"/>
    </row>
    <row r="87" spans="1:10" ht="15.6" thickTop="1" thickBot="1"/>
    <row r="88" spans="1:10" ht="15" thickTop="1">
      <c r="A88" s="900"/>
      <c r="B88" s="901"/>
      <c r="C88" s="902"/>
      <c r="D88" s="902"/>
      <c r="E88" s="902"/>
      <c r="F88" s="902"/>
      <c r="G88" s="902"/>
      <c r="H88" s="902"/>
      <c r="I88" s="902"/>
      <c r="J88" s="903"/>
    </row>
    <row r="89" spans="1:10" ht="17.399999999999999">
      <c r="A89" s="1392"/>
      <c r="B89" s="1393"/>
      <c r="C89" s="1393"/>
      <c r="D89" s="1393"/>
      <c r="E89" s="1393"/>
      <c r="F89" s="1393"/>
      <c r="G89" s="1393"/>
      <c r="H89" s="1393"/>
      <c r="I89" s="1393"/>
      <c r="J89" s="1394"/>
    </row>
    <row r="90" spans="1:10">
      <c r="A90" s="907"/>
      <c r="B90" s="908"/>
      <c r="C90" s="911"/>
      <c r="D90" s="911"/>
      <c r="E90" s="911"/>
      <c r="F90" s="911"/>
      <c r="G90" s="911"/>
      <c r="H90" s="911"/>
      <c r="I90" s="911"/>
      <c r="J90" s="927"/>
    </row>
    <row r="91" spans="1:10">
      <c r="A91" s="917"/>
      <c r="B91" s="921"/>
      <c r="C91" s="1395"/>
      <c r="D91" s="1395"/>
      <c r="E91" s="1395"/>
      <c r="F91" s="1395"/>
      <c r="G91" s="1395"/>
      <c r="H91" s="1395"/>
      <c r="I91" s="915"/>
      <c r="J91" s="913"/>
    </row>
    <row r="92" spans="1:10">
      <c r="A92" s="907"/>
      <c r="B92" s="908"/>
      <c r="C92" s="911"/>
      <c r="D92" s="911"/>
      <c r="E92" s="911"/>
      <c r="F92" s="911"/>
      <c r="G92" s="911"/>
      <c r="H92" s="911"/>
      <c r="I92" s="912"/>
      <c r="J92" s="913"/>
    </row>
    <row r="93" spans="1:10">
      <c r="A93" s="917"/>
      <c r="B93" s="921"/>
      <c r="C93" s="914"/>
      <c r="D93" s="914"/>
      <c r="E93" s="914"/>
      <c r="F93" s="914"/>
      <c r="G93" s="914"/>
      <c r="H93" s="914"/>
      <c r="I93" s="915"/>
      <c r="J93" s="913"/>
    </row>
    <row r="94" spans="1:10">
      <c r="A94" s="917"/>
      <c r="B94" s="921"/>
      <c r="C94" s="914"/>
      <c r="D94" s="914"/>
      <c r="E94" s="914"/>
      <c r="F94" s="914"/>
      <c r="G94" s="914"/>
      <c r="H94" s="914"/>
      <c r="I94" s="915"/>
      <c r="J94" s="913"/>
    </row>
    <row r="95" spans="1:10">
      <c r="A95" s="917"/>
      <c r="B95" s="921"/>
      <c r="C95" s="914"/>
      <c r="D95" s="914"/>
      <c r="E95" s="914"/>
      <c r="F95" s="914"/>
      <c r="G95" s="914"/>
      <c r="H95" s="914"/>
      <c r="I95" s="915"/>
      <c r="J95" s="913"/>
    </row>
    <row r="96" spans="1:10">
      <c r="A96" s="917"/>
      <c r="B96" s="921"/>
      <c r="C96" s="914"/>
      <c r="D96" s="914"/>
      <c r="E96" s="914"/>
      <c r="F96" s="914"/>
      <c r="G96" s="914"/>
      <c r="H96" s="914"/>
      <c r="I96" s="915"/>
      <c r="J96" s="913"/>
    </row>
    <row r="97" spans="1:10">
      <c r="A97" s="917"/>
      <c r="B97" s="921"/>
      <c r="C97" s="914"/>
      <c r="D97" s="914"/>
      <c r="E97" s="914"/>
      <c r="F97" s="914"/>
      <c r="G97" s="914"/>
      <c r="H97" s="914"/>
      <c r="I97" s="915"/>
      <c r="J97" s="913"/>
    </row>
    <row r="98" spans="1:10">
      <c r="A98" s="917"/>
      <c r="B98" s="921"/>
      <c r="C98" s="914"/>
      <c r="D98" s="914"/>
      <c r="E98" s="914"/>
      <c r="F98" s="914"/>
      <c r="G98" s="914"/>
      <c r="H98" s="914"/>
      <c r="I98" s="915"/>
      <c r="J98" s="913"/>
    </row>
    <row r="99" spans="1:10">
      <c r="A99" s="917"/>
      <c r="B99" s="921"/>
      <c r="C99" s="914"/>
      <c r="D99" s="914"/>
      <c r="E99" s="914"/>
      <c r="F99" s="914"/>
      <c r="G99" s="914"/>
      <c r="H99" s="914"/>
      <c r="I99" s="915"/>
      <c r="J99" s="913"/>
    </row>
    <row r="100" spans="1:10">
      <c r="A100" s="917"/>
      <c r="B100" s="921"/>
      <c r="C100" s="914"/>
      <c r="D100" s="914"/>
      <c r="E100" s="914"/>
      <c r="F100" s="914"/>
      <c r="G100" s="914"/>
      <c r="H100" s="914"/>
      <c r="I100" s="915"/>
      <c r="J100" s="913"/>
    </row>
    <row r="101" spans="1:10">
      <c r="A101" s="917"/>
      <c r="B101" s="921"/>
      <c r="C101" s="914"/>
      <c r="D101" s="914"/>
      <c r="E101" s="914"/>
      <c r="F101" s="914"/>
      <c r="G101" s="914"/>
      <c r="H101" s="914"/>
      <c r="I101" s="915"/>
      <c r="J101" s="913"/>
    </row>
    <row r="102" spans="1:10">
      <c r="A102" s="917"/>
      <c r="B102" s="921"/>
      <c r="C102" s="914"/>
      <c r="D102" s="914"/>
      <c r="E102" s="914"/>
      <c r="F102" s="914"/>
      <c r="G102" s="914"/>
      <c r="H102" s="914"/>
      <c r="I102" s="915"/>
      <c r="J102" s="913"/>
    </row>
    <row r="103" spans="1:10">
      <c r="A103" s="917"/>
      <c r="B103" s="921"/>
      <c r="C103" s="914"/>
      <c r="D103" s="914"/>
      <c r="E103" s="914"/>
      <c r="F103" s="914"/>
      <c r="G103" s="914"/>
      <c r="H103" s="914"/>
      <c r="I103" s="915"/>
      <c r="J103" s="913"/>
    </row>
    <row r="104" spans="1:10">
      <c r="A104" s="917"/>
      <c r="B104" s="921"/>
      <c r="C104" s="914"/>
      <c r="D104" s="914"/>
      <c r="E104" s="914"/>
      <c r="F104" s="914"/>
      <c r="G104" s="914"/>
      <c r="H104" s="914"/>
      <c r="I104" s="915"/>
      <c r="J104" s="913"/>
    </row>
    <row r="105" spans="1:10">
      <c r="A105" s="917"/>
      <c r="B105" s="921"/>
      <c r="C105" s="914"/>
      <c r="D105" s="914"/>
      <c r="E105" s="914"/>
      <c r="F105" s="914"/>
      <c r="G105" s="914"/>
      <c r="H105" s="914"/>
      <c r="I105" s="915"/>
      <c r="J105" s="913"/>
    </row>
    <row r="106" spans="1:10">
      <c r="A106" s="907"/>
      <c r="B106" s="908"/>
      <c r="C106" s="911"/>
      <c r="D106" s="911"/>
      <c r="E106" s="911"/>
      <c r="F106" s="911"/>
      <c r="G106" s="911"/>
      <c r="H106" s="911"/>
      <c r="I106" s="912"/>
      <c r="J106" s="913"/>
    </row>
    <row r="107" spans="1:10">
      <c r="A107" s="917"/>
      <c r="B107" s="921"/>
      <c r="C107" s="914"/>
      <c r="D107" s="914"/>
      <c r="E107" s="914"/>
      <c r="F107" s="914"/>
      <c r="G107" s="914"/>
      <c r="H107" s="914"/>
      <c r="I107" s="915"/>
      <c r="J107" s="916"/>
    </row>
    <row r="108" spans="1:10">
      <c r="A108" s="907"/>
      <c r="B108" s="908"/>
      <c r="C108" s="914"/>
      <c r="D108" s="914"/>
      <c r="E108" s="914"/>
      <c r="F108" s="914"/>
      <c r="G108" s="914"/>
      <c r="H108" s="914"/>
      <c r="I108" s="915"/>
      <c r="J108" s="916"/>
    </row>
    <row r="109" spans="1:10">
      <c r="A109" s="917"/>
      <c r="B109" s="921"/>
      <c r="C109" s="914"/>
      <c r="D109" s="914"/>
      <c r="E109" s="914"/>
      <c r="F109" s="914"/>
      <c r="G109" s="914"/>
      <c r="H109" s="914"/>
      <c r="I109" s="915"/>
      <c r="J109" s="916"/>
    </row>
    <row r="110" spans="1:10">
      <c r="A110" s="907"/>
      <c r="B110" s="908"/>
      <c r="C110" s="914"/>
      <c r="D110" s="914"/>
      <c r="E110" s="914"/>
      <c r="F110" s="914"/>
      <c r="G110" s="914"/>
      <c r="H110" s="914"/>
      <c r="I110" s="915"/>
      <c r="J110" s="916"/>
    </row>
    <row r="111" spans="1:10">
      <c r="A111" s="917"/>
      <c r="B111" s="921"/>
      <c r="C111" s="914"/>
      <c r="D111" s="914"/>
      <c r="E111" s="914"/>
      <c r="F111" s="914"/>
      <c r="G111" s="914"/>
      <c r="H111" s="914"/>
      <c r="I111" s="915"/>
      <c r="J111" s="916"/>
    </row>
    <row r="112" spans="1:10">
      <c r="A112" s="907"/>
      <c r="B112" s="908"/>
      <c r="C112" s="911"/>
      <c r="D112" s="911"/>
      <c r="E112" s="911"/>
      <c r="F112" s="911"/>
      <c r="G112" s="911"/>
      <c r="H112" s="911"/>
      <c r="I112" s="912"/>
      <c r="J112" s="913"/>
    </row>
    <row r="113" spans="1:10">
      <c r="A113" s="917"/>
      <c r="B113" s="921"/>
      <c r="C113" s="914"/>
      <c r="D113" s="914"/>
      <c r="E113" s="914"/>
      <c r="F113" s="914"/>
      <c r="G113" s="914"/>
      <c r="H113" s="914"/>
      <c r="I113" s="915"/>
      <c r="J113" s="916"/>
    </row>
    <row r="114" spans="1:10" ht="30">
      <c r="A114" s="907"/>
      <c r="B114" s="908"/>
      <c r="C114" s="1391" t="str">
        <f>+C62</f>
        <v>NO CORRESPONDE</v>
      </c>
      <c r="D114" s="1391"/>
      <c r="E114" s="1391"/>
      <c r="F114" s="1391"/>
      <c r="G114" s="1391"/>
      <c r="H114" s="1391"/>
      <c r="I114" s="1391"/>
      <c r="J114" s="916"/>
    </row>
    <row r="115" spans="1:10">
      <c r="A115" s="917"/>
      <c r="B115" s="921"/>
      <c r="C115" s="914"/>
      <c r="D115" s="914"/>
      <c r="E115" s="914"/>
      <c r="F115" s="914"/>
      <c r="G115" s="914"/>
      <c r="H115" s="914"/>
      <c r="I115" s="915"/>
      <c r="J115" s="916"/>
    </row>
    <row r="116" spans="1:10">
      <c r="A116" s="907"/>
      <c r="B116" s="908"/>
      <c r="C116" s="914"/>
      <c r="D116" s="914"/>
      <c r="E116" s="914"/>
      <c r="F116" s="914"/>
      <c r="G116" s="914"/>
      <c r="H116" s="914"/>
      <c r="I116" s="915"/>
      <c r="J116" s="916"/>
    </row>
    <row r="117" spans="1:10">
      <c r="A117" s="907"/>
      <c r="B117" s="908"/>
      <c r="C117" s="914"/>
      <c r="D117" s="914"/>
      <c r="E117" s="914"/>
      <c r="F117" s="914"/>
      <c r="G117" s="914"/>
      <c r="H117" s="914"/>
      <c r="I117" s="915"/>
      <c r="J117" s="916"/>
    </row>
    <row r="118" spans="1:10">
      <c r="A118" s="917"/>
      <c r="B118" s="921"/>
      <c r="C118" s="914"/>
      <c r="D118" s="914"/>
      <c r="E118" s="914"/>
      <c r="F118" s="914"/>
      <c r="G118" s="914"/>
      <c r="H118" s="914"/>
      <c r="I118" s="915"/>
      <c r="J118" s="916"/>
    </row>
    <row r="119" spans="1:10">
      <c r="A119" s="907"/>
      <c r="B119" s="908"/>
      <c r="C119" s="911"/>
      <c r="D119" s="911"/>
      <c r="E119" s="911"/>
      <c r="F119" s="911"/>
      <c r="G119" s="911"/>
      <c r="H119" s="911"/>
      <c r="I119" s="912"/>
      <c r="J119" s="913"/>
    </row>
    <row r="120" spans="1:10">
      <c r="A120" s="917"/>
      <c r="B120" s="921"/>
      <c r="C120" s="914"/>
      <c r="D120" s="914"/>
      <c r="E120" s="914"/>
      <c r="F120" s="914"/>
      <c r="G120" s="914"/>
      <c r="H120" s="914"/>
      <c r="I120" s="915"/>
      <c r="J120" s="916"/>
    </row>
    <row r="121" spans="1:10">
      <c r="A121" s="907"/>
      <c r="B121" s="908"/>
      <c r="C121" s="911"/>
      <c r="D121" s="911"/>
      <c r="E121" s="911"/>
      <c r="F121" s="911"/>
      <c r="G121" s="911"/>
      <c r="H121" s="911"/>
      <c r="I121" s="912"/>
      <c r="J121" s="913"/>
    </row>
    <row r="122" spans="1:10">
      <c r="A122" s="917"/>
      <c r="B122" s="921"/>
      <c r="C122" s="914"/>
      <c r="D122" s="914"/>
      <c r="E122" s="914"/>
      <c r="F122" s="914"/>
      <c r="G122" s="914"/>
      <c r="H122" s="914"/>
      <c r="I122" s="915"/>
      <c r="J122" s="916"/>
    </row>
    <row r="123" spans="1:10">
      <c r="A123" s="907"/>
      <c r="B123" s="908"/>
      <c r="C123" s="914"/>
      <c r="D123" s="914"/>
      <c r="E123" s="914"/>
      <c r="F123" s="914"/>
      <c r="G123" s="914"/>
      <c r="H123" s="914"/>
      <c r="I123" s="915"/>
      <c r="J123" s="916"/>
    </row>
    <row r="124" spans="1:10">
      <c r="A124" s="917"/>
      <c r="B124" s="921"/>
      <c r="C124" s="914"/>
      <c r="D124" s="914"/>
      <c r="E124" s="914"/>
      <c r="F124" s="914"/>
      <c r="G124" s="914"/>
      <c r="H124" s="914"/>
      <c r="I124" s="915"/>
      <c r="J124" s="916"/>
    </row>
    <row r="125" spans="1:10">
      <c r="A125" s="907"/>
      <c r="B125" s="908"/>
      <c r="C125" s="914"/>
      <c r="D125" s="914"/>
      <c r="E125" s="914"/>
      <c r="F125" s="914"/>
      <c r="G125" s="914"/>
      <c r="H125" s="914"/>
      <c r="I125" s="915"/>
      <c r="J125" s="916"/>
    </row>
    <row r="126" spans="1:10">
      <c r="A126" s="917"/>
      <c r="B126" s="921"/>
      <c r="C126" s="914"/>
      <c r="D126" s="914"/>
      <c r="E126" s="914"/>
      <c r="F126" s="914"/>
      <c r="G126" s="914"/>
      <c r="H126" s="914"/>
      <c r="I126" s="915"/>
      <c r="J126" s="916"/>
    </row>
    <row r="127" spans="1:10">
      <c r="A127" s="907"/>
      <c r="B127" s="908"/>
      <c r="C127" s="914"/>
      <c r="D127" s="914"/>
      <c r="E127" s="914"/>
      <c r="F127" s="914"/>
      <c r="G127" s="914"/>
      <c r="H127" s="914"/>
      <c r="I127" s="915"/>
      <c r="J127" s="916"/>
    </row>
    <row r="128" spans="1:10">
      <c r="A128" s="917"/>
      <c r="B128" s="921"/>
      <c r="C128" s="914"/>
      <c r="D128" s="914"/>
      <c r="E128" s="914"/>
      <c r="F128" s="914"/>
      <c r="G128" s="914"/>
      <c r="H128" s="914"/>
      <c r="I128" s="915"/>
      <c r="J128" s="916"/>
    </row>
    <row r="129" spans="1:10">
      <c r="A129" s="907"/>
      <c r="B129" s="908"/>
      <c r="C129" s="914"/>
      <c r="D129" s="914"/>
      <c r="E129" s="914"/>
      <c r="F129" s="914"/>
      <c r="G129" s="914"/>
      <c r="H129" s="914"/>
      <c r="I129" s="915"/>
      <c r="J129" s="916"/>
    </row>
    <row r="130" spans="1:10">
      <c r="A130" s="917"/>
      <c r="B130" s="921"/>
      <c r="C130" s="914"/>
      <c r="D130" s="914"/>
      <c r="E130" s="914"/>
      <c r="F130" s="914"/>
      <c r="G130" s="914"/>
      <c r="H130" s="914"/>
      <c r="I130" s="915"/>
      <c r="J130" s="916"/>
    </row>
    <row r="131" spans="1:10">
      <c r="A131" s="907"/>
      <c r="B131" s="908"/>
      <c r="C131" s="914"/>
      <c r="D131" s="914"/>
      <c r="E131" s="914"/>
      <c r="F131" s="914"/>
      <c r="G131" s="914"/>
      <c r="H131" s="914"/>
      <c r="I131" s="915"/>
      <c r="J131" s="916"/>
    </row>
    <row r="132" spans="1:10">
      <c r="A132" s="917"/>
      <c r="B132" s="921"/>
      <c r="C132" s="928"/>
      <c r="D132" s="928"/>
      <c r="E132" s="928"/>
      <c r="F132" s="928"/>
      <c r="G132" s="928"/>
      <c r="H132" s="928"/>
      <c r="I132" s="915"/>
      <c r="J132" s="916"/>
    </row>
    <row r="133" spans="1:10">
      <c r="A133" s="907"/>
      <c r="B133" s="908"/>
      <c r="C133" s="914"/>
      <c r="D133" s="914"/>
      <c r="E133" s="914"/>
      <c r="F133" s="914"/>
      <c r="G133" s="914"/>
      <c r="H133" s="914"/>
      <c r="I133" s="915"/>
      <c r="J133" s="916"/>
    </row>
    <row r="134" spans="1:10">
      <c r="A134" s="917"/>
      <c r="B134" s="921"/>
      <c r="C134" s="914"/>
      <c r="D134" s="914"/>
      <c r="E134" s="914"/>
      <c r="F134" s="914"/>
      <c r="G134" s="914"/>
      <c r="H134" s="914"/>
      <c r="I134" s="915"/>
      <c r="J134" s="913"/>
    </row>
    <row r="135" spans="1:10">
      <c r="A135" s="907"/>
      <c r="B135" s="908"/>
      <c r="C135" s="914"/>
      <c r="D135" s="914"/>
      <c r="E135" s="914"/>
      <c r="F135" s="914"/>
      <c r="G135" s="914"/>
      <c r="H135" s="914"/>
      <c r="I135" s="915"/>
      <c r="J135" s="916"/>
    </row>
    <row r="136" spans="1:10">
      <c r="A136" s="917"/>
      <c r="B136" s="921"/>
      <c r="C136" s="911"/>
      <c r="D136" s="911"/>
      <c r="E136" s="911"/>
      <c r="F136" s="911"/>
      <c r="G136" s="911"/>
      <c r="H136" s="911"/>
      <c r="I136" s="915"/>
      <c r="J136" s="913"/>
    </row>
    <row r="137" spans="1:10">
      <c r="A137" s="907"/>
      <c r="B137" s="908"/>
      <c r="C137" s="914"/>
      <c r="D137" s="914"/>
      <c r="E137" s="914"/>
      <c r="F137" s="914"/>
      <c r="G137" s="914"/>
      <c r="H137" s="914"/>
      <c r="I137" s="929"/>
      <c r="J137" s="930"/>
    </row>
    <row r="138" spans="1:10" ht="15" thickBot="1">
      <c r="A138" s="922"/>
      <c r="B138" s="923"/>
      <c r="C138" s="1389"/>
      <c r="D138" s="1389"/>
      <c r="E138" s="1389"/>
      <c r="F138" s="1389"/>
      <c r="G138" s="1389"/>
      <c r="H138" s="1389"/>
      <c r="I138" s="1389"/>
      <c r="J138" s="1390"/>
    </row>
    <row r="139" spans="1:10" ht="15.6" thickTop="1" thickBot="1"/>
    <row r="140" spans="1:10" ht="15" thickTop="1">
      <c r="A140" s="900"/>
      <c r="B140" s="901"/>
      <c r="C140" s="902"/>
      <c r="D140" s="902"/>
      <c r="E140" s="902"/>
      <c r="F140" s="902"/>
      <c r="G140" s="902"/>
      <c r="H140" s="902"/>
      <c r="I140" s="902"/>
      <c r="J140" s="903"/>
    </row>
    <row r="141" spans="1:10" ht="17.399999999999999">
      <c r="A141" s="1392"/>
      <c r="B141" s="1393"/>
      <c r="C141" s="1393"/>
      <c r="D141" s="1393"/>
      <c r="E141" s="1393"/>
      <c r="F141" s="1393"/>
      <c r="G141" s="1393"/>
      <c r="H141" s="1393"/>
      <c r="I141" s="1393"/>
      <c r="J141" s="1394"/>
    </row>
    <row r="142" spans="1:10">
      <c r="A142" s="907"/>
      <c r="B142" s="908"/>
      <c r="C142" s="911"/>
      <c r="D142" s="911"/>
      <c r="E142" s="911"/>
      <c r="F142" s="911"/>
      <c r="G142" s="911"/>
      <c r="H142" s="911"/>
      <c r="I142" s="911"/>
      <c r="J142" s="927"/>
    </row>
    <row r="143" spans="1:10">
      <c r="A143" s="917"/>
      <c r="B143" s="921"/>
      <c r="C143" s="1395"/>
      <c r="D143" s="1395"/>
      <c r="E143" s="1395"/>
      <c r="F143" s="1395"/>
      <c r="G143" s="1395"/>
      <c r="H143" s="1395"/>
      <c r="I143" s="915"/>
      <c r="J143" s="913"/>
    </row>
    <row r="144" spans="1:10">
      <c r="A144" s="907"/>
      <c r="B144" s="908"/>
      <c r="C144" s="911"/>
      <c r="D144" s="911"/>
      <c r="E144" s="911"/>
      <c r="F144" s="911"/>
      <c r="G144" s="911"/>
      <c r="H144" s="911"/>
      <c r="I144" s="912"/>
      <c r="J144" s="913"/>
    </row>
    <row r="145" spans="1:10">
      <c r="A145" s="917"/>
      <c r="B145" s="921"/>
      <c r="C145" s="914"/>
      <c r="D145" s="914"/>
      <c r="E145" s="914"/>
      <c r="F145" s="914"/>
      <c r="G145" s="914"/>
      <c r="H145" s="914"/>
      <c r="I145" s="915"/>
      <c r="J145" s="913"/>
    </row>
    <row r="146" spans="1:10">
      <c r="A146" s="917"/>
      <c r="B146" s="921"/>
      <c r="C146" s="914"/>
      <c r="D146" s="914"/>
      <c r="E146" s="914"/>
      <c r="F146" s="914"/>
      <c r="G146" s="914"/>
      <c r="H146" s="914"/>
      <c r="I146" s="915"/>
      <c r="J146" s="913"/>
    </row>
    <row r="147" spans="1:10">
      <c r="A147" s="917"/>
      <c r="B147" s="921"/>
      <c r="C147" s="914"/>
      <c r="D147" s="914"/>
      <c r="E147" s="914"/>
      <c r="F147" s="914"/>
      <c r="G147" s="914"/>
      <c r="H147" s="914"/>
      <c r="I147" s="915"/>
      <c r="J147" s="913"/>
    </row>
    <row r="148" spans="1:10">
      <c r="A148" s="917"/>
      <c r="B148" s="921"/>
      <c r="C148" s="914"/>
      <c r="D148" s="914"/>
      <c r="E148" s="914"/>
      <c r="F148" s="914"/>
      <c r="G148" s="914"/>
      <c r="H148" s="914"/>
      <c r="I148" s="915"/>
      <c r="J148" s="913"/>
    </row>
    <row r="149" spans="1:10">
      <c r="A149" s="917"/>
      <c r="B149" s="921"/>
      <c r="C149" s="914"/>
      <c r="D149" s="914"/>
      <c r="E149" s="914"/>
      <c r="F149" s="914"/>
      <c r="G149" s="914"/>
      <c r="H149" s="914"/>
      <c r="I149" s="915"/>
      <c r="J149" s="913"/>
    </row>
    <row r="150" spans="1:10">
      <c r="A150" s="917"/>
      <c r="B150" s="921"/>
      <c r="C150" s="914"/>
      <c r="D150" s="914"/>
      <c r="E150" s="914"/>
      <c r="F150" s="914"/>
      <c r="G150" s="914"/>
      <c r="H150" s="914"/>
      <c r="I150" s="915"/>
      <c r="J150" s="913"/>
    </row>
    <row r="151" spans="1:10">
      <c r="A151" s="917"/>
      <c r="B151" s="921"/>
      <c r="C151" s="914"/>
      <c r="D151" s="914"/>
      <c r="E151" s="914"/>
      <c r="F151" s="914"/>
      <c r="G151" s="914"/>
      <c r="H151" s="914"/>
      <c r="I151" s="915"/>
      <c r="J151" s="913"/>
    </row>
    <row r="152" spans="1:10">
      <c r="A152" s="917"/>
      <c r="B152" s="921"/>
      <c r="C152" s="914"/>
      <c r="D152" s="914"/>
      <c r="E152" s="914"/>
      <c r="F152" s="914"/>
      <c r="G152" s="914"/>
      <c r="H152" s="914"/>
      <c r="I152" s="915"/>
      <c r="J152" s="913"/>
    </row>
    <row r="153" spans="1:10">
      <c r="A153" s="917"/>
      <c r="B153" s="921"/>
      <c r="C153" s="914"/>
      <c r="D153" s="914"/>
      <c r="E153" s="914"/>
      <c r="F153" s="914"/>
      <c r="G153" s="914"/>
      <c r="H153" s="914"/>
      <c r="I153" s="915"/>
      <c r="J153" s="913"/>
    </row>
    <row r="154" spans="1:10">
      <c r="A154" s="917"/>
      <c r="B154" s="921"/>
      <c r="C154" s="914"/>
      <c r="D154" s="914"/>
      <c r="E154" s="914"/>
      <c r="F154" s="914"/>
      <c r="G154" s="914"/>
      <c r="H154" s="914"/>
      <c r="I154" s="915"/>
      <c r="J154" s="913"/>
    </row>
    <row r="155" spans="1:10">
      <c r="A155" s="917"/>
      <c r="B155" s="921"/>
      <c r="C155" s="914"/>
      <c r="D155" s="914"/>
      <c r="E155" s="914"/>
      <c r="F155" s="914"/>
      <c r="G155" s="914"/>
      <c r="H155" s="914"/>
      <c r="I155" s="915"/>
      <c r="J155" s="913"/>
    </row>
    <row r="156" spans="1:10">
      <c r="A156" s="907"/>
      <c r="B156" s="908"/>
      <c r="C156" s="911"/>
      <c r="D156" s="911"/>
      <c r="E156" s="911"/>
      <c r="F156" s="911"/>
      <c r="G156" s="911"/>
      <c r="H156" s="911"/>
      <c r="I156" s="912"/>
      <c r="J156" s="913"/>
    </row>
    <row r="157" spans="1:10">
      <c r="A157" s="917"/>
      <c r="B157" s="921"/>
      <c r="C157" s="914"/>
      <c r="D157" s="914"/>
      <c r="E157" s="914"/>
      <c r="F157" s="914"/>
      <c r="G157" s="914"/>
      <c r="H157" s="914"/>
      <c r="I157" s="915"/>
      <c r="J157" s="916"/>
    </row>
    <row r="158" spans="1:10">
      <c r="A158" s="907"/>
      <c r="B158" s="908"/>
      <c r="C158" s="914"/>
      <c r="D158" s="914"/>
      <c r="E158" s="914"/>
      <c r="F158" s="914"/>
      <c r="G158" s="914"/>
      <c r="H158" s="914"/>
      <c r="I158" s="915"/>
      <c r="J158" s="916"/>
    </row>
    <row r="159" spans="1:10">
      <c r="A159" s="917"/>
      <c r="B159" s="921"/>
      <c r="C159" s="914"/>
      <c r="D159" s="914"/>
      <c r="E159" s="914"/>
      <c r="F159" s="914"/>
      <c r="G159" s="914"/>
      <c r="H159" s="914"/>
      <c r="I159" s="915"/>
      <c r="J159" s="916"/>
    </row>
    <row r="160" spans="1:10">
      <c r="A160" s="907"/>
      <c r="B160" s="908"/>
      <c r="C160" s="914"/>
      <c r="D160" s="914"/>
      <c r="E160" s="914"/>
      <c r="F160" s="914"/>
      <c r="G160" s="914"/>
      <c r="H160" s="914"/>
      <c r="I160" s="915"/>
      <c r="J160" s="916"/>
    </row>
    <row r="161" spans="1:10">
      <c r="A161" s="917"/>
      <c r="B161" s="921"/>
      <c r="C161" s="914"/>
      <c r="D161" s="914"/>
      <c r="E161" s="914"/>
      <c r="F161" s="914"/>
      <c r="G161" s="914"/>
      <c r="H161" s="914"/>
      <c r="I161" s="915"/>
      <c r="J161" s="916"/>
    </row>
    <row r="162" spans="1:10">
      <c r="A162" s="907"/>
      <c r="B162" s="908"/>
      <c r="C162" s="911"/>
      <c r="D162" s="911"/>
      <c r="E162" s="911"/>
      <c r="F162" s="911"/>
      <c r="G162" s="911"/>
      <c r="H162" s="911"/>
      <c r="I162" s="912"/>
      <c r="J162" s="913"/>
    </row>
    <row r="163" spans="1:10">
      <c r="A163" s="917"/>
      <c r="B163" s="921"/>
      <c r="C163" s="914"/>
      <c r="D163" s="914"/>
      <c r="E163" s="914"/>
      <c r="F163" s="914"/>
      <c r="G163" s="914"/>
      <c r="H163" s="914"/>
      <c r="I163" s="915"/>
      <c r="J163" s="916"/>
    </row>
    <row r="164" spans="1:10" ht="30">
      <c r="A164" s="907"/>
      <c r="B164" s="908"/>
      <c r="C164" s="1391" t="s">
        <v>502</v>
      </c>
      <c r="D164" s="1391"/>
      <c r="E164" s="1391"/>
      <c r="F164" s="1391"/>
      <c r="G164" s="1391"/>
      <c r="H164" s="1391"/>
      <c r="I164" s="1391"/>
      <c r="J164" s="916"/>
    </row>
    <row r="165" spans="1:10">
      <c r="A165" s="917"/>
      <c r="B165" s="921"/>
      <c r="C165" s="914"/>
      <c r="D165" s="914"/>
      <c r="E165" s="914"/>
      <c r="F165" s="914"/>
      <c r="G165" s="914"/>
      <c r="H165" s="914"/>
      <c r="I165" s="915"/>
      <c r="J165" s="916"/>
    </row>
    <row r="166" spans="1:10">
      <c r="A166" s="907"/>
      <c r="B166" s="908"/>
      <c r="C166" s="914"/>
      <c r="D166" s="914"/>
      <c r="E166" s="914"/>
      <c r="F166" s="914"/>
      <c r="G166" s="914"/>
      <c r="H166" s="914"/>
      <c r="I166" s="915"/>
      <c r="J166" s="916"/>
    </row>
    <row r="167" spans="1:10">
      <c r="A167" s="907"/>
      <c r="B167" s="908"/>
      <c r="C167" s="914"/>
      <c r="D167" s="914"/>
      <c r="E167" s="914"/>
      <c r="F167" s="914"/>
      <c r="G167" s="914"/>
      <c r="H167" s="914"/>
      <c r="I167" s="915"/>
      <c r="J167" s="916"/>
    </row>
    <row r="168" spans="1:10">
      <c r="A168" s="917"/>
      <c r="B168" s="921"/>
      <c r="C168" s="914"/>
      <c r="D168" s="914"/>
      <c r="E168" s="914"/>
      <c r="F168" s="914"/>
      <c r="G168" s="914"/>
      <c r="H168" s="914"/>
      <c r="I168" s="915"/>
      <c r="J168" s="916"/>
    </row>
    <row r="169" spans="1:10">
      <c r="A169" s="907"/>
      <c r="B169" s="908"/>
      <c r="C169" s="911"/>
      <c r="D169" s="911"/>
      <c r="E169" s="911"/>
      <c r="F169" s="911"/>
      <c r="G169" s="911"/>
      <c r="H169" s="911"/>
      <c r="I169" s="912"/>
      <c r="J169" s="913"/>
    </row>
    <row r="170" spans="1:10">
      <c r="A170" s="917"/>
      <c r="B170" s="921"/>
      <c r="C170" s="914"/>
      <c r="D170" s="914"/>
      <c r="E170" s="914"/>
      <c r="F170" s="914"/>
      <c r="G170" s="914"/>
      <c r="H170" s="914"/>
      <c r="I170" s="915"/>
      <c r="J170" s="916"/>
    </row>
    <row r="171" spans="1:10">
      <c r="A171" s="917"/>
      <c r="B171" s="921"/>
      <c r="C171" s="914"/>
      <c r="D171" s="914"/>
      <c r="E171" s="914"/>
      <c r="F171" s="914"/>
      <c r="G171" s="914"/>
      <c r="H171" s="914"/>
      <c r="I171" s="915"/>
      <c r="J171" s="916"/>
    </row>
    <row r="172" spans="1:10">
      <c r="A172" s="917"/>
      <c r="B172" s="921"/>
      <c r="C172" s="914"/>
      <c r="D172" s="914"/>
      <c r="E172" s="914"/>
      <c r="F172" s="914"/>
      <c r="G172" s="914"/>
      <c r="H172" s="914"/>
      <c r="I172" s="915"/>
      <c r="J172" s="916"/>
    </row>
    <row r="173" spans="1:10" ht="26.25" customHeight="1">
      <c r="A173" s="907"/>
      <c r="B173" s="908"/>
      <c r="C173" s="911"/>
      <c r="D173" s="911"/>
      <c r="E173" s="911"/>
      <c r="F173" s="911"/>
      <c r="G173" s="911"/>
      <c r="H173" s="911"/>
      <c r="I173" s="912"/>
      <c r="J173" s="913"/>
    </row>
    <row r="174" spans="1:10">
      <c r="A174" s="917"/>
      <c r="B174" s="921"/>
      <c r="C174" s="914"/>
      <c r="D174" s="914"/>
      <c r="E174" s="914"/>
      <c r="F174" s="914"/>
      <c r="G174" s="914"/>
      <c r="H174" s="914"/>
      <c r="I174" s="915"/>
      <c r="J174" s="916"/>
    </row>
    <row r="175" spans="1:10">
      <c r="A175" s="907"/>
      <c r="B175" s="908"/>
      <c r="C175" s="914"/>
      <c r="D175" s="914"/>
      <c r="E175" s="914"/>
      <c r="F175" s="914"/>
      <c r="G175" s="914"/>
      <c r="H175" s="914"/>
      <c r="I175" s="915"/>
      <c r="J175" s="916"/>
    </row>
    <row r="176" spans="1:10">
      <c r="A176" s="917"/>
      <c r="B176" s="921"/>
      <c r="C176" s="914"/>
      <c r="D176" s="914"/>
      <c r="E176" s="914"/>
      <c r="F176" s="914"/>
      <c r="G176" s="914"/>
      <c r="H176" s="914"/>
      <c r="I176" s="915"/>
      <c r="J176" s="916"/>
    </row>
    <row r="177" spans="1:10">
      <c r="A177" s="907"/>
      <c r="B177" s="908"/>
      <c r="C177" s="914"/>
      <c r="D177" s="914"/>
      <c r="E177" s="914"/>
      <c r="F177" s="914"/>
      <c r="G177" s="914"/>
      <c r="H177" s="914"/>
      <c r="I177" s="915"/>
      <c r="J177" s="916"/>
    </row>
    <row r="178" spans="1:10">
      <c r="A178" s="917"/>
      <c r="B178" s="921"/>
      <c r="C178" s="914"/>
      <c r="D178" s="914"/>
      <c r="E178" s="914"/>
      <c r="F178" s="914"/>
      <c r="G178" s="914"/>
      <c r="H178" s="914"/>
      <c r="I178" s="915"/>
      <c r="J178" s="916"/>
    </row>
    <row r="179" spans="1:10">
      <c r="A179" s="907"/>
      <c r="B179" s="908"/>
      <c r="C179" s="914"/>
      <c r="D179" s="914"/>
      <c r="E179" s="914"/>
      <c r="F179" s="914"/>
      <c r="G179" s="914"/>
      <c r="H179" s="914"/>
      <c r="I179" s="915"/>
      <c r="J179" s="916"/>
    </row>
    <row r="180" spans="1:10">
      <c r="A180" s="917"/>
      <c r="B180" s="921"/>
      <c r="C180" s="914"/>
      <c r="D180" s="914"/>
      <c r="E180" s="914"/>
      <c r="F180" s="914"/>
      <c r="G180" s="914"/>
      <c r="H180" s="914"/>
      <c r="I180" s="915"/>
      <c r="J180" s="916"/>
    </row>
    <row r="181" spans="1:10">
      <c r="A181" s="907"/>
      <c r="B181" s="908"/>
      <c r="C181" s="914"/>
      <c r="D181" s="914"/>
      <c r="E181" s="914"/>
      <c r="F181" s="914"/>
      <c r="G181" s="914"/>
      <c r="H181" s="914"/>
      <c r="I181" s="915"/>
      <c r="J181" s="916"/>
    </row>
    <row r="182" spans="1:10">
      <c r="A182" s="917"/>
      <c r="B182" s="921"/>
      <c r="C182" s="914"/>
      <c r="D182" s="914"/>
      <c r="E182" s="914"/>
      <c r="F182" s="914"/>
      <c r="G182" s="914"/>
      <c r="H182" s="914"/>
      <c r="I182" s="915"/>
      <c r="J182" s="916"/>
    </row>
    <row r="183" spans="1:10">
      <c r="A183" s="907"/>
      <c r="B183" s="908"/>
      <c r="C183" s="914"/>
      <c r="D183" s="914"/>
      <c r="E183" s="914"/>
      <c r="F183" s="914"/>
      <c r="G183" s="914"/>
      <c r="H183" s="914"/>
      <c r="I183" s="915"/>
      <c r="J183" s="916"/>
    </row>
    <row r="184" spans="1:10">
      <c r="A184" s="917"/>
      <c r="B184" s="921"/>
      <c r="C184" s="928"/>
      <c r="D184" s="928"/>
      <c r="E184" s="928"/>
      <c r="F184" s="928"/>
      <c r="G184" s="928"/>
      <c r="H184" s="928"/>
      <c r="I184" s="915"/>
      <c r="J184" s="916"/>
    </row>
    <row r="185" spans="1:10">
      <c r="A185" s="907"/>
      <c r="B185" s="908"/>
      <c r="C185" s="914"/>
      <c r="D185" s="914"/>
      <c r="E185" s="914"/>
      <c r="F185" s="914"/>
      <c r="G185" s="914"/>
      <c r="H185" s="914"/>
      <c r="I185" s="915"/>
      <c r="J185" s="916"/>
    </row>
    <row r="186" spans="1:10">
      <c r="A186" s="917"/>
      <c r="B186" s="921"/>
      <c r="C186" s="914"/>
      <c r="D186" s="914"/>
      <c r="E186" s="914"/>
      <c r="F186" s="914"/>
      <c r="G186" s="914"/>
      <c r="H186" s="914"/>
      <c r="I186" s="915"/>
      <c r="J186" s="913"/>
    </row>
    <row r="187" spans="1:10">
      <c r="A187" s="907"/>
      <c r="B187" s="908"/>
      <c r="C187" s="914"/>
      <c r="D187" s="914"/>
      <c r="E187" s="914"/>
      <c r="F187" s="914"/>
      <c r="G187" s="914"/>
      <c r="H187" s="914"/>
      <c r="I187" s="915"/>
      <c r="J187" s="916"/>
    </row>
    <row r="188" spans="1:10">
      <c r="A188" s="917"/>
      <c r="B188" s="921"/>
      <c r="C188" s="911"/>
      <c r="D188" s="911"/>
      <c r="E188" s="911"/>
      <c r="F188" s="911"/>
      <c r="G188" s="911"/>
      <c r="H188" s="911"/>
      <c r="I188" s="915"/>
      <c r="J188" s="913"/>
    </row>
    <row r="189" spans="1:10">
      <c r="A189" s="907"/>
      <c r="B189" s="908"/>
      <c r="C189" s="914"/>
      <c r="D189" s="914"/>
      <c r="E189" s="914"/>
      <c r="F189" s="914"/>
      <c r="G189" s="914"/>
      <c r="H189" s="914"/>
      <c r="I189" s="929"/>
      <c r="J189" s="930"/>
    </row>
    <row r="190" spans="1:10" ht="15" thickBot="1">
      <c r="A190" s="922"/>
      <c r="B190" s="923"/>
      <c r="C190" s="1389"/>
      <c r="D190" s="1389"/>
      <c r="E190" s="1389"/>
      <c r="F190" s="1389"/>
      <c r="G190" s="1389"/>
      <c r="H190" s="1389"/>
      <c r="I190" s="1389"/>
      <c r="J190" s="1390"/>
    </row>
    <row r="191" spans="1:10" ht="15" thickTop="1"/>
  </sheetData>
  <mergeCells count="19">
    <mergeCell ref="C39:H39"/>
    <mergeCell ref="A3:J3"/>
    <mergeCell ref="A4:J4"/>
    <mergeCell ref="C20:J20"/>
    <mergeCell ref="C21:J21"/>
    <mergeCell ref="A37:J37"/>
    <mergeCell ref="C190:H190"/>
    <mergeCell ref="I190:J190"/>
    <mergeCell ref="C62:I62"/>
    <mergeCell ref="C86:H86"/>
    <mergeCell ref="I86:J86"/>
    <mergeCell ref="A89:J89"/>
    <mergeCell ref="C91:H91"/>
    <mergeCell ref="C114:I114"/>
    <mergeCell ref="C138:H138"/>
    <mergeCell ref="I138:J138"/>
    <mergeCell ref="A141:J141"/>
    <mergeCell ref="C143:H143"/>
    <mergeCell ref="C164:I164"/>
  </mergeCells>
  <printOptions horizontalCentered="1"/>
  <pageMargins left="0.70866141732283472" right="0.70866141732283472" top="0.74803149606299213" bottom="0.74803149606299213" header="0.31496062992125984" footer="0.31496062992125984"/>
  <pageSetup scale="87" orientation="portrait" horizontalDpi="4294967295" verticalDpi="4294967295" r:id="rId1"/>
  <rowBreaks count="2" manualBreakCount="2">
    <brk id="35" max="16383" man="1"/>
    <brk id="8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"/>
  <sheetViews>
    <sheetView view="pageBreakPreview" topLeftCell="A10" zoomScale="115" zoomScaleNormal="70" zoomScaleSheetLayoutView="115" zoomScalePageLayoutView="25" workbookViewId="0">
      <selection activeCell="T15" sqref="T15"/>
    </sheetView>
  </sheetViews>
  <sheetFormatPr baseColWidth="10" defaultColWidth="11.44140625" defaultRowHeight="13.5" customHeight="1"/>
  <cols>
    <col min="1" max="2" width="5.6640625" style="837" customWidth="1"/>
    <col min="3" max="3" width="9" style="837" customWidth="1"/>
    <col min="4" max="12" width="5.6640625" style="837" customWidth="1"/>
    <col min="13" max="13" width="5.6640625" style="837" hidden="1" customWidth="1"/>
    <col min="14" max="15" width="5.6640625" style="837" customWidth="1"/>
    <col min="16" max="16384" width="11.44140625" style="837"/>
  </cols>
  <sheetData>
    <row r="1" spans="1:14" ht="13.2">
      <c r="A1" s="834"/>
      <c r="B1" s="835"/>
      <c r="C1" s="835"/>
      <c r="D1" s="835"/>
      <c r="E1" s="835"/>
      <c r="F1" s="835"/>
      <c r="G1" s="835"/>
      <c r="H1" s="835"/>
      <c r="I1" s="835"/>
      <c r="J1" s="835"/>
      <c r="K1" s="835"/>
      <c r="L1" s="835"/>
      <c r="M1" s="835"/>
      <c r="N1" s="836"/>
    </row>
    <row r="2" spans="1:14" ht="13.2">
      <c r="A2" s="838"/>
      <c r="B2" s="839"/>
      <c r="C2" s="839"/>
      <c r="D2" s="839"/>
      <c r="E2" s="839"/>
      <c r="F2" s="839"/>
      <c r="G2" s="839"/>
      <c r="H2" s="839"/>
      <c r="I2" s="839"/>
      <c r="J2" s="839"/>
      <c r="K2" s="839"/>
      <c r="L2" s="839"/>
      <c r="M2" s="839"/>
      <c r="N2" s="840"/>
    </row>
    <row r="3" spans="1:14" ht="20.399999999999999">
      <c r="A3" s="1403" t="s">
        <v>155</v>
      </c>
      <c r="B3" s="1404"/>
      <c r="C3" s="1404"/>
      <c r="D3" s="1404"/>
      <c r="E3" s="1404"/>
      <c r="F3" s="1404"/>
      <c r="G3" s="1404"/>
      <c r="H3" s="1404"/>
      <c r="I3" s="1404"/>
      <c r="J3" s="1404"/>
      <c r="K3" s="1404"/>
      <c r="L3" s="1404"/>
      <c r="M3" s="1404"/>
      <c r="N3" s="1405"/>
    </row>
    <row r="4" spans="1:14" ht="13.8">
      <c r="A4" s="1406" t="s">
        <v>617</v>
      </c>
      <c r="B4" s="1407"/>
      <c r="C4" s="1407"/>
      <c r="D4" s="1407"/>
      <c r="E4" s="1407"/>
      <c r="F4" s="1407"/>
      <c r="G4" s="1407"/>
      <c r="H4" s="1407"/>
      <c r="I4" s="1407"/>
      <c r="J4" s="1407"/>
      <c r="K4" s="1407"/>
      <c r="L4" s="1407"/>
      <c r="M4" s="1407"/>
      <c r="N4" s="1408"/>
    </row>
    <row r="5" spans="1:14" ht="13.2">
      <c r="A5" s="838"/>
      <c r="B5" s="839"/>
      <c r="C5" s="839"/>
      <c r="D5" s="839"/>
      <c r="E5" s="839"/>
      <c r="F5" s="839"/>
      <c r="G5" s="839"/>
      <c r="H5" s="839"/>
      <c r="I5" s="839"/>
      <c r="J5" s="839"/>
      <c r="K5" s="839"/>
      <c r="L5" s="839"/>
      <c r="M5" s="839"/>
      <c r="N5" s="840"/>
    </row>
    <row r="6" spans="1:14" ht="13.2">
      <c r="A6" s="838"/>
      <c r="B6" s="839"/>
      <c r="C6" s="839"/>
      <c r="D6" s="839"/>
      <c r="E6" s="839"/>
      <c r="F6" s="839"/>
      <c r="G6" s="839"/>
      <c r="H6" s="839"/>
      <c r="I6" s="839"/>
      <c r="J6" s="839"/>
      <c r="K6" s="839"/>
      <c r="L6" s="839"/>
      <c r="M6" s="839"/>
      <c r="N6" s="840"/>
    </row>
    <row r="7" spans="1:14" ht="13.2">
      <c r="A7" s="1412"/>
      <c r="B7" s="1413"/>
      <c r="C7" s="1413"/>
      <c r="D7" s="1413"/>
      <c r="E7" s="1413"/>
      <c r="F7" s="1413"/>
      <c r="G7" s="1413"/>
      <c r="H7" s="1413"/>
      <c r="I7" s="1413"/>
      <c r="J7" s="1413"/>
      <c r="K7" s="1413"/>
      <c r="L7" s="1413"/>
      <c r="M7" s="1413"/>
      <c r="N7" s="1414"/>
    </row>
    <row r="8" spans="1:14" ht="13.2">
      <c r="A8" s="1412"/>
      <c r="B8" s="1413"/>
      <c r="C8" s="1413"/>
      <c r="D8" s="1413"/>
      <c r="E8" s="1413"/>
      <c r="F8" s="1413"/>
      <c r="G8" s="1413"/>
      <c r="H8" s="1413"/>
      <c r="I8" s="1413"/>
      <c r="J8" s="1413"/>
      <c r="K8" s="1413"/>
      <c r="L8" s="1413"/>
      <c r="M8" s="1413"/>
      <c r="N8" s="1414"/>
    </row>
    <row r="9" spans="1:14" ht="13.2">
      <c r="A9" s="838"/>
      <c r="B9" s="839"/>
      <c r="C9" s="839"/>
      <c r="D9" s="839"/>
      <c r="E9" s="839"/>
      <c r="F9" s="839"/>
      <c r="G9" s="844"/>
      <c r="H9" s="844"/>
      <c r="I9" s="844"/>
      <c r="J9" s="844"/>
      <c r="K9" s="844"/>
      <c r="L9" s="844"/>
      <c r="M9" s="844"/>
      <c r="N9" s="840"/>
    </row>
    <row r="10" spans="1:14" ht="13.2">
      <c r="A10" s="838"/>
      <c r="B10" s="839"/>
      <c r="C10" s="839"/>
      <c r="D10" s="839"/>
      <c r="E10" s="839"/>
      <c r="F10" s="839"/>
      <c r="G10" s="844"/>
      <c r="H10" s="844"/>
      <c r="I10" s="844"/>
      <c r="J10" s="844"/>
      <c r="K10" s="844"/>
      <c r="L10" s="844"/>
      <c r="M10" s="844"/>
      <c r="N10" s="840"/>
    </row>
    <row r="11" spans="1:14" ht="13.2">
      <c r="A11" s="838"/>
      <c r="B11" s="839"/>
      <c r="C11" s="839"/>
      <c r="D11" s="839"/>
      <c r="E11" s="839"/>
      <c r="F11" s="839"/>
      <c r="G11" s="844"/>
      <c r="H11" s="844"/>
      <c r="I11" s="844"/>
      <c r="J11" s="844"/>
      <c r="K11" s="844"/>
      <c r="L11" s="844"/>
      <c r="M11" s="844"/>
      <c r="N11" s="840"/>
    </row>
    <row r="12" spans="1:14" ht="13.2">
      <c r="A12" s="845"/>
      <c r="B12" s="839"/>
      <c r="C12" s="839"/>
      <c r="D12" s="839"/>
      <c r="E12" s="839"/>
      <c r="F12" s="839"/>
      <c r="G12" s="844"/>
      <c r="H12" s="844"/>
      <c r="I12" s="844"/>
      <c r="J12" s="844"/>
      <c r="K12" s="844"/>
      <c r="L12" s="844"/>
      <c r="M12" s="844"/>
      <c r="N12" s="846"/>
    </row>
    <row r="13" spans="1:14" ht="13.2">
      <c r="A13" s="838"/>
      <c r="B13" s="839"/>
      <c r="C13" s="839"/>
      <c r="D13" s="839"/>
      <c r="E13" s="839"/>
      <c r="F13" s="864" t="s">
        <v>470</v>
      </c>
      <c r="G13" s="839"/>
      <c r="H13" s="839"/>
      <c r="I13" s="839"/>
      <c r="J13" s="839"/>
      <c r="K13" s="839"/>
      <c r="L13" s="839"/>
      <c r="M13" s="839"/>
      <c r="N13" s="840"/>
    </row>
    <row r="14" spans="1:14" ht="13.2">
      <c r="A14" s="838"/>
      <c r="B14" s="839"/>
      <c r="C14" s="839"/>
      <c r="D14" s="847"/>
      <c r="E14" s="848"/>
      <c r="F14" s="839"/>
      <c r="G14" s="839"/>
      <c r="H14" s="839"/>
      <c r="I14" s="839"/>
      <c r="J14" s="839"/>
      <c r="K14" s="839"/>
      <c r="L14" s="839"/>
      <c r="M14" s="839"/>
      <c r="N14" s="840"/>
    </row>
    <row r="15" spans="1:14" ht="13.2">
      <c r="A15" s="838"/>
      <c r="B15" s="844"/>
      <c r="C15" s="844"/>
      <c r="D15" s="848"/>
      <c r="E15" s="839"/>
      <c r="F15" s="839"/>
      <c r="G15" s="839"/>
      <c r="H15" s="839"/>
      <c r="I15" s="839"/>
      <c r="J15" s="839"/>
      <c r="K15" s="839"/>
      <c r="L15" s="839"/>
      <c r="M15" s="839"/>
      <c r="N15" s="840"/>
    </row>
    <row r="16" spans="1:14" ht="13.2">
      <c r="A16" s="838"/>
      <c r="B16" s="839"/>
      <c r="C16" s="839"/>
      <c r="D16" s="839"/>
      <c r="E16" s="839"/>
      <c r="F16" s="839"/>
      <c r="G16" s="839"/>
      <c r="H16" s="839"/>
      <c r="I16" s="839"/>
      <c r="J16" s="839"/>
      <c r="K16" s="839"/>
      <c r="L16" s="839"/>
      <c r="M16" s="839"/>
      <c r="N16" s="840"/>
    </row>
    <row r="17" spans="1:14" ht="13.2">
      <c r="A17" s="838"/>
      <c r="B17" s="839"/>
      <c r="C17" s="839"/>
      <c r="D17" s="839"/>
      <c r="E17" s="839"/>
      <c r="F17" s="839"/>
      <c r="G17" s="839"/>
      <c r="H17" s="839"/>
      <c r="I17" s="839"/>
      <c r="J17" s="839"/>
      <c r="K17" s="839"/>
      <c r="L17" s="839"/>
      <c r="M17" s="839"/>
      <c r="N17" s="840"/>
    </row>
    <row r="18" spans="1:14" ht="13.2">
      <c r="A18" s="838"/>
      <c r="B18" s="839"/>
      <c r="C18" s="839"/>
      <c r="D18" s="839"/>
      <c r="E18" s="839"/>
      <c r="F18" s="839"/>
      <c r="G18" s="839"/>
      <c r="H18" s="839"/>
      <c r="I18" s="839"/>
      <c r="J18" s="839"/>
      <c r="K18" s="839"/>
      <c r="L18" s="839"/>
      <c r="M18" s="839"/>
      <c r="N18" s="840"/>
    </row>
    <row r="19" spans="1:14" ht="18" customHeight="1">
      <c r="A19" s="1415" t="str">
        <f>+Datos!B2</f>
        <v>PROYECTO: CONSTRUCCION Y REHABILITACION TRAMO CARRETERO VILLA MONTES - LA VERTIENTE - PALO MARCADO</v>
      </c>
      <c r="B19" s="1416"/>
      <c r="C19" s="1416"/>
      <c r="D19" s="1416"/>
      <c r="E19" s="1416"/>
      <c r="F19" s="1416"/>
      <c r="G19" s="1416"/>
      <c r="H19" s="1416"/>
      <c r="I19" s="1416"/>
      <c r="J19" s="1416"/>
      <c r="K19" s="1416"/>
      <c r="L19" s="1416"/>
      <c r="M19" s="1416"/>
      <c r="N19" s="1417"/>
    </row>
    <row r="20" spans="1:14" ht="18" customHeight="1">
      <c r="A20" s="1415"/>
      <c r="B20" s="1416"/>
      <c r="C20" s="1416"/>
      <c r="D20" s="1416"/>
      <c r="E20" s="1416"/>
      <c r="F20" s="1416"/>
      <c r="G20" s="1416"/>
      <c r="H20" s="1416"/>
      <c r="I20" s="1416"/>
      <c r="J20" s="1416"/>
      <c r="K20" s="1416"/>
      <c r="L20" s="1416"/>
      <c r="M20" s="1416"/>
      <c r="N20" s="1417"/>
    </row>
    <row r="21" spans="1:14" ht="17.399999999999999">
      <c r="A21" s="861"/>
      <c r="B21" s="862"/>
      <c r="C21" s="862"/>
      <c r="D21" s="862"/>
      <c r="E21" s="862"/>
      <c r="F21" s="862"/>
      <c r="G21" s="862"/>
      <c r="H21" s="862"/>
      <c r="I21" s="862"/>
      <c r="J21" s="862"/>
      <c r="K21" s="862"/>
      <c r="L21" s="862"/>
      <c r="M21" s="862"/>
      <c r="N21" s="863"/>
    </row>
    <row r="22" spans="1:14" ht="22.8">
      <c r="A22" s="838"/>
      <c r="B22" s="839"/>
      <c r="C22" s="839"/>
      <c r="D22" s="839"/>
      <c r="E22" s="839"/>
      <c r="F22" s="839"/>
      <c r="G22" s="839"/>
      <c r="H22" s="839"/>
      <c r="I22" s="839"/>
      <c r="J22" s="839"/>
      <c r="K22" s="849"/>
      <c r="L22" s="839"/>
      <c r="M22" s="839"/>
      <c r="N22" s="840"/>
    </row>
    <row r="23" spans="1:14" ht="13.8">
      <c r="A23" s="1419" t="str">
        <f>"CONTRATO: "&amp;Datos!B4</f>
        <v>CONTRATO: ABC N° 818/19 GNT-SCT-OBR-TGN</v>
      </c>
      <c r="B23" s="1420"/>
      <c r="C23" s="1420"/>
      <c r="D23" s="1420"/>
      <c r="E23" s="1420"/>
      <c r="F23" s="1420"/>
      <c r="G23" s="1420"/>
      <c r="H23" s="1420"/>
      <c r="I23" s="1420"/>
      <c r="J23" s="1420"/>
      <c r="K23" s="1420"/>
      <c r="L23" s="1420"/>
      <c r="M23" s="1420"/>
      <c r="N23" s="1421"/>
    </row>
    <row r="24" spans="1:14" ht="13.8">
      <c r="A24" s="1419" t="str">
        <f>"CONTRATO MODIFICATORIO Nº 1: "&amp;Datos!B5</f>
        <v>CONTRATO MODIFICATORIO Nº 1: ABC Nº 341/20 GTJ-MOD-TGN</v>
      </c>
      <c r="B24" s="1420"/>
      <c r="C24" s="1420"/>
      <c r="D24" s="1420"/>
      <c r="E24" s="1420"/>
      <c r="F24" s="1420"/>
      <c r="G24" s="1420"/>
      <c r="H24" s="1420"/>
      <c r="I24" s="1420"/>
      <c r="J24" s="1420"/>
      <c r="K24" s="1420"/>
      <c r="L24" s="1420"/>
      <c r="M24" s="1420"/>
      <c r="N24" s="1421"/>
    </row>
    <row r="25" spans="1:14" ht="13.2">
      <c r="A25" s="838"/>
      <c r="B25" s="839"/>
      <c r="C25" s="839"/>
      <c r="D25" s="839"/>
      <c r="E25" s="839"/>
      <c r="F25" s="839"/>
      <c r="G25" s="839"/>
      <c r="H25" s="839"/>
      <c r="I25" s="839"/>
      <c r="J25" s="839"/>
      <c r="K25" s="839"/>
      <c r="L25" s="839"/>
      <c r="M25" s="839"/>
      <c r="N25" s="840"/>
    </row>
    <row r="26" spans="1:14" ht="22.8">
      <c r="A26" s="850"/>
      <c r="B26" s="1418" t="str">
        <f>+Datos!C21</f>
        <v>CERTIFICADO DE PAGO Nº 4</v>
      </c>
      <c r="C26" s="1418"/>
      <c r="D26" s="1418"/>
      <c r="E26" s="1418"/>
      <c r="F26" s="1418"/>
      <c r="G26" s="1418"/>
      <c r="H26" s="1418"/>
      <c r="I26" s="1418"/>
      <c r="J26" s="1418"/>
      <c r="K26" s="1418"/>
      <c r="L26" s="1418"/>
      <c r="M26" s="1418"/>
      <c r="N26" s="840"/>
    </row>
    <row r="27" spans="1:14" ht="22.8">
      <c r="A27" s="850"/>
      <c r="B27" s="839"/>
      <c r="C27" s="865"/>
      <c r="D27" s="865"/>
      <c r="E27" s="865"/>
      <c r="F27" s="865"/>
      <c r="G27" s="865"/>
      <c r="H27" s="865"/>
      <c r="I27" s="865"/>
      <c r="J27" s="865"/>
      <c r="K27" s="865"/>
      <c r="L27" s="851"/>
      <c r="M27" s="851"/>
      <c r="N27" s="840"/>
    </row>
    <row r="28" spans="1:14" ht="20.25" customHeight="1">
      <c r="A28" s="857"/>
      <c r="B28" s="858"/>
      <c r="C28" s="1270" t="s">
        <v>473</v>
      </c>
      <c r="D28" s="1422" t="str">
        <f>+Datos!C23</f>
        <v>DICIEMBRE 2020, ENERO 2021 Y FEBRERO 2021</v>
      </c>
      <c r="E28" s="1422"/>
      <c r="F28" s="1422"/>
      <c r="G28" s="1422"/>
      <c r="H28" s="1422"/>
      <c r="I28" s="1422"/>
      <c r="J28" s="1422"/>
      <c r="K28" s="1422"/>
      <c r="L28" s="1422"/>
      <c r="M28" s="1422"/>
      <c r="N28" s="1423"/>
    </row>
    <row r="29" spans="1:14" ht="18" customHeight="1">
      <c r="A29" s="838"/>
      <c r="B29" s="853"/>
      <c r="J29" s="1269"/>
      <c r="K29" s="1269"/>
      <c r="L29" s="1269"/>
      <c r="M29" s="1269"/>
      <c r="N29" s="854"/>
    </row>
    <row r="30" spans="1:14" ht="15.75" customHeight="1">
      <c r="A30" s="852"/>
      <c r="B30" s="853"/>
      <c r="C30" s="853"/>
      <c r="D30" s="853"/>
      <c r="E30" s="853"/>
      <c r="F30" s="853"/>
      <c r="G30" s="1232"/>
      <c r="H30" s="1232"/>
      <c r="I30" s="1232"/>
      <c r="J30" s="1232"/>
      <c r="K30" s="1232"/>
      <c r="L30" s="1232"/>
      <c r="M30" s="1232"/>
      <c r="N30" s="854"/>
    </row>
    <row r="31" spans="1:14" ht="15.75" customHeight="1">
      <c r="A31" s="852"/>
      <c r="B31" s="853"/>
      <c r="C31" s="839"/>
      <c r="D31" s="839"/>
      <c r="E31" s="853"/>
      <c r="F31" s="839"/>
      <c r="G31" s="853"/>
      <c r="H31" s="853"/>
      <c r="I31" s="853"/>
      <c r="J31" s="853"/>
      <c r="K31" s="853"/>
      <c r="L31" s="853"/>
      <c r="M31" s="853"/>
      <c r="N31" s="854"/>
    </row>
    <row r="32" spans="1:14" ht="13.2">
      <c r="A32" s="838"/>
      <c r="B32" s="839"/>
      <c r="C32" s="839"/>
      <c r="E32" s="1272" t="s">
        <v>474</v>
      </c>
      <c r="F32" s="1273" t="s">
        <v>674</v>
      </c>
      <c r="G32" s="1274"/>
      <c r="H32" s="1273"/>
      <c r="I32" s="1275"/>
      <c r="J32" s="1275"/>
      <c r="K32" s="1275"/>
      <c r="L32" s="839"/>
      <c r="M32" s="839"/>
      <c r="N32" s="840"/>
    </row>
    <row r="33" spans="1:14" ht="13.2">
      <c r="A33" s="838"/>
      <c r="B33" s="839"/>
      <c r="C33" s="839"/>
      <c r="D33" s="839"/>
      <c r="F33" s="1424" t="s">
        <v>675</v>
      </c>
      <c r="G33" s="1424"/>
      <c r="H33" s="1424"/>
      <c r="I33" s="1424"/>
      <c r="J33" s="1424"/>
      <c r="K33" s="1424"/>
      <c r="L33" s="839"/>
      <c r="M33" s="839"/>
      <c r="N33" s="840"/>
    </row>
    <row r="34" spans="1:14" ht="13.2">
      <c r="A34" s="838"/>
      <c r="B34" s="839"/>
      <c r="C34" s="839"/>
      <c r="D34" s="839"/>
      <c r="F34" s="1424"/>
      <c r="G34" s="1424"/>
      <c r="H34" s="1424"/>
      <c r="I34" s="1424"/>
      <c r="J34" s="1424"/>
      <c r="K34" s="1424"/>
      <c r="L34" s="839"/>
      <c r="M34" s="839"/>
      <c r="N34" s="840"/>
    </row>
    <row r="35" spans="1:14" ht="13.2">
      <c r="A35" s="838"/>
      <c r="B35" s="839"/>
      <c r="C35" s="839"/>
      <c r="D35" s="839"/>
      <c r="E35" s="961"/>
      <c r="F35" s="839"/>
      <c r="G35" s="839"/>
      <c r="H35" s="961"/>
      <c r="I35" s="839"/>
      <c r="J35" s="839"/>
      <c r="K35" s="839"/>
      <c r="L35" s="839"/>
      <c r="M35" s="839"/>
      <c r="N35" s="840"/>
    </row>
    <row r="36" spans="1:14" ht="13.2">
      <c r="A36" s="838"/>
      <c r="B36" s="839"/>
      <c r="C36" s="839"/>
      <c r="D36" s="839"/>
      <c r="E36" s="839"/>
      <c r="F36" s="839"/>
      <c r="G36" s="839"/>
      <c r="H36" s="839"/>
      <c r="I36" s="839"/>
      <c r="J36" s="839"/>
      <c r="K36" s="839"/>
      <c r="L36" s="839"/>
      <c r="M36" s="839"/>
      <c r="N36" s="840"/>
    </row>
    <row r="37" spans="1:14" ht="13.2">
      <c r="A37" s="838"/>
      <c r="B37" s="839"/>
      <c r="C37" s="860"/>
      <c r="D37" s="860"/>
      <c r="E37" s="859" t="s">
        <v>157</v>
      </c>
      <c r="F37" s="839" t="str">
        <f>+Datos!B6</f>
        <v>Ing. Herlan Rene Ramos Estrada</v>
      </c>
      <c r="G37" s="839"/>
      <c r="H37" s="839"/>
      <c r="I37" s="839"/>
      <c r="J37" s="839"/>
      <c r="K37" s="839"/>
      <c r="L37" s="839"/>
      <c r="M37" s="839"/>
      <c r="N37" s="840"/>
    </row>
    <row r="38" spans="1:14" ht="24" customHeight="1">
      <c r="A38" s="838"/>
      <c r="B38" s="839"/>
      <c r="C38" s="860"/>
      <c r="D38" s="860"/>
      <c r="E38" s="1271" t="s">
        <v>162</v>
      </c>
      <c r="F38" s="1410" t="str">
        <f>+Datos!B16</f>
        <v>EMPRESA ESTRATÉGICA BOLIVIANA DE CONSTRUCCIÓN Y CONSERVACIÓN DE INFRAESTRUCTURA CIVIL (EBC)</v>
      </c>
      <c r="G38" s="1410"/>
      <c r="H38" s="1410"/>
      <c r="I38" s="1410"/>
      <c r="J38" s="1410"/>
      <c r="K38" s="1410"/>
      <c r="L38" s="1410"/>
      <c r="M38" s="1410"/>
      <c r="N38" s="1411"/>
    </row>
    <row r="39" spans="1:14" ht="13.2">
      <c r="A39" s="838"/>
      <c r="B39" s="839"/>
      <c r="C39" s="860"/>
      <c r="D39" s="860"/>
      <c r="E39" s="859" t="s">
        <v>475</v>
      </c>
      <c r="F39" s="839" t="str">
        <f>+Datos!B9</f>
        <v>Ing. Franz Reynaldo Salazar Martinez</v>
      </c>
      <c r="G39" s="839"/>
      <c r="H39" s="839"/>
      <c r="I39" s="839"/>
      <c r="J39" s="839"/>
      <c r="K39" s="839"/>
      <c r="L39" s="839"/>
      <c r="M39" s="839"/>
      <c r="N39" s="840"/>
    </row>
    <row r="40" spans="1:14" ht="13.2">
      <c r="A40" s="838"/>
      <c r="B40" s="839"/>
      <c r="C40" s="839"/>
      <c r="D40" s="839"/>
      <c r="E40" s="839"/>
      <c r="F40" s="839"/>
      <c r="G40" s="839"/>
      <c r="H40" s="839"/>
      <c r="I40" s="839"/>
      <c r="J40" s="839"/>
      <c r="K40" s="839"/>
      <c r="L40" s="839"/>
      <c r="M40" s="839"/>
      <c r="N40" s="840"/>
    </row>
    <row r="41" spans="1:14" ht="13.2">
      <c r="A41" s="838"/>
      <c r="B41" s="839"/>
      <c r="C41" s="839"/>
      <c r="D41" s="839"/>
      <c r="E41" s="839"/>
      <c r="F41" s="839"/>
      <c r="G41" s="839"/>
      <c r="H41" s="839"/>
      <c r="I41" s="839"/>
      <c r="J41" s="839"/>
      <c r="K41" s="839"/>
      <c r="L41" s="839"/>
      <c r="M41" s="839"/>
      <c r="N41" s="840"/>
    </row>
    <row r="42" spans="1:14" ht="13.2">
      <c r="A42" s="838"/>
      <c r="B42" s="839"/>
      <c r="C42" s="839"/>
      <c r="D42" s="839"/>
      <c r="E42" s="839"/>
      <c r="F42" s="839"/>
      <c r="G42" s="839"/>
      <c r="H42" s="839"/>
      <c r="I42" s="839"/>
      <c r="J42" s="839"/>
      <c r="K42" s="839"/>
      <c r="L42" s="839"/>
      <c r="M42" s="839"/>
      <c r="N42" s="840"/>
    </row>
    <row r="43" spans="1:14" ht="13.2">
      <c r="A43" s="838"/>
      <c r="B43" s="839"/>
      <c r="C43" s="839"/>
      <c r="D43" s="839"/>
      <c r="E43" s="839"/>
      <c r="F43" s="839"/>
      <c r="G43" s="839"/>
      <c r="H43" s="839"/>
      <c r="I43" s="839"/>
      <c r="J43" s="839"/>
      <c r="K43" s="839"/>
      <c r="L43" s="839"/>
      <c r="M43" s="839"/>
      <c r="N43" s="840"/>
    </row>
    <row r="44" spans="1:14" ht="13.2">
      <c r="A44" s="838"/>
      <c r="B44" s="1409" t="s">
        <v>526</v>
      </c>
      <c r="C44" s="1409"/>
      <c r="D44" s="1409"/>
      <c r="E44" s="1409"/>
      <c r="F44" s="1409"/>
      <c r="G44" s="1409"/>
      <c r="H44" s="1409"/>
      <c r="I44" s="1409"/>
      <c r="J44" s="1409"/>
      <c r="K44" s="1409"/>
      <c r="L44" s="1409"/>
      <c r="M44" s="839"/>
      <c r="N44" s="840"/>
    </row>
    <row r="45" spans="1:14" ht="16.2" thickBot="1">
      <c r="A45" s="841"/>
      <c r="B45" s="855"/>
      <c r="C45" s="855"/>
      <c r="D45" s="855"/>
      <c r="E45" s="855"/>
      <c r="F45" s="842"/>
      <c r="G45" s="842"/>
      <c r="H45" s="842"/>
      <c r="I45" s="842"/>
      <c r="J45" s="842"/>
      <c r="K45" s="856"/>
      <c r="L45" s="842"/>
      <c r="M45" s="842"/>
      <c r="N45" s="843"/>
    </row>
  </sheetData>
  <mergeCells count="12">
    <mergeCell ref="A3:N3"/>
    <mergeCell ref="A4:N4"/>
    <mergeCell ref="B44:L44"/>
    <mergeCell ref="F38:N38"/>
    <mergeCell ref="A7:N7"/>
    <mergeCell ref="A8:N8"/>
    <mergeCell ref="A19:N20"/>
    <mergeCell ref="B26:M26"/>
    <mergeCell ref="A23:N23"/>
    <mergeCell ref="A24:N24"/>
    <mergeCell ref="D28:N28"/>
    <mergeCell ref="F33:K34"/>
  </mergeCells>
  <printOptions horizontalCentered="1"/>
  <pageMargins left="0" right="0" top="0.55118110236220474" bottom="0.51181102362204722" header="0" footer="0"/>
  <pageSetup scale="107"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143"/>
  <sheetViews>
    <sheetView view="pageBreakPreview" zoomScaleNormal="70" zoomScaleSheetLayoutView="100" zoomScalePageLayoutView="25" workbookViewId="0">
      <pane xSplit="1" ySplit="1" topLeftCell="B432" activePane="bottomRight" state="frozen"/>
      <selection activeCell="M11" sqref="M11"/>
      <selection pane="topRight" activeCell="M11" sqref="M11"/>
      <selection pane="bottomLeft" activeCell="M11" sqref="M11"/>
      <selection pane="bottomRight" activeCell="M11" sqref="M11"/>
    </sheetView>
  </sheetViews>
  <sheetFormatPr baseColWidth="10" defaultColWidth="11.44140625" defaultRowHeight="14.1" customHeight="1"/>
  <cols>
    <col min="1" max="2" width="5.6640625" style="985" customWidth="1"/>
    <col min="3" max="3" width="9" style="985" customWidth="1"/>
    <col min="4" max="14" width="5.6640625" style="985" customWidth="1"/>
    <col min="15" max="15" width="5.6640625" style="837" customWidth="1"/>
    <col min="16" max="16384" width="11.44140625" style="837"/>
  </cols>
  <sheetData>
    <row r="1" spans="1:14" ht="14.1" customHeight="1" thickTop="1">
      <c r="A1" s="984"/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  <c r="N1" s="984"/>
    </row>
    <row r="17" spans="1:14" ht="14.1" customHeight="1">
      <c r="B17" s="986"/>
    </row>
    <row r="18" spans="1:14" ht="14.1" customHeight="1">
      <c r="B18" s="986"/>
    </row>
    <row r="20" spans="1:14" ht="69.900000000000006" customHeight="1">
      <c r="A20" s="1430" t="str">
        <f>+I!C6</f>
        <v>INDICE</v>
      </c>
      <c r="B20" s="1430"/>
      <c r="C20" s="1430"/>
      <c r="D20" s="1430"/>
      <c r="E20" s="1430"/>
      <c r="F20" s="1430"/>
      <c r="G20" s="1430"/>
      <c r="H20" s="1430"/>
      <c r="I20" s="1430"/>
      <c r="J20" s="1430"/>
      <c r="K20" s="1430"/>
      <c r="L20" s="1430"/>
      <c r="M20" s="1430"/>
      <c r="N20" s="1430"/>
    </row>
    <row r="21" spans="1:14" ht="14.1" customHeight="1">
      <c r="A21" s="987"/>
      <c r="B21" s="987"/>
      <c r="C21" s="987"/>
      <c r="D21" s="987"/>
      <c r="E21" s="987"/>
      <c r="F21" s="987"/>
      <c r="G21" s="987"/>
      <c r="H21" s="987"/>
      <c r="I21" s="987"/>
      <c r="J21" s="987"/>
      <c r="K21" s="987"/>
      <c r="L21" s="987"/>
      <c r="M21" s="987"/>
      <c r="N21" s="987"/>
    </row>
    <row r="22" spans="1:14" ht="14.1" customHeight="1">
      <c r="A22" s="987"/>
      <c r="B22" s="987"/>
      <c r="C22" s="987"/>
      <c r="D22" s="987"/>
      <c r="E22" s="987"/>
      <c r="F22" s="987"/>
      <c r="G22" s="987"/>
      <c r="H22" s="987"/>
      <c r="I22" s="987"/>
      <c r="J22" s="987"/>
      <c r="K22" s="987"/>
      <c r="L22" s="987"/>
      <c r="M22" s="987"/>
      <c r="N22" s="987"/>
    </row>
    <row r="23" spans="1:14" ht="14.1" customHeight="1">
      <c r="A23" s="987"/>
      <c r="B23" s="987"/>
      <c r="C23" s="987"/>
      <c r="D23" s="987"/>
      <c r="E23" s="987"/>
      <c r="F23" s="987"/>
      <c r="G23" s="987"/>
      <c r="H23" s="987"/>
      <c r="I23" s="987"/>
      <c r="J23" s="987"/>
      <c r="K23" s="987"/>
      <c r="L23" s="987"/>
      <c r="M23" s="987"/>
      <c r="N23" s="987"/>
    </row>
    <row r="24" spans="1:14" ht="14.1" customHeight="1">
      <c r="A24" s="987"/>
      <c r="B24" s="987"/>
      <c r="C24" s="987"/>
      <c r="D24" s="987"/>
      <c r="E24" s="987"/>
      <c r="F24" s="987"/>
      <c r="G24" s="987"/>
      <c r="H24" s="987"/>
      <c r="I24" s="987"/>
      <c r="J24" s="987"/>
      <c r="K24" s="987"/>
      <c r="L24" s="987"/>
      <c r="M24" s="987"/>
      <c r="N24" s="987"/>
    </row>
    <row r="44" spans="1:14" ht="14.1" customHeight="1" thickBot="1">
      <c r="A44" s="988"/>
      <c r="B44" s="988"/>
      <c r="C44" s="988"/>
      <c r="D44" s="988"/>
      <c r="E44" s="988"/>
      <c r="F44" s="988"/>
      <c r="G44" s="988"/>
      <c r="H44" s="988"/>
      <c r="I44" s="988"/>
      <c r="J44" s="988"/>
      <c r="K44" s="988"/>
      <c r="L44" s="988"/>
      <c r="M44" s="988"/>
      <c r="N44" s="988"/>
    </row>
    <row r="45" spans="1:14" ht="14.1" customHeight="1" thickTop="1" thickBot="1"/>
    <row r="46" spans="1:14" ht="14.1" customHeight="1" thickTop="1">
      <c r="A46" s="984"/>
      <c r="B46" s="984"/>
      <c r="C46" s="984"/>
      <c r="D46" s="984"/>
      <c r="E46" s="984"/>
      <c r="F46" s="984"/>
      <c r="G46" s="984"/>
      <c r="H46" s="984"/>
      <c r="I46" s="984"/>
      <c r="J46" s="984"/>
      <c r="K46" s="984"/>
      <c r="L46" s="984"/>
      <c r="M46" s="984"/>
      <c r="N46" s="984"/>
    </row>
    <row r="62" spans="2:2" ht="14.1" customHeight="1">
      <c r="B62" s="986"/>
    </row>
    <row r="63" spans="2:2" ht="14.1" customHeight="1">
      <c r="B63" s="986"/>
    </row>
    <row r="65" spans="1:14" ht="69.900000000000006" customHeight="1">
      <c r="A65" s="1430" t="str">
        <f>+I!C7</f>
        <v>INFORME DEL SUPERVISOR</v>
      </c>
      <c r="B65" s="1430"/>
      <c r="C65" s="1430"/>
      <c r="D65" s="1430"/>
      <c r="E65" s="1430"/>
      <c r="F65" s="1430"/>
      <c r="G65" s="1430"/>
      <c r="H65" s="1430"/>
      <c r="I65" s="1430"/>
      <c r="J65" s="1430"/>
      <c r="K65" s="1430"/>
      <c r="L65" s="1430"/>
      <c r="M65" s="1430"/>
      <c r="N65" s="1430"/>
    </row>
    <row r="66" spans="1:14" ht="14.1" customHeight="1">
      <c r="A66" s="987"/>
      <c r="B66" s="987"/>
      <c r="C66" s="987"/>
      <c r="D66" s="987"/>
      <c r="E66" s="987"/>
      <c r="F66" s="987"/>
      <c r="G66" s="987"/>
      <c r="H66" s="987"/>
      <c r="I66" s="987"/>
      <c r="J66" s="987"/>
      <c r="K66" s="987"/>
      <c r="L66" s="987"/>
      <c r="M66" s="987"/>
      <c r="N66" s="987"/>
    </row>
    <row r="67" spans="1:14" ht="14.1" customHeight="1">
      <c r="A67" s="987"/>
      <c r="B67" s="987"/>
      <c r="C67" s="987"/>
      <c r="D67" s="987"/>
      <c r="E67" s="987"/>
      <c r="F67" s="987"/>
      <c r="G67" s="987"/>
      <c r="H67" s="987"/>
      <c r="I67" s="987"/>
      <c r="J67" s="987"/>
      <c r="K67" s="987"/>
      <c r="L67" s="987"/>
      <c r="M67" s="987"/>
      <c r="N67" s="987"/>
    </row>
    <row r="68" spans="1:14" ht="14.1" customHeight="1">
      <c r="A68" s="987"/>
      <c r="B68" s="987"/>
      <c r="C68" s="987"/>
      <c r="D68" s="987"/>
      <c r="E68" s="987"/>
      <c r="F68" s="987"/>
      <c r="G68" s="987"/>
      <c r="H68" s="987"/>
      <c r="I68" s="987"/>
      <c r="J68" s="987"/>
      <c r="K68" s="987"/>
      <c r="L68" s="987"/>
      <c r="M68" s="987"/>
      <c r="N68" s="987"/>
    </row>
    <row r="69" spans="1:14" ht="14.1" customHeight="1">
      <c r="A69" s="987"/>
      <c r="B69" s="987"/>
      <c r="C69" s="987"/>
      <c r="D69" s="987"/>
      <c r="E69" s="987"/>
      <c r="F69" s="987"/>
      <c r="G69" s="987"/>
      <c r="H69" s="987"/>
      <c r="I69" s="987"/>
      <c r="J69" s="987"/>
      <c r="K69" s="987"/>
      <c r="L69" s="987"/>
      <c r="M69" s="987"/>
      <c r="N69" s="987"/>
    </row>
    <row r="89" spans="1:14" ht="14.1" customHeight="1" thickBot="1">
      <c r="A89" s="988"/>
      <c r="B89" s="988"/>
      <c r="C89" s="988"/>
      <c r="D89" s="988"/>
      <c r="E89" s="988"/>
      <c r="F89" s="988"/>
      <c r="G89" s="988"/>
      <c r="H89" s="988"/>
      <c r="I89" s="988"/>
      <c r="J89" s="988"/>
      <c r="K89" s="988"/>
      <c r="L89" s="988"/>
      <c r="M89" s="988"/>
      <c r="N89" s="988"/>
    </row>
    <row r="90" spans="1:14" ht="14.1" customHeight="1" thickTop="1" thickBot="1"/>
    <row r="91" spans="1:14" ht="14.1" customHeight="1" thickTop="1">
      <c r="A91" s="984"/>
      <c r="B91" s="984"/>
      <c r="C91" s="984"/>
      <c r="D91" s="984"/>
      <c r="E91" s="984"/>
      <c r="F91" s="984"/>
      <c r="G91" s="984"/>
      <c r="H91" s="984"/>
      <c r="I91" s="984"/>
      <c r="J91" s="984"/>
      <c r="K91" s="984"/>
      <c r="L91" s="984"/>
      <c r="M91" s="984"/>
      <c r="N91" s="984"/>
    </row>
    <row r="107" spans="1:14" ht="14.1" customHeight="1">
      <c r="B107" s="986"/>
    </row>
    <row r="108" spans="1:14" ht="14.1" customHeight="1">
      <c r="B108" s="986"/>
    </row>
    <row r="110" spans="1:14" ht="69.900000000000006" customHeight="1">
      <c r="A110" s="1430" t="str">
        <f>+I!C8</f>
        <v>PLANILLA PRINCIPAL</v>
      </c>
      <c r="B110" s="1430"/>
      <c r="C110" s="1430"/>
      <c r="D110" s="1430"/>
      <c r="E110" s="1430"/>
      <c r="F110" s="1430"/>
      <c r="G110" s="1430"/>
      <c r="H110" s="1430"/>
      <c r="I110" s="1430"/>
      <c r="J110" s="1430"/>
      <c r="K110" s="1430"/>
      <c r="L110" s="1430"/>
      <c r="M110" s="1430"/>
      <c r="N110" s="1430"/>
    </row>
    <row r="111" spans="1:14" ht="14.1" customHeight="1">
      <c r="A111" s="987"/>
      <c r="B111" s="987"/>
      <c r="C111" s="987"/>
      <c r="D111" s="987"/>
      <c r="E111" s="987"/>
      <c r="F111" s="987"/>
      <c r="G111" s="987"/>
      <c r="H111" s="987"/>
      <c r="I111" s="987"/>
      <c r="J111" s="987"/>
      <c r="K111" s="987"/>
      <c r="L111" s="987"/>
      <c r="M111" s="987"/>
      <c r="N111" s="987"/>
    </row>
    <row r="112" spans="1:14" ht="14.1" customHeight="1">
      <c r="A112" s="987"/>
      <c r="B112" s="987"/>
      <c r="C112" s="987"/>
      <c r="D112" s="987"/>
      <c r="E112" s="987"/>
      <c r="F112" s="987"/>
      <c r="G112" s="987"/>
      <c r="H112" s="987"/>
      <c r="I112" s="987"/>
      <c r="J112" s="987"/>
      <c r="K112" s="987"/>
      <c r="L112" s="987"/>
      <c r="M112" s="987"/>
      <c r="N112" s="987"/>
    </row>
    <row r="113" spans="1:14" ht="14.1" customHeight="1">
      <c r="A113" s="987"/>
      <c r="B113" s="987"/>
      <c r="C113" s="987"/>
      <c r="D113" s="987"/>
      <c r="E113" s="987"/>
      <c r="F113" s="987"/>
      <c r="G113" s="987"/>
      <c r="H113" s="987"/>
      <c r="I113" s="987"/>
      <c r="J113" s="987"/>
      <c r="K113" s="987"/>
      <c r="L113" s="987"/>
      <c r="M113" s="987"/>
      <c r="N113" s="987"/>
    </row>
    <row r="114" spans="1:14" ht="14.1" customHeight="1">
      <c r="A114" s="987"/>
      <c r="B114" s="987"/>
      <c r="C114" s="987"/>
      <c r="D114" s="987"/>
      <c r="E114" s="987"/>
      <c r="F114" s="987"/>
      <c r="G114" s="987"/>
      <c r="H114" s="987"/>
      <c r="I114" s="987"/>
      <c r="J114" s="987"/>
      <c r="K114" s="987"/>
      <c r="L114" s="987"/>
      <c r="M114" s="987"/>
      <c r="N114" s="987"/>
    </row>
    <row r="134" spans="1:14" ht="14.1" customHeight="1" thickBot="1">
      <c r="A134" s="988"/>
      <c r="B134" s="988"/>
      <c r="C134" s="988"/>
      <c r="D134" s="988"/>
      <c r="E134" s="988"/>
      <c r="F134" s="988"/>
      <c r="G134" s="988"/>
      <c r="H134" s="988"/>
      <c r="I134" s="988"/>
      <c r="J134" s="988"/>
      <c r="K134" s="988"/>
      <c r="L134" s="988"/>
      <c r="M134" s="988"/>
      <c r="N134" s="988"/>
    </row>
    <row r="135" spans="1:14" ht="14.1" customHeight="1" thickTop="1" thickBot="1"/>
    <row r="136" spans="1:14" ht="14.1" customHeight="1" thickTop="1">
      <c r="A136" s="984"/>
      <c r="B136" s="984"/>
      <c r="C136" s="984"/>
      <c r="D136" s="984"/>
      <c r="E136" s="984"/>
      <c r="F136" s="984"/>
      <c r="G136" s="984"/>
      <c r="H136" s="984"/>
      <c r="I136" s="984"/>
      <c r="J136" s="984"/>
      <c r="K136" s="984"/>
      <c r="L136" s="984"/>
      <c r="M136" s="984"/>
      <c r="N136" s="984"/>
    </row>
    <row r="152" spans="1:14" ht="14.1" customHeight="1">
      <c r="B152" s="986"/>
    </row>
    <row r="153" spans="1:14" ht="14.1" customHeight="1">
      <c r="B153" s="986"/>
    </row>
    <row r="155" spans="1:14" ht="69.900000000000006" customHeight="1">
      <c r="A155" s="1430" t="str">
        <f>+I!C9</f>
        <v>AMORTIZACIÓN DE ANTICIPOS</v>
      </c>
      <c r="B155" s="1430"/>
      <c r="C155" s="1430"/>
      <c r="D155" s="1430"/>
      <c r="E155" s="1430"/>
      <c r="F155" s="1430"/>
      <c r="G155" s="1430"/>
      <c r="H155" s="1430"/>
      <c r="I155" s="1430"/>
      <c r="J155" s="1430"/>
      <c r="K155" s="1430"/>
      <c r="L155" s="1430"/>
      <c r="M155" s="1430"/>
      <c r="N155" s="1430"/>
    </row>
    <row r="156" spans="1:14" ht="14.1" customHeight="1">
      <c r="A156" s="987"/>
      <c r="B156" s="987"/>
      <c r="C156" s="987"/>
      <c r="D156" s="987"/>
      <c r="E156" s="987"/>
      <c r="F156" s="987"/>
      <c r="G156" s="987"/>
      <c r="H156" s="987"/>
      <c r="I156" s="987"/>
      <c r="J156" s="987"/>
      <c r="K156" s="987"/>
      <c r="L156" s="987"/>
      <c r="M156" s="987"/>
      <c r="N156" s="987"/>
    </row>
    <row r="157" spans="1:14" ht="14.1" customHeight="1">
      <c r="A157" s="987"/>
      <c r="B157" s="987"/>
      <c r="C157" s="987"/>
      <c r="D157" s="987"/>
      <c r="E157" s="987"/>
      <c r="F157" s="987"/>
      <c r="G157" s="987"/>
      <c r="H157" s="987"/>
      <c r="I157" s="987"/>
      <c r="J157" s="987"/>
      <c r="K157" s="987"/>
      <c r="L157" s="987"/>
      <c r="M157" s="987"/>
      <c r="N157" s="987"/>
    </row>
    <row r="158" spans="1:14" ht="14.1" customHeight="1">
      <c r="A158" s="987"/>
      <c r="B158" s="987"/>
      <c r="C158" s="987"/>
      <c r="D158" s="987"/>
      <c r="E158" s="987"/>
      <c r="F158" s="987"/>
      <c r="G158" s="987"/>
      <c r="H158" s="987"/>
      <c r="I158" s="987"/>
      <c r="J158" s="987"/>
      <c r="K158" s="987"/>
      <c r="L158" s="987"/>
      <c r="M158" s="987"/>
      <c r="N158" s="987"/>
    </row>
    <row r="159" spans="1:14" ht="14.1" customHeight="1">
      <c r="A159" s="987"/>
      <c r="B159" s="987"/>
      <c r="C159" s="987"/>
      <c r="D159" s="987"/>
      <c r="E159" s="987"/>
      <c r="F159" s="987"/>
      <c r="G159" s="987"/>
      <c r="H159" s="987"/>
      <c r="I159" s="987"/>
      <c r="J159" s="987"/>
      <c r="K159" s="987"/>
      <c r="L159" s="987"/>
      <c r="M159" s="987"/>
      <c r="N159" s="987"/>
    </row>
    <row r="179" spans="1:14" ht="14.1" customHeight="1" thickBot="1">
      <c r="A179" s="988"/>
      <c r="B179" s="988"/>
      <c r="C179" s="988"/>
      <c r="D179" s="988"/>
      <c r="E179" s="988"/>
      <c r="F179" s="988"/>
      <c r="G179" s="988"/>
      <c r="H179" s="988"/>
      <c r="I179" s="988"/>
      <c r="J179" s="988"/>
      <c r="K179" s="988"/>
      <c r="L179" s="988"/>
      <c r="M179" s="988"/>
      <c r="N179" s="988"/>
    </row>
    <row r="180" spans="1:14" ht="14.1" customHeight="1" thickTop="1" thickBot="1"/>
    <row r="181" spans="1:14" ht="14.1" customHeight="1" thickTop="1">
      <c r="A181" s="984"/>
      <c r="B181" s="984"/>
      <c r="C181" s="984"/>
      <c r="D181" s="984"/>
      <c r="E181" s="984"/>
      <c r="F181" s="984"/>
      <c r="G181" s="984"/>
      <c r="H181" s="984"/>
      <c r="I181" s="984"/>
      <c r="J181" s="984"/>
      <c r="K181" s="984"/>
      <c r="L181" s="984"/>
      <c r="M181" s="984"/>
      <c r="N181" s="984"/>
    </row>
    <row r="197" spans="1:14" ht="14.1" customHeight="1">
      <c r="B197" s="986"/>
    </row>
    <row r="198" spans="1:14" ht="14.1" customHeight="1">
      <c r="B198" s="986"/>
    </row>
    <row r="200" spans="1:14" ht="69.900000000000006" customHeight="1">
      <c r="A200" s="1430" t="str">
        <f>+I!C10</f>
        <v>PERSONAL TÉCNICO CLAVE</v>
      </c>
      <c r="B200" s="1430"/>
      <c r="C200" s="1430"/>
      <c r="D200" s="1430"/>
      <c r="E200" s="1430"/>
      <c r="F200" s="1430"/>
      <c r="G200" s="1430"/>
      <c r="H200" s="1430"/>
      <c r="I200" s="1430"/>
      <c r="J200" s="1430"/>
      <c r="K200" s="1430"/>
      <c r="L200" s="1430"/>
      <c r="M200" s="1430"/>
      <c r="N200" s="1430"/>
    </row>
    <row r="201" spans="1:14" ht="14.1" customHeight="1">
      <c r="A201" s="987"/>
      <c r="B201" s="987"/>
      <c r="C201" s="987"/>
      <c r="D201" s="987"/>
      <c r="E201" s="987"/>
      <c r="F201" s="987"/>
      <c r="G201" s="987"/>
      <c r="H201" s="987"/>
      <c r="I201" s="987"/>
      <c r="J201" s="987"/>
      <c r="K201" s="987"/>
      <c r="L201" s="987"/>
      <c r="M201" s="987"/>
      <c r="N201" s="987"/>
    </row>
    <row r="202" spans="1:14" ht="14.1" customHeight="1">
      <c r="A202" s="987"/>
      <c r="B202" s="987"/>
      <c r="C202" s="987"/>
      <c r="D202" s="987"/>
      <c r="E202" s="987"/>
      <c r="F202" s="987"/>
      <c r="G202" s="987"/>
      <c r="H202" s="987"/>
      <c r="I202" s="987"/>
      <c r="J202" s="987"/>
      <c r="K202" s="987"/>
      <c r="L202" s="987"/>
      <c r="M202" s="987"/>
      <c r="N202" s="987"/>
    </row>
    <row r="203" spans="1:14" ht="14.1" customHeight="1">
      <c r="A203" s="987"/>
      <c r="B203" s="987"/>
      <c r="C203" s="987"/>
      <c r="D203" s="987"/>
      <c r="E203" s="987"/>
      <c r="F203" s="987"/>
      <c r="G203" s="987"/>
      <c r="H203" s="987"/>
      <c r="I203" s="987"/>
      <c r="J203" s="987"/>
      <c r="K203" s="987"/>
      <c r="L203" s="987"/>
      <c r="M203" s="987"/>
      <c r="N203" s="987"/>
    </row>
    <row r="204" spans="1:14" ht="14.1" customHeight="1">
      <c r="A204" s="987"/>
      <c r="B204" s="987"/>
      <c r="C204" s="987"/>
      <c r="D204" s="987"/>
      <c r="E204" s="987"/>
      <c r="F204" s="987"/>
      <c r="G204" s="987"/>
      <c r="H204" s="987"/>
      <c r="I204" s="987"/>
      <c r="J204" s="987"/>
      <c r="K204" s="987"/>
      <c r="L204" s="987"/>
      <c r="M204" s="987"/>
      <c r="N204" s="987"/>
    </row>
    <row r="224" spans="1:14" ht="14.1" customHeight="1" thickBot="1">
      <c r="A224" s="988"/>
      <c r="B224" s="988"/>
      <c r="C224" s="988"/>
      <c r="D224" s="988"/>
      <c r="E224" s="988"/>
      <c r="F224" s="988"/>
      <c r="G224" s="988"/>
      <c r="H224" s="988"/>
      <c r="I224" s="988"/>
      <c r="J224" s="988"/>
      <c r="K224" s="988"/>
      <c r="L224" s="988"/>
      <c r="M224" s="988"/>
      <c r="N224" s="988"/>
    </row>
    <row r="225" spans="1:14" ht="14.1" customHeight="1" thickTop="1" thickBot="1"/>
    <row r="226" spans="1:14" ht="14.1" customHeight="1" thickTop="1">
      <c r="A226" s="984"/>
      <c r="B226" s="984"/>
      <c r="C226" s="984"/>
      <c r="D226" s="984"/>
      <c r="E226" s="984"/>
      <c r="F226" s="984"/>
      <c r="G226" s="984"/>
      <c r="H226" s="984"/>
      <c r="I226" s="984"/>
      <c r="J226" s="984"/>
      <c r="K226" s="984"/>
      <c r="L226" s="984"/>
      <c r="M226" s="984"/>
      <c r="N226" s="984"/>
    </row>
    <row r="242" spans="1:14" ht="14.1" customHeight="1">
      <c r="B242" s="986"/>
    </row>
    <row r="243" spans="1:14" ht="14.1" customHeight="1">
      <c r="B243" s="986"/>
    </row>
    <row r="245" spans="1:14" ht="69.900000000000006" customHeight="1">
      <c r="A245" s="1431" t="str">
        <f>+I!C11</f>
        <v>PLANILLA DE DOCUMENTOS DE GARANTÍA</v>
      </c>
      <c r="B245" s="1431"/>
      <c r="C245" s="1431"/>
      <c r="D245" s="1431"/>
      <c r="E245" s="1431"/>
      <c r="F245" s="1431"/>
      <c r="G245" s="1431"/>
      <c r="H245" s="1431"/>
      <c r="I245" s="1431"/>
      <c r="J245" s="1431"/>
      <c r="K245" s="1431"/>
      <c r="L245" s="1431"/>
      <c r="M245" s="1431"/>
      <c r="N245" s="1431"/>
    </row>
    <row r="246" spans="1:14" ht="14.1" customHeight="1">
      <c r="A246" s="987"/>
      <c r="B246" s="987"/>
      <c r="C246" s="987"/>
      <c r="D246" s="987"/>
      <c r="E246" s="987"/>
      <c r="F246" s="987"/>
      <c r="G246" s="987"/>
      <c r="H246" s="987"/>
      <c r="I246" s="987"/>
      <c r="J246" s="987"/>
      <c r="K246" s="987"/>
      <c r="L246" s="987"/>
      <c r="M246" s="987"/>
      <c r="N246" s="987"/>
    </row>
    <row r="247" spans="1:14" ht="14.1" customHeight="1">
      <c r="A247" s="987"/>
      <c r="B247" s="987"/>
      <c r="C247" s="987"/>
      <c r="D247" s="987"/>
      <c r="E247" s="987"/>
      <c r="F247" s="987"/>
      <c r="G247" s="987"/>
      <c r="H247" s="987"/>
      <c r="I247" s="987"/>
      <c r="J247" s="987"/>
      <c r="K247" s="987"/>
      <c r="L247" s="987"/>
      <c r="M247" s="987"/>
      <c r="N247" s="987"/>
    </row>
    <row r="248" spans="1:14" ht="14.1" customHeight="1">
      <c r="A248" s="987"/>
      <c r="B248" s="987"/>
      <c r="C248" s="987"/>
      <c r="D248" s="987"/>
      <c r="E248" s="987"/>
      <c r="F248" s="987"/>
      <c r="G248" s="987"/>
      <c r="H248" s="987"/>
      <c r="I248" s="987"/>
      <c r="J248" s="987"/>
      <c r="K248" s="987"/>
      <c r="L248" s="987"/>
      <c r="M248" s="987"/>
      <c r="N248" s="987"/>
    </row>
    <row r="249" spans="1:14" ht="14.1" customHeight="1">
      <c r="A249" s="987"/>
      <c r="B249" s="987"/>
      <c r="C249" s="987"/>
      <c r="D249" s="987"/>
      <c r="E249" s="987"/>
      <c r="F249" s="987"/>
      <c r="G249" s="987"/>
      <c r="H249" s="987"/>
      <c r="I249" s="987"/>
      <c r="J249" s="987"/>
      <c r="K249" s="987"/>
      <c r="L249" s="987"/>
      <c r="M249" s="987"/>
      <c r="N249" s="987"/>
    </row>
    <row r="269" spans="1:14" ht="14.1" customHeight="1" thickBot="1">
      <c r="A269" s="988"/>
      <c r="B269" s="988"/>
      <c r="C269" s="988"/>
      <c r="D269" s="988"/>
      <c r="E269" s="988"/>
      <c r="F269" s="988"/>
      <c r="G269" s="988"/>
      <c r="H269" s="988"/>
      <c r="I269" s="988"/>
      <c r="J269" s="988"/>
      <c r="K269" s="988"/>
      <c r="L269" s="988"/>
      <c r="M269" s="988"/>
      <c r="N269" s="988"/>
    </row>
    <row r="270" spans="1:14" ht="14.1" customHeight="1" thickTop="1" thickBot="1"/>
    <row r="271" spans="1:14" ht="14.1" customHeight="1" thickTop="1">
      <c r="A271" s="984"/>
      <c r="B271" s="984"/>
      <c r="C271" s="984"/>
      <c r="D271" s="984"/>
      <c r="E271" s="984"/>
      <c r="F271" s="984"/>
      <c r="G271" s="984"/>
      <c r="H271" s="984"/>
      <c r="I271" s="984"/>
      <c r="J271" s="984"/>
      <c r="K271" s="984"/>
      <c r="L271" s="984"/>
      <c r="M271" s="984"/>
      <c r="N271" s="984"/>
    </row>
    <row r="287" spans="2:2" ht="14.1" customHeight="1">
      <c r="B287" s="986"/>
    </row>
    <row r="288" spans="2:2" ht="14.1" customHeight="1">
      <c r="B288" s="986"/>
    </row>
    <row r="290" spans="1:14" ht="69.900000000000006" customHeight="1">
      <c r="A290" s="1430" t="str">
        <f>+I!C12</f>
        <v>CERTIFICADO DE PAGO</v>
      </c>
      <c r="B290" s="1430"/>
      <c r="C290" s="1430"/>
      <c r="D290" s="1430"/>
      <c r="E290" s="1430"/>
      <c r="F290" s="1430"/>
      <c r="G290" s="1430"/>
      <c r="H290" s="1430"/>
      <c r="I290" s="1430"/>
      <c r="J290" s="1430"/>
      <c r="K290" s="1430"/>
      <c r="L290" s="1430"/>
      <c r="M290" s="1430"/>
      <c r="N290" s="1430"/>
    </row>
    <row r="291" spans="1:14" ht="14.1" customHeight="1">
      <c r="A291" s="987"/>
      <c r="B291" s="987"/>
      <c r="C291" s="987"/>
      <c r="D291" s="987"/>
      <c r="E291" s="987"/>
      <c r="F291" s="987"/>
      <c r="G291" s="987"/>
      <c r="H291" s="987"/>
      <c r="I291" s="987"/>
      <c r="J291" s="987"/>
      <c r="K291" s="987"/>
      <c r="L291" s="987"/>
      <c r="M291" s="987"/>
      <c r="N291" s="987"/>
    </row>
    <row r="292" spans="1:14" ht="14.1" customHeight="1">
      <c r="A292" s="987"/>
      <c r="B292" s="987"/>
      <c r="C292" s="987"/>
      <c r="D292" s="987"/>
      <c r="E292" s="987"/>
      <c r="F292" s="987"/>
      <c r="G292" s="987"/>
      <c r="H292" s="987"/>
      <c r="I292" s="987"/>
      <c r="J292" s="987"/>
      <c r="K292" s="987"/>
      <c r="L292" s="987"/>
      <c r="M292" s="987"/>
      <c r="N292" s="987"/>
    </row>
    <row r="293" spans="1:14" ht="14.1" customHeight="1">
      <c r="A293" s="987"/>
      <c r="B293" s="987"/>
      <c r="C293" s="987"/>
      <c r="D293" s="987"/>
      <c r="E293" s="987"/>
      <c r="F293" s="987"/>
      <c r="G293" s="987"/>
      <c r="H293" s="987"/>
      <c r="I293" s="987"/>
      <c r="J293" s="987"/>
      <c r="K293" s="987"/>
      <c r="L293" s="987"/>
      <c r="M293" s="987"/>
      <c r="N293" s="987"/>
    </row>
    <row r="294" spans="1:14" ht="14.1" customHeight="1">
      <c r="A294" s="987"/>
      <c r="B294" s="987"/>
      <c r="C294" s="987"/>
      <c r="D294" s="987"/>
      <c r="E294" s="987"/>
      <c r="F294" s="987"/>
      <c r="G294" s="987"/>
      <c r="H294" s="987"/>
      <c r="I294" s="987"/>
      <c r="J294" s="987"/>
      <c r="K294" s="987"/>
      <c r="L294" s="987"/>
      <c r="M294" s="987"/>
      <c r="N294" s="987"/>
    </row>
    <row r="314" spans="1:14" ht="14.1" customHeight="1" thickBot="1">
      <c r="A314" s="988"/>
      <c r="B314" s="988"/>
      <c r="C314" s="988"/>
      <c r="D314" s="988"/>
      <c r="E314" s="988"/>
      <c r="F314" s="988"/>
      <c r="G314" s="988"/>
      <c r="H314" s="988"/>
      <c r="I314" s="988"/>
      <c r="J314" s="988"/>
      <c r="K314" s="988"/>
      <c r="L314" s="988"/>
      <c r="M314" s="988"/>
      <c r="N314" s="988"/>
    </row>
    <row r="315" spans="1:14" ht="14.1" customHeight="1" thickTop="1" thickBot="1"/>
    <row r="316" spans="1:14" ht="14.1" customHeight="1" thickTop="1">
      <c r="A316" s="984"/>
      <c r="B316" s="984"/>
      <c r="C316" s="984"/>
      <c r="D316" s="984"/>
      <c r="E316" s="984"/>
      <c r="F316" s="984"/>
      <c r="G316" s="984"/>
      <c r="H316" s="984"/>
      <c r="I316" s="984"/>
      <c r="J316" s="984"/>
      <c r="K316" s="984"/>
      <c r="L316" s="984"/>
      <c r="M316" s="984"/>
      <c r="N316" s="984"/>
    </row>
    <row r="332" spans="1:14" ht="14.1" customHeight="1">
      <c r="B332" s="986"/>
    </row>
    <row r="333" spans="1:14" ht="14.1" customHeight="1">
      <c r="B333" s="986"/>
    </row>
    <row r="335" spans="1:14" ht="69.900000000000006" customHeight="1">
      <c r="A335" s="1430" t="str">
        <f>+I!C13</f>
        <v>RESUMEN DE CANTIDADES</v>
      </c>
      <c r="B335" s="1430"/>
      <c r="C335" s="1430"/>
      <c r="D335" s="1430"/>
      <c r="E335" s="1430"/>
      <c r="F335" s="1430"/>
      <c r="G335" s="1430"/>
      <c r="H335" s="1430"/>
      <c r="I335" s="1430"/>
      <c r="J335" s="1430"/>
      <c r="K335" s="1430"/>
      <c r="L335" s="1430"/>
      <c r="M335" s="1430"/>
      <c r="N335" s="1430"/>
    </row>
    <row r="336" spans="1:14" ht="14.1" customHeight="1">
      <c r="A336" s="987"/>
      <c r="B336" s="987"/>
      <c r="C336" s="987"/>
      <c r="D336" s="987"/>
      <c r="E336" s="987"/>
      <c r="F336" s="987"/>
      <c r="G336" s="987"/>
      <c r="H336" s="987"/>
      <c r="I336" s="987"/>
      <c r="J336" s="987"/>
      <c r="K336" s="987"/>
      <c r="L336" s="987"/>
      <c r="M336" s="987"/>
      <c r="N336" s="987"/>
    </row>
    <row r="337" spans="1:14" ht="14.1" customHeight="1">
      <c r="A337" s="987"/>
      <c r="B337" s="987"/>
      <c r="C337" s="987"/>
      <c r="D337" s="987"/>
      <c r="E337" s="987"/>
      <c r="F337" s="987"/>
      <c r="G337" s="987"/>
      <c r="H337" s="987"/>
      <c r="I337" s="987"/>
      <c r="J337" s="987"/>
      <c r="K337" s="987"/>
      <c r="L337" s="987"/>
      <c r="M337" s="987"/>
      <c r="N337" s="987"/>
    </row>
    <row r="338" spans="1:14" ht="14.1" customHeight="1">
      <c r="A338" s="987"/>
      <c r="B338" s="987"/>
      <c r="C338" s="987"/>
      <c r="D338" s="987"/>
      <c r="E338" s="987"/>
      <c r="F338" s="987"/>
      <c r="G338" s="987"/>
      <c r="H338" s="987"/>
      <c r="I338" s="987"/>
      <c r="J338" s="987"/>
      <c r="K338" s="987"/>
      <c r="L338" s="987"/>
      <c r="M338" s="987"/>
      <c r="N338" s="987"/>
    </row>
    <row r="339" spans="1:14" ht="14.1" customHeight="1">
      <c r="A339" s="987"/>
      <c r="B339" s="987"/>
      <c r="C339" s="987"/>
      <c r="D339" s="987"/>
      <c r="E339" s="987"/>
      <c r="F339" s="987"/>
      <c r="G339" s="987"/>
      <c r="H339" s="987"/>
      <c r="I339" s="987"/>
      <c r="J339" s="987"/>
      <c r="K339" s="987"/>
      <c r="L339" s="987"/>
      <c r="M339" s="987"/>
      <c r="N339" s="987"/>
    </row>
    <row r="359" spans="1:14" ht="14.1" customHeight="1" thickBot="1">
      <c r="A359" s="988"/>
      <c r="B359" s="988"/>
      <c r="C359" s="988"/>
      <c r="D359" s="988"/>
      <c r="E359" s="988"/>
      <c r="F359" s="988"/>
      <c r="G359" s="988"/>
      <c r="H359" s="988"/>
      <c r="I359" s="988"/>
      <c r="J359" s="988"/>
      <c r="K359" s="988"/>
      <c r="L359" s="988"/>
      <c r="M359" s="988"/>
      <c r="N359" s="988"/>
    </row>
    <row r="360" spans="1:14" ht="14.1" customHeight="1" thickTop="1" thickBot="1"/>
    <row r="361" spans="1:14" ht="14.1" customHeight="1" thickTop="1">
      <c r="A361" s="984"/>
      <c r="B361" s="984"/>
      <c r="C361" s="984"/>
      <c r="D361" s="984"/>
      <c r="E361" s="984"/>
      <c r="F361" s="984"/>
      <c r="G361" s="984"/>
      <c r="H361" s="984"/>
      <c r="I361" s="984"/>
      <c r="J361" s="984"/>
      <c r="K361" s="984"/>
      <c r="L361" s="984"/>
      <c r="M361" s="984"/>
      <c r="N361" s="984"/>
    </row>
    <row r="377" spans="1:14" ht="14.1" customHeight="1">
      <c r="B377" s="986"/>
    </row>
    <row r="378" spans="1:14" ht="14.1" customHeight="1">
      <c r="B378" s="986"/>
    </row>
    <row r="380" spans="1:14" ht="69.900000000000006" customHeight="1">
      <c r="A380" s="1430" t="str">
        <f>+I!C14</f>
        <v>CÓMPUTOS MÉTRICOS</v>
      </c>
      <c r="B380" s="1430"/>
      <c r="C380" s="1430"/>
      <c r="D380" s="1430"/>
      <c r="E380" s="1430"/>
      <c r="F380" s="1430"/>
      <c r="G380" s="1430"/>
      <c r="H380" s="1430"/>
      <c r="I380" s="1430"/>
      <c r="J380" s="1430"/>
      <c r="K380" s="1430"/>
      <c r="L380" s="1430"/>
      <c r="M380" s="1430"/>
      <c r="N380" s="1430"/>
    </row>
    <row r="381" spans="1:14" ht="14.1" customHeight="1">
      <c r="A381" s="987"/>
      <c r="B381" s="987"/>
      <c r="C381" s="987"/>
      <c r="D381" s="987"/>
      <c r="E381" s="987"/>
      <c r="F381" s="987"/>
      <c r="G381" s="987"/>
      <c r="H381" s="987"/>
      <c r="I381" s="987"/>
      <c r="J381" s="987"/>
      <c r="K381" s="987"/>
      <c r="L381" s="987"/>
      <c r="M381" s="987"/>
      <c r="N381" s="987"/>
    </row>
    <row r="382" spans="1:14" ht="14.1" customHeight="1">
      <c r="A382" s="987"/>
      <c r="B382" s="987"/>
      <c r="C382" s="987"/>
      <c r="D382" s="987"/>
      <c r="E382" s="987"/>
      <c r="F382" s="987"/>
      <c r="G382" s="987"/>
      <c r="H382" s="987"/>
      <c r="I382" s="987"/>
      <c r="J382" s="987"/>
      <c r="K382" s="987"/>
      <c r="L382" s="987"/>
      <c r="M382" s="987"/>
      <c r="N382" s="987"/>
    </row>
    <row r="383" spans="1:14" ht="14.1" customHeight="1">
      <c r="A383" s="987"/>
      <c r="B383" s="987"/>
      <c r="C383" s="987"/>
      <c r="D383" s="987"/>
      <c r="E383" s="987"/>
      <c r="F383" s="987"/>
      <c r="G383" s="987"/>
      <c r="H383" s="987"/>
      <c r="I383" s="987"/>
      <c r="J383" s="987"/>
      <c r="K383" s="987"/>
      <c r="L383" s="987"/>
      <c r="M383" s="987"/>
      <c r="N383" s="987"/>
    </row>
    <row r="384" spans="1:14" ht="14.1" customHeight="1">
      <c r="A384" s="987"/>
      <c r="B384" s="987"/>
      <c r="C384" s="987"/>
      <c r="D384" s="987"/>
      <c r="E384" s="987"/>
      <c r="F384" s="987"/>
      <c r="G384" s="987"/>
      <c r="H384" s="987"/>
      <c r="I384" s="987"/>
      <c r="J384" s="987"/>
      <c r="K384" s="987"/>
      <c r="L384" s="987"/>
      <c r="M384" s="987"/>
      <c r="N384" s="987"/>
    </row>
    <row r="404" spans="1:14" ht="14.1" customHeight="1" thickBot="1">
      <c r="A404" s="988"/>
      <c r="B404" s="988"/>
      <c r="C404" s="988"/>
      <c r="D404" s="988"/>
      <c r="E404" s="988"/>
      <c r="F404" s="988"/>
      <c r="G404" s="988"/>
      <c r="H404" s="988"/>
      <c r="I404" s="988"/>
      <c r="J404" s="988"/>
      <c r="K404" s="988"/>
      <c r="L404" s="988"/>
      <c r="M404" s="988"/>
      <c r="N404" s="988"/>
    </row>
    <row r="405" spans="1:14" ht="14.1" customHeight="1" thickTop="1" thickBot="1"/>
    <row r="406" spans="1:14" ht="14.1" customHeight="1" thickTop="1">
      <c r="A406" s="984"/>
      <c r="B406" s="984"/>
      <c r="C406" s="984"/>
      <c r="D406" s="984"/>
      <c r="E406" s="984"/>
      <c r="F406" s="984"/>
      <c r="G406" s="984"/>
      <c r="H406" s="984"/>
      <c r="I406" s="984"/>
      <c r="J406" s="984"/>
      <c r="K406" s="984"/>
      <c r="L406" s="984"/>
      <c r="M406" s="984"/>
      <c r="N406" s="984"/>
    </row>
    <row r="422" spans="1:14" ht="14.1" customHeight="1">
      <c r="B422" s="986"/>
    </row>
    <row r="423" spans="1:14" ht="14.1" customHeight="1">
      <c r="B423" s="986"/>
    </row>
    <row r="425" spans="1:14" ht="69.900000000000006" customHeight="1">
      <c r="A425" s="1430" t="str">
        <f>+I!C15</f>
        <v>FOTOGRAFÍAS EXPLICATIVAS</v>
      </c>
      <c r="B425" s="1430"/>
      <c r="C425" s="1430"/>
      <c r="D425" s="1430"/>
      <c r="E425" s="1430"/>
      <c r="F425" s="1430"/>
      <c r="G425" s="1430"/>
      <c r="H425" s="1430"/>
      <c r="I425" s="1430"/>
      <c r="J425" s="1430"/>
      <c r="K425" s="1430"/>
      <c r="L425" s="1430"/>
      <c r="M425" s="1430"/>
      <c r="N425" s="1430"/>
    </row>
    <row r="426" spans="1:14" ht="14.1" customHeight="1">
      <c r="A426" s="987"/>
      <c r="B426" s="987"/>
      <c r="C426" s="987"/>
      <c r="D426" s="987"/>
      <c r="E426" s="987"/>
      <c r="F426" s="987"/>
      <c r="G426" s="987"/>
      <c r="H426" s="987"/>
      <c r="I426" s="987"/>
      <c r="J426" s="987"/>
      <c r="K426" s="987"/>
      <c r="L426" s="987"/>
      <c r="M426" s="987"/>
      <c r="N426" s="987"/>
    </row>
    <row r="427" spans="1:14" ht="14.1" customHeight="1">
      <c r="A427" s="987"/>
      <c r="B427" s="987"/>
      <c r="C427" s="987"/>
      <c r="D427" s="987"/>
      <c r="E427" s="987"/>
      <c r="F427" s="987"/>
      <c r="G427" s="987"/>
      <c r="H427" s="987"/>
      <c r="I427" s="987"/>
      <c r="J427" s="987"/>
      <c r="K427" s="987"/>
      <c r="L427" s="987"/>
      <c r="M427" s="987"/>
      <c r="N427" s="987"/>
    </row>
    <row r="428" spans="1:14" ht="14.1" customHeight="1">
      <c r="A428" s="987"/>
      <c r="B428" s="987"/>
      <c r="C428" s="987"/>
      <c r="D428" s="987"/>
      <c r="E428" s="987"/>
      <c r="F428" s="987"/>
      <c r="G428" s="987"/>
      <c r="H428" s="987"/>
      <c r="I428" s="987"/>
      <c r="J428" s="987"/>
      <c r="K428" s="987"/>
      <c r="L428" s="987"/>
      <c r="M428" s="987"/>
      <c r="N428" s="987"/>
    </row>
    <row r="429" spans="1:14" ht="14.1" customHeight="1">
      <c r="A429" s="987"/>
      <c r="B429" s="987"/>
      <c r="C429" s="987"/>
      <c r="D429" s="987"/>
      <c r="E429" s="987"/>
      <c r="F429" s="987"/>
      <c r="G429" s="987"/>
      <c r="H429" s="987"/>
      <c r="I429" s="987"/>
      <c r="J429" s="987"/>
      <c r="K429" s="987"/>
      <c r="L429" s="987"/>
      <c r="M429" s="987"/>
      <c r="N429" s="987"/>
    </row>
    <row r="449" spans="1:14" ht="14.1" customHeight="1" thickBot="1">
      <c r="A449" s="988"/>
      <c r="B449" s="988"/>
      <c r="C449" s="988"/>
      <c r="D449" s="988"/>
      <c r="E449" s="988"/>
      <c r="F449" s="988"/>
      <c r="G449" s="988"/>
      <c r="H449" s="988"/>
      <c r="I449" s="988"/>
      <c r="J449" s="988"/>
      <c r="K449" s="988"/>
      <c r="L449" s="988"/>
      <c r="M449" s="988"/>
      <c r="N449" s="988"/>
    </row>
    <row r="450" spans="1:14" ht="14.1" customHeight="1" thickTop="1" thickBot="1"/>
    <row r="451" spans="1:14" ht="14.1" customHeight="1" thickTop="1">
      <c r="A451" s="984"/>
      <c r="B451" s="984"/>
      <c r="C451" s="984"/>
      <c r="D451" s="984"/>
      <c r="E451" s="984"/>
      <c r="F451" s="984"/>
      <c r="G451" s="984"/>
      <c r="H451" s="984"/>
      <c r="I451" s="984"/>
      <c r="J451" s="984"/>
      <c r="K451" s="984"/>
      <c r="L451" s="984"/>
      <c r="M451" s="984"/>
      <c r="N451" s="984"/>
    </row>
    <row r="467" spans="1:14" ht="14.1" customHeight="1">
      <c r="B467" s="986"/>
    </row>
    <row r="468" spans="1:14" ht="14.1" customHeight="1">
      <c r="B468" s="986"/>
    </row>
    <row r="470" spans="1:14" ht="69.900000000000006" customHeight="1">
      <c r="A470" s="1432" t="str">
        <f>+I!C16</f>
        <v>CRONOGRAMA DE AVANCE DE OBRA</v>
      </c>
      <c r="B470" s="1432"/>
      <c r="C470" s="1432"/>
      <c r="D470" s="1432"/>
      <c r="E470" s="1432"/>
      <c r="F470" s="1432"/>
      <c r="G470" s="1432"/>
      <c r="H470" s="1432"/>
      <c r="I470" s="1432"/>
      <c r="J470" s="1432"/>
      <c r="K470" s="1432"/>
      <c r="L470" s="1432"/>
      <c r="M470" s="1432"/>
      <c r="N470" s="1432"/>
    </row>
    <row r="471" spans="1:14" ht="14.1" customHeight="1">
      <c r="A471" s="987"/>
      <c r="B471" s="987"/>
      <c r="C471" s="987"/>
      <c r="D471" s="987"/>
      <c r="E471" s="987"/>
      <c r="F471" s="987"/>
      <c r="G471" s="987"/>
      <c r="H471" s="987"/>
      <c r="I471" s="987"/>
      <c r="J471" s="987"/>
      <c r="K471" s="987"/>
      <c r="L471" s="987"/>
      <c r="M471" s="987"/>
      <c r="N471" s="987"/>
    </row>
    <row r="472" spans="1:14" ht="14.1" customHeight="1">
      <c r="A472" s="987"/>
      <c r="B472" s="987"/>
      <c r="C472" s="987"/>
      <c r="D472" s="987"/>
      <c r="E472" s="987"/>
      <c r="F472" s="987"/>
      <c r="G472" s="987"/>
      <c r="H472" s="987"/>
      <c r="I472" s="987"/>
      <c r="J472" s="987"/>
      <c r="K472" s="987"/>
      <c r="L472" s="987"/>
      <c r="M472" s="987"/>
      <c r="N472" s="987"/>
    </row>
    <row r="473" spans="1:14" ht="14.1" customHeight="1">
      <c r="A473" s="987"/>
      <c r="B473" s="987"/>
      <c r="C473" s="987"/>
      <c r="D473" s="987"/>
      <c r="E473" s="987"/>
      <c r="F473" s="987"/>
      <c r="G473" s="987"/>
      <c r="H473" s="987"/>
      <c r="I473" s="987"/>
      <c r="J473" s="987"/>
      <c r="K473" s="987"/>
      <c r="L473" s="987"/>
      <c r="M473" s="987"/>
      <c r="N473" s="987"/>
    </row>
    <row r="474" spans="1:14" ht="14.1" customHeight="1">
      <c r="A474" s="987"/>
      <c r="B474" s="987"/>
      <c r="C474" s="987"/>
      <c r="D474" s="987"/>
      <c r="E474" s="987"/>
      <c r="F474" s="987"/>
      <c r="G474" s="987"/>
      <c r="H474" s="987"/>
      <c r="I474" s="987"/>
      <c r="J474" s="987"/>
      <c r="K474" s="987"/>
      <c r="L474" s="987"/>
      <c r="M474" s="987"/>
      <c r="N474" s="987"/>
    </row>
    <row r="494" spans="1:14" ht="14.1" customHeight="1" thickBot="1">
      <c r="A494" s="988"/>
      <c r="B494" s="988"/>
      <c r="C494" s="988"/>
      <c r="D494" s="988"/>
      <c r="E494" s="988"/>
      <c r="F494" s="988"/>
      <c r="G494" s="988"/>
      <c r="H494" s="988"/>
      <c r="I494" s="988"/>
      <c r="J494" s="988"/>
      <c r="K494" s="988"/>
      <c r="L494" s="988"/>
      <c r="M494" s="988"/>
      <c r="N494" s="988"/>
    </row>
    <row r="495" spans="1:14" ht="14.1" customHeight="1" thickTop="1" thickBot="1"/>
    <row r="496" spans="1:14" ht="14.1" customHeight="1" thickTop="1">
      <c r="A496" s="984"/>
      <c r="B496" s="984"/>
      <c r="C496" s="984"/>
      <c r="D496" s="984"/>
      <c r="E496" s="984"/>
      <c r="F496" s="984"/>
      <c r="G496" s="984"/>
      <c r="H496" s="984"/>
      <c r="I496" s="984"/>
      <c r="J496" s="984"/>
      <c r="K496" s="984"/>
      <c r="L496" s="984"/>
      <c r="M496" s="984"/>
      <c r="N496" s="984"/>
    </row>
    <row r="512" spans="2:2" ht="14.1" customHeight="1">
      <c r="B512" s="986"/>
    </row>
    <row r="513" spans="1:14" ht="14.1" customHeight="1">
      <c r="B513" s="986"/>
    </row>
    <row r="515" spans="1:14" ht="69.900000000000006" customHeight="1">
      <c r="A515" s="1430" t="str">
        <f>+I!C17</f>
        <v>ORDEN DE PROCEDER</v>
      </c>
      <c r="B515" s="1430"/>
      <c r="C515" s="1430"/>
      <c r="D515" s="1430"/>
      <c r="E515" s="1430"/>
      <c r="F515" s="1430"/>
      <c r="G515" s="1430"/>
      <c r="H515" s="1430"/>
      <c r="I515" s="1430"/>
      <c r="J515" s="1430"/>
      <c r="K515" s="1430"/>
      <c r="L515" s="1430"/>
      <c r="M515" s="1430"/>
      <c r="N515" s="1430"/>
    </row>
    <row r="516" spans="1:14" ht="14.1" customHeight="1">
      <c r="A516" s="987"/>
      <c r="B516" s="987"/>
      <c r="C516" s="987"/>
      <c r="D516" s="987"/>
      <c r="E516" s="987"/>
      <c r="F516" s="987"/>
      <c r="G516" s="987"/>
      <c r="H516" s="987"/>
      <c r="I516" s="987"/>
      <c r="J516" s="987"/>
      <c r="K516" s="987"/>
      <c r="L516" s="987"/>
      <c r="M516" s="987"/>
      <c r="N516" s="987"/>
    </row>
    <row r="517" spans="1:14" ht="14.1" customHeight="1">
      <c r="A517" s="987"/>
      <c r="B517" s="987"/>
      <c r="C517" s="987"/>
      <c r="D517" s="987"/>
      <c r="E517" s="987"/>
      <c r="F517" s="987"/>
      <c r="G517" s="987"/>
      <c r="H517" s="987"/>
      <c r="I517" s="987"/>
      <c r="J517" s="987"/>
      <c r="K517" s="987"/>
      <c r="L517" s="987"/>
      <c r="M517" s="987"/>
      <c r="N517" s="987"/>
    </row>
    <row r="518" spans="1:14" ht="14.1" customHeight="1">
      <c r="A518" s="987"/>
      <c r="B518" s="987"/>
      <c r="C518" s="987"/>
      <c r="D518" s="987"/>
      <c r="E518" s="987"/>
      <c r="F518" s="987"/>
      <c r="G518" s="987"/>
      <c r="H518" s="987"/>
      <c r="I518" s="987"/>
      <c r="J518" s="987"/>
      <c r="K518" s="987"/>
      <c r="L518" s="987"/>
      <c r="M518" s="987"/>
      <c r="N518" s="987"/>
    </row>
    <row r="519" spans="1:14" ht="14.1" customHeight="1">
      <c r="A519" s="987"/>
      <c r="B519" s="987"/>
      <c r="C519" s="987"/>
      <c r="D519" s="987"/>
      <c r="E519" s="987"/>
      <c r="F519" s="987"/>
      <c r="G519" s="987"/>
      <c r="H519" s="987"/>
      <c r="I519" s="987"/>
      <c r="J519" s="987"/>
      <c r="K519" s="987"/>
      <c r="L519" s="987"/>
      <c r="M519" s="987"/>
      <c r="N519" s="987"/>
    </row>
    <row r="539" spans="1:14" ht="14.1" customHeight="1" thickBot="1">
      <c r="A539" s="988"/>
      <c r="B539" s="988"/>
      <c r="C539" s="988"/>
      <c r="D539" s="988"/>
      <c r="E539" s="988"/>
      <c r="F539" s="988"/>
      <c r="G539" s="988"/>
      <c r="H539" s="988"/>
      <c r="I539" s="988"/>
      <c r="J539" s="988"/>
      <c r="K539" s="988"/>
      <c r="L539" s="988"/>
      <c r="M539" s="988"/>
      <c r="N539" s="988"/>
    </row>
    <row r="540" spans="1:14" ht="14.1" customHeight="1" thickTop="1" thickBot="1"/>
    <row r="541" spans="1:14" ht="14.1" customHeight="1" thickTop="1">
      <c r="A541" s="984"/>
      <c r="B541" s="984"/>
      <c r="C541" s="984"/>
      <c r="D541" s="984"/>
      <c r="E541" s="984"/>
      <c r="F541" s="984"/>
      <c r="G541" s="984"/>
      <c r="H541" s="984"/>
      <c r="I541" s="984"/>
      <c r="J541" s="984"/>
      <c r="K541" s="984"/>
      <c r="L541" s="984"/>
      <c r="M541" s="984"/>
      <c r="N541" s="984"/>
    </row>
    <row r="557" spans="1:14" ht="14.1" customHeight="1">
      <c r="B557" s="986"/>
    </row>
    <row r="558" spans="1:14" ht="14.1" customHeight="1">
      <c r="B558" s="986"/>
    </row>
    <row r="560" spans="1:14" ht="69.900000000000006" customHeight="1">
      <c r="A560" s="1430" t="str">
        <f>+I!C18</f>
        <v>COPIA DE LIBRO DE ORDENES</v>
      </c>
      <c r="B560" s="1430"/>
      <c r="C560" s="1430"/>
      <c r="D560" s="1430"/>
      <c r="E560" s="1430"/>
      <c r="F560" s="1430"/>
      <c r="G560" s="1430"/>
      <c r="H560" s="1430"/>
      <c r="I560" s="1430"/>
      <c r="J560" s="1430"/>
      <c r="K560" s="1430"/>
      <c r="L560" s="1430"/>
      <c r="M560" s="1430"/>
      <c r="N560" s="1430"/>
    </row>
    <row r="561" spans="1:14" ht="14.1" customHeight="1">
      <c r="A561" s="987"/>
      <c r="B561" s="987"/>
      <c r="C561" s="987"/>
      <c r="D561" s="987"/>
      <c r="E561" s="987"/>
      <c r="F561" s="987"/>
      <c r="G561" s="987"/>
      <c r="H561" s="987"/>
      <c r="I561" s="987"/>
      <c r="J561" s="987"/>
      <c r="K561" s="987"/>
      <c r="L561" s="987"/>
      <c r="M561" s="987"/>
      <c r="N561" s="987"/>
    </row>
    <row r="562" spans="1:14" ht="14.1" customHeight="1">
      <c r="A562" s="987"/>
      <c r="B562" s="987"/>
      <c r="C562" s="987"/>
      <c r="D562" s="987"/>
      <c r="E562" s="987"/>
      <c r="F562" s="987"/>
      <c r="G562" s="987"/>
      <c r="H562" s="987"/>
      <c r="I562" s="987"/>
      <c r="J562" s="987"/>
      <c r="K562" s="987"/>
      <c r="L562" s="987"/>
      <c r="M562" s="987"/>
      <c r="N562" s="987"/>
    </row>
    <row r="563" spans="1:14" ht="14.1" customHeight="1">
      <c r="A563" s="987"/>
      <c r="B563" s="987"/>
      <c r="C563" s="987"/>
      <c r="D563" s="987"/>
      <c r="E563" s="987"/>
      <c r="F563" s="987"/>
      <c r="G563" s="987"/>
      <c r="H563" s="987"/>
      <c r="I563" s="987"/>
      <c r="J563" s="987"/>
      <c r="K563" s="987"/>
      <c r="L563" s="987"/>
      <c r="M563" s="987"/>
      <c r="N563" s="987"/>
    </row>
    <row r="564" spans="1:14" ht="14.1" customHeight="1">
      <c r="A564" s="987"/>
      <c r="B564" s="987"/>
      <c r="C564" s="987"/>
      <c r="D564" s="987"/>
      <c r="E564" s="987"/>
      <c r="F564" s="987"/>
      <c r="G564" s="987"/>
      <c r="H564" s="987"/>
      <c r="I564" s="987"/>
      <c r="J564" s="987"/>
      <c r="K564" s="987"/>
      <c r="L564" s="987"/>
      <c r="M564" s="987"/>
      <c r="N564" s="987"/>
    </row>
    <row r="584" spans="1:14" ht="14.1" customHeight="1" thickBot="1">
      <c r="A584" s="988"/>
      <c r="B584" s="988"/>
      <c r="C584" s="988"/>
      <c r="D584" s="988"/>
      <c r="E584" s="988"/>
      <c r="F584" s="988"/>
      <c r="G584" s="988"/>
      <c r="H584" s="988"/>
      <c r="I584" s="988"/>
      <c r="J584" s="988"/>
      <c r="K584" s="988"/>
      <c r="L584" s="988"/>
      <c r="M584" s="988"/>
      <c r="N584" s="988"/>
    </row>
    <row r="585" spans="1:14" ht="14.1" customHeight="1" thickTop="1" thickBot="1"/>
    <row r="586" spans="1:14" ht="14.1" customHeight="1" thickTop="1">
      <c r="A586" s="984"/>
      <c r="B586" s="984"/>
      <c r="C586" s="984"/>
      <c r="D586" s="984"/>
      <c r="E586" s="984"/>
      <c r="F586" s="984"/>
      <c r="G586" s="984"/>
      <c r="H586" s="984"/>
      <c r="I586" s="984"/>
      <c r="J586" s="984"/>
      <c r="K586" s="984"/>
      <c r="L586" s="984"/>
      <c r="M586" s="984"/>
      <c r="N586" s="984"/>
    </row>
    <row r="602" spans="1:14" ht="14.1" customHeight="1">
      <c r="B602" s="986"/>
    </row>
    <row r="603" spans="1:14" ht="14.1" customHeight="1">
      <c r="B603" s="986"/>
    </row>
    <row r="605" spans="1:14" ht="69.900000000000006" customHeight="1">
      <c r="A605" s="1430" t="str">
        <f>+I!C19</f>
        <v>POLIZA DE GARANTIA DE CORRECTA INVERSION DE ANTICIPO</v>
      </c>
      <c r="B605" s="1430"/>
      <c r="C605" s="1430"/>
      <c r="D605" s="1430"/>
      <c r="E605" s="1430"/>
      <c r="F605" s="1430"/>
      <c r="G605" s="1430"/>
      <c r="H605" s="1430"/>
      <c r="I605" s="1430"/>
      <c r="J605" s="1430"/>
      <c r="K605" s="1430"/>
      <c r="L605" s="1430"/>
      <c r="M605" s="1430"/>
      <c r="N605" s="1430"/>
    </row>
    <row r="606" spans="1:14" ht="14.1" customHeight="1">
      <c r="A606" s="987"/>
      <c r="B606" s="987"/>
      <c r="C606" s="987"/>
      <c r="D606" s="987"/>
      <c r="E606" s="987"/>
      <c r="F606" s="987"/>
      <c r="G606" s="987"/>
      <c r="H606" s="987"/>
      <c r="I606" s="987"/>
      <c r="J606" s="987"/>
      <c r="K606" s="987"/>
      <c r="L606" s="987"/>
      <c r="M606" s="987"/>
      <c r="N606" s="987"/>
    </row>
    <row r="607" spans="1:14" ht="14.1" customHeight="1">
      <c r="A607" s="987"/>
      <c r="B607" s="987"/>
      <c r="C607" s="987"/>
      <c r="D607" s="987"/>
      <c r="E607" s="987"/>
      <c r="F607" s="987"/>
      <c r="G607" s="987"/>
      <c r="H607" s="987"/>
      <c r="I607" s="987"/>
      <c r="J607" s="987"/>
      <c r="K607" s="987"/>
      <c r="L607" s="987"/>
      <c r="M607" s="987"/>
      <c r="N607" s="987"/>
    </row>
    <row r="608" spans="1:14" ht="14.1" customHeight="1">
      <c r="A608" s="987"/>
      <c r="B608" s="987"/>
      <c r="C608" s="987"/>
      <c r="D608" s="987"/>
      <c r="E608" s="987"/>
      <c r="F608" s="987"/>
      <c r="G608" s="987"/>
      <c r="H608" s="987"/>
      <c r="I608" s="987"/>
      <c r="J608" s="987"/>
      <c r="K608" s="987"/>
      <c r="L608" s="987"/>
      <c r="M608" s="987"/>
      <c r="N608" s="987"/>
    </row>
    <row r="609" spans="1:14" ht="14.1" customHeight="1">
      <c r="A609" s="987"/>
      <c r="B609" s="987"/>
      <c r="C609" s="987"/>
      <c r="D609" s="987"/>
      <c r="E609" s="987"/>
      <c r="F609" s="987"/>
      <c r="G609" s="987"/>
      <c r="H609" s="987"/>
      <c r="I609" s="987"/>
      <c r="J609" s="987"/>
      <c r="K609" s="987"/>
      <c r="L609" s="987"/>
      <c r="M609" s="987"/>
      <c r="N609" s="987"/>
    </row>
    <row r="629" spans="1:14" ht="14.1" customHeight="1" thickBot="1">
      <c r="A629" s="988"/>
      <c r="B629" s="988"/>
      <c r="C629" s="988"/>
      <c r="D629" s="988"/>
      <c r="E629" s="988"/>
      <c r="F629" s="988"/>
      <c r="G629" s="988"/>
      <c r="H629" s="988"/>
      <c r="I629" s="988"/>
      <c r="J629" s="988"/>
      <c r="K629" s="988"/>
      <c r="L629" s="988"/>
      <c r="M629" s="988"/>
      <c r="N629" s="988"/>
    </row>
    <row r="630" spans="1:14" ht="14.1" customHeight="1" thickTop="1" thickBot="1"/>
    <row r="631" spans="1:14" ht="14.1" customHeight="1" thickTop="1">
      <c r="A631" s="984"/>
      <c r="B631" s="984"/>
      <c r="C631" s="984"/>
      <c r="D631" s="984"/>
      <c r="E631" s="984"/>
      <c r="F631" s="984"/>
      <c r="G631" s="984"/>
      <c r="H631" s="984"/>
      <c r="I631" s="984"/>
      <c r="J631" s="984"/>
      <c r="K631" s="984"/>
      <c r="L631" s="984"/>
      <c r="M631" s="984"/>
      <c r="N631" s="984"/>
    </row>
    <row r="647" spans="1:14" ht="14.1" customHeight="1">
      <c r="B647" s="986"/>
    </row>
    <row r="648" spans="1:14" ht="14.1" customHeight="1">
      <c r="B648" s="986"/>
    </row>
    <row r="650" spans="1:14" ht="69.900000000000006" customHeight="1">
      <c r="A650" s="1430" t="str">
        <f>+I!C20</f>
        <v>BOLETA O PÓLIZA DE GARANTÍA DE CUMPLIMIENTO DE CONTRATO</v>
      </c>
      <c r="B650" s="1430"/>
      <c r="C650" s="1430"/>
      <c r="D650" s="1430"/>
      <c r="E650" s="1430"/>
      <c r="F650" s="1430"/>
      <c r="G650" s="1430"/>
      <c r="H650" s="1430"/>
      <c r="I650" s="1430"/>
      <c r="J650" s="1430"/>
      <c r="K650" s="1430"/>
      <c r="L650" s="1430"/>
      <c r="M650" s="1430"/>
      <c r="N650" s="1430"/>
    </row>
    <row r="651" spans="1:14" ht="14.1" customHeight="1">
      <c r="A651" s="987"/>
      <c r="B651" s="987"/>
      <c r="C651" s="987"/>
      <c r="D651" s="987"/>
      <c r="E651" s="987"/>
      <c r="F651" s="987"/>
      <c r="G651" s="987"/>
      <c r="H651" s="987"/>
      <c r="I651" s="987"/>
      <c r="J651" s="987"/>
      <c r="K651" s="987"/>
      <c r="L651" s="987"/>
      <c r="M651" s="987"/>
      <c r="N651" s="987"/>
    </row>
    <row r="652" spans="1:14" ht="14.1" customHeight="1">
      <c r="A652" s="987"/>
      <c r="B652" s="987"/>
      <c r="C652" s="987"/>
      <c r="D652" s="987"/>
      <c r="E652" s="987"/>
      <c r="F652" s="987"/>
      <c r="G652" s="987"/>
      <c r="H652" s="987"/>
      <c r="I652" s="987"/>
      <c r="J652" s="987"/>
      <c r="K652" s="987"/>
      <c r="L652" s="987"/>
      <c r="M652" s="987"/>
      <c r="N652" s="987"/>
    </row>
    <row r="653" spans="1:14" ht="14.1" customHeight="1">
      <c r="A653" s="987"/>
      <c r="B653" s="987"/>
      <c r="C653" s="987"/>
      <c r="D653" s="987"/>
      <c r="E653" s="987"/>
      <c r="F653" s="987"/>
      <c r="G653" s="987"/>
      <c r="H653" s="987"/>
      <c r="I653" s="987"/>
      <c r="J653" s="987"/>
      <c r="K653" s="987"/>
      <c r="L653" s="987"/>
      <c r="M653" s="987"/>
      <c r="N653" s="987"/>
    </row>
    <row r="654" spans="1:14" ht="14.1" customHeight="1">
      <c r="A654" s="987"/>
      <c r="B654" s="987"/>
      <c r="C654" s="987"/>
      <c r="D654" s="987"/>
      <c r="E654" s="987"/>
      <c r="F654" s="987"/>
      <c r="G654" s="987"/>
      <c r="H654" s="987"/>
      <c r="I654" s="987"/>
      <c r="J654" s="987"/>
      <c r="K654" s="987"/>
      <c r="L654" s="987"/>
      <c r="M654" s="987"/>
      <c r="N654" s="987"/>
    </row>
    <row r="674" spans="1:14" ht="14.1" customHeight="1" thickBot="1">
      <c r="A674" s="988"/>
      <c r="B674" s="988"/>
      <c r="C674" s="988"/>
      <c r="D674" s="988"/>
      <c r="E674" s="988"/>
      <c r="F674" s="988"/>
      <c r="G674" s="988"/>
      <c r="H674" s="988"/>
      <c r="I674" s="988"/>
      <c r="J674" s="988"/>
      <c r="K674" s="988"/>
      <c r="L674" s="988"/>
      <c r="M674" s="988"/>
      <c r="N674" s="988"/>
    </row>
    <row r="675" spans="1:14" ht="14.1" customHeight="1" thickTop="1" thickBot="1"/>
    <row r="676" spans="1:14" ht="14.1" customHeight="1" thickTop="1">
      <c r="A676" s="984"/>
      <c r="B676" s="984"/>
      <c r="C676" s="984"/>
      <c r="D676" s="984"/>
      <c r="E676" s="984"/>
      <c r="F676" s="984"/>
      <c r="G676" s="984"/>
      <c r="H676" s="984"/>
      <c r="I676" s="984"/>
      <c r="J676" s="984"/>
      <c r="K676" s="984"/>
      <c r="L676" s="984"/>
      <c r="M676" s="984"/>
      <c r="N676" s="984"/>
    </row>
    <row r="692" spans="1:14" ht="14.1" customHeight="1">
      <c r="B692" s="986"/>
    </row>
    <row r="693" spans="1:14" ht="14.1" customHeight="1">
      <c r="B693" s="986"/>
    </row>
    <row r="695" spans="1:14" ht="69.900000000000006" customHeight="1">
      <c r="A695" s="1433" t="str">
        <f>+I!C21</f>
        <v>BOLETA O PÓLIZA DE SEGURO DE OBRA, CONTRA ACCIDENTES PERSONALES, RESPONSABILIDAD CIVIL</v>
      </c>
      <c r="B695" s="1433"/>
      <c r="C695" s="1433"/>
      <c r="D695" s="1433"/>
      <c r="E695" s="1433"/>
      <c r="F695" s="1433"/>
      <c r="G695" s="1433"/>
      <c r="H695" s="1433"/>
      <c r="I695" s="1433"/>
      <c r="J695" s="1433"/>
      <c r="K695" s="1433"/>
      <c r="L695" s="1433"/>
      <c r="M695" s="1433"/>
      <c r="N695" s="1433"/>
    </row>
    <row r="696" spans="1:14" ht="14.1" customHeight="1">
      <c r="A696" s="987"/>
      <c r="B696" s="987"/>
      <c r="C696" s="987"/>
      <c r="D696" s="987"/>
      <c r="E696" s="987"/>
      <c r="F696" s="987"/>
      <c r="G696" s="987"/>
      <c r="H696" s="987"/>
      <c r="I696" s="987"/>
      <c r="J696" s="987"/>
      <c r="K696" s="987"/>
      <c r="L696" s="987"/>
      <c r="M696" s="987"/>
      <c r="N696" s="987"/>
    </row>
    <row r="697" spans="1:14" ht="14.1" customHeight="1">
      <c r="A697" s="987"/>
      <c r="B697" s="987"/>
      <c r="C697" s="987"/>
      <c r="D697" s="987"/>
      <c r="E697" s="987"/>
      <c r="F697" s="987"/>
      <c r="G697" s="987"/>
      <c r="H697" s="987"/>
      <c r="I697" s="987"/>
      <c r="J697" s="987"/>
      <c r="K697" s="987"/>
      <c r="L697" s="987"/>
      <c r="M697" s="987"/>
      <c r="N697" s="987"/>
    </row>
    <row r="698" spans="1:14" ht="14.1" customHeight="1">
      <c r="A698" s="987"/>
      <c r="B698" s="987"/>
      <c r="C698" s="987"/>
      <c r="D698" s="987"/>
      <c r="E698" s="987"/>
      <c r="F698" s="987"/>
      <c r="G698" s="987"/>
      <c r="H698" s="987"/>
      <c r="I698" s="987"/>
      <c r="J698" s="987"/>
      <c r="K698" s="987"/>
      <c r="L698" s="987"/>
      <c r="M698" s="987"/>
      <c r="N698" s="987"/>
    </row>
    <row r="699" spans="1:14" ht="14.1" customHeight="1">
      <c r="A699" s="987"/>
      <c r="B699" s="987"/>
      <c r="C699" s="987"/>
      <c r="D699" s="987"/>
      <c r="E699" s="987"/>
      <c r="F699" s="987"/>
      <c r="G699" s="987"/>
      <c r="H699" s="987"/>
      <c r="I699" s="987"/>
      <c r="J699" s="987"/>
      <c r="K699" s="987"/>
      <c r="L699" s="987"/>
      <c r="M699" s="987"/>
      <c r="N699" s="987"/>
    </row>
    <row r="719" spans="1:14" ht="14.1" customHeight="1" thickBot="1">
      <c r="A719" s="988"/>
      <c r="B719" s="988"/>
      <c r="C719" s="988"/>
      <c r="D719" s="988"/>
      <c r="E719" s="988"/>
      <c r="F719" s="988"/>
      <c r="G719" s="988"/>
      <c r="H719" s="988"/>
      <c r="I719" s="988"/>
      <c r="J719" s="988"/>
      <c r="K719" s="988"/>
      <c r="L719" s="988"/>
      <c r="M719" s="988"/>
      <c r="N719" s="988"/>
    </row>
    <row r="720" spans="1:14" ht="14.1" customHeight="1" thickTop="1" thickBot="1"/>
    <row r="721" spans="1:14" ht="14.1" customHeight="1" thickTop="1">
      <c r="A721" s="984"/>
      <c r="B721" s="984"/>
      <c r="C721" s="984"/>
      <c r="D721" s="984"/>
      <c r="E721" s="984"/>
      <c r="F721" s="984"/>
      <c r="G721" s="984"/>
      <c r="H721" s="984"/>
      <c r="I721" s="984"/>
      <c r="J721" s="984"/>
      <c r="K721" s="984"/>
      <c r="L721" s="984"/>
      <c r="M721" s="984"/>
      <c r="N721" s="984"/>
    </row>
    <row r="737" spans="1:14" ht="14.1" customHeight="1">
      <c r="B737" s="986"/>
    </row>
    <row r="738" spans="1:14" ht="14.1" customHeight="1">
      <c r="B738" s="986"/>
    </row>
    <row r="740" spans="1:14" ht="69.900000000000006" customHeight="1">
      <c r="A740" s="1430" t="str">
        <f>+I!C22</f>
        <v>NIT</v>
      </c>
      <c r="B740" s="1430"/>
      <c r="C740" s="1430"/>
      <c r="D740" s="1430"/>
      <c r="E740" s="1430"/>
      <c r="F740" s="1430"/>
      <c r="G740" s="1430"/>
      <c r="H740" s="1430"/>
      <c r="I740" s="1430"/>
      <c r="J740" s="1430"/>
      <c r="K740" s="1430"/>
      <c r="L740" s="1430"/>
      <c r="M740" s="1430"/>
      <c r="N740" s="1430"/>
    </row>
    <row r="741" spans="1:14" ht="14.1" customHeight="1">
      <c r="A741" s="987"/>
      <c r="B741" s="987"/>
      <c r="C741" s="987"/>
      <c r="D741" s="987"/>
      <c r="E741" s="987"/>
      <c r="F741" s="987"/>
      <c r="G741" s="987"/>
      <c r="H741" s="987"/>
      <c r="I741" s="987"/>
      <c r="J741" s="987"/>
      <c r="K741" s="987"/>
      <c r="L741" s="987"/>
      <c r="M741" s="987"/>
      <c r="N741" s="987"/>
    </row>
    <row r="742" spans="1:14" ht="14.1" customHeight="1">
      <c r="A742" s="987"/>
      <c r="B742" s="987"/>
      <c r="C742" s="987"/>
      <c r="D742" s="987"/>
      <c r="E742" s="987"/>
      <c r="F742" s="987"/>
      <c r="G742" s="987"/>
      <c r="H742" s="987"/>
      <c r="I742" s="987"/>
      <c r="J742" s="987"/>
      <c r="K742" s="987"/>
      <c r="L742" s="987"/>
      <c r="M742" s="987"/>
      <c r="N742" s="987"/>
    </row>
    <row r="743" spans="1:14" ht="14.1" customHeight="1">
      <c r="A743" s="987"/>
      <c r="B743" s="987"/>
      <c r="C743" s="987"/>
      <c r="D743" s="987"/>
      <c r="E743" s="987"/>
      <c r="F743" s="987"/>
      <c r="G743" s="987"/>
      <c r="H743" s="987"/>
      <c r="I743" s="987"/>
      <c r="J743" s="987"/>
      <c r="K743" s="987"/>
      <c r="L743" s="987"/>
      <c r="M743" s="987"/>
      <c r="N743" s="987"/>
    </row>
    <row r="744" spans="1:14" ht="14.1" customHeight="1">
      <c r="A744" s="987"/>
      <c r="B744" s="987"/>
      <c r="C744" s="987"/>
      <c r="D744" s="987"/>
      <c r="E744" s="987"/>
      <c r="F744" s="987"/>
      <c r="G744" s="987"/>
      <c r="H744" s="987"/>
      <c r="I744" s="987"/>
      <c r="J744" s="987"/>
      <c r="K744" s="987"/>
      <c r="L744" s="987"/>
      <c r="M744" s="987"/>
      <c r="N744" s="987"/>
    </row>
    <row r="764" spans="1:14" ht="14.1" customHeight="1" thickBot="1">
      <c r="A764" s="988"/>
      <c r="B764" s="988"/>
      <c r="C764" s="988"/>
      <c r="D764" s="988"/>
      <c r="E764" s="988"/>
      <c r="F764" s="988"/>
      <c r="G764" s="988"/>
      <c r="H764" s="988"/>
      <c r="I764" s="988"/>
      <c r="J764" s="988"/>
      <c r="K764" s="988"/>
      <c r="L764" s="988"/>
      <c r="M764" s="988"/>
      <c r="N764" s="988"/>
    </row>
    <row r="765" spans="1:14" ht="14.1" customHeight="1" thickTop="1" thickBot="1"/>
    <row r="766" spans="1:14" ht="14.1" customHeight="1" thickTop="1">
      <c r="A766" s="984"/>
      <c r="B766" s="984"/>
      <c r="C766" s="984"/>
      <c r="D766" s="984"/>
      <c r="E766" s="984"/>
      <c r="F766" s="984"/>
      <c r="G766" s="984"/>
      <c r="H766" s="984"/>
      <c r="I766" s="984"/>
      <c r="J766" s="984"/>
      <c r="K766" s="984"/>
      <c r="L766" s="984"/>
      <c r="M766" s="984"/>
      <c r="N766" s="984"/>
    </row>
    <row r="782" spans="2:2" ht="14.1" customHeight="1">
      <c r="B782" s="986"/>
    </row>
    <row r="783" spans="2:2" ht="14.1" customHeight="1">
      <c r="B783" s="986"/>
    </row>
    <row r="785" spans="1:14" ht="69.900000000000006" customHeight="1">
      <c r="A785" s="1430" t="str">
        <f>+I!C23</f>
        <v xml:space="preserve"> SIGEP</v>
      </c>
      <c r="B785" s="1430"/>
      <c r="C785" s="1430"/>
      <c r="D785" s="1430"/>
      <c r="E785" s="1430"/>
      <c r="F785" s="1430"/>
      <c r="G785" s="1430"/>
      <c r="H785" s="1430"/>
      <c r="I785" s="1430"/>
      <c r="J785" s="1430"/>
      <c r="K785" s="1430"/>
      <c r="L785" s="1430"/>
      <c r="M785" s="1430"/>
      <c r="N785" s="1430"/>
    </row>
    <row r="786" spans="1:14" ht="14.1" customHeight="1">
      <c r="A786" s="987"/>
      <c r="B786" s="987"/>
      <c r="C786" s="987"/>
      <c r="D786" s="987"/>
      <c r="E786" s="987"/>
      <c r="F786" s="987"/>
      <c r="G786" s="987"/>
      <c r="H786" s="987"/>
      <c r="I786" s="987"/>
      <c r="J786" s="987"/>
      <c r="K786" s="987"/>
      <c r="L786" s="987"/>
      <c r="M786" s="987"/>
      <c r="N786" s="987"/>
    </row>
    <row r="787" spans="1:14" ht="14.1" customHeight="1">
      <c r="A787" s="987"/>
      <c r="B787" s="987"/>
      <c r="C787" s="987"/>
      <c r="D787" s="987"/>
      <c r="E787" s="987"/>
      <c r="F787" s="987"/>
      <c r="G787" s="987"/>
      <c r="H787" s="987"/>
      <c r="I787" s="987"/>
      <c r="J787" s="987"/>
      <c r="K787" s="987"/>
      <c r="L787" s="987"/>
      <c r="M787" s="987"/>
      <c r="N787" s="987"/>
    </row>
    <row r="788" spans="1:14" ht="14.1" customHeight="1">
      <c r="A788" s="987"/>
      <c r="B788" s="987"/>
      <c r="C788" s="987"/>
      <c r="D788" s="987"/>
      <c r="E788" s="987"/>
      <c r="F788" s="987"/>
      <c r="G788" s="987"/>
      <c r="H788" s="987"/>
      <c r="I788" s="987"/>
      <c r="J788" s="987"/>
      <c r="K788" s="987"/>
      <c r="L788" s="987"/>
      <c r="M788" s="987"/>
      <c r="N788" s="987"/>
    </row>
    <row r="789" spans="1:14" ht="14.1" customHeight="1">
      <c r="A789" s="987"/>
      <c r="B789" s="987"/>
      <c r="C789" s="987"/>
      <c r="D789" s="987"/>
      <c r="E789" s="987"/>
      <c r="F789" s="987"/>
      <c r="G789" s="987"/>
      <c r="H789" s="987"/>
      <c r="I789" s="987"/>
      <c r="J789" s="987"/>
      <c r="K789" s="987"/>
      <c r="L789" s="987"/>
      <c r="M789" s="987"/>
      <c r="N789" s="987"/>
    </row>
    <row r="809" spans="1:14" ht="14.1" customHeight="1" thickBot="1">
      <c r="A809" s="988"/>
      <c r="B809" s="988"/>
      <c r="C809" s="988"/>
      <c r="D809" s="988"/>
      <c r="E809" s="988"/>
      <c r="F809" s="988"/>
      <c r="G809" s="988"/>
      <c r="H809" s="988"/>
      <c r="I809" s="988"/>
      <c r="J809" s="988"/>
      <c r="K809" s="988"/>
      <c r="L809" s="988"/>
      <c r="M809" s="988"/>
      <c r="N809" s="988"/>
    </row>
    <row r="810" spans="1:14" ht="14.1" customHeight="1" thickTop="1" thickBot="1"/>
    <row r="811" spans="1:14" ht="14.1" customHeight="1" thickTop="1">
      <c r="A811" s="984"/>
      <c r="B811" s="984"/>
      <c r="C811" s="984"/>
      <c r="D811" s="984"/>
      <c r="E811" s="984"/>
      <c r="F811" s="984"/>
      <c r="G811" s="984"/>
      <c r="H811" s="984"/>
      <c r="I811" s="984"/>
      <c r="J811" s="984"/>
      <c r="K811" s="984"/>
      <c r="L811" s="984"/>
      <c r="M811" s="984"/>
      <c r="N811" s="984"/>
    </row>
    <row r="827" spans="1:14" ht="14.1" customHeight="1">
      <c r="B827" s="986"/>
    </row>
    <row r="828" spans="1:14" ht="14.1" customHeight="1">
      <c r="B828" s="986"/>
    </row>
    <row r="830" spans="1:14" ht="69.900000000000006" customHeight="1">
      <c r="A830" s="1430" t="str">
        <f>+I!C24</f>
        <v>CONTRATO</v>
      </c>
      <c r="B830" s="1430"/>
      <c r="C830" s="1430"/>
      <c r="D830" s="1430"/>
      <c r="E830" s="1430"/>
      <c r="F830" s="1430"/>
      <c r="G830" s="1430"/>
      <c r="H830" s="1430"/>
      <c r="I830" s="1430"/>
      <c r="J830" s="1430"/>
      <c r="K830" s="1430"/>
      <c r="L830" s="1430"/>
      <c r="M830" s="1430"/>
      <c r="N830" s="1430"/>
    </row>
    <row r="831" spans="1:14" ht="14.1" customHeight="1">
      <c r="A831" s="987"/>
      <c r="B831" s="987"/>
      <c r="C831" s="987"/>
      <c r="D831" s="987"/>
      <c r="E831" s="987"/>
      <c r="F831" s="987"/>
      <c r="G831" s="987"/>
      <c r="H831" s="987"/>
      <c r="I831" s="987"/>
      <c r="J831" s="987"/>
      <c r="K831" s="987"/>
      <c r="L831" s="987"/>
      <c r="M831" s="987"/>
      <c r="N831" s="987"/>
    </row>
    <row r="832" spans="1:14" ht="14.1" customHeight="1">
      <c r="A832" s="987"/>
      <c r="B832" s="987"/>
      <c r="C832" s="987"/>
      <c r="D832" s="987"/>
      <c r="E832" s="987"/>
      <c r="F832" s="987"/>
      <c r="G832" s="987"/>
      <c r="H832" s="987"/>
      <c r="I832" s="987"/>
      <c r="J832" s="987"/>
      <c r="K832" s="987"/>
      <c r="L832" s="987"/>
      <c r="M832" s="987"/>
      <c r="N832" s="987"/>
    </row>
    <row r="833" spans="1:14" ht="14.1" customHeight="1">
      <c r="A833" s="987"/>
      <c r="B833" s="987"/>
      <c r="C833" s="987"/>
      <c r="D833" s="987"/>
      <c r="E833" s="987"/>
      <c r="F833" s="987"/>
      <c r="G833" s="987"/>
      <c r="H833" s="987"/>
      <c r="I833" s="987"/>
      <c r="J833" s="987"/>
      <c r="K833" s="987"/>
      <c r="L833" s="987"/>
      <c r="M833" s="987"/>
      <c r="N833" s="987"/>
    </row>
    <row r="834" spans="1:14" ht="14.1" customHeight="1">
      <c r="A834" s="987"/>
      <c r="B834" s="987"/>
      <c r="C834" s="987"/>
      <c r="D834" s="987"/>
      <c r="E834" s="987"/>
      <c r="F834" s="987"/>
      <c r="G834" s="987"/>
      <c r="H834" s="987"/>
      <c r="I834" s="987"/>
      <c r="J834" s="987"/>
      <c r="K834" s="987"/>
      <c r="L834" s="987"/>
      <c r="M834" s="987"/>
      <c r="N834" s="987"/>
    </row>
    <row r="854" spans="1:14" ht="14.1" customHeight="1" thickBot="1">
      <c r="A854" s="988"/>
      <c r="B854" s="988"/>
      <c r="C854" s="988"/>
      <c r="D854" s="988"/>
      <c r="E854" s="988"/>
      <c r="F854" s="988"/>
      <c r="G854" s="988"/>
      <c r="H854" s="988"/>
      <c r="I854" s="988"/>
      <c r="J854" s="988"/>
      <c r="K854" s="988"/>
      <c r="L854" s="988"/>
      <c r="M854" s="988"/>
      <c r="N854" s="988"/>
    </row>
    <row r="855" spans="1:14" ht="14.1" customHeight="1" thickTop="1" thickBot="1"/>
    <row r="856" spans="1:14" ht="14.1" customHeight="1" thickTop="1">
      <c r="A856" s="984"/>
      <c r="B856" s="984"/>
      <c r="C856" s="984"/>
      <c r="D856" s="984"/>
      <c r="E856" s="984"/>
      <c r="F856" s="984"/>
      <c r="G856" s="984"/>
      <c r="H856" s="984"/>
      <c r="I856" s="984"/>
      <c r="J856" s="984"/>
      <c r="K856" s="984"/>
      <c r="L856" s="984"/>
      <c r="M856" s="984"/>
      <c r="N856" s="984"/>
    </row>
    <row r="871" spans="1:15" ht="14.1" customHeight="1">
      <c r="B871" s="986"/>
    </row>
    <row r="872" spans="1:15" ht="14.1" customHeight="1">
      <c r="B872" s="986"/>
    </row>
    <row r="874" spans="1:15" ht="35.1" customHeight="1">
      <c r="A874" s="1428" t="str">
        <f>+VLOOKUP(O878,'Planilla de Avance'!$A$10:$M$109,4,FALSE)</f>
        <v>1. MOVIMIENTO DE TIERRAS</v>
      </c>
      <c r="B874" s="1428"/>
      <c r="C874" s="1428"/>
      <c r="D874" s="1428"/>
      <c r="E874" s="1428"/>
      <c r="F874" s="1428"/>
      <c r="G874" s="1428"/>
      <c r="H874" s="1428"/>
      <c r="I874" s="1428"/>
      <c r="J874" s="1428"/>
      <c r="K874" s="1428"/>
      <c r="L874" s="1428"/>
      <c r="M874" s="1428"/>
      <c r="N874" s="1428"/>
    </row>
    <row r="876" spans="1:15" ht="14.1" customHeight="1">
      <c r="A876" s="1425"/>
      <c r="B876" s="1425"/>
      <c r="C876" s="1425"/>
      <c r="D876" s="1425"/>
      <c r="E876" s="1425"/>
      <c r="F876" s="1425"/>
      <c r="G876" s="1425"/>
      <c r="H876" s="1425"/>
      <c r="I876" s="1425"/>
      <c r="J876" s="1425"/>
      <c r="K876" s="1425"/>
      <c r="L876" s="1425"/>
      <c r="M876" s="1425"/>
      <c r="N876" s="1425"/>
    </row>
    <row r="878" spans="1:15" ht="35.1" customHeight="1">
      <c r="B878" s="1290" t="s">
        <v>472</v>
      </c>
      <c r="C878" s="1291">
        <f>+VLOOKUP(O878,'Planilla de Avance'!$A$10:$M$109,5,FALSE)</f>
        <v>1</v>
      </c>
      <c r="D878" s="1429" t="str">
        <f>+VLOOKUP(O878,'Planilla de Avance'!$A$10:$M$109,6,FALSE)</f>
        <v>DESBROCE, DESTRONQUE Y LIMPIEZA</v>
      </c>
      <c r="E878" s="1429"/>
      <c r="F878" s="1429"/>
      <c r="G878" s="1429"/>
      <c r="H878" s="1429"/>
      <c r="I878" s="1429"/>
      <c r="J878" s="1429"/>
      <c r="K878" s="1429"/>
      <c r="L878" s="1429"/>
      <c r="M878" s="1429"/>
      <c r="N878" s="1429"/>
      <c r="O878" s="837">
        <v>1</v>
      </c>
    </row>
    <row r="900" spans="1:14" ht="14.1" customHeight="1" thickBot="1">
      <c r="A900" s="988"/>
      <c r="B900" s="988"/>
      <c r="C900" s="988"/>
      <c r="D900" s="988"/>
      <c r="E900" s="988"/>
      <c r="F900" s="988"/>
      <c r="G900" s="988"/>
      <c r="H900" s="988"/>
      <c r="I900" s="988"/>
      <c r="J900" s="988"/>
      <c r="K900" s="988"/>
      <c r="L900" s="988"/>
      <c r="M900" s="988"/>
      <c r="N900" s="988"/>
    </row>
    <row r="901" spans="1:14" ht="14.1" customHeight="1" thickTop="1" thickBot="1"/>
    <row r="902" spans="1:14" ht="14.1" customHeight="1" thickTop="1">
      <c r="A902" s="984"/>
      <c r="B902" s="984"/>
      <c r="C902" s="984"/>
      <c r="D902" s="984"/>
      <c r="E902" s="984"/>
      <c r="F902" s="984"/>
      <c r="G902" s="984"/>
      <c r="H902" s="984"/>
      <c r="I902" s="984"/>
      <c r="J902" s="984"/>
      <c r="K902" s="984"/>
      <c r="L902" s="984"/>
      <c r="M902" s="984"/>
      <c r="N902" s="984"/>
    </row>
    <row r="917" spans="1:15" ht="14.1" customHeight="1">
      <c r="B917" s="986"/>
    </row>
    <row r="918" spans="1:15" ht="14.1" customHeight="1">
      <c r="B918" s="986"/>
    </row>
    <row r="920" spans="1:15" ht="35.1" customHeight="1">
      <c r="A920" s="1428" t="e">
        <f>+VLOOKUP(O924,'Planilla de Avance'!$A$10:$M$109,4,FALSE)</f>
        <v>#N/A</v>
      </c>
      <c r="B920" s="1428"/>
      <c r="C920" s="1428"/>
      <c r="D920" s="1428"/>
      <c r="E920" s="1428"/>
      <c r="F920" s="1428"/>
      <c r="G920" s="1428"/>
      <c r="H920" s="1428"/>
      <c r="I920" s="1428"/>
      <c r="J920" s="1428"/>
      <c r="K920" s="1428"/>
      <c r="L920" s="1428"/>
      <c r="M920" s="1428"/>
      <c r="N920" s="1428"/>
    </row>
    <row r="922" spans="1:15" ht="14.1" customHeight="1">
      <c r="A922" s="1425"/>
      <c r="B922" s="1425"/>
      <c r="C922" s="1425"/>
      <c r="D922" s="1425"/>
      <c r="E922" s="1425"/>
      <c r="F922" s="1425"/>
      <c r="G922" s="1425"/>
      <c r="H922" s="1425"/>
      <c r="I922" s="1425"/>
      <c r="J922" s="1425"/>
      <c r="K922" s="1425"/>
      <c r="L922" s="1425"/>
      <c r="M922" s="1425"/>
      <c r="N922" s="1425"/>
    </row>
    <row r="924" spans="1:15" ht="35.1" customHeight="1">
      <c r="B924" s="989" t="s">
        <v>472</v>
      </c>
      <c r="C924" s="990" t="e">
        <f>+VLOOKUP(O924,'Planilla de Avance'!$A$10:$M$109,5,FALSE)</f>
        <v>#N/A</v>
      </c>
      <c r="D924" s="1426" t="e">
        <f>+VLOOKUP(O924,'Planilla de Avance'!$A$10:$M$109,6,FALSE)</f>
        <v>#N/A</v>
      </c>
      <c r="E924" s="1426"/>
      <c r="F924" s="1426"/>
      <c r="G924" s="1426"/>
      <c r="H924" s="1426"/>
      <c r="I924" s="1426"/>
      <c r="J924" s="1426"/>
      <c r="K924" s="1426"/>
      <c r="L924" s="1426"/>
      <c r="M924" s="1426"/>
      <c r="N924" s="1426"/>
      <c r="O924" s="837">
        <v>2</v>
      </c>
    </row>
    <row r="946" spans="1:14" ht="14.1" customHeight="1" thickBot="1">
      <c r="A946" s="988"/>
      <c r="B946" s="988"/>
      <c r="C946" s="988"/>
      <c r="D946" s="988"/>
      <c r="E946" s="988"/>
      <c r="F946" s="988"/>
      <c r="G946" s="988"/>
      <c r="H946" s="988"/>
      <c r="I946" s="988"/>
      <c r="J946" s="988"/>
      <c r="K946" s="988"/>
      <c r="L946" s="988"/>
      <c r="M946" s="988"/>
      <c r="N946" s="988"/>
    </row>
    <row r="947" spans="1:14" ht="14.1" customHeight="1" thickTop="1" thickBot="1"/>
    <row r="948" spans="1:14" ht="14.1" customHeight="1" thickTop="1">
      <c r="A948" s="984"/>
      <c r="B948" s="984"/>
      <c r="C948" s="984"/>
      <c r="D948" s="984"/>
      <c r="E948" s="984"/>
      <c r="F948" s="984"/>
      <c r="G948" s="984"/>
      <c r="H948" s="984"/>
      <c r="I948" s="984"/>
      <c r="J948" s="984"/>
      <c r="K948" s="984"/>
      <c r="L948" s="984"/>
      <c r="M948" s="984"/>
      <c r="N948" s="984"/>
    </row>
    <row r="963" spans="1:15" ht="14.1" customHeight="1">
      <c r="B963" s="986"/>
    </row>
    <row r="964" spans="1:15" ht="14.1" customHeight="1">
      <c r="B964" s="986"/>
    </row>
    <row r="966" spans="1:15" ht="35.1" customHeight="1">
      <c r="A966" s="1427" t="e">
        <f>+VLOOKUP(O970,'Planilla de Avance'!$A$10:$M$109,4,FALSE)</f>
        <v>#N/A</v>
      </c>
      <c r="B966" s="1427"/>
      <c r="C966" s="1427"/>
      <c r="D966" s="1427"/>
      <c r="E966" s="1427"/>
      <c r="F966" s="1427"/>
      <c r="G966" s="1427"/>
      <c r="H966" s="1427"/>
      <c r="I966" s="1427"/>
      <c r="J966" s="1427"/>
      <c r="K966" s="1427"/>
      <c r="L966" s="1427"/>
      <c r="M966" s="1427"/>
      <c r="N966" s="1427"/>
    </row>
    <row r="968" spans="1:15" ht="14.1" customHeight="1">
      <c r="A968" s="1425"/>
      <c r="B968" s="1425"/>
      <c r="C968" s="1425"/>
      <c r="D968" s="1425"/>
      <c r="E968" s="1425"/>
      <c r="F968" s="1425"/>
      <c r="G968" s="1425"/>
      <c r="H968" s="1425"/>
      <c r="I968" s="1425"/>
      <c r="J968" s="1425"/>
      <c r="K968" s="1425"/>
      <c r="L968" s="1425"/>
      <c r="M968" s="1425"/>
      <c r="N968" s="1425"/>
    </row>
    <row r="970" spans="1:15" ht="35.1" customHeight="1">
      <c r="B970" s="989" t="s">
        <v>472</v>
      </c>
      <c r="C970" s="990" t="e">
        <f>+VLOOKUP(O970,'Planilla de Avance'!$A$10:$M$109,5,FALSE)</f>
        <v>#N/A</v>
      </c>
      <c r="D970" s="1426" t="e">
        <f>+VLOOKUP(O970,'Planilla de Avance'!$A$10:$M$109,6,FALSE)</f>
        <v>#N/A</v>
      </c>
      <c r="E970" s="1426"/>
      <c r="F970" s="1426"/>
      <c r="G970" s="1426"/>
      <c r="H970" s="1426"/>
      <c r="I970" s="1426"/>
      <c r="J970" s="1426"/>
      <c r="K970" s="1426"/>
      <c r="L970" s="1426"/>
      <c r="M970" s="1426"/>
      <c r="N970" s="1426"/>
      <c r="O970" s="983">
        <v>3</v>
      </c>
    </row>
    <row r="992" spans="1:14" ht="14.1" customHeight="1" thickBot="1">
      <c r="A992" s="988"/>
      <c r="B992" s="988"/>
      <c r="C992" s="988"/>
      <c r="D992" s="988"/>
      <c r="E992" s="988"/>
      <c r="F992" s="988"/>
      <c r="G992" s="988"/>
      <c r="H992" s="988"/>
      <c r="I992" s="988"/>
      <c r="J992" s="988"/>
      <c r="K992" s="988"/>
      <c r="L992" s="988"/>
      <c r="M992" s="988"/>
      <c r="N992" s="988"/>
    </row>
    <row r="993" spans="1:14" ht="14.1" customHeight="1" thickTop="1" thickBot="1"/>
    <row r="994" spans="1:14" ht="14.1" customHeight="1" thickTop="1">
      <c r="A994" s="984"/>
      <c r="B994" s="984"/>
      <c r="C994" s="984"/>
      <c r="D994" s="984"/>
      <c r="E994" s="984"/>
      <c r="F994" s="984"/>
      <c r="G994" s="984"/>
      <c r="H994" s="984"/>
      <c r="I994" s="984"/>
      <c r="J994" s="984"/>
      <c r="K994" s="984"/>
      <c r="L994" s="984"/>
      <c r="M994" s="984"/>
      <c r="N994" s="984"/>
    </row>
    <row r="1009" spans="1:15" ht="14.1" customHeight="1">
      <c r="B1009" s="986"/>
    </row>
    <row r="1010" spans="1:15" ht="14.1" customHeight="1">
      <c r="B1010" s="986"/>
    </row>
    <row r="1012" spans="1:15" ht="35.1" customHeight="1">
      <c r="A1012" s="1427" t="e">
        <f>+VLOOKUP(O1016,'Planilla de Avance'!$A$10:$M$109,4,FALSE)</f>
        <v>#N/A</v>
      </c>
      <c r="B1012" s="1427"/>
      <c r="C1012" s="1427"/>
      <c r="D1012" s="1427"/>
      <c r="E1012" s="1427"/>
      <c r="F1012" s="1427"/>
      <c r="G1012" s="1427"/>
      <c r="H1012" s="1427"/>
      <c r="I1012" s="1427"/>
      <c r="J1012" s="1427"/>
      <c r="K1012" s="1427"/>
      <c r="L1012" s="1427"/>
      <c r="M1012" s="1427"/>
      <c r="N1012" s="1427"/>
    </row>
    <row r="1014" spans="1:15" ht="14.1" customHeight="1">
      <c r="A1014" s="1425"/>
      <c r="B1014" s="1425"/>
      <c r="C1014" s="1425"/>
      <c r="D1014" s="1425"/>
      <c r="E1014" s="1425"/>
      <c r="F1014" s="1425"/>
      <c r="G1014" s="1425"/>
      <c r="H1014" s="1425"/>
      <c r="I1014" s="1425"/>
      <c r="J1014" s="1425"/>
      <c r="K1014" s="1425"/>
      <c r="L1014" s="1425"/>
      <c r="M1014" s="1425"/>
      <c r="N1014" s="1425"/>
    </row>
    <row r="1016" spans="1:15" ht="35.1" customHeight="1">
      <c r="B1016" s="989" t="s">
        <v>472</v>
      </c>
      <c r="C1016" s="990" t="e">
        <f>+VLOOKUP(O1016,'Planilla de Avance'!$A$10:$M$109,5,FALSE)</f>
        <v>#N/A</v>
      </c>
      <c r="D1016" s="1426" t="e">
        <f>+VLOOKUP(O1016,'Planilla de Avance'!$A$10:$M$109,6,FALSE)</f>
        <v>#N/A</v>
      </c>
      <c r="E1016" s="1426"/>
      <c r="F1016" s="1426"/>
      <c r="G1016" s="1426"/>
      <c r="H1016" s="1426"/>
      <c r="I1016" s="1426"/>
      <c r="J1016" s="1426"/>
      <c r="K1016" s="1426"/>
      <c r="L1016" s="1426"/>
      <c r="M1016" s="1426"/>
      <c r="N1016" s="1426"/>
      <c r="O1016" s="837">
        <v>4</v>
      </c>
    </row>
    <row r="1038" spans="1:14" ht="14.1" customHeight="1" thickBot="1">
      <c r="A1038" s="988"/>
      <c r="B1038" s="988"/>
      <c r="C1038" s="988"/>
      <c r="D1038" s="988"/>
      <c r="E1038" s="988"/>
      <c r="F1038" s="988"/>
      <c r="G1038" s="988"/>
      <c r="H1038" s="988"/>
      <c r="I1038" s="988"/>
      <c r="J1038" s="988"/>
      <c r="K1038" s="988"/>
      <c r="L1038" s="988"/>
      <c r="M1038" s="988"/>
      <c r="N1038" s="988"/>
    </row>
    <row r="1039" spans="1:14" ht="14.1" customHeight="1" thickTop="1" thickBot="1"/>
    <row r="1040" spans="1:14" ht="14.1" customHeight="1" thickTop="1">
      <c r="A1040" s="984"/>
      <c r="B1040" s="984"/>
      <c r="C1040" s="984"/>
      <c r="D1040" s="984"/>
      <c r="E1040" s="984"/>
      <c r="F1040" s="984"/>
      <c r="G1040" s="984"/>
      <c r="H1040" s="984"/>
      <c r="I1040" s="984"/>
      <c r="J1040" s="984"/>
      <c r="K1040" s="984"/>
      <c r="L1040" s="984"/>
      <c r="M1040" s="984"/>
      <c r="N1040" s="984"/>
    </row>
    <row r="1055" spans="2:2" ht="14.1" customHeight="1">
      <c r="B1055" s="986"/>
    </row>
    <row r="1056" spans="2:2" ht="14.1" customHeight="1">
      <c r="B1056" s="986"/>
    </row>
    <row r="1058" spans="1:15" ht="35.1" customHeight="1">
      <c r="A1058" s="1427" t="e">
        <f>+VLOOKUP(O1062,'Planilla de Avance'!$A$10:$M$109,4,FALSE)</f>
        <v>#N/A</v>
      </c>
      <c r="B1058" s="1427"/>
      <c r="C1058" s="1427"/>
      <c r="D1058" s="1427"/>
      <c r="E1058" s="1427"/>
      <c r="F1058" s="1427"/>
      <c r="G1058" s="1427"/>
      <c r="H1058" s="1427"/>
      <c r="I1058" s="1427"/>
      <c r="J1058" s="1427"/>
      <c r="K1058" s="1427"/>
      <c r="L1058" s="1427"/>
      <c r="M1058" s="1427"/>
      <c r="N1058" s="1427"/>
    </row>
    <row r="1060" spans="1:15" ht="14.1" customHeight="1">
      <c r="A1060" s="1425"/>
      <c r="B1060" s="1425"/>
      <c r="C1060" s="1425"/>
      <c r="D1060" s="1425"/>
      <c r="E1060" s="1425"/>
      <c r="F1060" s="1425"/>
      <c r="G1060" s="1425"/>
      <c r="H1060" s="1425"/>
      <c r="I1060" s="1425"/>
      <c r="J1060" s="1425"/>
      <c r="K1060" s="1425"/>
      <c r="L1060" s="1425"/>
      <c r="M1060" s="1425"/>
      <c r="N1060" s="1425"/>
    </row>
    <row r="1062" spans="1:15" ht="35.1" customHeight="1">
      <c r="B1062" s="989" t="s">
        <v>472</v>
      </c>
      <c r="C1062" s="990" t="e">
        <f>+VLOOKUP(O1062,'Planilla de Avance'!$A$10:$M$109,5,FALSE)</f>
        <v>#N/A</v>
      </c>
      <c r="D1062" s="1426" t="e">
        <f>+VLOOKUP(O1062,'Planilla de Avance'!$A$10:$M$109,6,FALSE)</f>
        <v>#N/A</v>
      </c>
      <c r="E1062" s="1426"/>
      <c r="F1062" s="1426"/>
      <c r="G1062" s="1426"/>
      <c r="H1062" s="1426"/>
      <c r="I1062" s="1426"/>
      <c r="J1062" s="1426"/>
      <c r="K1062" s="1426"/>
      <c r="L1062" s="1426"/>
      <c r="M1062" s="1426"/>
      <c r="N1062" s="1426"/>
      <c r="O1062" s="837">
        <v>5</v>
      </c>
    </row>
    <row r="1084" spans="1:14" ht="14.1" customHeight="1" thickBot="1">
      <c r="A1084" s="988"/>
      <c r="B1084" s="988"/>
      <c r="C1084" s="988"/>
      <c r="D1084" s="988"/>
      <c r="E1084" s="988"/>
      <c r="F1084" s="988"/>
      <c r="G1084" s="988"/>
      <c r="H1084" s="988"/>
      <c r="I1084" s="988"/>
      <c r="J1084" s="988"/>
      <c r="K1084" s="988"/>
      <c r="L1084" s="988"/>
      <c r="M1084" s="988"/>
      <c r="N1084" s="988"/>
    </row>
    <row r="1085" spans="1:14" ht="14.1" customHeight="1" thickTop="1" thickBot="1"/>
    <row r="1086" spans="1:14" ht="14.1" customHeight="1" thickTop="1">
      <c r="A1086" s="984"/>
      <c r="B1086" s="984"/>
      <c r="C1086" s="984"/>
      <c r="D1086" s="984"/>
      <c r="E1086" s="984"/>
      <c r="F1086" s="984"/>
      <c r="G1086" s="984"/>
      <c r="H1086" s="984"/>
      <c r="I1086" s="984"/>
      <c r="J1086" s="984"/>
      <c r="K1086" s="984"/>
      <c r="L1086" s="984"/>
      <c r="M1086" s="984"/>
      <c r="N1086" s="984"/>
    </row>
    <row r="1101" spans="1:14" ht="14.1" customHeight="1">
      <c r="B1101" s="986"/>
    </row>
    <row r="1102" spans="1:14" ht="14.1" customHeight="1">
      <c r="B1102" s="986"/>
    </row>
    <row r="1104" spans="1:14" ht="35.1" customHeight="1">
      <c r="A1104" s="1427" t="e">
        <f>+VLOOKUP(O1108,'Planilla de Avance'!$A$10:$M$109,4,FALSE)</f>
        <v>#N/A</v>
      </c>
      <c r="B1104" s="1427"/>
      <c r="C1104" s="1427"/>
      <c r="D1104" s="1427"/>
      <c r="E1104" s="1427"/>
      <c r="F1104" s="1427"/>
      <c r="G1104" s="1427"/>
      <c r="H1104" s="1427"/>
      <c r="I1104" s="1427"/>
      <c r="J1104" s="1427"/>
      <c r="K1104" s="1427"/>
      <c r="L1104" s="1427"/>
      <c r="M1104" s="1427"/>
      <c r="N1104" s="1427"/>
    </row>
    <row r="1106" spans="1:15" ht="14.1" customHeight="1">
      <c r="A1106" s="1425"/>
      <c r="B1106" s="1425"/>
      <c r="C1106" s="1425"/>
      <c r="D1106" s="1425"/>
      <c r="E1106" s="1425"/>
      <c r="F1106" s="1425"/>
      <c r="G1106" s="1425"/>
      <c r="H1106" s="1425"/>
      <c r="I1106" s="1425"/>
      <c r="J1106" s="1425"/>
      <c r="K1106" s="1425"/>
      <c r="L1106" s="1425"/>
      <c r="M1106" s="1425"/>
      <c r="N1106" s="1425"/>
    </row>
    <row r="1108" spans="1:15" ht="35.1" customHeight="1">
      <c r="B1108" s="989" t="s">
        <v>472</v>
      </c>
      <c r="C1108" s="990" t="e">
        <f>+VLOOKUP(O1108,'Planilla de Avance'!$A$10:$M$109,5,FALSE)</f>
        <v>#N/A</v>
      </c>
      <c r="D1108" s="1426" t="e">
        <f>+VLOOKUP(O1108,'Planilla de Avance'!$A$10:$M$109,6,FALSE)</f>
        <v>#N/A</v>
      </c>
      <c r="E1108" s="1426"/>
      <c r="F1108" s="1426"/>
      <c r="G1108" s="1426"/>
      <c r="H1108" s="1426"/>
      <c r="I1108" s="1426"/>
      <c r="J1108" s="1426"/>
      <c r="K1108" s="1426"/>
      <c r="L1108" s="1426"/>
      <c r="M1108" s="1426"/>
      <c r="N1108" s="1426"/>
      <c r="O1108" s="837">
        <v>6</v>
      </c>
    </row>
    <row r="1130" spans="1:14" ht="14.1" customHeight="1" thickBot="1">
      <c r="A1130" s="988"/>
      <c r="B1130" s="988"/>
      <c r="C1130" s="988"/>
      <c r="D1130" s="988"/>
      <c r="E1130" s="988"/>
      <c r="F1130" s="988"/>
      <c r="G1130" s="988"/>
      <c r="H1130" s="988"/>
      <c r="I1130" s="988"/>
      <c r="J1130" s="988"/>
      <c r="K1130" s="988"/>
      <c r="L1130" s="988"/>
      <c r="M1130" s="988"/>
      <c r="N1130" s="988"/>
    </row>
    <row r="1131" spans="1:14" ht="14.1" customHeight="1" thickTop="1" thickBot="1"/>
    <row r="1132" spans="1:14" ht="14.1" customHeight="1" thickTop="1">
      <c r="A1132" s="984"/>
      <c r="B1132" s="984"/>
      <c r="C1132" s="984"/>
      <c r="D1132" s="984"/>
      <c r="E1132" s="984"/>
      <c r="F1132" s="984"/>
      <c r="G1132" s="984"/>
      <c r="H1132" s="984"/>
      <c r="I1132" s="984"/>
      <c r="J1132" s="984"/>
      <c r="K1132" s="984"/>
      <c r="L1132" s="984"/>
      <c r="M1132" s="984"/>
      <c r="N1132" s="984"/>
    </row>
    <row r="1147" spans="1:14" ht="14.1" customHeight="1">
      <c r="B1147" s="986"/>
    </row>
    <row r="1148" spans="1:14" ht="14.1" customHeight="1">
      <c r="B1148" s="986"/>
    </row>
    <row r="1150" spans="1:14" ht="35.1" customHeight="1">
      <c r="A1150" s="1427" t="e">
        <f>+VLOOKUP(O1154,'Planilla de Avance'!$A$10:$M$109,4,FALSE)</f>
        <v>#N/A</v>
      </c>
      <c r="B1150" s="1427"/>
      <c r="C1150" s="1427"/>
      <c r="D1150" s="1427"/>
      <c r="E1150" s="1427"/>
      <c r="F1150" s="1427"/>
      <c r="G1150" s="1427"/>
      <c r="H1150" s="1427"/>
      <c r="I1150" s="1427"/>
      <c r="J1150" s="1427"/>
      <c r="K1150" s="1427"/>
      <c r="L1150" s="1427"/>
      <c r="M1150" s="1427"/>
      <c r="N1150" s="1427"/>
    </row>
    <row r="1152" spans="1:14" ht="14.1" customHeight="1">
      <c r="A1152" s="1425"/>
      <c r="B1152" s="1425"/>
      <c r="C1152" s="1425"/>
      <c r="D1152" s="1425"/>
      <c r="E1152" s="1425"/>
      <c r="F1152" s="1425"/>
      <c r="G1152" s="1425"/>
      <c r="H1152" s="1425"/>
      <c r="I1152" s="1425"/>
      <c r="J1152" s="1425"/>
      <c r="K1152" s="1425"/>
      <c r="L1152" s="1425"/>
      <c r="M1152" s="1425"/>
      <c r="N1152" s="1425"/>
    </row>
    <row r="1154" spans="2:15" ht="35.1" customHeight="1">
      <c r="B1154" s="989" t="s">
        <v>472</v>
      </c>
      <c r="C1154" s="990" t="e">
        <f>+VLOOKUP(O1154,'Planilla de Avance'!$A$10:$M$109,5,FALSE)</f>
        <v>#N/A</v>
      </c>
      <c r="D1154" s="1426" t="e">
        <f>+VLOOKUP(O1154,'Planilla de Avance'!$A$10:$M$109,6,FALSE)</f>
        <v>#N/A</v>
      </c>
      <c r="E1154" s="1426"/>
      <c r="F1154" s="1426"/>
      <c r="G1154" s="1426"/>
      <c r="H1154" s="1426"/>
      <c r="I1154" s="1426"/>
      <c r="J1154" s="1426"/>
      <c r="K1154" s="1426"/>
      <c r="L1154" s="1426"/>
      <c r="M1154" s="1426"/>
      <c r="N1154" s="1426"/>
      <c r="O1154" s="837">
        <v>7</v>
      </c>
    </row>
    <row r="1176" spans="1:14" ht="14.1" customHeight="1" thickBot="1">
      <c r="A1176" s="988"/>
      <c r="B1176" s="988"/>
      <c r="C1176" s="988"/>
      <c r="D1176" s="988"/>
      <c r="E1176" s="988"/>
      <c r="F1176" s="988"/>
      <c r="G1176" s="988"/>
      <c r="H1176" s="988"/>
      <c r="I1176" s="988"/>
      <c r="J1176" s="988"/>
      <c r="K1176" s="988"/>
      <c r="L1176" s="988"/>
      <c r="M1176" s="988"/>
      <c r="N1176" s="988"/>
    </row>
    <row r="1177" spans="1:14" ht="14.1" customHeight="1" thickTop="1" thickBot="1"/>
    <row r="1178" spans="1:14" ht="14.1" customHeight="1" thickTop="1">
      <c r="A1178" s="984"/>
      <c r="B1178" s="984"/>
      <c r="C1178" s="984"/>
      <c r="D1178" s="984"/>
      <c r="E1178" s="984"/>
      <c r="F1178" s="984"/>
      <c r="G1178" s="984"/>
      <c r="H1178" s="984"/>
      <c r="I1178" s="984"/>
      <c r="J1178" s="984"/>
      <c r="K1178" s="984"/>
      <c r="L1178" s="984"/>
      <c r="M1178" s="984"/>
      <c r="N1178" s="984"/>
    </row>
    <row r="1193" spans="1:15" ht="14.1" customHeight="1">
      <c r="B1193" s="986"/>
    </row>
    <row r="1194" spans="1:15" ht="14.1" customHeight="1">
      <c r="B1194" s="986"/>
    </row>
    <row r="1196" spans="1:15" ht="35.1" customHeight="1">
      <c r="A1196" s="1427" t="e">
        <f>+VLOOKUP(O1200,'Planilla de Avance'!$A$10:$M$109,4,FALSE)</f>
        <v>#N/A</v>
      </c>
      <c r="B1196" s="1427"/>
      <c r="C1196" s="1427"/>
      <c r="D1196" s="1427"/>
      <c r="E1196" s="1427"/>
      <c r="F1196" s="1427"/>
      <c r="G1196" s="1427"/>
      <c r="H1196" s="1427"/>
      <c r="I1196" s="1427"/>
      <c r="J1196" s="1427"/>
      <c r="K1196" s="1427"/>
      <c r="L1196" s="1427"/>
      <c r="M1196" s="1427"/>
      <c r="N1196" s="1427"/>
    </row>
    <row r="1198" spans="1:15" ht="14.1" customHeight="1">
      <c r="A1198" s="1425"/>
      <c r="B1198" s="1425"/>
      <c r="C1198" s="1425"/>
      <c r="D1198" s="1425"/>
      <c r="E1198" s="1425"/>
      <c r="F1198" s="1425"/>
      <c r="G1198" s="1425"/>
      <c r="H1198" s="1425"/>
      <c r="I1198" s="1425"/>
      <c r="J1198" s="1425"/>
      <c r="K1198" s="1425"/>
      <c r="L1198" s="1425"/>
      <c r="M1198" s="1425"/>
      <c r="N1198" s="1425"/>
    </row>
    <row r="1200" spans="1:15" ht="35.1" customHeight="1">
      <c r="B1200" s="989" t="s">
        <v>472</v>
      </c>
      <c r="C1200" s="990" t="e">
        <f>+VLOOKUP(O1200,'Planilla de Avance'!$A$10:$M$109,5,FALSE)</f>
        <v>#N/A</v>
      </c>
      <c r="D1200" s="1426" t="e">
        <f>+VLOOKUP(O1200,'Planilla de Avance'!$A$10:$M$109,6,FALSE)</f>
        <v>#N/A</v>
      </c>
      <c r="E1200" s="1426"/>
      <c r="F1200" s="1426"/>
      <c r="G1200" s="1426"/>
      <c r="H1200" s="1426"/>
      <c r="I1200" s="1426"/>
      <c r="J1200" s="1426"/>
      <c r="K1200" s="1426"/>
      <c r="L1200" s="1426"/>
      <c r="M1200" s="1426"/>
      <c r="N1200" s="1426"/>
      <c r="O1200" s="837">
        <v>8</v>
      </c>
    </row>
    <row r="1222" spans="1:14" ht="14.1" customHeight="1" thickBot="1">
      <c r="A1222" s="988"/>
      <c r="B1222" s="988"/>
      <c r="C1222" s="988"/>
      <c r="D1222" s="988"/>
      <c r="E1222" s="988"/>
      <c r="F1222" s="988"/>
      <c r="G1222" s="988"/>
      <c r="H1222" s="988"/>
      <c r="I1222" s="988"/>
      <c r="J1222" s="988"/>
      <c r="K1222" s="988"/>
      <c r="L1222" s="988"/>
      <c r="M1222" s="988"/>
      <c r="N1222" s="988"/>
    </row>
    <row r="1223" spans="1:14" ht="14.1" customHeight="1" thickTop="1" thickBot="1"/>
    <row r="1224" spans="1:14" ht="14.1" customHeight="1" thickTop="1">
      <c r="A1224" s="984"/>
      <c r="B1224" s="984"/>
      <c r="C1224" s="984"/>
      <c r="D1224" s="984"/>
      <c r="E1224" s="984"/>
      <c r="F1224" s="984"/>
      <c r="G1224" s="984"/>
      <c r="H1224" s="984"/>
      <c r="I1224" s="984"/>
      <c r="J1224" s="984"/>
      <c r="K1224" s="984"/>
      <c r="L1224" s="984"/>
      <c r="M1224" s="984"/>
      <c r="N1224" s="984"/>
    </row>
    <row r="1239" spans="1:15" ht="14.1" customHeight="1">
      <c r="B1239" s="986"/>
    </row>
    <row r="1240" spans="1:15" ht="14.1" customHeight="1">
      <c r="B1240" s="986"/>
    </row>
    <row r="1242" spans="1:15" ht="35.1" customHeight="1">
      <c r="A1242" s="1427" t="e">
        <f>+VLOOKUP(O1246,'Planilla de Avance'!$A$10:$M$109,4,FALSE)</f>
        <v>#N/A</v>
      </c>
      <c r="B1242" s="1427"/>
      <c r="C1242" s="1427"/>
      <c r="D1242" s="1427"/>
      <c r="E1242" s="1427"/>
      <c r="F1242" s="1427"/>
      <c r="G1242" s="1427"/>
      <c r="H1242" s="1427"/>
      <c r="I1242" s="1427"/>
      <c r="J1242" s="1427"/>
      <c r="K1242" s="1427"/>
      <c r="L1242" s="1427"/>
      <c r="M1242" s="1427"/>
      <c r="N1242" s="1427"/>
    </row>
    <row r="1244" spans="1:15" ht="14.1" customHeight="1">
      <c r="A1244" s="1425"/>
      <c r="B1244" s="1425"/>
      <c r="C1244" s="1425"/>
      <c r="D1244" s="1425"/>
      <c r="E1244" s="1425"/>
      <c r="F1244" s="1425"/>
      <c r="G1244" s="1425"/>
      <c r="H1244" s="1425"/>
      <c r="I1244" s="1425"/>
      <c r="J1244" s="1425"/>
      <c r="K1244" s="1425"/>
      <c r="L1244" s="1425"/>
      <c r="M1244" s="1425"/>
      <c r="N1244" s="1425"/>
    </row>
    <row r="1246" spans="1:15" ht="35.1" customHeight="1">
      <c r="B1246" s="989" t="s">
        <v>472</v>
      </c>
      <c r="C1246" s="990" t="e">
        <f>+VLOOKUP(O1246,'Planilla de Avance'!$A$10:$M$109,5,FALSE)</f>
        <v>#N/A</v>
      </c>
      <c r="D1246" s="1426" t="e">
        <f>+VLOOKUP(O1246,'Planilla de Avance'!$A$10:$M$109,6,FALSE)</f>
        <v>#N/A</v>
      </c>
      <c r="E1246" s="1426"/>
      <c r="F1246" s="1426"/>
      <c r="G1246" s="1426"/>
      <c r="H1246" s="1426"/>
      <c r="I1246" s="1426"/>
      <c r="J1246" s="1426"/>
      <c r="K1246" s="1426"/>
      <c r="L1246" s="1426"/>
      <c r="M1246" s="1426"/>
      <c r="N1246" s="1426"/>
      <c r="O1246" s="837">
        <v>9</v>
      </c>
    </row>
    <row r="1268" spans="1:14" ht="14.1" customHeight="1" thickBot="1">
      <c r="A1268" s="988"/>
      <c r="B1268" s="988"/>
      <c r="C1268" s="988"/>
      <c r="D1268" s="988"/>
      <c r="E1268" s="988"/>
      <c r="F1268" s="988"/>
      <c r="G1268" s="988"/>
      <c r="H1268" s="988"/>
      <c r="I1268" s="988"/>
      <c r="J1268" s="988"/>
      <c r="K1268" s="988"/>
      <c r="L1268" s="988"/>
      <c r="M1268" s="988"/>
      <c r="N1268" s="988"/>
    </row>
    <row r="1269" spans="1:14" ht="14.1" customHeight="1" thickTop="1" thickBot="1"/>
    <row r="1270" spans="1:14" ht="14.1" customHeight="1" thickTop="1">
      <c r="A1270" s="984"/>
      <c r="B1270" s="984"/>
      <c r="C1270" s="984"/>
      <c r="D1270" s="984"/>
      <c r="E1270" s="984"/>
      <c r="F1270" s="984"/>
      <c r="G1270" s="984"/>
      <c r="H1270" s="984"/>
      <c r="I1270" s="984"/>
      <c r="J1270" s="984"/>
      <c r="K1270" s="984"/>
      <c r="L1270" s="984"/>
      <c r="M1270" s="984"/>
      <c r="N1270" s="984"/>
    </row>
    <row r="1285" spans="1:15" ht="14.1" customHeight="1">
      <c r="B1285" s="986"/>
    </row>
    <row r="1286" spans="1:15" ht="14.1" customHeight="1">
      <c r="B1286" s="986"/>
    </row>
    <row r="1288" spans="1:15" ht="35.1" customHeight="1">
      <c r="A1288" s="1427" t="e">
        <f>+VLOOKUP(O1292,'Planilla de Avance'!$A$10:$M$109,4,FALSE)</f>
        <v>#N/A</v>
      </c>
      <c r="B1288" s="1427"/>
      <c r="C1288" s="1427"/>
      <c r="D1288" s="1427"/>
      <c r="E1288" s="1427"/>
      <c r="F1288" s="1427"/>
      <c r="G1288" s="1427"/>
      <c r="H1288" s="1427"/>
      <c r="I1288" s="1427"/>
      <c r="J1288" s="1427"/>
      <c r="K1288" s="1427"/>
      <c r="L1288" s="1427"/>
      <c r="M1288" s="1427"/>
      <c r="N1288" s="1427"/>
    </row>
    <row r="1290" spans="1:15" ht="14.1" customHeight="1">
      <c r="A1290" s="1425"/>
      <c r="B1290" s="1425"/>
      <c r="C1290" s="1425"/>
      <c r="D1290" s="1425"/>
      <c r="E1290" s="1425"/>
      <c r="F1290" s="1425"/>
      <c r="G1290" s="1425"/>
      <c r="H1290" s="1425"/>
      <c r="I1290" s="1425"/>
      <c r="J1290" s="1425"/>
      <c r="K1290" s="1425"/>
      <c r="L1290" s="1425"/>
      <c r="M1290" s="1425"/>
      <c r="N1290" s="1425"/>
    </row>
    <row r="1292" spans="1:15" ht="35.1" customHeight="1">
      <c r="B1292" s="989" t="s">
        <v>472</v>
      </c>
      <c r="C1292" s="990" t="e">
        <f>+VLOOKUP(O1292,'Planilla de Avance'!$A$10:$M$109,5,FALSE)</f>
        <v>#N/A</v>
      </c>
      <c r="D1292" s="1426" t="e">
        <f>+VLOOKUP(O1292,'Planilla de Avance'!$A$10:$M$109,6,FALSE)</f>
        <v>#N/A</v>
      </c>
      <c r="E1292" s="1426"/>
      <c r="F1292" s="1426"/>
      <c r="G1292" s="1426"/>
      <c r="H1292" s="1426"/>
      <c r="I1292" s="1426"/>
      <c r="J1292" s="1426"/>
      <c r="K1292" s="1426"/>
      <c r="L1292" s="1426"/>
      <c r="M1292" s="1426"/>
      <c r="N1292" s="1426"/>
      <c r="O1292" s="837">
        <v>10</v>
      </c>
    </row>
    <row r="1314" spans="1:14" ht="14.1" customHeight="1" thickBot="1">
      <c r="A1314" s="988"/>
      <c r="B1314" s="988"/>
      <c r="C1314" s="988"/>
      <c r="D1314" s="988"/>
      <c r="E1314" s="988"/>
      <c r="F1314" s="988"/>
      <c r="G1314" s="988"/>
      <c r="H1314" s="988"/>
      <c r="I1314" s="988"/>
      <c r="J1314" s="988"/>
      <c r="K1314" s="988"/>
      <c r="L1314" s="988"/>
      <c r="M1314" s="988"/>
      <c r="N1314" s="988"/>
    </row>
    <row r="1315" spans="1:14" ht="14.1" customHeight="1" thickTop="1" thickBot="1"/>
    <row r="1316" spans="1:14" ht="14.1" customHeight="1" thickTop="1">
      <c r="A1316" s="984"/>
      <c r="B1316" s="984"/>
      <c r="C1316" s="984"/>
      <c r="D1316" s="984"/>
      <c r="E1316" s="984"/>
      <c r="F1316" s="984"/>
      <c r="G1316" s="984"/>
      <c r="H1316" s="984"/>
      <c r="I1316" s="984"/>
      <c r="J1316" s="984"/>
      <c r="K1316" s="984"/>
      <c r="L1316" s="984"/>
      <c r="M1316" s="984"/>
      <c r="N1316" s="984"/>
    </row>
    <row r="1331" spans="1:15" ht="14.1" customHeight="1">
      <c r="B1331" s="986"/>
    </row>
    <row r="1332" spans="1:15" ht="14.1" customHeight="1">
      <c r="B1332" s="986"/>
    </row>
    <row r="1334" spans="1:15" ht="35.1" customHeight="1">
      <c r="A1334" s="1427" t="e">
        <f>+VLOOKUP(O1338,'Planilla de Avance'!$A$10:$M$109,4,FALSE)</f>
        <v>#N/A</v>
      </c>
      <c r="B1334" s="1427"/>
      <c r="C1334" s="1427"/>
      <c r="D1334" s="1427"/>
      <c r="E1334" s="1427"/>
      <c r="F1334" s="1427"/>
      <c r="G1334" s="1427"/>
      <c r="H1334" s="1427"/>
      <c r="I1334" s="1427"/>
      <c r="J1334" s="1427"/>
      <c r="K1334" s="1427"/>
      <c r="L1334" s="1427"/>
      <c r="M1334" s="1427"/>
      <c r="N1334" s="1427"/>
    </row>
    <row r="1336" spans="1:15" ht="14.1" customHeight="1">
      <c r="A1336" s="1425"/>
      <c r="B1336" s="1425"/>
      <c r="C1336" s="1425"/>
      <c r="D1336" s="1425"/>
      <c r="E1336" s="1425"/>
      <c r="F1336" s="1425"/>
      <c r="G1336" s="1425"/>
      <c r="H1336" s="1425"/>
      <c r="I1336" s="1425"/>
      <c r="J1336" s="1425"/>
      <c r="K1336" s="1425"/>
      <c r="L1336" s="1425"/>
      <c r="M1336" s="1425"/>
      <c r="N1336" s="1425"/>
    </row>
    <row r="1338" spans="1:15" ht="35.1" customHeight="1">
      <c r="B1338" s="989" t="s">
        <v>472</v>
      </c>
      <c r="C1338" s="990" t="e">
        <f>+VLOOKUP(O1338,'Planilla de Avance'!$A$10:$M$109,5,FALSE)</f>
        <v>#N/A</v>
      </c>
      <c r="D1338" s="1426" t="e">
        <f>+VLOOKUP(O1338,'Planilla de Avance'!$A$10:$M$109,6,FALSE)</f>
        <v>#N/A</v>
      </c>
      <c r="E1338" s="1426"/>
      <c r="F1338" s="1426"/>
      <c r="G1338" s="1426"/>
      <c r="H1338" s="1426"/>
      <c r="I1338" s="1426"/>
      <c r="J1338" s="1426"/>
      <c r="K1338" s="1426"/>
      <c r="L1338" s="1426"/>
      <c r="M1338" s="1426"/>
      <c r="N1338" s="1426"/>
      <c r="O1338" s="837">
        <v>11</v>
      </c>
    </row>
    <row r="1360" spans="1:14" ht="14.1" customHeight="1" thickBot="1">
      <c r="A1360" s="988"/>
      <c r="B1360" s="988"/>
      <c r="C1360" s="988"/>
      <c r="D1360" s="988"/>
      <c r="E1360" s="988"/>
      <c r="F1360" s="988"/>
      <c r="G1360" s="988"/>
      <c r="H1360" s="988"/>
      <c r="I1360" s="988"/>
      <c r="J1360" s="988"/>
      <c r="K1360" s="988"/>
      <c r="L1360" s="988"/>
      <c r="M1360" s="988"/>
      <c r="N1360" s="988"/>
    </row>
    <row r="1361" spans="1:14" ht="14.1" customHeight="1" thickTop="1" thickBot="1"/>
    <row r="1362" spans="1:14" ht="14.1" customHeight="1" thickTop="1">
      <c r="A1362" s="984"/>
      <c r="B1362" s="984"/>
      <c r="C1362" s="984"/>
      <c r="D1362" s="984"/>
      <c r="E1362" s="984"/>
      <c r="F1362" s="984"/>
      <c r="G1362" s="984"/>
      <c r="H1362" s="984"/>
      <c r="I1362" s="984"/>
      <c r="J1362" s="984"/>
      <c r="K1362" s="984"/>
      <c r="L1362" s="984"/>
      <c r="M1362" s="984"/>
      <c r="N1362" s="984"/>
    </row>
    <row r="1377" spans="1:15" ht="14.1" customHeight="1">
      <c r="B1377" s="986"/>
    </row>
    <row r="1378" spans="1:15" ht="14.1" customHeight="1">
      <c r="B1378" s="986"/>
    </row>
    <row r="1380" spans="1:15" ht="35.1" customHeight="1">
      <c r="A1380" s="1427" t="e">
        <f>+VLOOKUP(O1384,'Planilla de Avance'!$A$10:$M$109,4,FALSE)</f>
        <v>#N/A</v>
      </c>
      <c r="B1380" s="1427"/>
      <c r="C1380" s="1427"/>
      <c r="D1380" s="1427"/>
      <c r="E1380" s="1427"/>
      <c r="F1380" s="1427"/>
      <c r="G1380" s="1427"/>
      <c r="H1380" s="1427"/>
      <c r="I1380" s="1427"/>
      <c r="J1380" s="1427"/>
      <c r="K1380" s="1427"/>
      <c r="L1380" s="1427"/>
      <c r="M1380" s="1427"/>
      <c r="N1380" s="1427"/>
    </row>
    <row r="1382" spans="1:15" ht="14.1" customHeight="1">
      <c r="A1382" s="1425"/>
      <c r="B1382" s="1425"/>
      <c r="C1382" s="1425"/>
      <c r="D1382" s="1425"/>
      <c r="E1382" s="1425"/>
      <c r="F1382" s="1425"/>
      <c r="G1382" s="1425"/>
      <c r="H1382" s="1425"/>
      <c r="I1382" s="1425"/>
      <c r="J1382" s="1425"/>
      <c r="K1382" s="1425"/>
      <c r="L1382" s="1425"/>
      <c r="M1382" s="1425"/>
      <c r="N1382" s="1425"/>
    </row>
    <row r="1384" spans="1:15" ht="35.1" customHeight="1">
      <c r="B1384" s="989" t="s">
        <v>472</v>
      </c>
      <c r="C1384" s="990" t="e">
        <f>+VLOOKUP(O1384,'Planilla de Avance'!$A$10:$M$109,5,FALSE)</f>
        <v>#N/A</v>
      </c>
      <c r="D1384" s="1426" t="e">
        <f>+VLOOKUP(O1384,'Planilla de Avance'!$A$10:$M$109,6,FALSE)</f>
        <v>#N/A</v>
      </c>
      <c r="E1384" s="1426"/>
      <c r="F1384" s="1426"/>
      <c r="G1384" s="1426"/>
      <c r="H1384" s="1426"/>
      <c r="I1384" s="1426"/>
      <c r="J1384" s="1426"/>
      <c r="K1384" s="1426"/>
      <c r="L1384" s="1426"/>
      <c r="M1384" s="1426"/>
      <c r="N1384" s="1426"/>
      <c r="O1384" s="837">
        <v>12</v>
      </c>
    </row>
    <row r="1406" spans="1:14" ht="14.1" customHeight="1" thickBot="1">
      <c r="A1406" s="988"/>
      <c r="B1406" s="988"/>
      <c r="C1406" s="988"/>
      <c r="D1406" s="988"/>
      <c r="E1406" s="988"/>
      <c r="F1406" s="988"/>
      <c r="G1406" s="988"/>
      <c r="H1406" s="988"/>
      <c r="I1406" s="988"/>
      <c r="J1406" s="988"/>
      <c r="K1406" s="988"/>
      <c r="L1406" s="988"/>
      <c r="M1406" s="988"/>
      <c r="N1406" s="988"/>
    </row>
    <row r="1407" spans="1:14" ht="14.1" customHeight="1" thickTop="1" thickBot="1"/>
    <row r="1408" spans="1:14" ht="14.1" customHeight="1" thickTop="1">
      <c r="A1408" s="984"/>
      <c r="B1408" s="984"/>
      <c r="C1408" s="984"/>
      <c r="D1408" s="984"/>
      <c r="E1408" s="984"/>
      <c r="F1408" s="984"/>
      <c r="G1408" s="984"/>
      <c r="H1408" s="984"/>
      <c r="I1408" s="984"/>
      <c r="J1408" s="984"/>
      <c r="K1408" s="984"/>
      <c r="L1408" s="984"/>
      <c r="M1408" s="984"/>
      <c r="N1408" s="984"/>
    </row>
    <row r="1423" spans="2:2" ht="14.1" customHeight="1">
      <c r="B1423" s="986"/>
    </row>
    <row r="1424" spans="2:2" ht="14.1" customHeight="1">
      <c r="B1424" s="986"/>
    </row>
    <row r="1426" spans="1:15" ht="35.1" customHeight="1">
      <c r="A1426" s="1427" t="e">
        <f>+VLOOKUP(O1430,'Planilla de Avance'!$A$10:$M$109,4,FALSE)</f>
        <v>#N/A</v>
      </c>
      <c r="B1426" s="1427"/>
      <c r="C1426" s="1427"/>
      <c r="D1426" s="1427"/>
      <c r="E1426" s="1427"/>
      <c r="F1426" s="1427"/>
      <c r="G1426" s="1427"/>
      <c r="H1426" s="1427"/>
      <c r="I1426" s="1427"/>
      <c r="J1426" s="1427"/>
      <c r="K1426" s="1427"/>
      <c r="L1426" s="1427"/>
      <c r="M1426" s="1427"/>
      <c r="N1426" s="1427"/>
    </row>
    <row r="1428" spans="1:15" ht="14.1" customHeight="1">
      <c r="A1428" s="1425"/>
      <c r="B1428" s="1425"/>
      <c r="C1428" s="1425"/>
      <c r="D1428" s="1425"/>
      <c r="E1428" s="1425"/>
      <c r="F1428" s="1425"/>
      <c r="G1428" s="1425"/>
      <c r="H1428" s="1425"/>
      <c r="I1428" s="1425"/>
      <c r="J1428" s="1425"/>
      <c r="K1428" s="1425"/>
      <c r="L1428" s="1425"/>
      <c r="M1428" s="1425"/>
      <c r="N1428" s="1425"/>
    </row>
    <row r="1430" spans="1:15" ht="35.1" customHeight="1">
      <c r="B1430" s="989" t="s">
        <v>472</v>
      </c>
      <c r="C1430" s="990" t="e">
        <f>+VLOOKUP(O1430,'Planilla de Avance'!$A$10:$M$109,5,FALSE)</f>
        <v>#N/A</v>
      </c>
      <c r="D1430" s="1426" t="e">
        <f>+VLOOKUP(O1430,'Planilla de Avance'!$A$10:$M$109,6,FALSE)</f>
        <v>#N/A</v>
      </c>
      <c r="E1430" s="1426"/>
      <c r="F1430" s="1426"/>
      <c r="G1430" s="1426"/>
      <c r="H1430" s="1426"/>
      <c r="I1430" s="1426"/>
      <c r="J1430" s="1426"/>
      <c r="K1430" s="1426"/>
      <c r="L1430" s="1426"/>
      <c r="M1430" s="1426"/>
      <c r="N1430" s="1426"/>
      <c r="O1430" s="837">
        <v>13</v>
      </c>
    </row>
    <row r="1452" spans="1:14" ht="14.1" customHeight="1" thickBot="1">
      <c r="A1452" s="988"/>
      <c r="B1452" s="988"/>
      <c r="C1452" s="988"/>
      <c r="D1452" s="988"/>
      <c r="E1452" s="988"/>
      <c r="F1452" s="988"/>
      <c r="G1452" s="988"/>
      <c r="H1452" s="988"/>
      <c r="I1452" s="988"/>
      <c r="J1452" s="988"/>
      <c r="K1452" s="988"/>
      <c r="L1452" s="988"/>
      <c r="M1452" s="988"/>
      <c r="N1452" s="988"/>
    </row>
    <row r="1453" spans="1:14" ht="14.1" customHeight="1" thickTop="1" thickBot="1"/>
    <row r="1454" spans="1:14" ht="14.1" customHeight="1" thickTop="1">
      <c r="A1454" s="984"/>
      <c r="B1454" s="984"/>
      <c r="C1454" s="984"/>
      <c r="D1454" s="984"/>
      <c r="E1454" s="984"/>
      <c r="F1454" s="984"/>
      <c r="G1454" s="984"/>
      <c r="H1454" s="984"/>
      <c r="I1454" s="984"/>
      <c r="J1454" s="984"/>
      <c r="K1454" s="984"/>
      <c r="L1454" s="984"/>
      <c r="M1454" s="984"/>
      <c r="N1454" s="984"/>
    </row>
    <row r="1469" spans="1:14" ht="14.1" customHeight="1">
      <c r="B1469" s="986"/>
    </row>
    <row r="1470" spans="1:14" ht="14.1" customHeight="1">
      <c r="B1470" s="986"/>
    </row>
    <row r="1472" spans="1:14" ht="35.1" customHeight="1">
      <c r="A1472" s="1427" t="e">
        <f>+VLOOKUP(O1476,'Planilla de Avance'!$A$10:$M$109,4,FALSE)</f>
        <v>#N/A</v>
      </c>
      <c r="B1472" s="1427"/>
      <c r="C1472" s="1427"/>
      <c r="D1472" s="1427"/>
      <c r="E1472" s="1427"/>
      <c r="F1472" s="1427"/>
      <c r="G1472" s="1427"/>
      <c r="H1472" s="1427"/>
      <c r="I1472" s="1427"/>
      <c r="J1472" s="1427"/>
      <c r="K1472" s="1427"/>
      <c r="L1472" s="1427"/>
      <c r="M1472" s="1427"/>
      <c r="N1472" s="1427"/>
    </row>
    <row r="1474" spans="1:15" ht="14.1" customHeight="1">
      <c r="A1474" s="1425"/>
      <c r="B1474" s="1425"/>
      <c r="C1474" s="1425"/>
      <c r="D1474" s="1425"/>
      <c r="E1474" s="1425"/>
      <c r="F1474" s="1425"/>
      <c r="G1474" s="1425"/>
      <c r="H1474" s="1425"/>
      <c r="I1474" s="1425"/>
      <c r="J1474" s="1425"/>
      <c r="K1474" s="1425"/>
      <c r="L1474" s="1425"/>
      <c r="M1474" s="1425"/>
      <c r="N1474" s="1425"/>
    </row>
    <row r="1476" spans="1:15" ht="35.1" customHeight="1">
      <c r="B1476" s="989" t="s">
        <v>472</v>
      </c>
      <c r="C1476" s="990" t="e">
        <f>+VLOOKUP(O1476,'Planilla de Avance'!$A$10:$M$109,5,FALSE)</f>
        <v>#N/A</v>
      </c>
      <c r="D1476" s="1426" t="e">
        <f>+VLOOKUP(O1476,'Planilla de Avance'!$A$10:$M$109,6,FALSE)</f>
        <v>#N/A</v>
      </c>
      <c r="E1476" s="1426"/>
      <c r="F1476" s="1426"/>
      <c r="G1476" s="1426"/>
      <c r="H1476" s="1426"/>
      <c r="I1476" s="1426"/>
      <c r="J1476" s="1426"/>
      <c r="K1476" s="1426"/>
      <c r="L1476" s="1426"/>
      <c r="M1476" s="1426"/>
      <c r="N1476" s="1426"/>
      <c r="O1476" s="837">
        <v>14</v>
      </c>
    </row>
    <row r="1498" spans="1:14" ht="14.1" customHeight="1" thickBot="1">
      <c r="A1498" s="988"/>
      <c r="B1498" s="988"/>
      <c r="C1498" s="988"/>
      <c r="D1498" s="988"/>
      <c r="E1498" s="988"/>
      <c r="F1498" s="988"/>
      <c r="G1498" s="988"/>
      <c r="H1498" s="988"/>
      <c r="I1498" s="988"/>
      <c r="J1498" s="988"/>
      <c r="K1498" s="988"/>
      <c r="L1498" s="988"/>
      <c r="M1498" s="988"/>
      <c r="N1498" s="988"/>
    </row>
    <row r="1499" spans="1:14" ht="14.1" customHeight="1" thickTop="1" thickBot="1"/>
    <row r="1500" spans="1:14" ht="14.1" customHeight="1" thickTop="1">
      <c r="A1500" s="984"/>
      <c r="B1500" s="984"/>
      <c r="C1500" s="984"/>
      <c r="D1500" s="984"/>
      <c r="E1500" s="984"/>
      <c r="F1500" s="984"/>
      <c r="G1500" s="984"/>
      <c r="H1500" s="984"/>
      <c r="I1500" s="984"/>
      <c r="J1500" s="984"/>
      <c r="K1500" s="984"/>
      <c r="L1500" s="984"/>
      <c r="M1500" s="984"/>
      <c r="N1500" s="984"/>
    </row>
    <row r="1515" spans="1:14" ht="14.1" customHeight="1">
      <c r="B1515" s="986"/>
    </row>
    <row r="1516" spans="1:14" ht="14.1" customHeight="1">
      <c r="B1516" s="986"/>
    </row>
    <row r="1518" spans="1:14" ht="35.1" customHeight="1">
      <c r="A1518" s="1427" t="e">
        <f>+VLOOKUP(O1522,'Planilla de Avance'!$A$10:$M$109,4,FALSE)</f>
        <v>#N/A</v>
      </c>
      <c r="B1518" s="1427"/>
      <c r="C1518" s="1427"/>
      <c r="D1518" s="1427"/>
      <c r="E1518" s="1427"/>
      <c r="F1518" s="1427"/>
      <c r="G1518" s="1427"/>
      <c r="H1518" s="1427"/>
      <c r="I1518" s="1427"/>
      <c r="J1518" s="1427"/>
      <c r="K1518" s="1427"/>
      <c r="L1518" s="1427"/>
      <c r="M1518" s="1427"/>
      <c r="N1518" s="1427"/>
    </row>
    <row r="1520" spans="1:14" ht="14.1" customHeight="1">
      <c r="A1520" s="1425"/>
      <c r="B1520" s="1425"/>
      <c r="C1520" s="1425"/>
      <c r="D1520" s="1425"/>
      <c r="E1520" s="1425"/>
      <c r="F1520" s="1425"/>
      <c r="G1520" s="1425"/>
      <c r="H1520" s="1425"/>
      <c r="I1520" s="1425"/>
      <c r="J1520" s="1425"/>
      <c r="K1520" s="1425"/>
      <c r="L1520" s="1425"/>
      <c r="M1520" s="1425"/>
      <c r="N1520" s="1425"/>
    </row>
    <row r="1522" spans="2:15" ht="35.1" customHeight="1">
      <c r="B1522" s="989" t="s">
        <v>472</v>
      </c>
      <c r="C1522" s="990" t="e">
        <f>+VLOOKUP(O1522,'Planilla de Avance'!$A$10:$M$109,5,FALSE)</f>
        <v>#N/A</v>
      </c>
      <c r="D1522" s="1426" t="e">
        <f>+VLOOKUP(O1522,'Planilla de Avance'!$A$10:$M$109,6,FALSE)</f>
        <v>#N/A</v>
      </c>
      <c r="E1522" s="1426"/>
      <c r="F1522" s="1426"/>
      <c r="G1522" s="1426"/>
      <c r="H1522" s="1426"/>
      <c r="I1522" s="1426"/>
      <c r="J1522" s="1426"/>
      <c r="K1522" s="1426"/>
      <c r="L1522" s="1426"/>
      <c r="M1522" s="1426"/>
      <c r="N1522" s="1426"/>
      <c r="O1522" s="837">
        <v>15</v>
      </c>
    </row>
    <row r="1544" spans="1:14" ht="14.1" customHeight="1" thickBot="1">
      <c r="A1544" s="988"/>
      <c r="B1544" s="988"/>
      <c r="C1544" s="988"/>
      <c r="D1544" s="988"/>
      <c r="E1544" s="988"/>
      <c r="F1544" s="988"/>
      <c r="G1544" s="988"/>
      <c r="H1544" s="988"/>
      <c r="I1544" s="988"/>
      <c r="J1544" s="988"/>
      <c r="K1544" s="988"/>
      <c r="L1544" s="988"/>
      <c r="M1544" s="988"/>
      <c r="N1544" s="988"/>
    </row>
    <row r="1545" spans="1:14" ht="14.1" customHeight="1" thickTop="1" thickBot="1"/>
    <row r="1546" spans="1:14" ht="14.1" customHeight="1" thickTop="1">
      <c r="A1546" s="984"/>
      <c r="B1546" s="984"/>
      <c r="C1546" s="984"/>
      <c r="D1546" s="984"/>
      <c r="E1546" s="984"/>
      <c r="F1546" s="984"/>
      <c r="G1546" s="984"/>
      <c r="H1546" s="984"/>
      <c r="I1546" s="984"/>
      <c r="J1546" s="984"/>
      <c r="K1546" s="984"/>
      <c r="L1546" s="984"/>
      <c r="M1546" s="984"/>
      <c r="N1546" s="984"/>
    </row>
    <row r="1561" spans="1:15" ht="14.1" customHeight="1">
      <c r="B1561" s="986"/>
    </row>
    <row r="1562" spans="1:15" ht="14.1" customHeight="1">
      <c r="B1562" s="986"/>
    </row>
    <row r="1564" spans="1:15" ht="35.1" customHeight="1">
      <c r="A1564" s="1427" t="e">
        <f>+VLOOKUP(O1568,'Planilla de Avance'!$A$10:$M$109,4,FALSE)</f>
        <v>#N/A</v>
      </c>
      <c r="B1564" s="1427"/>
      <c r="C1564" s="1427"/>
      <c r="D1564" s="1427"/>
      <c r="E1564" s="1427"/>
      <c r="F1564" s="1427"/>
      <c r="G1564" s="1427"/>
      <c r="H1564" s="1427"/>
      <c r="I1564" s="1427"/>
      <c r="J1564" s="1427"/>
      <c r="K1564" s="1427"/>
      <c r="L1564" s="1427"/>
      <c r="M1564" s="1427"/>
      <c r="N1564" s="1427"/>
    </row>
    <row r="1566" spans="1:15" ht="14.1" customHeight="1">
      <c r="A1566" s="1425"/>
      <c r="B1566" s="1425"/>
      <c r="C1566" s="1425"/>
      <c r="D1566" s="1425"/>
      <c r="E1566" s="1425"/>
      <c r="F1566" s="1425"/>
      <c r="G1566" s="1425"/>
      <c r="H1566" s="1425"/>
      <c r="I1566" s="1425"/>
      <c r="J1566" s="1425"/>
      <c r="K1566" s="1425"/>
      <c r="L1566" s="1425"/>
      <c r="M1566" s="1425"/>
      <c r="N1566" s="1425"/>
    </row>
    <row r="1568" spans="1:15" ht="35.1" customHeight="1">
      <c r="B1568" s="989" t="s">
        <v>472</v>
      </c>
      <c r="C1568" s="990" t="e">
        <f>+VLOOKUP(O1568,'Planilla de Avance'!$A$10:$M$109,5,FALSE)</f>
        <v>#N/A</v>
      </c>
      <c r="D1568" s="1426" t="e">
        <f>+VLOOKUP(O1568,'Planilla de Avance'!$A$10:$M$109,6,FALSE)</f>
        <v>#N/A</v>
      </c>
      <c r="E1568" s="1426"/>
      <c r="F1568" s="1426"/>
      <c r="G1568" s="1426"/>
      <c r="H1568" s="1426"/>
      <c r="I1568" s="1426"/>
      <c r="J1568" s="1426"/>
      <c r="K1568" s="1426"/>
      <c r="L1568" s="1426"/>
      <c r="M1568" s="1426"/>
      <c r="N1568" s="1426"/>
      <c r="O1568" s="837">
        <v>16</v>
      </c>
    </row>
    <row r="1590" spans="1:14" ht="14.1" customHeight="1" thickBot="1">
      <c r="A1590" s="988"/>
      <c r="B1590" s="988"/>
      <c r="C1590" s="988"/>
      <c r="D1590" s="988"/>
      <c r="E1590" s="988"/>
      <c r="F1590" s="988"/>
      <c r="G1590" s="988"/>
      <c r="H1590" s="988"/>
      <c r="I1590" s="988"/>
      <c r="J1590" s="988"/>
      <c r="K1590" s="988"/>
      <c r="L1590" s="988"/>
      <c r="M1590" s="988"/>
      <c r="N1590" s="988"/>
    </row>
    <row r="1591" spans="1:14" ht="14.1" customHeight="1" thickTop="1" thickBot="1"/>
    <row r="1592" spans="1:14" ht="14.1" customHeight="1" thickTop="1">
      <c r="A1592" s="984"/>
      <c r="B1592" s="984"/>
      <c r="C1592" s="984"/>
      <c r="D1592" s="984"/>
      <c r="E1592" s="984"/>
      <c r="F1592" s="984"/>
      <c r="G1592" s="984"/>
      <c r="H1592" s="984"/>
      <c r="I1592" s="984"/>
      <c r="J1592" s="984"/>
      <c r="K1592" s="984"/>
      <c r="L1592" s="984"/>
      <c r="M1592" s="984"/>
      <c r="N1592" s="984"/>
    </row>
    <row r="1607" spans="1:15" ht="14.1" customHeight="1">
      <c r="B1607" s="986"/>
    </row>
    <row r="1608" spans="1:15" ht="14.1" customHeight="1">
      <c r="B1608" s="986"/>
    </row>
    <row r="1610" spans="1:15" ht="35.1" customHeight="1">
      <c r="A1610" s="1427" t="e">
        <f>+VLOOKUP(O1614,'Planilla de Avance'!$A$10:$M$109,4,FALSE)</f>
        <v>#N/A</v>
      </c>
      <c r="B1610" s="1427"/>
      <c r="C1610" s="1427"/>
      <c r="D1610" s="1427"/>
      <c r="E1610" s="1427"/>
      <c r="F1610" s="1427"/>
      <c r="G1610" s="1427"/>
      <c r="H1610" s="1427"/>
      <c r="I1610" s="1427"/>
      <c r="J1610" s="1427"/>
      <c r="K1610" s="1427"/>
      <c r="L1610" s="1427"/>
      <c r="M1610" s="1427"/>
      <c r="N1610" s="1427"/>
    </row>
    <row r="1612" spans="1:15" ht="14.1" customHeight="1">
      <c r="A1612" s="1425"/>
      <c r="B1612" s="1425"/>
      <c r="C1612" s="1425"/>
      <c r="D1612" s="1425"/>
      <c r="E1612" s="1425"/>
      <c r="F1612" s="1425"/>
      <c r="G1612" s="1425"/>
      <c r="H1612" s="1425"/>
      <c r="I1612" s="1425"/>
      <c r="J1612" s="1425"/>
      <c r="K1612" s="1425"/>
      <c r="L1612" s="1425"/>
      <c r="M1612" s="1425"/>
      <c r="N1612" s="1425"/>
    </row>
    <row r="1614" spans="1:15" ht="35.1" customHeight="1">
      <c r="B1614" s="989" t="s">
        <v>472</v>
      </c>
      <c r="C1614" s="990" t="e">
        <f>+VLOOKUP(O1614,'Planilla de Avance'!$A$10:$M$109,5,FALSE)</f>
        <v>#N/A</v>
      </c>
      <c r="D1614" s="1426" t="e">
        <f>+VLOOKUP(O1614,'Planilla de Avance'!$A$10:$M$109,6,FALSE)</f>
        <v>#N/A</v>
      </c>
      <c r="E1614" s="1426"/>
      <c r="F1614" s="1426"/>
      <c r="G1614" s="1426"/>
      <c r="H1614" s="1426"/>
      <c r="I1614" s="1426"/>
      <c r="J1614" s="1426"/>
      <c r="K1614" s="1426"/>
      <c r="L1614" s="1426"/>
      <c r="M1614" s="1426"/>
      <c r="N1614" s="1426"/>
      <c r="O1614" s="837">
        <v>17</v>
      </c>
    </row>
    <row r="1636" spans="1:14" ht="14.1" customHeight="1" thickBot="1">
      <c r="A1636" s="988"/>
      <c r="B1636" s="988"/>
      <c r="C1636" s="988"/>
      <c r="D1636" s="988"/>
      <c r="E1636" s="988"/>
      <c r="F1636" s="988"/>
      <c r="G1636" s="988"/>
      <c r="H1636" s="988"/>
      <c r="I1636" s="988"/>
      <c r="J1636" s="988"/>
      <c r="K1636" s="988"/>
      <c r="L1636" s="988"/>
      <c r="M1636" s="988"/>
      <c r="N1636" s="988"/>
    </row>
    <row r="1637" spans="1:14" ht="14.1" customHeight="1" thickTop="1" thickBot="1"/>
    <row r="1638" spans="1:14" ht="14.1" customHeight="1" thickTop="1">
      <c r="A1638" s="984"/>
      <c r="B1638" s="984"/>
      <c r="C1638" s="984"/>
      <c r="D1638" s="984"/>
      <c r="E1638" s="984"/>
      <c r="F1638" s="984"/>
      <c r="G1638" s="984"/>
      <c r="H1638" s="984"/>
      <c r="I1638" s="984"/>
      <c r="J1638" s="984"/>
      <c r="K1638" s="984"/>
      <c r="L1638" s="984"/>
      <c r="M1638" s="984"/>
      <c r="N1638" s="984"/>
    </row>
    <row r="1653" spans="1:15" ht="14.1" customHeight="1">
      <c r="B1653" s="986"/>
    </row>
    <row r="1654" spans="1:15" ht="14.1" customHeight="1">
      <c r="B1654" s="986"/>
    </row>
    <row r="1656" spans="1:15" ht="35.1" customHeight="1">
      <c r="A1656" s="1427" t="e">
        <f>+VLOOKUP(O1660,'Planilla de Avance'!$A$10:$M$109,4,FALSE)</f>
        <v>#N/A</v>
      </c>
      <c r="B1656" s="1427"/>
      <c r="C1656" s="1427"/>
      <c r="D1656" s="1427"/>
      <c r="E1656" s="1427"/>
      <c r="F1656" s="1427"/>
      <c r="G1656" s="1427"/>
      <c r="H1656" s="1427"/>
      <c r="I1656" s="1427"/>
      <c r="J1656" s="1427"/>
      <c r="K1656" s="1427"/>
      <c r="L1656" s="1427"/>
      <c r="M1656" s="1427"/>
      <c r="N1656" s="1427"/>
    </row>
    <row r="1658" spans="1:15" ht="14.1" customHeight="1">
      <c r="A1658" s="1425"/>
      <c r="B1658" s="1425"/>
      <c r="C1658" s="1425"/>
      <c r="D1658" s="1425"/>
      <c r="E1658" s="1425"/>
      <c r="F1658" s="1425"/>
      <c r="G1658" s="1425"/>
      <c r="H1658" s="1425"/>
      <c r="I1658" s="1425"/>
      <c r="J1658" s="1425"/>
      <c r="K1658" s="1425"/>
      <c r="L1658" s="1425"/>
      <c r="M1658" s="1425"/>
      <c r="N1658" s="1425"/>
    </row>
    <row r="1660" spans="1:15" ht="35.1" customHeight="1">
      <c r="B1660" s="989" t="s">
        <v>472</v>
      </c>
      <c r="C1660" s="990" t="e">
        <f>+VLOOKUP(O1660,'Planilla de Avance'!$A$10:$M$109,5,FALSE)</f>
        <v>#N/A</v>
      </c>
      <c r="D1660" s="1426" t="e">
        <f>+VLOOKUP(O1660,'Planilla de Avance'!$A$10:$M$109,6,FALSE)</f>
        <v>#N/A</v>
      </c>
      <c r="E1660" s="1426"/>
      <c r="F1660" s="1426"/>
      <c r="G1660" s="1426"/>
      <c r="H1660" s="1426"/>
      <c r="I1660" s="1426"/>
      <c r="J1660" s="1426"/>
      <c r="K1660" s="1426"/>
      <c r="L1660" s="1426"/>
      <c r="M1660" s="1426"/>
      <c r="N1660" s="1426"/>
      <c r="O1660" s="837">
        <v>18</v>
      </c>
    </row>
    <row r="1682" spans="1:14" ht="14.1" customHeight="1" thickBot="1">
      <c r="A1682" s="988"/>
      <c r="B1682" s="988"/>
      <c r="C1682" s="988"/>
      <c r="D1682" s="988"/>
      <c r="E1682" s="988"/>
      <c r="F1682" s="988"/>
      <c r="G1682" s="988"/>
      <c r="H1682" s="988"/>
      <c r="I1682" s="988"/>
      <c r="J1682" s="988"/>
      <c r="K1682" s="988"/>
      <c r="L1682" s="988"/>
      <c r="M1682" s="988"/>
      <c r="N1682" s="988"/>
    </row>
    <row r="1683" spans="1:14" ht="14.1" customHeight="1" thickTop="1" thickBot="1"/>
    <row r="1684" spans="1:14" ht="14.1" customHeight="1" thickTop="1">
      <c r="A1684" s="984"/>
      <c r="B1684" s="984"/>
      <c r="C1684" s="984"/>
      <c r="D1684" s="984"/>
      <c r="E1684" s="984"/>
      <c r="F1684" s="984"/>
      <c r="G1684" s="984"/>
      <c r="H1684" s="984"/>
      <c r="I1684" s="984"/>
      <c r="J1684" s="984"/>
      <c r="K1684" s="984"/>
      <c r="L1684" s="984"/>
      <c r="M1684" s="984"/>
      <c r="N1684" s="984"/>
    </row>
    <row r="1699" spans="1:15" ht="14.1" customHeight="1">
      <c r="B1699" s="986"/>
    </row>
    <row r="1700" spans="1:15" ht="14.1" customHeight="1">
      <c r="B1700" s="986"/>
    </row>
    <row r="1702" spans="1:15" ht="35.1" customHeight="1">
      <c r="A1702" s="1427" t="e">
        <f>+VLOOKUP(O1706,'Planilla de Avance'!$A$10:$M$109,4,FALSE)</f>
        <v>#N/A</v>
      </c>
      <c r="B1702" s="1427"/>
      <c r="C1702" s="1427"/>
      <c r="D1702" s="1427"/>
      <c r="E1702" s="1427"/>
      <c r="F1702" s="1427"/>
      <c r="G1702" s="1427"/>
      <c r="H1702" s="1427"/>
      <c r="I1702" s="1427"/>
      <c r="J1702" s="1427"/>
      <c r="K1702" s="1427"/>
      <c r="L1702" s="1427"/>
      <c r="M1702" s="1427"/>
      <c r="N1702" s="1427"/>
    </row>
    <row r="1704" spans="1:15" ht="14.1" customHeight="1">
      <c r="A1704" s="1425"/>
      <c r="B1704" s="1425"/>
      <c r="C1704" s="1425"/>
      <c r="D1704" s="1425"/>
      <c r="E1704" s="1425"/>
      <c r="F1704" s="1425"/>
      <c r="G1704" s="1425"/>
      <c r="H1704" s="1425"/>
      <c r="I1704" s="1425"/>
      <c r="J1704" s="1425"/>
      <c r="K1704" s="1425"/>
      <c r="L1704" s="1425"/>
      <c r="M1704" s="1425"/>
      <c r="N1704" s="1425"/>
    </row>
    <row r="1706" spans="1:15" ht="35.1" customHeight="1">
      <c r="B1706" s="989" t="s">
        <v>472</v>
      </c>
      <c r="C1706" s="990" t="e">
        <f>+VLOOKUP(O1706,'Planilla de Avance'!$A$10:$M$109,5,FALSE)</f>
        <v>#N/A</v>
      </c>
      <c r="D1706" s="1426" t="e">
        <f>+VLOOKUP(O1706,'Planilla de Avance'!$A$10:$M$109,6,FALSE)</f>
        <v>#N/A</v>
      </c>
      <c r="E1706" s="1426"/>
      <c r="F1706" s="1426"/>
      <c r="G1706" s="1426"/>
      <c r="H1706" s="1426"/>
      <c r="I1706" s="1426"/>
      <c r="J1706" s="1426"/>
      <c r="K1706" s="1426"/>
      <c r="L1706" s="1426"/>
      <c r="M1706" s="1426"/>
      <c r="N1706" s="1426"/>
      <c r="O1706" s="837">
        <v>19</v>
      </c>
    </row>
    <row r="1728" spans="1:14" ht="14.1" customHeight="1" thickBot="1">
      <c r="A1728" s="988"/>
      <c r="B1728" s="988"/>
      <c r="C1728" s="988"/>
      <c r="D1728" s="988"/>
      <c r="E1728" s="988"/>
      <c r="F1728" s="988"/>
      <c r="G1728" s="988"/>
      <c r="H1728" s="988"/>
      <c r="I1728" s="988"/>
      <c r="J1728" s="988"/>
      <c r="K1728" s="988"/>
      <c r="L1728" s="988"/>
      <c r="M1728" s="988"/>
      <c r="N1728" s="988"/>
    </row>
    <row r="1729" spans="1:14" ht="14.1" customHeight="1" thickTop="1" thickBot="1"/>
    <row r="1730" spans="1:14" ht="14.1" customHeight="1" thickTop="1">
      <c r="A1730" s="984"/>
      <c r="B1730" s="984"/>
      <c r="C1730" s="984"/>
      <c r="D1730" s="984"/>
      <c r="E1730" s="984"/>
      <c r="F1730" s="984"/>
      <c r="G1730" s="984"/>
      <c r="H1730" s="984"/>
      <c r="I1730" s="984"/>
      <c r="J1730" s="984"/>
      <c r="K1730" s="984"/>
      <c r="L1730" s="984"/>
      <c r="M1730" s="984"/>
      <c r="N1730" s="984"/>
    </row>
    <row r="1745" spans="1:15" ht="14.1" customHeight="1">
      <c r="B1745" s="986"/>
    </row>
    <row r="1746" spans="1:15" ht="14.1" customHeight="1">
      <c r="B1746" s="986"/>
    </row>
    <row r="1748" spans="1:15" ht="35.1" customHeight="1">
      <c r="A1748" s="1427" t="e">
        <f>+VLOOKUP(O1752,'Planilla de Avance'!$A$10:$M$109,4,FALSE)</f>
        <v>#N/A</v>
      </c>
      <c r="B1748" s="1427"/>
      <c r="C1748" s="1427"/>
      <c r="D1748" s="1427"/>
      <c r="E1748" s="1427"/>
      <c r="F1748" s="1427"/>
      <c r="G1748" s="1427"/>
      <c r="H1748" s="1427"/>
      <c r="I1748" s="1427"/>
      <c r="J1748" s="1427"/>
      <c r="K1748" s="1427"/>
      <c r="L1748" s="1427"/>
      <c r="M1748" s="1427"/>
      <c r="N1748" s="1427"/>
    </row>
    <row r="1750" spans="1:15" ht="14.1" customHeight="1">
      <c r="A1750" s="1425"/>
      <c r="B1750" s="1425"/>
      <c r="C1750" s="1425"/>
      <c r="D1750" s="1425"/>
      <c r="E1750" s="1425"/>
      <c r="F1750" s="1425"/>
      <c r="G1750" s="1425"/>
      <c r="H1750" s="1425"/>
      <c r="I1750" s="1425"/>
      <c r="J1750" s="1425"/>
      <c r="K1750" s="1425"/>
      <c r="L1750" s="1425"/>
      <c r="M1750" s="1425"/>
      <c r="N1750" s="1425"/>
    </row>
    <row r="1752" spans="1:15" ht="35.1" customHeight="1">
      <c r="B1752" s="989" t="s">
        <v>472</v>
      </c>
      <c r="C1752" s="990" t="e">
        <f>+VLOOKUP(O1752,'Planilla de Avance'!$A$10:$M$109,5,FALSE)</f>
        <v>#N/A</v>
      </c>
      <c r="D1752" s="1426" t="e">
        <f>+VLOOKUP(O1752,'Planilla de Avance'!$A$10:$M$109,6,FALSE)</f>
        <v>#N/A</v>
      </c>
      <c r="E1752" s="1426"/>
      <c r="F1752" s="1426"/>
      <c r="G1752" s="1426"/>
      <c r="H1752" s="1426"/>
      <c r="I1752" s="1426"/>
      <c r="J1752" s="1426"/>
      <c r="K1752" s="1426"/>
      <c r="L1752" s="1426"/>
      <c r="M1752" s="1426"/>
      <c r="N1752" s="1426"/>
      <c r="O1752" s="837">
        <v>20</v>
      </c>
    </row>
    <row r="1774" spans="1:14" ht="14.1" customHeight="1" thickBot="1">
      <c r="A1774" s="988"/>
      <c r="B1774" s="988"/>
      <c r="C1774" s="988"/>
      <c r="D1774" s="988"/>
      <c r="E1774" s="988"/>
      <c r="F1774" s="988"/>
      <c r="G1774" s="988"/>
      <c r="H1774" s="988"/>
      <c r="I1774" s="988"/>
      <c r="J1774" s="988"/>
      <c r="K1774" s="988"/>
      <c r="L1774" s="988"/>
      <c r="M1774" s="988"/>
      <c r="N1774" s="988"/>
    </row>
    <row r="1775" spans="1:14" ht="14.1" customHeight="1" thickTop="1" thickBot="1"/>
    <row r="1776" spans="1:14" ht="14.1" customHeight="1" thickTop="1">
      <c r="A1776" s="984"/>
      <c r="B1776" s="984"/>
      <c r="C1776" s="984"/>
      <c r="D1776" s="984"/>
      <c r="E1776" s="984"/>
      <c r="F1776" s="984"/>
      <c r="G1776" s="984"/>
      <c r="H1776" s="984"/>
      <c r="I1776" s="984"/>
      <c r="J1776" s="984"/>
      <c r="K1776" s="984"/>
      <c r="L1776" s="984"/>
      <c r="M1776" s="984"/>
      <c r="N1776" s="984"/>
    </row>
    <row r="1791" spans="2:2" ht="14.1" customHeight="1">
      <c r="B1791" s="986"/>
    </row>
    <row r="1792" spans="2:2" ht="14.1" customHeight="1">
      <c r="B1792" s="986"/>
    </row>
    <row r="1794" spans="1:15" ht="35.1" customHeight="1">
      <c r="A1794" s="1427" t="e">
        <f>+VLOOKUP(O1798,'Planilla de Avance'!$A$10:$M$109,4,FALSE)</f>
        <v>#N/A</v>
      </c>
      <c r="B1794" s="1427"/>
      <c r="C1794" s="1427"/>
      <c r="D1794" s="1427"/>
      <c r="E1794" s="1427"/>
      <c r="F1794" s="1427"/>
      <c r="G1794" s="1427"/>
      <c r="H1794" s="1427"/>
      <c r="I1794" s="1427"/>
      <c r="J1794" s="1427"/>
      <c r="K1794" s="1427"/>
      <c r="L1794" s="1427"/>
      <c r="M1794" s="1427"/>
      <c r="N1794" s="1427"/>
    </row>
    <row r="1796" spans="1:15" ht="14.1" customHeight="1">
      <c r="A1796" s="1425"/>
      <c r="B1796" s="1425"/>
      <c r="C1796" s="1425"/>
      <c r="D1796" s="1425"/>
      <c r="E1796" s="1425"/>
      <c r="F1796" s="1425"/>
      <c r="G1796" s="1425"/>
      <c r="H1796" s="1425"/>
      <c r="I1796" s="1425"/>
      <c r="J1796" s="1425"/>
      <c r="K1796" s="1425"/>
      <c r="L1796" s="1425"/>
      <c r="M1796" s="1425"/>
      <c r="N1796" s="1425"/>
    </row>
    <row r="1798" spans="1:15" ht="35.1" customHeight="1">
      <c r="B1798" s="989" t="s">
        <v>472</v>
      </c>
      <c r="C1798" s="990" t="e">
        <f>+VLOOKUP(O1798,'Planilla de Avance'!$A$10:$M$109,5,FALSE)</f>
        <v>#N/A</v>
      </c>
      <c r="D1798" s="1426" t="e">
        <f>+VLOOKUP(O1798,'Planilla de Avance'!$A$10:$M$109,6,FALSE)</f>
        <v>#N/A</v>
      </c>
      <c r="E1798" s="1426"/>
      <c r="F1798" s="1426"/>
      <c r="G1798" s="1426"/>
      <c r="H1798" s="1426"/>
      <c r="I1798" s="1426"/>
      <c r="J1798" s="1426"/>
      <c r="K1798" s="1426"/>
      <c r="L1798" s="1426"/>
      <c r="M1798" s="1426"/>
      <c r="N1798" s="1426"/>
      <c r="O1798" s="837">
        <v>21</v>
      </c>
    </row>
    <row r="1820" spans="1:14" ht="14.1" customHeight="1" thickBot="1">
      <c r="A1820" s="988"/>
      <c r="B1820" s="988"/>
      <c r="C1820" s="988"/>
      <c r="D1820" s="988"/>
      <c r="E1820" s="988"/>
      <c r="F1820" s="988"/>
      <c r="G1820" s="988"/>
      <c r="H1820" s="988"/>
      <c r="I1820" s="988"/>
      <c r="J1820" s="988"/>
      <c r="K1820" s="988"/>
      <c r="L1820" s="988"/>
      <c r="M1820" s="988"/>
      <c r="N1820" s="988"/>
    </row>
    <row r="1821" spans="1:14" ht="14.1" customHeight="1" thickTop="1" thickBot="1"/>
    <row r="1822" spans="1:14" ht="14.1" customHeight="1" thickTop="1">
      <c r="A1822" s="984"/>
      <c r="B1822" s="984"/>
      <c r="C1822" s="984"/>
      <c r="D1822" s="984"/>
      <c r="E1822" s="984"/>
      <c r="F1822" s="984"/>
      <c r="G1822" s="984"/>
      <c r="H1822" s="984"/>
      <c r="I1822" s="984"/>
      <c r="J1822" s="984"/>
      <c r="K1822" s="984"/>
      <c r="L1822" s="984"/>
      <c r="M1822" s="984"/>
      <c r="N1822" s="984"/>
    </row>
    <row r="1837" spans="1:14" ht="14.1" customHeight="1">
      <c r="B1837" s="986"/>
    </row>
    <row r="1838" spans="1:14" ht="14.1" customHeight="1">
      <c r="B1838" s="986"/>
    </row>
    <row r="1840" spans="1:14" ht="35.1" customHeight="1">
      <c r="A1840" s="1427" t="e">
        <f>+VLOOKUP(O1844,'Planilla de Avance'!$A$10:$M$109,4,FALSE)</f>
        <v>#N/A</v>
      </c>
      <c r="B1840" s="1427"/>
      <c r="C1840" s="1427"/>
      <c r="D1840" s="1427"/>
      <c r="E1840" s="1427"/>
      <c r="F1840" s="1427"/>
      <c r="G1840" s="1427"/>
      <c r="H1840" s="1427"/>
      <c r="I1840" s="1427"/>
      <c r="J1840" s="1427"/>
      <c r="K1840" s="1427"/>
      <c r="L1840" s="1427"/>
      <c r="M1840" s="1427"/>
      <c r="N1840" s="1427"/>
    </row>
    <row r="1842" spans="1:15" ht="14.1" customHeight="1">
      <c r="A1842" s="1425"/>
      <c r="B1842" s="1425"/>
      <c r="C1842" s="1425"/>
      <c r="D1842" s="1425"/>
      <c r="E1842" s="1425"/>
      <c r="F1842" s="1425"/>
      <c r="G1842" s="1425"/>
      <c r="H1842" s="1425"/>
      <c r="I1842" s="1425"/>
      <c r="J1842" s="1425"/>
      <c r="K1842" s="1425"/>
      <c r="L1842" s="1425"/>
      <c r="M1842" s="1425"/>
      <c r="N1842" s="1425"/>
    </row>
    <row r="1844" spans="1:15" ht="35.1" customHeight="1">
      <c r="B1844" s="989" t="s">
        <v>472</v>
      </c>
      <c r="C1844" s="990" t="e">
        <f>+VLOOKUP(O1844,'Planilla de Avance'!$A$10:$M$109,5,FALSE)</f>
        <v>#N/A</v>
      </c>
      <c r="D1844" s="1426" t="e">
        <f>+VLOOKUP(O1844,'Planilla de Avance'!$A$10:$M$109,6,FALSE)</f>
        <v>#N/A</v>
      </c>
      <c r="E1844" s="1426"/>
      <c r="F1844" s="1426"/>
      <c r="G1844" s="1426"/>
      <c r="H1844" s="1426"/>
      <c r="I1844" s="1426"/>
      <c r="J1844" s="1426"/>
      <c r="K1844" s="1426"/>
      <c r="L1844" s="1426"/>
      <c r="M1844" s="1426"/>
      <c r="N1844" s="1426"/>
      <c r="O1844" s="837">
        <v>22</v>
      </c>
    </row>
    <row r="1866" spans="1:14" ht="14.1" customHeight="1" thickBot="1">
      <c r="A1866" s="988"/>
      <c r="B1866" s="988"/>
      <c r="C1866" s="988"/>
      <c r="D1866" s="988"/>
      <c r="E1866" s="988"/>
      <c r="F1866" s="988"/>
      <c r="G1866" s="988"/>
      <c r="H1866" s="988"/>
      <c r="I1866" s="988"/>
      <c r="J1866" s="988"/>
      <c r="K1866" s="988"/>
      <c r="L1866" s="988"/>
      <c r="M1866" s="988"/>
      <c r="N1866" s="988"/>
    </row>
    <row r="1867" spans="1:14" ht="14.1" customHeight="1" thickTop="1" thickBot="1"/>
    <row r="1868" spans="1:14" ht="14.1" customHeight="1" thickTop="1">
      <c r="A1868" s="984"/>
      <c r="B1868" s="984"/>
      <c r="C1868" s="984"/>
      <c r="D1868" s="984"/>
      <c r="E1868" s="984"/>
      <c r="F1868" s="984"/>
      <c r="G1868" s="984"/>
      <c r="H1868" s="984"/>
      <c r="I1868" s="984"/>
      <c r="J1868" s="984"/>
      <c r="K1868" s="984"/>
      <c r="L1868" s="984"/>
      <c r="M1868" s="984"/>
      <c r="N1868" s="984"/>
    </row>
    <row r="1883" spans="1:14" ht="14.1" customHeight="1">
      <c r="B1883" s="986"/>
    </row>
    <row r="1884" spans="1:14" ht="14.1" customHeight="1">
      <c r="B1884" s="986"/>
    </row>
    <row r="1886" spans="1:14" ht="35.1" customHeight="1">
      <c r="A1886" s="1427" t="e">
        <f>+VLOOKUP(O1890,'Planilla de Avance'!$A$10:$M$109,4,FALSE)</f>
        <v>#N/A</v>
      </c>
      <c r="B1886" s="1427"/>
      <c r="C1886" s="1427"/>
      <c r="D1886" s="1427"/>
      <c r="E1886" s="1427"/>
      <c r="F1886" s="1427"/>
      <c r="G1886" s="1427"/>
      <c r="H1886" s="1427"/>
      <c r="I1886" s="1427"/>
      <c r="J1886" s="1427"/>
      <c r="K1886" s="1427"/>
      <c r="L1886" s="1427"/>
      <c r="M1886" s="1427"/>
      <c r="N1886" s="1427"/>
    </row>
    <row r="1888" spans="1:14" ht="14.1" customHeight="1">
      <c r="A1888" s="1425"/>
      <c r="B1888" s="1425"/>
      <c r="C1888" s="1425"/>
      <c r="D1888" s="1425"/>
      <c r="E1888" s="1425"/>
      <c r="F1888" s="1425"/>
      <c r="G1888" s="1425"/>
      <c r="H1888" s="1425"/>
      <c r="I1888" s="1425"/>
      <c r="J1888" s="1425"/>
      <c r="K1888" s="1425"/>
      <c r="L1888" s="1425"/>
      <c r="M1888" s="1425"/>
      <c r="N1888" s="1425"/>
    </row>
    <row r="1890" spans="2:15" ht="35.1" customHeight="1">
      <c r="B1890" s="989" t="s">
        <v>472</v>
      </c>
      <c r="C1890" s="990" t="e">
        <f>+VLOOKUP(O1890,'Planilla de Avance'!$A$10:$M$109,5,FALSE)</f>
        <v>#N/A</v>
      </c>
      <c r="D1890" s="1426" t="e">
        <f>+VLOOKUP(O1890,'Planilla de Avance'!$A$10:$M$109,6,FALSE)</f>
        <v>#N/A</v>
      </c>
      <c r="E1890" s="1426"/>
      <c r="F1890" s="1426"/>
      <c r="G1890" s="1426"/>
      <c r="H1890" s="1426"/>
      <c r="I1890" s="1426"/>
      <c r="J1890" s="1426"/>
      <c r="K1890" s="1426"/>
      <c r="L1890" s="1426"/>
      <c r="M1890" s="1426"/>
      <c r="N1890" s="1426"/>
      <c r="O1890" s="837">
        <v>23</v>
      </c>
    </row>
    <row r="1912" spans="1:14" ht="14.1" customHeight="1" thickBot="1">
      <c r="A1912" s="988"/>
      <c r="B1912" s="988"/>
      <c r="C1912" s="988"/>
      <c r="D1912" s="988"/>
      <c r="E1912" s="988"/>
      <c r="F1912" s="988"/>
      <c r="G1912" s="988"/>
      <c r="H1912" s="988"/>
      <c r="I1912" s="988"/>
      <c r="J1912" s="988"/>
      <c r="K1912" s="988"/>
      <c r="L1912" s="988"/>
      <c r="M1912" s="988"/>
      <c r="N1912" s="988"/>
    </row>
    <row r="1913" spans="1:14" ht="14.1" customHeight="1" thickTop="1" thickBot="1"/>
    <row r="1914" spans="1:14" ht="14.1" customHeight="1" thickTop="1">
      <c r="A1914" s="984"/>
      <c r="B1914" s="984"/>
      <c r="C1914" s="984"/>
      <c r="D1914" s="984"/>
      <c r="E1914" s="984"/>
      <c r="F1914" s="984"/>
      <c r="G1914" s="984"/>
      <c r="H1914" s="984"/>
      <c r="I1914" s="984"/>
      <c r="J1914" s="984"/>
      <c r="K1914" s="984"/>
      <c r="L1914" s="984"/>
      <c r="M1914" s="984"/>
      <c r="N1914" s="984"/>
    </row>
    <row r="1929" spans="1:15" ht="14.1" customHeight="1">
      <c r="B1929" s="986"/>
    </row>
    <row r="1930" spans="1:15" ht="14.1" customHeight="1">
      <c r="B1930" s="986"/>
    </row>
    <row r="1932" spans="1:15" ht="35.1" customHeight="1">
      <c r="A1932" s="1427" t="e">
        <f>+VLOOKUP(O1936,'Planilla de Avance'!$A$10:$M$109,4,FALSE)</f>
        <v>#N/A</v>
      </c>
      <c r="B1932" s="1427"/>
      <c r="C1932" s="1427"/>
      <c r="D1932" s="1427"/>
      <c r="E1932" s="1427"/>
      <c r="F1932" s="1427"/>
      <c r="G1932" s="1427"/>
      <c r="H1932" s="1427"/>
      <c r="I1932" s="1427"/>
      <c r="J1932" s="1427"/>
      <c r="K1932" s="1427"/>
      <c r="L1932" s="1427"/>
      <c r="M1932" s="1427"/>
      <c r="N1932" s="1427"/>
    </row>
    <row r="1934" spans="1:15" ht="14.1" customHeight="1">
      <c r="A1934" s="1425"/>
      <c r="B1934" s="1425"/>
      <c r="C1934" s="1425"/>
      <c r="D1934" s="1425"/>
      <c r="E1934" s="1425"/>
      <c r="F1934" s="1425"/>
      <c r="G1934" s="1425"/>
      <c r="H1934" s="1425"/>
      <c r="I1934" s="1425"/>
      <c r="J1934" s="1425"/>
      <c r="K1934" s="1425"/>
      <c r="L1934" s="1425"/>
      <c r="M1934" s="1425"/>
      <c r="N1934" s="1425"/>
    </row>
    <row r="1936" spans="1:15" ht="35.1" customHeight="1">
      <c r="B1936" s="989" t="s">
        <v>472</v>
      </c>
      <c r="C1936" s="990" t="e">
        <f>+VLOOKUP(O1936,'Planilla de Avance'!$A$10:$M$109,5,FALSE)</f>
        <v>#N/A</v>
      </c>
      <c r="D1936" s="1426" t="e">
        <f>+VLOOKUP(O1936,'Planilla de Avance'!$A$10:$M$109,6,FALSE)</f>
        <v>#N/A</v>
      </c>
      <c r="E1936" s="1426"/>
      <c r="F1936" s="1426"/>
      <c r="G1936" s="1426"/>
      <c r="H1936" s="1426"/>
      <c r="I1936" s="1426"/>
      <c r="J1936" s="1426"/>
      <c r="K1936" s="1426"/>
      <c r="L1936" s="1426"/>
      <c r="M1936" s="1426"/>
      <c r="N1936" s="1426"/>
      <c r="O1936" s="837">
        <v>24</v>
      </c>
    </row>
    <row r="1958" spans="1:14" ht="14.1" customHeight="1" thickBot="1">
      <c r="A1958" s="988"/>
      <c r="B1958" s="988"/>
      <c r="C1958" s="988"/>
      <c r="D1958" s="988"/>
      <c r="E1958" s="988"/>
      <c r="F1958" s="988"/>
      <c r="G1958" s="988"/>
      <c r="H1958" s="988"/>
      <c r="I1958" s="988"/>
      <c r="J1958" s="988"/>
      <c r="K1958" s="988"/>
      <c r="L1958" s="988"/>
      <c r="M1958" s="988"/>
      <c r="N1958" s="988"/>
    </row>
    <row r="1959" spans="1:14" ht="14.1" customHeight="1" thickTop="1" thickBot="1"/>
    <row r="1960" spans="1:14" ht="14.1" customHeight="1" thickTop="1">
      <c r="A1960" s="984"/>
      <c r="B1960" s="984"/>
      <c r="C1960" s="984"/>
      <c r="D1960" s="984"/>
      <c r="E1960" s="984"/>
      <c r="F1960" s="984"/>
      <c r="G1960" s="984"/>
      <c r="H1960" s="984"/>
      <c r="I1960" s="984"/>
      <c r="J1960" s="984"/>
      <c r="K1960" s="984"/>
      <c r="L1960" s="984"/>
      <c r="M1960" s="984"/>
      <c r="N1960" s="984"/>
    </row>
    <row r="1975" spans="1:15" ht="14.1" customHeight="1">
      <c r="B1975" s="986"/>
    </row>
    <row r="1976" spans="1:15" ht="14.1" customHeight="1">
      <c r="B1976" s="986"/>
    </row>
    <row r="1978" spans="1:15" ht="35.1" customHeight="1">
      <c r="A1978" s="1427" t="e">
        <f>+VLOOKUP(O1982,'Planilla de Avance'!$A$10:$M$109,4,FALSE)</f>
        <v>#N/A</v>
      </c>
      <c r="B1978" s="1427"/>
      <c r="C1978" s="1427"/>
      <c r="D1978" s="1427"/>
      <c r="E1978" s="1427"/>
      <c r="F1978" s="1427"/>
      <c r="G1978" s="1427"/>
      <c r="H1978" s="1427"/>
      <c r="I1978" s="1427"/>
      <c r="J1978" s="1427"/>
      <c r="K1978" s="1427"/>
      <c r="L1978" s="1427"/>
      <c r="M1978" s="1427"/>
      <c r="N1978" s="1427"/>
    </row>
    <row r="1980" spans="1:15" ht="14.1" customHeight="1">
      <c r="A1980" s="1425"/>
      <c r="B1980" s="1425"/>
      <c r="C1980" s="1425"/>
      <c r="D1980" s="1425"/>
      <c r="E1980" s="1425"/>
      <c r="F1980" s="1425"/>
      <c r="G1980" s="1425"/>
      <c r="H1980" s="1425"/>
      <c r="I1980" s="1425"/>
      <c r="J1980" s="1425"/>
      <c r="K1980" s="1425"/>
      <c r="L1980" s="1425"/>
      <c r="M1980" s="1425"/>
      <c r="N1980" s="1425"/>
    </row>
    <row r="1982" spans="1:15" ht="35.1" customHeight="1">
      <c r="B1982" s="989" t="s">
        <v>472</v>
      </c>
      <c r="C1982" s="990" t="e">
        <f>+VLOOKUP(O1982,'Planilla de Avance'!$A$10:$M$109,5,FALSE)</f>
        <v>#N/A</v>
      </c>
      <c r="D1982" s="1426" t="e">
        <f>+VLOOKUP(O1982,'Planilla de Avance'!$A$10:$M$109,6,FALSE)</f>
        <v>#N/A</v>
      </c>
      <c r="E1982" s="1426"/>
      <c r="F1982" s="1426"/>
      <c r="G1982" s="1426"/>
      <c r="H1982" s="1426"/>
      <c r="I1982" s="1426"/>
      <c r="J1982" s="1426"/>
      <c r="K1982" s="1426"/>
      <c r="L1982" s="1426"/>
      <c r="M1982" s="1426"/>
      <c r="N1982" s="1426"/>
      <c r="O1982" s="837">
        <v>25</v>
      </c>
    </row>
    <row r="2004" spans="1:14" ht="14.1" customHeight="1" thickBot="1">
      <c r="A2004" s="988"/>
      <c r="B2004" s="988"/>
      <c r="C2004" s="988"/>
      <c r="D2004" s="988"/>
      <c r="E2004" s="988"/>
      <c r="F2004" s="988"/>
      <c r="G2004" s="988"/>
      <c r="H2004" s="988"/>
      <c r="I2004" s="988"/>
      <c r="J2004" s="988"/>
      <c r="K2004" s="988"/>
      <c r="L2004" s="988"/>
      <c r="M2004" s="988"/>
      <c r="N2004" s="988"/>
    </row>
    <row r="2005" spans="1:14" ht="14.1" customHeight="1" thickTop="1" thickBot="1"/>
    <row r="2006" spans="1:14" ht="14.1" customHeight="1" thickTop="1">
      <c r="A2006" s="984"/>
      <c r="B2006" s="984"/>
      <c r="C2006" s="984"/>
      <c r="D2006" s="984"/>
      <c r="E2006" s="984"/>
      <c r="F2006" s="984"/>
      <c r="G2006" s="984"/>
      <c r="H2006" s="984"/>
      <c r="I2006" s="984"/>
      <c r="J2006" s="984"/>
      <c r="K2006" s="984"/>
      <c r="L2006" s="984"/>
      <c r="M2006" s="984"/>
      <c r="N2006" s="984"/>
    </row>
    <row r="2021" spans="1:15" ht="14.1" customHeight="1">
      <c r="B2021" s="986"/>
    </row>
    <row r="2022" spans="1:15" ht="14.1" customHeight="1">
      <c r="B2022" s="986"/>
    </row>
    <row r="2024" spans="1:15" ht="14.1" customHeight="1">
      <c r="A2024" s="1427" t="e">
        <f>+VLOOKUP(O2028,'Planilla de Avance'!$A$10:$M$109,4,FALSE)</f>
        <v>#N/A</v>
      </c>
      <c r="B2024" s="1427"/>
      <c r="C2024" s="1427"/>
      <c r="D2024" s="1427"/>
      <c r="E2024" s="1427"/>
      <c r="F2024" s="1427"/>
      <c r="G2024" s="1427"/>
      <c r="H2024" s="1427"/>
      <c r="I2024" s="1427"/>
      <c r="J2024" s="1427"/>
      <c r="K2024" s="1427"/>
      <c r="L2024" s="1427"/>
      <c r="M2024" s="1427"/>
      <c r="N2024" s="1427"/>
    </row>
    <row r="2026" spans="1:15" ht="14.1" customHeight="1">
      <c r="A2026" s="1425"/>
      <c r="B2026" s="1425"/>
      <c r="C2026" s="1425"/>
      <c r="D2026" s="1425"/>
      <c r="E2026" s="1425"/>
      <c r="F2026" s="1425"/>
      <c r="G2026" s="1425"/>
      <c r="H2026" s="1425"/>
      <c r="I2026" s="1425"/>
      <c r="J2026" s="1425"/>
      <c r="K2026" s="1425"/>
      <c r="L2026" s="1425"/>
      <c r="M2026" s="1425"/>
      <c r="N2026" s="1425"/>
    </row>
    <row r="2028" spans="1:15" ht="14.1" customHeight="1">
      <c r="B2028" s="989" t="s">
        <v>472</v>
      </c>
      <c r="C2028" s="990" t="e">
        <f>+VLOOKUP(O2028,'Planilla de Avance'!$A$10:$M$109,5,FALSE)</f>
        <v>#N/A</v>
      </c>
      <c r="D2028" s="1426" t="e">
        <f>+VLOOKUP(O2028,'Planilla de Avance'!$A$10:$M$109,6,FALSE)</f>
        <v>#N/A</v>
      </c>
      <c r="E2028" s="1426"/>
      <c r="F2028" s="1426"/>
      <c r="G2028" s="1426"/>
      <c r="H2028" s="1426"/>
      <c r="I2028" s="1426"/>
      <c r="J2028" s="1426"/>
      <c r="K2028" s="1426"/>
      <c r="L2028" s="1426"/>
      <c r="M2028" s="1426"/>
      <c r="N2028" s="1426"/>
      <c r="O2028" s="837">
        <v>26</v>
      </c>
    </row>
    <row r="2050" spans="1:14" ht="14.1" customHeight="1" thickBot="1">
      <c r="A2050" s="988"/>
      <c r="B2050" s="988"/>
      <c r="C2050" s="988"/>
      <c r="D2050" s="988"/>
      <c r="E2050" s="988"/>
      <c r="F2050" s="988"/>
      <c r="G2050" s="988"/>
      <c r="H2050" s="988"/>
      <c r="I2050" s="988"/>
      <c r="J2050" s="988"/>
      <c r="K2050" s="988"/>
      <c r="L2050" s="988"/>
      <c r="M2050" s="988"/>
      <c r="N2050" s="988"/>
    </row>
    <row r="2051" spans="1:14" ht="14.1" customHeight="1" thickTop="1" thickBot="1"/>
    <row r="2052" spans="1:14" ht="14.1" customHeight="1" thickTop="1">
      <c r="A2052" s="984"/>
      <c r="B2052" s="984"/>
      <c r="C2052" s="984"/>
      <c r="D2052" s="984"/>
      <c r="E2052" s="984"/>
      <c r="F2052" s="984"/>
      <c r="G2052" s="984"/>
      <c r="H2052" s="984"/>
      <c r="I2052" s="984"/>
      <c r="J2052" s="984"/>
      <c r="K2052" s="984"/>
      <c r="L2052" s="984"/>
      <c r="M2052" s="984"/>
      <c r="N2052" s="984"/>
    </row>
    <row r="2067" spans="1:15" ht="14.1" customHeight="1">
      <c r="B2067" s="986"/>
    </row>
    <row r="2068" spans="1:15" ht="14.1" customHeight="1">
      <c r="B2068" s="986"/>
    </row>
    <row r="2070" spans="1:15" ht="14.1" customHeight="1">
      <c r="A2070" s="1427" t="e">
        <f>+VLOOKUP(O2074,'Planilla de Avance'!$A$10:$M$109,4,FALSE)</f>
        <v>#N/A</v>
      </c>
      <c r="B2070" s="1427"/>
      <c r="C2070" s="1427"/>
      <c r="D2070" s="1427"/>
      <c r="E2070" s="1427"/>
      <c r="F2070" s="1427"/>
      <c r="G2070" s="1427"/>
      <c r="H2070" s="1427"/>
      <c r="I2070" s="1427"/>
      <c r="J2070" s="1427"/>
      <c r="K2070" s="1427"/>
      <c r="L2070" s="1427"/>
      <c r="M2070" s="1427"/>
      <c r="N2070" s="1427"/>
    </row>
    <row r="2072" spans="1:15" ht="14.1" customHeight="1">
      <c r="A2072" s="1425"/>
      <c r="B2072" s="1425"/>
      <c r="C2072" s="1425"/>
      <c r="D2072" s="1425"/>
      <c r="E2072" s="1425"/>
      <c r="F2072" s="1425"/>
      <c r="G2072" s="1425"/>
      <c r="H2072" s="1425"/>
      <c r="I2072" s="1425"/>
      <c r="J2072" s="1425"/>
      <c r="K2072" s="1425"/>
      <c r="L2072" s="1425"/>
      <c r="M2072" s="1425"/>
      <c r="N2072" s="1425"/>
    </row>
    <row r="2074" spans="1:15" ht="14.1" customHeight="1">
      <c r="B2074" s="989" t="s">
        <v>472</v>
      </c>
      <c r="C2074" s="990" t="e">
        <f>+VLOOKUP(O2074,'Planilla de Avance'!$A$10:$M$109,5,FALSE)</f>
        <v>#N/A</v>
      </c>
      <c r="D2074" s="1426" t="e">
        <f>+VLOOKUP(O2074,'Planilla de Avance'!$A$10:$M$109,6,FALSE)</f>
        <v>#N/A</v>
      </c>
      <c r="E2074" s="1426"/>
      <c r="F2074" s="1426"/>
      <c r="G2074" s="1426"/>
      <c r="H2074" s="1426"/>
      <c r="I2074" s="1426"/>
      <c r="J2074" s="1426"/>
      <c r="K2074" s="1426"/>
      <c r="L2074" s="1426"/>
      <c r="M2074" s="1426"/>
      <c r="N2074" s="1426"/>
      <c r="O2074" s="837">
        <v>27</v>
      </c>
    </row>
    <row r="2096" spans="1:14" ht="14.1" customHeight="1" thickBot="1">
      <c r="A2096" s="988"/>
      <c r="B2096" s="988"/>
      <c r="C2096" s="988"/>
      <c r="D2096" s="988"/>
      <c r="E2096" s="988"/>
      <c r="F2096" s="988"/>
      <c r="G2096" s="988"/>
      <c r="H2096" s="988"/>
      <c r="I2096" s="988"/>
      <c r="J2096" s="988"/>
      <c r="K2096" s="988"/>
      <c r="L2096" s="988"/>
      <c r="M2096" s="988"/>
      <c r="N2096" s="988"/>
    </row>
    <row r="2097" spans="1:14" ht="14.1" customHeight="1" thickTop="1" thickBot="1"/>
    <row r="2098" spans="1:14" ht="14.1" customHeight="1" thickTop="1">
      <c r="A2098" s="984"/>
      <c r="B2098" s="984"/>
      <c r="C2098" s="984"/>
      <c r="D2098" s="984"/>
      <c r="E2098" s="984"/>
      <c r="F2098" s="984"/>
      <c r="G2098" s="984"/>
      <c r="H2098" s="984"/>
      <c r="I2098" s="984"/>
      <c r="J2098" s="984"/>
      <c r="K2098" s="984"/>
      <c r="L2098" s="984"/>
      <c r="M2098" s="984"/>
      <c r="N2098" s="984"/>
    </row>
    <row r="2113" spans="1:15" ht="14.1" customHeight="1">
      <c r="B2113" s="986"/>
    </row>
    <row r="2114" spans="1:15" ht="14.1" customHeight="1">
      <c r="B2114" s="986"/>
    </row>
    <row r="2116" spans="1:15" ht="14.1" customHeight="1">
      <c r="A2116" s="1427" t="e">
        <f>+VLOOKUP(O2120,'Planilla de Avance'!$A$10:$M$109,4,FALSE)</f>
        <v>#N/A</v>
      </c>
      <c r="B2116" s="1427"/>
      <c r="C2116" s="1427"/>
      <c r="D2116" s="1427"/>
      <c r="E2116" s="1427"/>
      <c r="F2116" s="1427"/>
      <c r="G2116" s="1427"/>
      <c r="H2116" s="1427"/>
      <c r="I2116" s="1427"/>
      <c r="J2116" s="1427"/>
      <c r="K2116" s="1427"/>
      <c r="L2116" s="1427"/>
      <c r="M2116" s="1427"/>
      <c r="N2116" s="1427"/>
    </row>
    <row r="2118" spans="1:15" ht="14.1" customHeight="1">
      <c r="A2118" s="1425"/>
      <c r="B2118" s="1425"/>
      <c r="C2118" s="1425"/>
      <c r="D2118" s="1425"/>
      <c r="E2118" s="1425"/>
      <c r="F2118" s="1425"/>
      <c r="G2118" s="1425"/>
      <c r="H2118" s="1425"/>
      <c r="I2118" s="1425"/>
      <c r="J2118" s="1425"/>
      <c r="K2118" s="1425"/>
      <c r="L2118" s="1425"/>
      <c r="M2118" s="1425"/>
      <c r="N2118" s="1425"/>
    </row>
    <row r="2120" spans="1:15" ht="14.1" customHeight="1">
      <c r="B2120" s="989" t="s">
        <v>472</v>
      </c>
      <c r="C2120" s="990" t="e">
        <f>+VLOOKUP(O2120,'Planilla de Avance'!$A$10:$M$109,5,FALSE)</f>
        <v>#N/A</v>
      </c>
      <c r="D2120" s="1426" t="e">
        <f>+VLOOKUP(O2120,'Planilla de Avance'!$A$10:$M$109,6,FALSE)</f>
        <v>#N/A</v>
      </c>
      <c r="E2120" s="1426"/>
      <c r="F2120" s="1426"/>
      <c r="G2120" s="1426"/>
      <c r="H2120" s="1426"/>
      <c r="I2120" s="1426"/>
      <c r="J2120" s="1426"/>
      <c r="K2120" s="1426"/>
      <c r="L2120" s="1426"/>
      <c r="M2120" s="1426"/>
      <c r="N2120" s="1426"/>
      <c r="O2120" s="837">
        <v>28</v>
      </c>
    </row>
    <row r="2142" spans="1:14" ht="14.1" customHeight="1" thickBot="1">
      <c r="A2142" s="988"/>
      <c r="B2142" s="988"/>
      <c r="C2142" s="988"/>
      <c r="D2142" s="988"/>
      <c r="E2142" s="988"/>
      <c r="F2142" s="988"/>
      <c r="G2142" s="988"/>
      <c r="H2142" s="988"/>
      <c r="I2142" s="988"/>
      <c r="J2142" s="988"/>
      <c r="K2142" s="988"/>
      <c r="L2142" s="988"/>
      <c r="M2142" s="988"/>
      <c r="N2142" s="988"/>
    </row>
    <row r="2143" spans="1:14" ht="14.1" customHeight="1" thickTop="1"/>
  </sheetData>
  <mergeCells count="103">
    <mergeCell ref="A2118:N2118"/>
    <mergeCell ref="D2120:N2120"/>
    <mergeCell ref="D2028:N2028"/>
    <mergeCell ref="A2070:N2070"/>
    <mergeCell ref="A2072:N2072"/>
    <mergeCell ref="D2074:N2074"/>
    <mergeCell ref="A2116:N2116"/>
    <mergeCell ref="A1978:N1978"/>
    <mergeCell ref="A1980:N1980"/>
    <mergeCell ref="D1982:N1982"/>
    <mergeCell ref="A2024:N2024"/>
    <mergeCell ref="A2026:N2026"/>
    <mergeCell ref="A20:N20"/>
    <mergeCell ref="A874:N874"/>
    <mergeCell ref="A876:N876"/>
    <mergeCell ref="A245:N245"/>
    <mergeCell ref="A290:N290"/>
    <mergeCell ref="A335:N335"/>
    <mergeCell ref="A380:N380"/>
    <mergeCell ref="A830:N830"/>
    <mergeCell ref="A425:N425"/>
    <mergeCell ref="A470:N470"/>
    <mergeCell ref="A515:N515"/>
    <mergeCell ref="A785:N785"/>
    <mergeCell ref="A65:N65"/>
    <mergeCell ref="A110:N110"/>
    <mergeCell ref="A155:N155"/>
    <mergeCell ref="A200:N200"/>
    <mergeCell ref="A560:N560"/>
    <mergeCell ref="A605:N605"/>
    <mergeCell ref="A650:N650"/>
    <mergeCell ref="A695:N695"/>
    <mergeCell ref="A740:N740"/>
    <mergeCell ref="A920:N920"/>
    <mergeCell ref="D878:N878"/>
    <mergeCell ref="A922:N922"/>
    <mergeCell ref="D924:N924"/>
    <mergeCell ref="A966:N966"/>
    <mergeCell ref="A1150:N1150"/>
    <mergeCell ref="A968:N968"/>
    <mergeCell ref="D970:N970"/>
    <mergeCell ref="A1012:N1012"/>
    <mergeCell ref="A1014:N1014"/>
    <mergeCell ref="D1016:N1016"/>
    <mergeCell ref="A1058:N1058"/>
    <mergeCell ref="A1060:N1060"/>
    <mergeCell ref="D1062:N1062"/>
    <mergeCell ref="A1104:N1104"/>
    <mergeCell ref="A1106:N1106"/>
    <mergeCell ref="D1108:N1108"/>
    <mergeCell ref="A1334:N1334"/>
    <mergeCell ref="A1152:N1152"/>
    <mergeCell ref="D1154:N1154"/>
    <mergeCell ref="A1196:N1196"/>
    <mergeCell ref="A1198:N1198"/>
    <mergeCell ref="D1200:N1200"/>
    <mergeCell ref="A1242:N1242"/>
    <mergeCell ref="A1244:N1244"/>
    <mergeCell ref="D1246:N1246"/>
    <mergeCell ref="A1288:N1288"/>
    <mergeCell ref="A1290:N1290"/>
    <mergeCell ref="D1292:N1292"/>
    <mergeCell ref="A1518:N1518"/>
    <mergeCell ref="A1336:N1336"/>
    <mergeCell ref="D1338:N1338"/>
    <mergeCell ref="A1380:N1380"/>
    <mergeCell ref="A1382:N1382"/>
    <mergeCell ref="D1384:N1384"/>
    <mergeCell ref="A1426:N1426"/>
    <mergeCell ref="A1428:N1428"/>
    <mergeCell ref="D1430:N1430"/>
    <mergeCell ref="A1472:N1472"/>
    <mergeCell ref="A1474:N1474"/>
    <mergeCell ref="D1476:N1476"/>
    <mergeCell ref="A1702:N1702"/>
    <mergeCell ref="A1520:N1520"/>
    <mergeCell ref="D1522:N1522"/>
    <mergeCell ref="A1564:N1564"/>
    <mergeCell ref="A1566:N1566"/>
    <mergeCell ref="D1568:N1568"/>
    <mergeCell ref="A1610:N1610"/>
    <mergeCell ref="A1612:N1612"/>
    <mergeCell ref="D1614:N1614"/>
    <mergeCell ref="A1656:N1656"/>
    <mergeCell ref="A1658:N1658"/>
    <mergeCell ref="D1660:N1660"/>
    <mergeCell ref="A1888:N1888"/>
    <mergeCell ref="D1890:N1890"/>
    <mergeCell ref="A1932:N1932"/>
    <mergeCell ref="A1934:N1934"/>
    <mergeCell ref="D1936:N1936"/>
    <mergeCell ref="A1886:N1886"/>
    <mergeCell ref="A1704:N1704"/>
    <mergeCell ref="D1706:N1706"/>
    <mergeCell ref="A1748:N1748"/>
    <mergeCell ref="A1750:N1750"/>
    <mergeCell ref="D1752:N1752"/>
    <mergeCell ref="A1794:N1794"/>
    <mergeCell ref="A1796:N1796"/>
    <mergeCell ref="D1798:N1798"/>
    <mergeCell ref="A1840:N1840"/>
    <mergeCell ref="A1842:N1842"/>
    <mergeCell ref="D1844:N1844"/>
  </mergeCells>
  <printOptions horizontalCentered="1"/>
  <pageMargins left="0.98425196850393704" right="0.98425196850393704" top="0.51181102362204722" bottom="0.51181102362204722" header="1.1811023622047245" footer="1.7716535433070868"/>
  <pageSetup orientation="portrait" horizontalDpi="4294967295" verticalDpi="4294967295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DICIEMBRE 2020, ENERO 2021 Y FEBRERO 2021</oddFooter>
  </headerFooter>
  <rowBreaks count="43" manualBreakCount="43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675" max="13" man="1"/>
    <brk id="720" max="13" man="1"/>
    <brk id="765" max="13" man="1"/>
    <brk id="810" max="13" man="1"/>
    <brk id="855" max="13" man="1"/>
    <brk id="901" max="13" man="1"/>
    <brk id="947" max="13" man="1"/>
    <brk id="993" max="13" man="1"/>
    <brk id="1039" max="13" man="1"/>
    <brk id="1085" max="13" man="1"/>
    <brk id="1131" max="13" man="1"/>
    <brk id="1177" max="13" man="1"/>
    <brk id="1223" max="13" man="1"/>
    <brk id="1269" max="13" man="1"/>
    <brk id="1315" max="13" man="1"/>
    <brk id="1361" max="13" man="1"/>
    <brk id="1407" max="13" man="1"/>
    <brk id="1453" max="13" man="1"/>
    <brk id="1499" max="13" man="1"/>
    <brk id="1545" max="13" man="1"/>
    <brk id="1591" max="13" man="1"/>
    <brk id="1637" max="13" man="1"/>
    <brk id="1683" max="13" man="1"/>
    <brk id="1729" max="13" man="1"/>
    <brk id="1775" max="13" man="1"/>
    <brk id="1821" max="13" man="1"/>
    <brk id="1867" max="13" man="1"/>
    <brk id="1913" max="13" man="1"/>
    <brk id="1959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7"/>
  <sheetViews>
    <sheetView showGridLines="0" view="pageBreakPreview" zoomScale="130" zoomScaleNormal="100" zoomScaleSheetLayoutView="130" workbookViewId="0">
      <selection activeCell="M11" sqref="M11"/>
    </sheetView>
  </sheetViews>
  <sheetFormatPr baseColWidth="10" defaultRowHeight="13.2"/>
  <cols>
    <col min="1" max="1" width="4.44140625" style="866" customWidth="1"/>
    <col min="2" max="2" width="12.88671875" style="866" customWidth="1"/>
    <col min="3" max="3" width="28.33203125" style="866" customWidth="1"/>
    <col min="4" max="4" width="15.5546875" style="866" customWidth="1"/>
    <col min="5" max="5" width="12.5546875" style="866" customWidth="1"/>
    <col min="6" max="6" width="12.6640625" style="866" customWidth="1"/>
    <col min="7" max="7" width="11.33203125" style="866" customWidth="1"/>
    <col min="8" max="12" width="11.44140625" style="866"/>
    <col min="13" max="13" width="0" style="866" hidden="1" customWidth="1"/>
    <col min="14" max="256" width="11.44140625" style="866"/>
    <col min="257" max="257" width="4.44140625" style="866" customWidth="1"/>
    <col min="258" max="258" width="12.88671875" style="866" customWidth="1"/>
    <col min="259" max="259" width="21.109375" style="866" customWidth="1"/>
    <col min="260" max="260" width="21.44140625" style="866" customWidth="1"/>
    <col min="261" max="262" width="11.44140625" style="866"/>
    <col min="263" max="263" width="13.109375" style="866" customWidth="1"/>
    <col min="264" max="512" width="11.44140625" style="866"/>
    <col min="513" max="513" width="4.44140625" style="866" customWidth="1"/>
    <col min="514" max="514" width="12.88671875" style="866" customWidth="1"/>
    <col min="515" max="515" width="21.109375" style="866" customWidth="1"/>
    <col min="516" max="516" width="21.44140625" style="866" customWidth="1"/>
    <col min="517" max="518" width="11.44140625" style="866"/>
    <col min="519" max="519" width="13.109375" style="866" customWidth="1"/>
    <col min="520" max="768" width="11.44140625" style="866"/>
    <col min="769" max="769" width="4.44140625" style="866" customWidth="1"/>
    <col min="770" max="770" width="12.88671875" style="866" customWidth="1"/>
    <col min="771" max="771" width="21.109375" style="866" customWidth="1"/>
    <col min="772" max="772" width="21.44140625" style="866" customWidth="1"/>
    <col min="773" max="774" width="11.44140625" style="866"/>
    <col min="775" max="775" width="13.109375" style="866" customWidth="1"/>
    <col min="776" max="1024" width="11.44140625" style="866"/>
    <col min="1025" max="1025" width="4.44140625" style="866" customWidth="1"/>
    <col min="1026" max="1026" width="12.88671875" style="866" customWidth="1"/>
    <col min="1027" max="1027" width="21.109375" style="866" customWidth="1"/>
    <col min="1028" max="1028" width="21.44140625" style="866" customWidth="1"/>
    <col min="1029" max="1030" width="11.44140625" style="866"/>
    <col min="1031" max="1031" width="13.109375" style="866" customWidth="1"/>
    <col min="1032" max="1280" width="11.44140625" style="866"/>
    <col min="1281" max="1281" width="4.44140625" style="866" customWidth="1"/>
    <col min="1282" max="1282" width="12.88671875" style="866" customWidth="1"/>
    <col min="1283" max="1283" width="21.109375" style="866" customWidth="1"/>
    <col min="1284" max="1284" width="21.44140625" style="866" customWidth="1"/>
    <col min="1285" max="1286" width="11.44140625" style="866"/>
    <col min="1287" max="1287" width="13.109375" style="866" customWidth="1"/>
    <col min="1288" max="1536" width="11.44140625" style="866"/>
    <col min="1537" max="1537" width="4.44140625" style="866" customWidth="1"/>
    <col min="1538" max="1538" width="12.88671875" style="866" customWidth="1"/>
    <col min="1539" max="1539" width="21.109375" style="866" customWidth="1"/>
    <col min="1540" max="1540" width="21.44140625" style="866" customWidth="1"/>
    <col min="1541" max="1542" width="11.44140625" style="866"/>
    <col min="1543" max="1543" width="13.109375" style="866" customWidth="1"/>
    <col min="1544" max="1792" width="11.44140625" style="866"/>
    <col min="1793" max="1793" width="4.44140625" style="866" customWidth="1"/>
    <col min="1794" max="1794" width="12.88671875" style="866" customWidth="1"/>
    <col min="1795" max="1795" width="21.109375" style="866" customWidth="1"/>
    <col min="1796" max="1796" width="21.44140625" style="866" customWidth="1"/>
    <col min="1797" max="1798" width="11.44140625" style="866"/>
    <col min="1799" max="1799" width="13.109375" style="866" customWidth="1"/>
    <col min="1800" max="2048" width="11.44140625" style="866"/>
    <col min="2049" max="2049" width="4.44140625" style="866" customWidth="1"/>
    <col min="2050" max="2050" width="12.88671875" style="866" customWidth="1"/>
    <col min="2051" max="2051" width="21.109375" style="866" customWidth="1"/>
    <col min="2052" max="2052" width="21.44140625" style="866" customWidth="1"/>
    <col min="2053" max="2054" width="11.44140625" style="866"/>
    <col min="2055" max="2055" width="13.109375" style="866" customWidth="1"/>
    <col min="2056" max="2304" width="11.44140625" style="866"/>
    <col min="2305" max="2305" width="4.44140625" style="866" customWidth="1"/>
    <col min="2306" max="2306" width="12.88671875" style="866" customWidth="1"/>
    <col min="2307" max="2307" width="21.109375" style="866" customWidth="1"/>
    <col min="2308" max="2308" width="21.44140625" style="866" customWidth="1"/>
    <col min="2309" max="2310" width="11.44140625" style="866"/>
    <col min="2311" max="2311" width="13.109375" style="866" customWidth="1"/>
    <col min="2312" max="2560" width="11.44140625" style="866"/>
    <col min="2561" max="2561" width="4.44140625" style="866" customWidth="1"/>
    <col min="2562" max="2562" width="12.88671875" style="866" customWidth="1"/>
    <col min="2563" max="2563" width="21.109375" style="866" customWidth="1"/>
    <col min="2564" max="2564" width="21.44140625" style="866" customWidth="1"/>
    <col min="2565" max="2566" width="11.44140625" style="866"/>
    <col min="2567" max="2567" width="13.109375" style="866" customWidth="1"/>
    <col min="2568" max="2816" width="11.44140625" style="866"/>
    <col min="2817" max="2817" width="4.44140625" style="866" customWidth="1"/>
    <col min="2818" max="2818" width="12.88671875" style="866" customWidth="1"/>
    <col min="2819" max="2819" width="21.109375" style="866" customWidth="1"/>
    <col min="2820" max="2820" width="21.44140625" style="866" customWidth="1"/>
    <col min="2821" max="2822" width="11.44140625" style="866"/>
    <col min="2823" max="2823" width="13.109375" style="866" customWidth="1"/>
    <col min="2824" max="3072" width="11.44140625" style="866"/>
    <col min="3073" max="3073" width="4.44140625" style="866" customWidth="1"/>
    <col min="3074" max="3074" width="12.88671875" style="866" customWidth="1"/>
    <col min="3075" max="3075" width="21.109375" style="866" customWidth="1"/>
    <col min="3076" max="3076" width="21.44140625" style="866" customWidth="1"/>
    <col min="3077" max="3078" width="11.44140625" style="866"/>
    <col min="3079" max="3079" width="13.109375" style="866" customWidth="1"/>
    <col min="3080" max="3328" width="11.44140625" style="866"/>
    <col min="3329" max="3329" width="4.44140625" style="866" customWidth="1"/>
    <col min="3330" max="3330" width="12.88671875" style="866" customWidth="1"/>
    <col min="3331" max="3331" width="21.109375" style="866" customWidth="1"/>
    <col min="3332" max="3332" width="21.44140625" style="866" customWidth="1"/>
    <col min="3333" max="3334" width="11.44140625" style="866"/>
    <col min="3335" max="3335" width="13.109375" style="866" customWidth="1"/>
    <col min="3336" max="3584" width="11.44140625" style="866"/>
    <col min="3585" max="3585" width="4.44140625" style="866" customWidth="1"/>
    <col min="3586" max="3586" width="12.88671875" style="866" customWidth="1"/>
    <col min="3587" max="3587" width="21.109375" style="866" customWidth="1"/>
    <col min="3588" max="3588" width="21.44140625" style="866" customWidth="1"/>
    <col min="3589" max="3590" width="11.44140625" style="866"/>
    <col min="3591" max="3591" width="13.109375" style="866" customWidth="1"/>
    <col min="3592" max="3840" width="11.44140625" style="866"/>
    <col min="3841" max="3841" width="4.44140625" style="866" customWidth="1"/>
    <col min="3842" max="3842" width="12.88671875" style="866" customWidth="1"/>
    <col min="3843" max="3843" width="21.109375" style="866" customWidth="1"/>
    <col min="3844" max="3844" width="21.44140625" style="866" customWidth="1"/>
    <col min="3845" max="3846" width="11.44140625" style="866"/>
    <col min="3847" max="3847" width="13.109375" style="866" customWidth="1"/>
    <col min="3848" max="4096" width="11.44140625" style="866"/>
    <col min="4097" max="4097" width="4.44140625" style="866" customWidth="1"/>
    <col min="4098" max="4098" width="12.88671875" style="866" customWidth="1"/>
    <col min="4099" max="4099" width="21.109375" style="866" customWidth="1"/>
    <col min="4100" max="4100" width="21.44140625" style="866" customWidth="1"/>
    <col min="4101" max="4102" width="11.44140625" style="866"/>
    <col min="4103" max="4103" width="13.109375" style="866" customWidth="1"/>
    <col min="4104" max="4352" width="11.44140625" style="866"/>
    <col min="4353" max="4353" width="4.44140625" style="866" customWidth="1"/>
    <col min="4354" max="4354" width="12.88671875" style="866" customWidth="1"/>
    <col min="4355" max="4355" width="21.109375" style="866" customWidth="1"/>
    <col min="4356" max="4356" width="21.44140625" style="866" customWidth="1"/>
    <col min="4357" max="4358" width="11.44140625" style="866"/>
    <col min="4359" max="4359" width="13.109375" style="866" customWidth="1"/>
    <col min="4360" max="4608" width="11.44140625" style="866"/>
    <col min="4609" max="4609" width="4.44140625" style="866" customWidth="1"/>
    <col min="4610" max="4610" width="12.88671875" style="866" customWidth="1"/>
    <col min="4611" max="4611" width="21.109375" style="866" customWidth="1"/>
    <col min="4612" max="4612" width="21.44140625" style="866" customWidth="1"/>
    <col min="4613" max="4614" width="11.44140625" style="866"/>
    <col min="4615" max="4615" width="13.109375" style="866" customWidth="1"/>
    <col min="4616" max="4864" width="11.44140625" style="866"/>
    <col min="4865" max="4865" width="4.44140625" style="866" customWidth="1"/>
    <col min="4866" max="4866" width="12.88671875" style="866" customWidth="1"/>
    <col min="4867" max="4867" width="21.109375" style="866" customWidth="1"/>
    <col min="4868" max="4868" width="21.44140625" style="866" customWidth="1"/>
    <col min="4869" max="4870" width="11.44140625" style="866"/>
    <col min="4871" max="4871" width="13.109375" style="866" customWidth="1"/>
    <col min="4872" max="5120" width="11.44140625" style="866"/>
    <col min="5121" max="5121" width="4.44140625" style="866" customWidth="1"/>
    <col min="5122" max="5122" width="12.88671875" style="866" customWidth="1"/>
    <col min="5123" max="5123" width="21.109375" style="866" customWidth="1"/>
    <col min="5124" max="5124" width="21.44140625" style="866" customWidth="1"/>
    <col min="5125" max="5126" width="11.44140625" style="866"/>
    <col min="5127" max="5127" width="13.109375" style="866" customWidth="1"/>
    <col min="5128" max="5376" width="11.44140625" style="866"/>
    <col min="5377" max="5377" width="4.44140625" style="866" customWidth="1"/>
    <col min="5378" max="5378" width="12.88671875" style="866" customWidth="1"/>
    <col min="5379" max="5379" width="21.109375" style="866" customWidth="1"/>
    <col min="5380" max="5380" width="21.44140625" style="866" customWidth="1"/>
    <col min="5381" max="5382" width="11.44140625" style="866"/>
    <col min="5383" max="5383" width="13.109375" style="866" customWidth="1"/>
    <col min="5384" max="5632" width="11.44140625" style="866"/>
    <col min="5633" max="5633" width="4.44140625" style="866" customWidth="1"/>
    <col min="5634" max="5634" width="12.88671875" style="866" customWidth="1"/>
    <col min="5635" max="5635" width="21.109375" style="866" customWidth="1"/>
    <col min="5636" max="5636" width="21.44140625" style="866" customWidth="1"/>
    <col min="5637" max="5638" width="11.44140625" style="866"/>
    <col min="5639" max="5639" width="13.109375" style="866" customWidth="1"/>
    <col min="5640" max="5888" width="11.44140625" style="866"/>
    <col min="5889" max="5889" width="4.44140625" style="866" customWidth="1"/>
    <col min="5890" max="5890" width="12.88671875" style="866" customWidth="1"/>
    <col min="5891" max="5891" width="21.109375" style="866" customWidth="1"/>
    <col min="5892" max="5892" width="21.44140625" style="866" customWidth="1"/>
    <col min="5893" max="5894" width="11.44140625" style="866"/>
    <col min="5895" max="5895" width="13.109375" style="866" customWidth="1"/>
    <col min="5896" max="6144" width="11.44140625" style="866"/>
    <col min="6145" max="6145" width="4.44140625" style="866" customWidth="1"/>
    <col min="6146" max="6146" width="12.88671875" style="866" customWidth="1"/>
    <col min="6147" max="6147" width="21.109375" style="866" customWidth="1"/>
    <col min="6148" max="6148" width="21.44140625" style="866" customWidth="1"/>
    <col min="6149" max="6150" width="11.44140625" style="866"/>
    <col min="6151" max="6151" width="13.109375" style="866" customWidth="1"/>
    <col min="6152" max="6400" width="11.44140625" style="866"/>
    <col min="6401" max="6401" width="4.44140625" style="866" customWidth="1"/>
    <col min="6402" max="6402" width="12.88671875" style="866" customWidth="1"/>
    <col min="6403" max="6403" width="21.109375" style="866" customWidth="1"/>
    <col min="6404" max="6404" width="21.44140625" style="866" customWidth="1"/>
    <col min="6405" max="6406" width="11.44140625" style="866"/>
    <col min="6407" max="6407" width="13.109375" style="866" customWidth="1"/>
    <col min="6408" max="6656" width="11.44140625" style="866"/>
    <col min="6657" max="6657" width="4.44140625" style="866" customWidth="1"/>
    <col min="6658" max="6658" width="12.88671875" style="866" customWidth="1"/>
    <col min="6659" max="6659" width="21.109375" style="866" customWidth="1"/>
    <col min="6660" max="6660" width="21.44140625" style="866" customWidth="1"/>
    <col min="6661" max="6662" width="11.44140625" style="866"/>
    <col min="6663" max="6663" width="13.109375" style="866" customWidth="1"/>
    <col min="6664" max="6912" width="11.44140625" style="866"/>
    <col min="6913" max="6913" width="4.44140625" style="866" customWidth="1"/>
    <col min="6914" max="6914" width="12.88671875" style="866" customWidth="1"/>
    <col min="6915" max="6915" width="21.109375" style="866" customWidth="1"/>
    <col min="6916" max="6916" width="21.44140625" style="866" customWidth="1"/>
    <col min="6917" max="6918" width="11.44140625" style="866"/>
    <col min="6919" max="6919" width="13.109375" style="866" customWidth="1"/>
    <col min="6920" max="7168" width="11.44140625" style="866"/>
    <col min="7169" max="7169" width="4.44140625" style="866" customWidth="1"/>
    <col min="7170" max="7170" width="12.88671875" style="866" customWidth="1"/>
    <col min="7171" max="7171" width="21.109375" style="866" customWidth="1"/>
    <col min="7172" max="7172" width="21.44140625" style="866" customWidth="1"/>
    <col min="7173" max="7174" width="11.44140625" style="866"/>
    <col min="7175" max="7175" width="13.109375" style="866" customWidth="1"/>
    <col min="7176" max="7424" width="11.44140625" style="866"/>
    <col min="7425" max="7425" width="4.44140625" style="866" customWidth="1"/>
    <col min="7426" max="7426" width="12.88671875" style="866" customWidth="1"/>
    <col min="7427" max="7427" width="21.109375" style="866" customWidth="1"/>
    <col min="7428" max="7428" width="21.44140625" style="866" customWidth="1"/>
    <col min="7429" max="7430" width="11.44140625" style="866"/>
    <col min="7431" max="7431" width="13.109375" style="866" customWidth="1"/>
    <col min="7432" max="7680" width="11.44140625" style="866"/>
    <col min="7681" max="7681" width="4.44140625" style="866" customWidth="1"/>
    <col min="7682" max="7682" width="12.88671875" style="866" customWidth="1"/>
    <col min="7683" max="7683" width="21.109375" style="866" customWidth="1"/>
    <col min="7684" max="7684" width="21.44140625" style="866" customWidth="1"/>
    <col min="7685" max="7686" width="11.44140625" style="866"/>
    <col min="7687" max="7687" width="13.109375" style="866" customWidth="1"/>
    <col min="7688" max="7936" width="11.44140625" style="866"/>
    <col min="7937" max="7937" width="4.44140625" style="866" customWidth="1"/>
    <col min="7938" max="7938" width="12.88671875" style="866" customWidth="1"/>
    <col min="7939" max="7939" width="21.109375" style="866" customWidth="1"/>
    <col min="7940" max="7940" width="21.44140625" style="866" customWidth="1"/>
    <col min="7941" max="7942" width="11.44140625" style="866"/>
    <col min="7943" max="7943" width="13.109375" style="866" customWidth="1"/>
    <col min="7944" max="8192" width="11.44140625" style="866"/>
    <col min="8193" max="8193" width="4.44140625" style="866" customWidth="1"/>
    <col min="8194" max="8194" width="12.88671875" style="866" customWidth="1"/>
    <col min="8195" max="8195" width="21.109375" style="866" customWidth="1"/>
    <col min="8196" max="8196" width="21.44140625" style="866" customWidth="1"/>
    <col min="8197" max="8198" width="11.44140625" style="866"/>
    <col min="8199" max="8199" width="13.109375" style="866" customWidth="1"/>
    <col min="8200" max="8448" width="11.44140625" style="866"/>
    <col min="8449" max="8449" width="4.44140625" style="866" customWidth="1"/>
    <col min="8450" max="8450" width="12.88671875" style="866" customWidth="1"/>
    <col min="8451" max="8451" width="21.109375" style="866" customWidth="1"/>
    <col min="8452" max="8452" width="21.44140625" style="866" customWidth="1"/>
    <col min="8453" max="8454" width="11.44140625" style="866"/>
    <col min="8455" max="8455" width="13.109375" style="866" customWidth="1"/>
    <col min="8456" max="8704" width="11.44140625" style="866"/>
    <col min="8705" max="8705" width="4.44140625" style="866" customWidth="1"/>
    <col min="8706" max="8706" width="12.88671875" style="866" customWidth="1"/>
    <col min="8707" max="8707" width="21.109375" style="866" customWidth="1"/>
    <col min="8708" max="8708" width="21.44140625" style="866" customWidth="1"/>
    <col min="8709" max="8710" width="11.44140625" style="866"/>
    <col min="8711" max="8711" width="13.109375" style="866" customWidth="1"/>
    <col min="8712" max="8960" width="11.44140625" style="866"/>
    <col min="8961" max="8961" width="4.44140625" style="866" customWidth="1"/>
    <col min="8962" max="8962" width="12.88671875" style="866" customWidth="1"/>
    <col min="8963" max="8963" width="21.109375" style="866" customWidth="1"/>
    <col min="8964" max="8964" width="21.44140625" style="866" customWidth="1"/>
    <col min="8965" max="8966" width="11.44140625" style="866"/>
    <col min="8967" max="8967" width="13.109375" style="866" customWidth="1"/>
    <col min="8968" max="9216" width="11.44140625" style="866"/>
    <col min="9217" max="9217" width="4.44140625" style="866" customWidth="1"/>
    <col min="9218" max="9218" width="12.88671875" style="866" customWidth="1"/>
    <col min="9219" max="9219" width="21.109375" style="866" customWidth="1"/>
    <col min="9220" max="9220" width="21.44140625" style="866" customWidth="1"/>
    <col min="9221" max="9222" width="11.44140625" style="866"/>
    <col min="9223" max="9223" width="13.109375" style="866" customWidth="1"/>
    <col min="9224" max="9472" width="11.44140625" style="866"/>
    <col min="9473" max="9473" width="4.44140625" style="866" customWidth="1"/>
    <col min="9474" max="9474" width="12.88671875" style="866" customWidth="1"/>
    <col min="9475" max="9475" width="21.109375" style="866" customWidth="1"/>
    <col min="9476" max="9476" width="21.44140625" style="866" customWidth="1"/>
    <col min="9477" max="9478" width="11.44140625" style="866"/>
    <col min="9479" max="9479" width="13.109375" style="866" customWidth="1"/>
    <col min="9480" max="9728" width="11.44140625" style="866"/>
    <col min="9729" max="9729" width="4.44140625" style="866" customWidth="1"/>
    <col min="9730" max="9730" width="12.88671875" style="866" customWidth="1"/>
    <col min="9731" max="9731" width="21.109375" style="866" customWidth="1"/>
    <col min="9732" max="9732" width="21.44140625" style="866" customWidth="1"/>
    <col min="9733" max="9734" width="11.44140625" style="866"/>
    <col min="9735" max="9735" width="13.109375" style="866" customWidth="1"/>
    <col min="9736" max="9984" width="11.44140625" style="866"/>
    <col min="9985" max="9985" width="4.44140625" style="866" customWidth="1"/>
    <col min="9986" max="9986" width="12.88671875" style="866" customWidth="1"/>
    <col min="9987" max="9987" width="21.109375" style="866" customWidth="1"/>
    <col min="9988" max="9988" width="21.44140625" style="866" customWidth="1"/>
    <col min="9989" max="9990" width="11.44140625" style="866"/>
    <col min="9991" max="9991" width="13.109375" style="866" customWidth="1"/>
    <col min="9992" max="10240" width="11.44140625" style="866"/>
    <col min="10241" max="10241" width="4.44140625" style="866" customWidth="1"/>
    <col min="10242" max="10242" width="12.88671875" style="866" customWidth="1"/>
    <col min="10243" max="10243" width="21.109375" style="866" customWidth="1"/>
    <col min="10244" max="10244" width="21.44140625" style="866" customWidth="1"/>
    <col min="10245" max="10246" width="11.44140625" style="866"/>
    <col min="10247" max="10247" width="13.109375" style="866" customWidth="1"/>
    <col min="10248" max="10496" width="11.44140625" style="866"/>
    <col min="10497" max="10497" width="4.44140625" style="866" customWidth="1"/>
    <col min="10498" max="10498" width="12.88671875" style="866" customWidth="1"/>
    <col min="10499" max="10499" width="21.109375" style="866" customWidth="1"/>
    <col min="10500" max="10500" width="21.44140625" style="866" customWidth="1"/>
    <col min="10501" max="10502" width="11.44140625" style="866"/>
    <col min="10503" max="10503" width="13.109375" style="866" customWidth="1"/>
    <col min="10504" max="10752" width="11.44140625" style="866"/>
    <col min="10753" max="10753" width="4.44140625" style="866" customWidth="1"/>
    <col min="10754" max="10754" width="12.88671875" style="866" customWidth="1"/>
    <col min="10755" max="10755" width="21.109375" style="866" customWidth="1"/>
    <col min="10756" max="10756" width="21.44140625" style="866" customWidth="1"/>
    <col min="10757" max="10758" width="11.44140625" style="866"/>
    <col min="10759" max="10759" width="13.109375" style="866" customWidth="1"/>
    <col min="10760" max="11008" width="11.44140625" style="866"/>
    <col min="11009" max="11009" width="4.44140625" style="866" customWidth="1"/>
    <col min="11010" max="11010" width="12.88671875" style="866" customWidth="1"/>
    <col min="11011" max="11011" width="21.109375" style="866" customWidth="1"/>
    <col min="11012" max="11012" width="21.44140625" style="866" customWidth="1"/>
    <col min="11013" max="11014" width="11.44140625" style="866"/>
    <col min="11015" max="11015" width="13.109375" style="866" customWidth="1"/>
    <col min="11016" max="11264" width="11.44140625" style="866"/>
    <col min="11265" max="11265" width="4.44140625" style="866" customWidth="1"/>
    <col min="11266" max="11266" width="12.88671875" style="866" customWidth="1"/>
    <col min="11267" max="11267" width="21.109375" style="866" customWidth="1"/>
    <col min="11268" max="11268" width="21.44140625" style="866" customWidth="1"/>
    <col min="11269" max="11270" width="11.44140625" style="866"/>
    <col min="11271" max="11271" width="13.109375" style="866" customWidth="1"/>
    <col min="11272" max="11520" width="11.44140625" style="866"/>
    <col min="11521" max="11521" width="4.44140625" style="866" customWidth="1"/>
    <col min="11522" max="11522" width="12.88671875" style="866" customWidth="1"/>
    <col min="11523" max="11523" width="21.109375" style="866" customWidth="1"/>
    <col min="11524" max="11524" width="21.44140625" style="866" customWidth="1"/>
    <col min="11525" max="11526" width="11.44140625" style="866"/>
    <col min="11527" max="11527" width="13.109375" style="866" customWidth="1"/>
    <col min="11528" max="11776" width="11.44140625" style="866"/>
    <col min="11777" max="11777" width="4.44140625" style="866" customWidth="1"/>
    <col min="11778" max="11778" width="12.88671875" style="866" customWidth="1"/>
    <col min="11779" max="11779" width="21.109375" style="866" customWidth="1"/>
    <col min="11780" max="11780" width="21.44140625" style="866" customWidth="1"/>
    <col min="11781" max="11782" width="11.44140625" style="866"/>
    <col min="11783" max="11783" width="13.109375" style="866" customWidth="1"/>
    <col min="11784" max="12032" width="11.44140625" style="866"/>
    <col min="12033" max="12033" width="4.44140625" style="866" customWidth="1"/>
    <col min="12034" max="12034" width="12.88671875" style="866" customWidth="1"/>
    <col min="12035" max="12035" width="21.109375" style="866" customWidth="1"/>
    <col min="12036" max="12036" width="21.44140625" style="866" customWidth="1"/>
    <col min="12037" max="12038" width="11.44140625" style="866"/>
    <col min="12039" max="12039" width="13.109375" style="866" customWidth="1"/>
    <col min="12040" max="12288" width="11.44140625" style="866"/>
    <col min="12289" max="12289" width="4.44140625" style="866" customWidth="1"/>
    <col min="12290" max="12290" width="12.88671875" style="866" customWidth="1"/>
    <col min="12291" max="12291" width="21.109375" style="866" customWidth="1"/>
    <col min="12292" max="12292" width="21.44140625" style="866" customWidth="1"/>
    <col min="12293" max="12294" width="11.44140625" style="866"/>
    <col min="12295" max="12295" width="13.109375" style="866" customWidth="1"/>
    <col min="12296" max="12544" width="11.44140625" style="866"/>
    <col min="12545" max="12545" width="4.44140625" style="866" customWidth="1"/>
    <col min="12546" max="12546" width="12.88671875" style="866" customWidth="1"/>
    <col min="12547" max="12547" width="21.109375" style="866" customWidth="1"/>
    <col min="12548" max="12548" width="21.44140625" style="866" customWidth="1"/>
    <col min="12549" max="12550" width="11.44140625" style="866"/>
    <col min="12551" max="12551" width="13.109375" style="866" customWidth="1"/>
    <col min="12552" max="12800" width="11.44140625" style="866"/>
    <col min="12801" max="12801" width="4.44140625" style="866" customWidth="1"/>
    <col min="12802" max="12802" width="12.88671875" style="866" customWidth="1"/>
    <col min="12803" max="12803" width="21.109375" style="866" customWidth="1"/>
    <col min="12804" max="12804" width="21.44140625" style="866" customWidth="1"/>
    <col min="12805" max="12806" width="11.44140625" style="866"/>
    <col min="12807" max="12807" width="13.109375" style="866" customWidth="1"/>
    <col min="12808" max="13056" width="11.44140625" style="866"/>
    <col min="13057" max="13057" width="4.44140625" style="866" customWidth="1"/>
    <col min="13058" max="13058" width="12.88671875" style="866" customWidth="1"/>
    <col min="13059" max="13059" width="21.109375" style="866" customWidth="1"/>
    <col min="13060" max="13060" width="21.44140625" style="866" customWidth="1"/>
    <col min="13061" max="13062" width="11.44140625" style="866"/>
    <col min="13063" max="13063" width="13.109375" style="866" customWidth="1"/>
    <col min="13064" max="13312" width="11.44140625" style="866"/>
    <col min="13313" max="13313" width="4.44140625" style="866" customWidth="1"/>
    <col min="13314" max="13314" width="12.88671875" style="866" customWidth="1"/>
    <col min="13315" max="13315" width="21.109375" style="866" customWidth="1"/>
    <col min="13316" max="13316" width="21.44140625" style="866" customWidth="1"/>
    <col min="13317" max="13318" width="11.44140625" style="866"/>
    <col min="13319" max="13319" width="13.109375" style="866" customWidth="1"/>
    <col min="13320" max="13568" width="11.44140625" style="866"/>
    <col min="13569" max="13569" width="4.44140625" style="866" customWidth="1"/>
    <col min="13570" max="13570" width="12.88671875" style="866" customWidth="1"/>
    <col min="13571" max="13571" width="21.109375" style="866" customWidth="1"/>
    <col min="13572" max="13572" width="21.44140625" style="866" customWidth="1"/>
    <col min="13573" max="13574" width="11.44140625" style="866"/>
    <col min="13575" max="13575" width="13.109375" style="866" customWidth="1"/>
    <col min="13576" max="13824" width="11.44140625" style="866"/>
    <col min="13825" max="13825" width="4.44140625" style="866" customWidth="1"/>
    <col min="13826" max="13826" width="12.88671875" style="866" customWidth="1"/>
    <col min="13827" max="13827" width="21.109375" style="866" customWidth="1"/>
    <col min="13828" max="13828" width="21.44140625" style="866" customWidth="1"/>
    <col min="13829" max="13830" width="11.44140625" style="866"/>
    <col min="13831" max="13831" width="13.109375" style="866" customWidth="1"/>
    <col min="13832" max="14080" width="11.44140625" style="866"/>
    <col min="14081" max="14081" width="4.44140625" style="866" customWidth="1"/>
    <col min="14082" max="14082" width="12.88671875" style="866" customWidth="1"/>
    <col min="14083" max="14083" width="21.109375" style="866" customWidth="1"/>
    <col min="14084" max="14084" width="21.44140625" style="866" customWidth="1"/>
    <col min="14085" max="14086" width="11.44140625" style="866"/>
    <col min="14087" max="14087" width="13.109375" style="866" customWidth="1"/>
    <col min="14088" max="14336" width="11.44140625" style="866"/>
    <col min="14337" max="14337" width="4.44140625" style="866" customWidth="1"/>
    <col min="14338" max="14338" width="12.88671875" style="866" customWidth="1"/>
    <col min="14339" max="14339" width="21.109375" style="866" customWidth="1"/>
    <col min="14340" max="14340" width="21.44140625" style="866" customWidth="1"/>
    <col min="14341" max="14342" width="11.44140625" style="866"/>
    <col min="14343" max="14343" width="13.109375" style="866" customWidth="1"/>
    <col min="14344" max="14592" width="11.44140625" style="866"/>
    <col min="14593" max="14593" width="4.44140625" style="866" customWidth="1"/>
    <col min="14594" max="14594" width="12.88671875" style="866" customWidth="1"/>
    <col min="14595" max="14595" width="21.109375" style="866" customWidth="1"/>
    <col min="14596" max="14596" width="21.44140625" style="866" customWidth="1"/>
    <col min="14597" max="14598" width="11.44140625" style="866"/>
    <col min="14599" max="14599" width="13.109375" style="866" customWidth="1"/>
    <col min="14600" max="14848" width="11.44140625" style="866"/>
    <col min="14849" max="14849" width="4.44140625" style="866" customWidth="1"/>
    <col min="14850" max="14850" width="12.88671875" style="866" customWidth="1"/>
    <col min="14851" max="14851" width="21.109375" style="866" customWidth="1"/>
    <col min="14852" max="14852" width="21.44140625" style="866" customWidth="1"/>
    <col min="14853" max="14854" width="11.44140625" style="866"/>
    <col min="14855" max="14855" width="13.109375" style="866" customWidth="1"/>
    <col min="14856" max="15104" width="11.44140625" style="866"/>
    <col min="15105" max="15105" width="4.44140625" style="866" customWidth="1"/>
    <col min="15106" max="15106" width="12.88671875" style="866" customWidth="1"/>
    <col min="15107" max="15107" width="21.109375" style="866" customWidth="1"/>
    <col min="15108" max="15108" width="21.44140625" style="866" customWidth="1"/>
    <col min="15109" max="15110" width="11.44140625" style="866"/>
    <col min="15111" max="15111" width="13.109375" style="866" customWidth="1"/>
    <col min="15112" max="15360" width="11.44140625" style="866"/>
    <col min="15361" max="15361" width="4.44140625" style="866" customWidth="1"/>
    <col min="15362" max="15362" width="12.88671875" style="866" customWidth="1"/>
    <col min="15363" max="15363" width="21.109375" style="866" customWidth="1"/>
    <col min="15364" max="15364" width="21.44140625" style="866" customWidth="1"/>
    <col min="15365" max="15366" width="11.44140625" style="866"/>
    <col min="15367" max="15367" width="13.109375" style="866" customWidth="1"/>
    <col min="15368" max="15616" width="11.44140625" style="866"/>
    <col min="15617" max="15617" width="4.44140625" style="866" customWidth="1"/>
    <col min="15618" max="15618" width="12.88671875" style="866" customWidth="1"/>
    <col min="15619" max="15619" width="21.109375" style="866" customWidth="1"/>
    <col min="15620" max="15620" width="21.44140625" style="866" customWidth="1"/>
    <col min="15621" max="15622" width="11.44140625" style="866"/>
    <col min="15623" max="15623" width="13.109375" style="866" customWidth="1"/>
    <col min="15624" max="15872" width="11.44140625" style="866"/>
    <col min="15873" max="15873" width="4.44140625" style="866" customWidth="1"/>
    <col min="15874" max="15874" width="12.88671875" style="866" customWidth="1"/>
    <col min="15875" max="15875" width="21.109375" style="866" customWidth="1"/>
    <col min="15876" max="15876" width="21.44140625" style="866" customWidth="1"/>
    <col min="15877" max="15878" width="11.44140625" style="866"/>
    <col min="15879" max="15879" width="13.109375" style="866" customWidth="1"/>
    <col min="15880" max="16128" width="11.44140625" style="866"/>
    <col min="16129" max="16129" width="4.44140625" style="866" customWidth="1"/>
    <col min="16130" max="16130" width="12.88671875" style="866" customWidth="1"/>
    <col min="16131" max="16131" width="21.109375" style="866" customWidth="1"/>
    <col min="16132" max="16132" width="21.44140625" style="866" customWidth="1"/>
    <col min="16133" max="16134" width="11.44140625" style="866"/>
    <col min="16135" max="16135" width="13.109375" style="866" customWidth="1"/>
    <col min="16136" max="16384" width="11.44140625" style="866"/>
  </cols>
  <sheetData>
    <row r="1" spans="1:13" ht="18.75" customHeight="1">
      <c r="A1" s="1457" t="s">
        <v>688</v>
      </c>
      <c r="B1" s="1458"/>
      <c r="C1" s="1458"/>
      <c r="D1" s="1458"/>
      <c r="E1" s="1458"/>
      <c r="F1" s="1458"/>
      <c r="G1" s="1459"/>
      <c r="L1" s="867"/>
    </row>
    <row r="2" spans="1:13" s="868" customFormat="1">
      <c r="A2" s="1460" t="s">
        <v>476</v>
      </c>
      <c r="B2" s="1461"/>
      <c r="C2" s="1461"/>
      <c r="D2" s="1461"/>
      <c r="E2" s="1461"/>
      <c r="F2" s="1461"/>
      <c r="G2" s="1462"/>
    </row>
    <row r="3" spans="1:13" s="868" customFormat="1" ht="15" customHeight="1">
      <c r="A3" s="869"/>
      <c r="B3" s="870"/>
      <c r="C3" s="1461" t="str">
        <f>"Contrato"&amp;" "&amp;Datos!B4</f>
        <v>Contrato ABC N° 818/19 GNT-SCT-OBR-TGN</v>
      </c>
      <c r="D3" s="1461"/>
      <c r="E3" s="1461"/>
      <c r="F3" s="870"/>
      <c r="G3" s="871" t="s">
        <v>477</v>
      </c>
    </row>
    <row r="4" spans="1:13" s="868" customFormat="1" ht="8.25" customHeight="1">
      <c r="A4" s="872"/>
      <c r="B4" s="873"/>
      <c r="C4" s="873"/>
      <c r="D4" s="873"/>
      <c r="E4" s="873"/>
      <c r="F4" s="873"/>
      <c r="G4" s="874"/>
      <c r="I4" s="896"/>
    </row>
    <row r="5" spans="1:13" s="868" customFormat="1" ht="27" customHeight="1">
      <c r="A5" s="1463" t="s">
        <v>478</v>
      </c>
      <c r="B5" s="1464"/>
      <c r="C5" s="1465" t="str">
        <f>+Datos!B3</f>
        <v>CONSTRUCCION Y REHABILITACION TRAMO CARRETERO VILLA MONTES - LA VERTIENTE - PALO MARCADO</v>
      </c>
      <c r="D5" s="1465"/>
      <c r="E5" s="1465"/>
      <c r="F5" s="1465"/>
      <c r="G5" s="1466"/>
    </row>
    <row r="6" spans="1:13" s="868" customFormat="1" ht="15" customHeight="1">
      <c r="A6" s="1467">
        <f>+Datos!C19</f>
        <v>4</v>
      </c>
      <c r="B6" s="1468"/>
      <c r="C6" s="1468"/>
      <c r="D6" s="962" t="s">
        <v>479</v>
      </c>
      <c r="E6" s="1469" t="str">
        <f>+Datos!C23</f>
        <v>DICIEMBRE 2020, ENERO 2021 Y FEBRERO 2021</v>
      </c>
      <c r="F6" s="1470"/>
      <c r="G6" s="1471"/>
      <c r="H6" s="896"/>
    </row>
    <row r="7" spans="1:13" s="868" customFormat="1" ht="15" customHeight="1">
      <c r="A7" s="1281" t="s">
        <v>687</v>
      </c>
      <c r="B7" s="1282"/>
      <c r="C7" s="1282"/>
      <c r="D7" s="962"/>
      <c r="E7" s="1283"/>
      <c r="F7" s="1284"/>
      <c r="G7" s="1285"/>
      <c r="H7" s="896"/>
    </row>
    <row r="8" spans="1:13" s="868" customFormat="1" ht="6.75" customHeight="1" thickBot="1">
      <c r="A8" s="875"/>
      <c r="B8" s="876"/>
      <c r="C8" s="876"/>
      <c r="D8" s="876"/>
      <c r="E8" s="876"/>
      <c r="F8" s="876"/>
      <c r="G8" s="877"/>
      <c r="J8" s="878"/>
    </row>
    <row r="9" spans="1:13" s="868" customFormat="1" ht="39" customHeight="1">
      <c r="A9" s="879" t="s">
        <v>527</v>
      </c>
      <c r="B9" s="880"/>
      <c r="C9" s="880"/>
      <c r="D9" s="880"/>
      <c r="E9" s="880"/>
      <c r="F9" s="880"/>
      <c r="G9" s="1360"/>
      <c r="J9" s="878"/>
    </row>
    <row r="10" spans="1:13" s="868" customFormat="1" ht="26.25" customHeight="1">
      <c r="A10" s="1382" t="s">
        <v>425</v>
      </c>
      <c r="B10" s="963"/>
      <c r="C10" s="1455" t="str">
        <f>+Datos!B9</f>
        <v>Ing. Franz Reynaldo Salazar Martinez</v>
      </c>
      <c r="D10" s="1455"/>
      <c r="E10" s="1455"/>
      <c r="F10" s="1456"/>
      <c r="G10" s="881"/>
      <c r="J10" s="878"/>
    </row>
    <row r="11" spans="1:13" s="884" customFormat="1" ht="26.25" customHeight="1">
      <c r="A11" s="1382" t="s">
        <v>157</v>
      </c>
      <c r="B11" s="964"/>
      <c r="C11" s="1455" t="str">
        <f>+Datos!B6</f>
        <v>Ing. Herlan Rene Ramos Estrada</v>
      </c>
      <c r="D11" s="1455"/>
      <c r="E11" s="1455"/>
      <c r="F11" s="1456"/>
      <c r="G11" s="882"/>
      <c r="H11" s="883"/>
      <c r="I11" s="883"/>
      <c r="J11" s="883"/>
      <c r="K11" s="883"/>
      <c r="L11" s="883"/>
      <c r="M11" s="883"/>
    </row>
    <row r="12" spans="1:13" s="868" customFormat="1" ht="37.5" customHeight="1" thickBot="1">
      <c r="A12" s="1383" t="s">
        <v>480</v>
      </c>
      <c r="B12" s="1384"/>
      <c r="C12" s="1448" t="s">
        <v>448</v>
      </c>
      <c r="D12" s="1448"/>
      <c r="E12" s="1448"/>
      <c r="F12" s="1449"/>
      <c r="G12" s="885"/>
    </row>
    <row r="13" spans="1:13" ht="6.75" customHeight="1" thickBot="1">
      <c r="A13" s="886"/>
      <c r="B13" s="886"/>
      <c r="C13" s="886"/>
      <c r="D13" s="886"/>
      <c r="E13" s="886"/>
      <c r="F13" s="886"/>
      <c r="G13" s="886"/>
    </row>
    <row r="14" spans="1:13" ht="15" customHeight="1">
      <c r="A14" s="1450" t="s">
        <v>481</v>
      </c>
      <c r="B14" s="1452" t="s">
        <v>482</v>
      </c>
      <c r="C14" s="1452" t="s">
        <v>483</v>
      </c>
      <c r="D14" s="1452" t="s">
        <v>484</v>
      </c>
      <c r="E14" s="1454" t="s">
        <v>485</v>
      </c>
      <c r="F14" s="1454"/>
      <c r="G14" s="1446" t="s">
        <v>486</v>
      </c>
    </row>
    <row r="15" spans="1:13" ht="15" customHeight="1">
      <c r="A15" s="1451"/>
      <c r="B15" s="1453"/>
      <c r="C15" s="1453"/>
      <c r="D15" s="1453"/>
      <c r="E15" s="887" t="s">
        <v>487</v>
      </c>
      <c r="F15" s="887" t="s">
        <v>488</v>
      </c>
      <c r="G15" s="1447"/>
    </row>
    <row r="16" spans="1:13" ht="15" customHeight="1">
      <c r="A16" s="1434">
        <v>1</v>
      </c>
      <c r="B16" s="1437" t="s">
        <v>244</v>
      </c>
      <c r="C16" s="1437" t="str">
        <f>+Datos!D14</f>
        <v>Ing. Gabriel Daza Chavez        SUPERINTENDENTE DE OBRA</v>
      </c>
      <c r="D16" s="1440"/>
      <c r="E16" s="888"/>
      <c r="F16" s="888"/>
      <c r="G16" s="889"/>
    </row>
    <row r="17" spans="1:10" ht="15" customHeight="1">
      <c r="A17" s="1435"/>
      <c r="B17" s="1438"/>
      <c r="C17" s="1438"/>
      <c r="D17" s="1441"/>
      <c r="E17" s="890"/>
      <c r="F17" s="890"/>
      <c r="G17" s="891"/>
    </row>
    <row r="18" spans="1:10" ht="15" customHeight="1">
      <c r="A18" s="1435"/>
      <c r="B18" s="1438"/>
      <c r="C18" s="1438"/>
      <c r="D18" s="1441"/>
      <c r="E18" s="890"/>
      <c r="F18" s="890"/>
      <c r="G18" s="891"/>
    </row>
    <row r="19" spans="1:10" ht="15" customHeight="1">
      <c r="A19" s="1436"/>
      <c r="B19" s="1439"/>
      <c r="C19" s="1439"/>
      <c r="D19" s="1442"/>
      <c r="E19" s="892"/>
      <c r="F19" s="892"/>
      <c r="G19" s="893"/>
    </row>
    <row r="20" spans="1:10" ht="15" customHeight="1">
      <c r="A20" s="1434">
        <v>2</v>
      </c>
      <c r="B20" s="1437" t="s">
        <v>489</v>
      </c>
      <c r="C20" s="1437" t="str">
        <f>+Datos!D6&amp;"                        "&amp;Datos!B8</f>
        <v>Ing. Herlan Rene Ramos Estrada        SUPERVISOR DE OBRA                        ABC - REGIONAL TARIJA</v>
      </c>
      <c r="D20" s="1440"/>
      <c r="E20" s="888"/>
      <c r="F20" s="888"/>
      <c r="G20" s="889"/>
    </row>
    <row r="21" spans="1:10" ht="15" customHeight="1">
      <c r="A21" s="1435"/>
      <c r="B21" s="1438"/>
      <c r="C21" s="1438"/>
      <c r="D21" s="1441"/>
      <c r="E21" s="890"/>
      <c r="F21" s="890"/>
      <c r="G21" s="891"/>
    </row>
    <row r="22" spans="1:10" ht="15" customHeight="1">
      <c r="A22" s="1435"/>
      <c r="B22" s="1438"/>
      <c r="C22" s="1438"/>
      <c r="D22" s="1441"/>
      <c r="E22" s="890"/>
      <c r="F22" s="890"/>
      <c r="G22" s="891"/>
    </row>
    <row r="23" spans="1:10" ht="15" customHeight="1">
      <c r="A23" s="1436"/>
      <c r="B23" s="1439"/>
      <c r="C23" s="1439"/>
      <c r="D23" s="1442"/>
      <c r="E23" s="892"/>
      <c r="F23" s="892"/>
      <c r="G23" s="893"/>
    </row>
    <row r="24" spans="1:10" ht="15" customHeight="1">
      <c r="A24" s="1434">
        <v>3</v>
      </c>
      <c r="B24" s="1437" t="s">
        <v>490</v>
      </c>
      <c r="C24" s="1437" t="str">
        <f>+Datos!D9&amp;"                              "&amp;Datos!B11</f>
        <v>Ing. Franz Reynaldo Salazar Martinez                     FISCAL DE OBRA                              ABC - REGIONAL TARIJA</v>
      </c>
      <c r="D24" s="1440"/>
      <c r="E24" s="888"/>
      <c r="F24" s="888"/>
      <c r="G24" s="889"/>
    </row>
    <row r="25" spans="1:10" ht="15" customHeight="1">
      <c r="A25" s="1435"/>
      <c r="B25" s="1438"/>
      <c r="C25" s="1438"/>
      <c r="D25" s="1441"/>
      <c r="E25" s="890"/>
      <c r="F25" s="890"/>
      <c r="G25" s="891"/>
    </row>
    <row r="26" spans="1:10" ht="15" customHeight="1">
      <c r="A26" s="1435"/>
      <c r="B26" s="1438"/>
      <c r="C26" s="1438"/>
      <c r="D26" s="1441"/>
      <c r="E26" s="890"/>
      <c r="F26" s="890"/>
      <c r="G26" s="891"/>
    </row>
    <row r="27" spans="1:10" ht="15" customHeight="1">
      <c r="A27" s="1436"/>
      <c r="B27" s="1439"/>
      <c r="C27" s="1439"/>
      <c r="D27" s="1442"/>
      <c r="E27" s="892"/>
      <c r="F27" s="892" t="s">
        <v>491</v>
      </c>
      <c r="G27" s="893"/>
    </row>
    <row r="28" spans="1:10" ht="15" customHeight="1">
      <c r="A28" s="1434">
        <v>4</v>
      </c>
      <c r="B28" s="1437" t="s">
        <v>492</v>
      </c>
      <c r="C28" s="1437" t="s">
        <v>686</v>
      </c>
      <c r="D28" s="1440"/>
      <c r="E28" s="888"/>
      <c r="F28" s="888"/>
      <c r="G28" s="889"/>
      <c r="J28" s="866" t="s">
        <v>491</v>
      </c>
    </row>
    <row r="29" spans="1:10" ht="15" customHeight="1">
      <c r="A29" s="1435"/>
      <c r="B29" s="1438"/>
      <c r="C29" s="1438"/>
      <c r="D29" s="1441"/>
      <c r="E29" s="890"/>
      <c r="F29" s="890"/>
      <c r="G29" s="891"/>
    </row>
    <row r="30" spans="1:10" ht="15" customHeight="1">
      <c r="A30" s="1435"/>
      <c r="B30" s="1438"/>
      <c r="C30" s="1438"/>
      <c r="D30" s="1441"/>
      <c r="E30" s="890"/>
      <c r="F30" s="890"/>
      <c r="G30" s="891"/>
    </row>
    <row r="31" spans="1:10" ht="15" customHeight="1">
      <c r="A31" s="1436"/>
      <c r="B31" s="1439"/>
      <c r="C31" s="1439"/>
      <c r="D31" s="1442"/>
      <c r="E31" s="892"/>
      <c r="F31" s="892"/>
      <c r="G31" s="893"/>
    </row>
    <row r="32" spans="1:10" ht="15" customHeight="1">
      <c r="A32" s="1434">
        <v>5</v>
      </c>
      <c r="B32" s="1437"/>
      <c r="C32" s="1437"/>
      <c r="D32" s="1440"/>
      <c r="E32" s="888"/>
      <c r="F32" s="888"/>
      <c r="G32" s="889"/>
    </row>
    <row r="33" spans="1:7" ht="15" customHeight="1">
      <c r="A33" s="1435"/>
      <c r="B33" s="1438"/>
      <c r="C33" s="1438"/>
      <c r="D33" s="1441"/>
      <c r="E33" s="890"/>
      <c r="F33" s="890"/>
      <c r="G33" s="891"/>
    </row>
    <row r="34" spans="1:7" ht="15" customHeight="1">
      <c r="A34" s="1435"/>
      <c r="B34" s="1438"/>
      <c r="C34" s="1438"/>
      <c r="D34" s="1441"/>
      <c r="E34" s="890"/>
      <c r="F34" s="890"/>
      <c r="G34" s="891"/>
    </row>
    <row r="35" spans="1:7" ht="15" customHeight="1">
      <c r="A35" s="1436"/>
      <c r="B35" s="1439"/>
      <c r="C35" s="1439"/>
      <c r="D35" s="1442"/>
      <c r="E35" s="892"/>
      <c r="F35" s="892"/>
      <c r="G35" s="893"/>
    </row>
    <row r="36" spans="1:7" ht="15" customHeight="1">
      <c r="A36" s="1434">
        <v>6</v>
      </c>
      <c r="B36" s="1437"/>
      <c r="C36" s="1437"/>
      <c r="D36" s="1440"/>
      <c r="E36" s="888"/>
      <c r="F36" s="888"/>
      <c r="G36" s="889"/>
    </row>
    <row r="37" spans="1:7" ht="15" customHeight="1">
      <c r="A37" s="1435"/>
      <c r="B37" s="1438"/>
      <c r="C37" s="1438"/>
      <c r="D37" s="1441"/>
      <c r="E37" s="890"/>
      <c r="F37" s="890"/>
      <c r="G37" s="891"/>
    </row>
    <row r="38" spans="1:7" ht="15" customHeight="1">
      <c r="A38" s="1435"/>
      <c r="B38" s="1438"/>
      <c r="C38" s="1438"/>
      <c r="D38" s="1441"/>
      <c r="E38" s="890"/>
      <c r="F38" s="890"/>
      <c r="G38" s="891"/>
    </row>
    <row r="39" spans="1:7" ht="15" customHeight="1">
      <c r="A39" s="1436"/>
      <c r="B39" s="1439"/>
      <c r="C39" s="1439"/>
      <c r="D39" s="1442"/>
      <c r="E39" s="892"/>
      <c r="F39" s="892"/>
      <c r="G39" s="893"/>
    </row>
    <row r="40" spans="1:7" ht="15" customHeight="1">
      <c r="A40" s="1434">
        <v>7</v>
      </c>
      <c r="B40" s="1437"/>
      <c r="C40" s="1437"/>
      <c r="D40" s="1440"/>
      <c r="E40" s="888"/>
      <c r="F40" s="888"/>
      <c r="G40" s="889"/>
    </row>
    <row r="41" spans="1:7" ht="15" customHeight="1">
      <c r="A41" s="1435"/>
      <c r="B41" s="1438"/>
      <c r="C41" s="1438"/>
      <c r="D41" s="1441"/>
      <c r="E41" s="890"/>
      <c r="F41" s="890"/>
      <c r="G41" s="891"/>
    </row>
    <row r="42" spans="1:7" ht="15" customHeight="1">
      <c r="A42" s="1435"/>
      <c r="B42" s="1438"/>
      <c r="C42" s="1438"/>
      <c r="D42" s="1441"/>
      <c r="E42" s="890"/>
      <c r="F42" s="890"/>
      <c r="G42" s="891"/>
    </row>
    <row r="43" spans="1:7" ht="15" customHeight="1">
      <c r="A43" s="1436"/>
      <c r="B43" s="1439"/>
      <c r="C43" s="1439"/>
      <c r="D43" s="1442"/>
      <c r="E43" s="892"/>
      <c r="F43" s="892"/>
      <c r="G43" s="893"/>
    </row>
    <row r="44" spans="1:7" ht="15" customHeight="1">
      <c r="A44" s="1434">
        <v>8</v>
      </c>
      <c r="B44" s="1437"/>
      <c r="C44" s="1437"/>
      <c r="D44" s="1440"/>
      <c r="E44" s="888"/>
      <c r="F44" s="888"/>
      <c r="G44" s="889"/>
    </row>
    <row r="45" spans="1:7" ht="15" customHeight="1">
      <c r="A45" s="1435"/>
      <c r="B45" s="1438"/>
      <c r="C45" s="1438"/>
      <c r="D45" s="1441"/>
      <c r="E45" s="890"/>
      <c r="F45" s="890"/>
      <c r="G45" s="891"/>
    </row>
    <row r="46" spans="1:7" ht="15" customHeight="1">
      <c r="A46" s="1435"/>
      <c r="B46" s="1438"/>
      <c r="C46" s="1438"/>
      <c r="D46" s="1441"/>
      <c r="E46" s="890"/>
      <c r="F46" s="890"/>
      <c r="G46" s="891"/>
    </row>
    <row r="47" spans="1:7" ht="15" customHeight="1" thickBot="1">
      <c r="A47" s="1443"/>
      <c r="B47" s="1444"/>
      <c r="C47" s="1444"/>
      <c r="D47" s="1445"/>
      <c r="E47" s="894"/>
      <c r="F47" s="894"/>
      <c r="G47" s="895"/>
    </row>
  </sheetData>
  <mergeCells count="48">
    <mergeCell ref="C11:F11"/>
    <mergeCell ref="A1:G1"/>
    <mergeCell ref="A2:G2"/>
    <mergeCell ref="C3:E3"/>
    <mergeCell ref="A5:B5"/>
    <mergeCell ref="C5:G5"/>
    <mergeCell ref="A6:C6"/>
    <mergeCell ref="E6:G6"/>
    <mergeCell ref="C10:F10"/>
    <mergeCell ref="D20:D23"/>
    <mergeCell ref="C12:F12"/>
    <mergeCell ref="A14:A15"/>
    <mergeCell ref="B14:B15"/>
    <mergeCell ref="C14:C15"/>
    <mergeCell ref="D14:D15"/>
    <mergeCell ref="E14:F14"/>
    <mergeCell ref="A20:A23"/>
    <mergeCell ref="B20:B23"/>
    <mergeCell ref="C20:C23"/>
    <mergeCell ref="G14:G15"/>
    <mergeCell ref="A16:A19"/>
    <mergeCell ref="B16:B19"/>
    <mergeCell ref="C16:C19"/>
    <mergeCell ref="D16:D19"/>
    <mergeCell ref="A44:A47"/>
    <mergeCell ref="B44:B47"/>
    <mergeCell ref="C44:C47"/>
    <mergeCell ref="D44:D47"/>
    <mergeCell ref="A32:A35"/>
    <mergeCell ref="B32:B35"/>
    <mergeCell ref="C32:C35"/>
    <mergeCell ref="D32:D35"/>
    <mergeCell ref="A36:A39"/>
    <mergeCell ref="B36:B39"/>
    <mergeCell ref="C36:C39"/>
    <mergeCell ref="D36:D39"/>
    <mergeCell ref="A40:A43"/>
    <mergeCell ref="B40:B43"/>
    <mergeCell ref="C40:C43"/>
    <mergeCell ref="D40:D43"/>
    <mergeCell ref="A24:A27"/>
    <mergeCell ref="B24:B27"/>
    <mergeCell ref="C24:C27"/>
    <mergeCell ref="D24:D27"/>
    <mergeCell ref="A28:A31"/>
    <mergeCell ref="B28:B31"/>
    <mergeCell ref="C28:C31"/>
    <mergeCell ref="D28:D31"/>
  </mergeCells>
  <pageMargins left="0.86614173228346458" right="0.27559055118110237" top="0.59055118110236227" bottom="0.59055118110236227" header="0" footer="0"/>
  <pageSetup scale="90" orientation="portrait" horizontalDpi="4294967295" verticalDpi="4294967295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7"/>
  <sheetViews>
    <sheetView showGridLines="0" view="pageBreakPreview" topLeftCell="A10" zoomScale="115" zoomScaleNormal="90" zoomScaleSheetLayoutView="115" workbookViewId="0">
      <selection activeCell="J22" sqref="J22:K22"/>
    </sheetView>
  </sheetViews>
  <sheetFormatPr baseColWidth="10" defaultColWidth="11.44140625" defaultRowHeight="13.2"/>
  <cols>
    <col min="1" max="1" width="16.88671875" style="1" customWidth="1"/>
    <col min="2" max="2" width="17.109375" style="1" customWidth="1"/>
    <col min="3" max="3" width="16" style="1" customWidth="1"/>
    <col min="4" max="4" width="14.44140625" style="1" customWidth="1"/>
    <col min="5" max="5" width="4.5546875" style="1" customWidth="1"/>
    <col min="6" max="6" width="5" style="1" customWidth="1"/>
    <col min="7" max="7" width="22" style="1" customWidth="1"/>
    <col min="8" max="8" width="21.109375" style="1" customWidth="1"/>
    <col min="9" max="9" width="19.6640625" style="1" customWidth="1"/>
    <col min="10" max="10" width="17.109375" style="1" customWidth="1"/>
    <col min="11" max="11" width="19.6640625" style="1" customWidth="1"/>
    <col min="12" max="12" width="17.33203125" style="1" customWidth="1"/>
    <col min="13" max="13" width="14.44140625" style="1" hidden="1" customWidth="1"/>
    <col min="14" max="14" width="18.44140625" style="1" bestFit="1" customWidth="1"/>
    <col min="15" max="16384" width="11.44140625" style="1"/>
  </cols>
  <sheetData>
    <row r="1" spans="1:14" ht="12.75" customHeight="1">
      <c r="A1" s="203"/>
      <c r="B1" s="353"/>
      <c r="C1" s="1502" t="str">
        <f>+Datos!C21</f>
        <v>CERTIFICADO DE PAGO Nº 4</v>
      </c>
      <c r="D1" s="1503"/>
      <c r="E1" s="1503"/>
      <c r="F1" s="1503"/>
      <c r="G1" s="1503"/>
      <c r="H1" s="1503"/>
      <c r="I1" s="1504"/>
      <c r="J1" s="1106" t="s">
        <v>162</v>
      </c>
      <c r="K1" s="649"/>
    </row>
    <row r="2" spans="1:14" ht="12.75" customHeight="1">
      <c r="A2" s="2"/>
      <c r="B2" s="3"/>
      <c r="C2" s="1505"/>
      <c r="D2" s="1506"/>
      <c r="E2" s="1506"/>
      <c r="F2" s="1506"/>
      <c r="G2" s="1506"/>
      <c r="H2" s="1506"/>
      <c r="I2" s="1507"/>
      <c r="J2" s="651"/>
      <c r="K2" s="650"/>
    </row>
    <row r="3" spans="1:14" ht="12.75" customHeight="1">
      <c r="A3" s="1528"/>
      <c r="B3" s="1529"/>
      <c r="C3" s="1486"/>
      <c r="D3" s="1487"/>
      <c r="E3" s="1487"/>
      <c r="F3" s="1487"/>
      <c r="G3" s="1487"/>
      <c r="H3" s="758"/>
      <c r="I3" s="762"/>
      <c r="J3" s="652"/>
      <c r="K3" s="650"/>
    </row>
    <row r="4" spans="1:14" ht="12.75" customHeight="1">
      <c r="A4" s="1528"/>
      <c r="B4" s="1529"/>
      <c r="C4" s="1522" t="str">
        <f>+Datos!B2</f>
        <v>PROYECTO: CONSTRUCCION Y REHABILITACION TRAMO CARRETERO VILLA MONTES - LA VERTIENTE - PALO MARCADO</v>
      </c>
      <c r="D4" s="1523"/>
      <c r="E4" s="1523"/>
      <c r="F4" s="1523"/>
      <c r="G4" s="1523"/>
      <c r="H4" s="1523"/>
      <c r="I4" s="1524"/>
      <c r="J4" s="651"/>
      <c r="K4" s="650"/>
      <c r="L4" s="897"/>
    </row>
    <row r="5" spans="1:14" ht="12.75" customHeight="1">
      <c r="A5" s="1528"/>
      <c r="B5" s="1529"/>
      <c r="C5" s="1522"/>
      <c r="D5" s="1523"/>
      <c r="E5" s="1523"/>
      <c r="F5" s="1523"/>
      <c r="G5" s="1523"/>
      <c r="H5" s="1523"/>
      <c r="I5" s="1524"/>
      <c r="J5" s="1070"/>
      <c r="K5" s="1071"/>
      <c r="L5" s="897"/>
    </row>
    <row r="6" spans="1:14" ht="12.75" customHeight="1">
      <c r="A6" s="1500" t="s">
        <v>155</v>
      </c>
      <c r="B6" s="1501"/>
      <c r="C6" s="9"/>
      <c r="D6" s="10"/>
      <c r="E6" s="10"/>
      <c r="F6" s="10"/>
      <c r="G6" s="10"/>
      <c r="H6" s="10"/>
      <c r="I6" s="11"/>
      <c r="J6" s="1520" t="s">
        <v>618</v>
      </c>
      <c r="K6" s="1521"/>
      <c r="M6"/>
    </row>
    <row r="7" spans="1:14" s="357" customFormat="1" ht="12.75" customHeight="1">
      <c r="A7" s="363" t="s">
        <v>207</v>
      </c>
      <c r="B7" s="364"/>
      <c r="C7" s="365" t="s">
        <v>217</v>
      </c>
      <c r="D7" s="365"/>
      <c r="E7" s="366"/>
      <c r="F7" s="373"/>
      <c r="G7" s="1079" t="s">
        <v>628</v>
      </c>
      <c r="H7" s="1117">
        <f>+Datos!C19</f>
        <v>4</v>
      </c>
      <c r="I7" s="1107" t="s">
        <v>211</v>
      </c>
      <c r="J7" s="1118" t="str">
        <f>+Datos!C23</f>
        <v>DICIEMBRE 2020, ENERO 2021 Y FEBRERO 2021</v>
      </c>
      <c r="K7" s="374"/>
    </row>
    <row r="8" spans="1:14" s="357" customFormat="1" ht="12.75" customHeight="1">
      <c r="A8" s="359" t="s">
        <v>208</v>
      </c>
      <c r="B8" s="358"/>
      <c r="C8" s="1034" t="s">
        <v>647</v>
      </c>
      <c r="D8" s="354"/>
      <c r="E8" s="367"/>
      <c r="F8" s="375"/>
      <c r="G8" s="792" t="s">
        <v>653</v>
      </c>
      <c r="H8" s="1111" t="str">
        <f>" Del   "&amp;Datos!C25&amp;"  "&amp;"Al  "&amp;Datos!E25</f>
        <v xml:space="preserve"> Del   01-Dic-2020  Al  28-Feb-2021</v>
      </c>
      <c r="I8" s="1108"/>
      <c r="J8" s="354"/>
      <c r="K8" s="367"/>
      <c r="L8" s="789"/>
    </row>
    <row r="9" spans="1:14" s="357" customFormat="1" ht="12.75" customHeight="1">
      <c r="A9" s="359" t="s">
        <v>209</v>
      </c>
      <c r="B9" s="358"/>
      <c r="C9" s="354" t="str">
        <f>+Datos!B4</f>
        <v>ABC N° 818/19 GNT-SCT-OBR-TGN</v>
      </c>
      <c r="D9" s="354"/>
      <c r="E9" s="367"/>
      <c r="F9" s="375"/>
      <c r="G9" s="354"/>
      <c r="H9" s="354"/>
      <c r="I9" s="354"/>
      <c r="J9" s="355"/>
      <c r="K9" s="356"/>
    </row>
    <row r="10" spans="1:14" s="357" customFormat="1" ht="12.75" customHeight="1">
      <c r="A10" s="359" t="s">
        <v>445</v>
      </c>
      <c r="B10" s="358"/>
      <c r="C10" s="354" t="s">
        <v>661</v>
      </c>
      <c r="D10" s="354"/>
      <c r="E10" s="367"/>
      <c r="F10" s="375"/>
      <c r="G10" s="792" t="s">
        <v>162</v>
      </c>
      <c r="H10" s="407" t="s">
        <v>448</v>
      </c>
      <c r="I10" s="354"/>
      <c r="J10" s="355"/>
      <c r="K10" s="356"/>
      <c r="N10" s="1119"/>
    </row>
    <row r="11" spans="1:14" s="357" customFormat="1" ht="12.75" customHeight="1">
      <c r="A11" s="359" t="s">
        <v>629</v>
      </c>
      <c r="B11" s="358"/>
      <c r="C11" s="354"/>
      <c r="D11" s="354"/>
      <c r="E11" s="367"/>
      <c r="F11" s="375"/>
      <c r="G11" s="792" t="s">
        <v>212</v>
      </c>
      <c r="H11" s="354" t="s">
        <v>648</v>
      </c>
      <c r="I11" s="362"/>
      <c r="J11" s="362"/>
      <c r="K11" s="369"/>
    </row>
    <row r="12" spans="1:14" s="357" customFormat="1" ht="12.75" customHeight="1">
      <c r="A12" s="368" t="s">
        <v>689</v>
      </c>
      <c r="B12" s="362"/>
      <c r="C12" s="362"/>
      <c r="D12" s="567"/>
      <c r="E12" s="369"/>
      <c r="F12" s="376"/>
      <c r="G12" s="792" t="s">
        <v>431</v>
      </c>
      <c r="H12" s="408" t="s">
        <v>449</v>
      </c>
      <c r="I12" s="354"/>
      <c r="J12" s="354"/>
      <c r="K12" s="367"/>
    </row>
    <row r="13" spans="1:14" s="357" customFormat="1" ht="12.75" customHeight="1">
      <c r="A13" s="370" t="s">
        <v>649</v>
      </c>
      <c r="B13" s="371"/>
      <c r="C13" s="380" t="s">
        <v>650</v>
      </c>
      <c r="D13" s="380"/>
      <c r="E13" s="372"/>
      <c r="F13" s="377"/>
      <c r="G13" s="379"/>
      <c r="H13" s="380"/>
      <c r="I13" s="371"/>
      <c r="J13" s="371"/>
      <c r="K13" s="372"/>
    </row>
    <row r="14" spans="1:14" ht="6.75" customHeight="1">
      <c r="A14" s="360"/>
      <c r="B14" s="361"/>
      <c r="C14" s="361"/>
      <c r="D14" s="361"/>
      <c r="E14" s="361"/>
      <c r="F14" s="351"/>
      <c r="G14" s="351"/>
      <c r="H14" s="351"/>
      <c r="I14" s="351"/>
      <c r="J14" s="351"/>
      <c r="K14" s="352"/>
    </row>
    <row r="15" spans="1:14" ht="12.75" customHeight="1">
      <c r="A15" s="1490" t="s">
        <v>213</v>
      </c>
      <c r="B15" s="1491"/>
      <c r="C15" s="1492"/>
      <c r="D15" s="1493">
        <f>540</f>
        <v>540</v>
      </c>
      <c r="E15" s="1494"/>
      <c r="F15" s="1525" t="s">
        <v>15</v>
      </c>
      <c r="G15" s="1526"/>
      <c r="H15" s="1526"/>
      <c r="I15" s="1527"/>
      <c r="J15" s="1508" t="s">
        <v>16</v>
      </c>
      <c r="K15" s="1509"/>
    </row>
    <row r="16" spans="1:14" ht="12.75" customHeight="1">
      <c r="A16" s="1495" t="s">
        <v>651</v>
      </c>
      <c r="B16" s="1496"/>
      <c r="C16" s="1497"/>
      <c r="D16" s="1498">
        <v>30</v>
      </c>
      <c r="E16" s="1499"/>
      <c r="F16" s="1488" t="s">
        <v>18</v>
      </c>
      <c r="G16" s="1489"/>
      <c r="H16" s="1489"/>
      <c r="I16" s="1489"/>
      <c r="J16" s="1514">
        <v>108397839.64</v>
      </c>
      <c r="K16" s="1515"/>
      <c r="L16" s="306"/>
      <c r="M16" s="566"/>
    </row>
    <row r="17" spans="1:17" ht="12.75" customHeight="1">
      <c r="A17" s="1495" t="s">
        <v>667</v>
      </c>
      <c r="B17" s="1496"/>
      <c r="C17" s="1497"/>
      <c r="D17" s="1498">
        <v>164</v>
      </c>
      <c r="E17" s="1499"/>
      <c r="F17" s="1488" t="s">
        <v>218</v>
      </c>
      <c r="G17" s="1489"/>
      <c r="H17" s="1489"/>
      <c r="I17" s="1489"/>
      <c r="J17" s="1512"/>
      <c r="K17" s="1513"/>
      <c r="L17" s="1556"/>
      <c r="M17" s="1557"/>
    </row>
    <row r="18" spans="1:17" ht="12.75" customHeight="1">
      <c r="A18" s="759" t="s">
        <v>214</v>
      </c>
      <c r="B18" s="760"/>
      <c r="C18" s="761"/>
      <c r="D18" s="1498">
        <f>+D15+D16+D17</f>
        <v>734</v>
      </c>
      <c r="E18" s="1499"/>
      <c r="F18" s="1488" t="s">
        <v>462</v>
      </c>
      <c r="G18" s="1489"/>
      <c r="H18" s="1489"/>
      <c r="I18" s="1489"/>
      <c r="J18" s="1512">
        <v>108397839.64</v>
      </c>
      <c r="K18" s="1513"/>
      <c r="L18" s="1556"/>
      <c r="M18" s="1557"/>
      <c r="Q18" s="306"/>
    </row>
    <row r="19" spans="1:17" ht="12.75" customHeight="1">
      <c r="A19" s="759" t="s">
        <v>215</v>
      </c>
      <c r="B19" s="760"/>
      <c r="C19" s="761"/>
      <c r="D19" s="1532">
        <v>43726</v>
      </c>
      <c r="E19" s="1533"/>
      <c r="F19" s="1534" t="s">
        <v>219</v>
      </c>
      <c r="G19" s="1535"/>
      <c r="H19" s="1535"/>
      <c r="I19" s="1535"/>
      <c r="J19" s="1516">
        <f>+J16</f>
        <v>108397839.64</v>
      </c>
      <c r="K19" s="1517"/>
      <c r="L19" s="515"/>
      <c r="M19" s="515"/>
    </row>
    <row r="20" spans="1:17" ht="12.75" customHeight="1">
      <c r="A20" s="759" t="s">
        <v>668</v>
      </c>
      <c r="B20" s="760"/>
      <c r="C20" s="761"/>
      <c r="D20" s="1532">
        <f>D19+D15+D16-1</f>
        <v>44295</v>
      </c>
      <c r="E20" s="1533"/>
      <c r="F20" s="383" t="s">
        <v>159</v>
      </c>
      <c r="G20" s="388" t="s">
        <v>220</v>
      </c>
      <c r="H20" s="388"/>
      <c r="I20" s="382"/>
      <c r="J20" s="1518">
        <f>+J22+J21</f>
        <v>1611755.18</v>
      </c>
      <c r="K20" s="1519"/>
      <c r="L20" s="4"/>
      <c r="M20" s="1559"/>
      <c r="N20" s="1559"/>
      <c r="O20" s="1559"/>
      <c r="P20" s="1559"/>
      <c r="Q20" s="1559"/>
    </row>
    <row r="21" spans="1:17" ht="12.75" customHeight="1">
      <c r="A21" s="1198" t="s">
        <v>669</v>
      </c>
      <c r="D21" s="1532">
        <f t="shared" ref="D21" si="0">+D19+D18-1</f>
        <v>44459</v>
      </c>
      <c r="E21" s="1533"/>
      <c r="F21" s="385" t="s">
        <v>164</v>
      </c>
      <c r="G21" s="390" t="s">
        <v>221</v>
      </c>
      <c r="H21" s="760"/>
      <c r="I21" s="761"/>
      <c r="J21" s="1510">
        <f>+'Planilla de Avance'!L104</f>
        <v>1524844.2</v>
      </c>
      <c r="K21" s="1511"/>
      <c r="L21" s="4"/>
      <c r="M21" s="784"/>
    </row>
    <row r="22" spans="1:17" ht="12.75" customHeight="1">
      <c r="A22" s="1072" t="s">
        <v>216</v>
      </c>
      <c r="B22" s="1073"/>
      <c r="C22" s="1074"/>
      <c r="D22" s="1498">
        <f>+Datos!E25-Certificado!D19+1</f>
        <v>530</v>
      </c>
      <c r="E22" s="1499"/>
      <c r="F22" s="385" t="s">
        <v>165</v>
      </c>
      <c r="G22" s="390" t="s">
        <v>222</v>
      </c>
      <c r="H22" s="760"/>
      <c r="I22" s="761"/>
      <c r="J22" s="1567">
        <f>+'Planilla de Avance'!N104</f>
        <v>86910.98</v>
      </c>
      <c r="K22" s="1568"/>
      <c r="L22" s="4"/>
      <c r="M22" s="783"/>
      <c r="N22" s="514"/>
    </row>
    <row r="23" spans="1:17" ht="12.75" customHeight="1">
      <c r="A23" s="15" t="s">
        <v>654</v>
      </c>
      <c r="B23" s="18"/>
      <c r="C23" s="16"/>
      <c r="D23" s="1542">
        <f>+D18-D22</f>
        <v>204</v>
      </c>
      <c r="E23" s="1543"/>
      <c r="F23" s="385" t="s">
        <v>166</v>
      </c>
      <c r="G23" s="390" t="s">
        <v>463</v>
      </c>
      <c r="H23" s="760"/>
      <c r="I23" s="761"/>
      <c r="J23" s="1510">
        <v>0</v>
      </c>
      <c r="K23" s="1511"/>
      <c r="L23" s="4"/>
      <c r="M23" s="5"/>
    </row>
    <row r="24" spans="1:17" ht="12.75" customHeight="1">
      <c r="A24" s="1536" t="s">
        <v>17</v>
      </c>
      <c r="B24" s="1537"/>
      <c r="C24" s="1537"/>
      <c r="D24" s="1537"/>
      <c r="E24" s="1538"/>
      <c r="F24" s="385" t="s">
        <v>167</v>
      </c>
      <c r="G24" s="390" t="s">
        <v>223</v>
      </c>
      <c r="H24" s="350"/>
      <c r="I24" s="349"/>
      <c r="J24" s="1510">
        <v>0</v>
      </c>
      <c r="K24" s="1511"/>
      <c r="L24" s="4"/>
      <c r="M24" s="5"/>
    </row>
    <row r="25" spans="1:17" ht="12.75" customHeight="1">
      <c r="A25" s="394" t="s">
        <v>519</v>
      </c>
      <c r="B25" s="395"/>
      <c r="C25" s="439">
        <f>+Anticipo!H8</f>
        <v>21679567.93</v>
      </c>
      <c r="D25" s="417">
        <f>+C25*100/J16</f>
        <v>20.000000001845056</v>
      </c>
      <c r="E25" s="415" t="s">
        <v>205</v>
      </c>
      <c r="F25" s="385" t="s">
        <v>168</v>
      </c>
      <c r="G25" s="390" t="s">
        <v>224</v>
      </c>
      <c r="H25" s="350"/>
      <c r="I25" s="349"/>
      <c r="J25" s="1510">
        <f>+'Avance Financiero'!K27</f>
        <v>0</v>
      </c>
      <c r="K25" s="1511"/>
      <c r="L25" s="4"/>
    </row>
    <row r="26" spans="1:17" ht="12.75" customHeight="1">
      <c r="A26" s="394" t="s">
        <v>225</v>
      </c>
      <c r="B26" s="395"/>
      <c r="C26" s="439">
        <f>+C28-C27</f>
        <v>304968.83999999997</v>
      </c>
      <c r="D26" s="417">
        <f>+C26*100/J16</f>
        <v>0.28134217528027478</v>
      </c>
      <c r="E26" s="415" t="s">
        <v>205</v>
      </c>
      <c r="F26" s="389" t="s">
        <v>169</v>
      </c>
      <c r="G26" s="390" t="s">
        <v>432</v>
      </c>
      <c r="H26" s="391"/>
      <c r="I26" s="392"/>
      <c r="J26" s="1510">
        <f>+Retencion!H39</f>
        <v>112822.86</v>
      </c>
      <c r="K26" s="1511"/>
      <c r="L26" s="564"/>
    </row>
    <row r="27" spans="1:17" ht="12.75" customHeight="1">
      <c r="A27" s="394" t="s">
        <v>226</v>
      </c>
      <c r="B27" s="396"/>
      <c r="C27" s="418">
        <f>+ROUND(J22*0.2,2)</f>
        <v>17382.2</v>
      </c>
      <c r="D27" s="418">
        <f>+C27*100/J16</f>
        <v>1.6035559433405698E-2</v>
      </c>
      <c r="E27" s="415" t="s">
        <v>205</v>
      </c>
      <c r="F27" s="385" t="s">
        <v>170</v>
      </c>
      <c r="G27" s="393" t="s">
        <v>433</v>
      </c>
      <c r="H27" s="760"/>
      <c r="I27" s="761"/>
      <c r="J27" s="1510">
        <f>J26-J28</f>
        <v>106739.09</v>
      </c>
      <c r="K27" s="1511"/>
      <c r="M27" s="427"/>
    </row>
    <row r="28" spans="1:17" ht="12.75" customHeight="1">
      <c r="A28" s="394" t="s">
        <v>227</v>
      </c>
      <c r="B28" s="407"/>
      <c r="C28" s="418">
        <f>+'Avance Financiero'!I32</f>
        <v>322351.03999999998</v>
      </c>
      <c r="D28" s="418">
        <f>+D26+D27</f>
        <v>0.29737773471368045</v>
      </c>
      <c r="E28" s="415" t="s">
        <v>205</v>
      </c>
      <c r="F28" s="385" t="s">
        <v>171</v>
      </c>
      <c r="G28" s="393" t="s">
        <v>434</v>
      </c>
      <c r="H28" s="350"/>
      <c r="I28" s="349"/>
      <c r="J28" s="1561">
        <f>+Retencion!G39</f>
        <v>6083.7700000000041</v>
      </c>
      <c r="K28" s="1562"/>
      <c r="L28" s="4"/>
      <c r="M28" s="5"/>
      <c r="N28" s="306"/>
    </row>
    <row r="29" spans="1:17" ht="12.75" customHeight="1">
      <c r="A29" s="394" t="s">
        <v>228</v>
      </c>
      <c r="B29" s="407"/>
      <c r="C29" s="419">
        <f>+C25-C28</f>
        <v>21357216.890000001</v>
      </c>
      <c r="D29" s="420">
        <f>+D25-D28</f>
        <v>19.702622267131375</v>
      </c>
      <c r="E29" s="415" t="s">
        <v>205</v>
      </c>
      <c r="F29" s="385" t="s">
        <v>172</v>
      </c>
      <c r="G29" s="393" t="s">
        <v>435</v>
      </c>
      <c r="H29" s="760"/>
      <c r="I29" s="761"/>
      <c r="J29" s="1575">
        <f>+'Avance Financiero'!I32</f>
        <v>322351.03999999998</v>
      </c>
      <c r="K29" s="1576"/>
      <c r="L29" s="4"/>
      <c r="M29" s="5"/>
      <c r="N29" s="565"/>
    </row>
    <row r="30" spans="1:17" ht="12.75" customHeight="1">
      <c r="A30" s="1536" t="s">
        <v>452</v>
      </c>
      <c r="B30" s="1537"/>
      <c r="C30" s="1537"/>
      <c r="D30" s="1537"/>
      <c r="E30" s="1538"/>
      <c r="F30" s="386" t="s">
        <v>173</v>
      </c>
      <c r="G30" s="393" t="s">
        <v>436</v>
      </c>
      <c r="H30" s="760"/>
      <c r="I30" s="761"/>
      <c r="J30" s="1510">
        <f>+J29-J31</f>
        <v>304968.83999999997</v>
      </c>
      <c r="K30" s="1511"/>
      <c r="L30" s="4"/>
      <c r="M30" s="5"/>
    </row>
    <row r="31" spans="1:17" ht="12.75" customHeight="1">
      <c r="A31" s="394" t="s">
        <v>493</v>
      </c>
      <c r="B31" s="395"/>
      <c r="C31" s="439">
        <f>+Retencion!H8</f>
        <v>7587848.7699999996</v>
      </c>
      <c r="D31" s="417">
        <f>+C31*100/J16</f>
        <v>6.9999999955718675</v>
      </c>
      <c r="E31" s="415" t="s">
        <v>205</v>
      </c>
      <c r="F31" s="386" t="s">
        <v>174</v>
      </c>
      <c r="G31" s="390" t="s">
        <v>438</v>
      </c>
      <c r="H31" s="760"/>
      <c r="I31" s="761"/>
      <c r="J31" s="1510">
        <f>+ROUND(J22*0.2,2)</f>
        <v>17382.2</v>
      </c>
      <c r="K31" s="1511"/>
      <c r="L31" s="4"/>
      <c r="M31" s="5"/>
    </row>
    <row r="32" spans="1:17" ht="12.75" customHeight="1">
      <c r="A32" s="394" t="s">
        <v>494</v>
      </c>
      <c r="B32" s="395"/>
      <c r="C32" s="439">
        <f>+C34-C33</f>
        <v>106739.09</v>
      </c>
      <c r="D32" s="417">
        <f>+C32*100/J16</f>
        <v>9.846975765798574E-2</v>
      </c>
      <c r="E32" s="415" t="s">
        <v>205</v>
      </c>
      <c r="F32" s="421" t="s">
        <v>175</v>
      </c>
      <c r="G32" s="422" t="s">
        <v>439</v>
      </c>
      <c r="H32" s="423"/>
      <c r="I32" s="424"/>
      <c r="J32" s="1552">
        <f>+C27</f>
        <v>17382.2</v>
      </c>
      <c r="K32" s="1553"/>
      <c r="N32" s="4"/>
      <c r="O32" s="5"/>
    </row>
    <row r="33" spans="1:15" ht="12.75" customHeight="1">
      <c r="A33" s="394" t="s">
        <v>495</v>
      </c>
      <c r="B33" s="396"/>
      <c r="C33" s="418">
        <f>+J28</f>
        <v>6083.7700000000041</v>
      </c>
      <c r="D33" s="418">
        <f>+C33*100/J16</f>
        <v>5.6124458016919981E-3</v>
      </c>
      <c r="E33" s="415" t="s">
        <v>205</v>
      </c>
      <c r="F33" s="381"/>
      <c r="G33" s="1571"/>
      <c r="H33" s="1571"/>
      <c r="I33" s="1572"/>
      <c r="J33" s="1577"/>
      <c r="K33" s="1578"/>
      <c r="L33" s="614"/>
      <c r="M33" s="1560"/>
      <c r="N33" s="1560"/>
      <c r="O33" s="1560"/>
    </row>
    <row r="34" spans="1:15" ht="12.75" customHeight="1">
      <c r="A34" s="394" t="s">
        <v>496</v>
      </c>
      <c r="B34" s="407"/>
      <c r="C34" s="418">
        <f>+J26</f>
        <v>112822.86</v>
      </c>
      <c r="D34" s="418">
        <f>+C34*100/J16</f>
        <v>0.10408220345967772</v>
      </c>
      <c r="E34" s="415" t="s">
        <v>205</v>
      </c>
      <c r="F34" s="1298"/>
      <c r="G34" s="1573" t="s">
        <v>238</v>
      </c>
      <c r="H34" s="1573"/>
      <c r="I34" s="1574"/>
      <c r="J34" s="1563">
        <f>+J22-J28-J32</f>
        <v>63445.009999999995</v>
      </c>
      <c r="K34" s="1564"/>
      <c r="L34" s="409"/>
      <c r="M34" s="1560"/>
      <c r="N34" s="1560"/>
      <c r="O34" s="1560"/>
    </row>
    <row r="35" spans="1:15" ht="12.75" customHeight="1">
      <c r="A35" s="394" t="s">
        <v>497</v>
      </c>
      <c r="B35" s="407"/>
      <c r="C35" s="419">
        <f>+C31-C34</f>
        <v>7475025.9099999992</v>
      </c>
      <c r="D35" s="420">
        <f>+D31-D34</f>
        <v>6.8959177921121899</v>
      </c>
      <c r="E35" s="415" t="s">
        <v>205</v>
      </c>
      <c r="F35" s="384"/>
      <c r="G35" s="1554" t="s">
        <v>240</v>
      </c>
      <c r="H35" s="1554"/>
      <c r="I35" s="1555"/>
      <c r="J35" s="1569">
        <f>+J16-J20-C25</f>
        <v>85106516.530000001</v>
      </c>
      <c r="K35" s="1570"/>
      <c r="L35" s="409"/>
      <c r="M35" s="1560"/>
      <c r="N35" s="1560"/>
      <c r="O35" s="1560"/>
    </row>
    <row r="36" spans="1:15" ht="12.75" customHeight="1">
      <c r="A36" s="763"/>
      <c r="B36" s="400"/>
      <c r="C36" s="653" t="s">
        <v>229</v>
      </c>
      <c r="D36" s="1385">
        <f>+J21*100/J19</f>
        <v>1.406710876401374</v>
      </c>
      <c r="E36" s="415" t="s">
        <v>205</v>
      </c>
      <c r="F36" s="387"/>
      <c r="G36" s="1530" t="s">
        <v>239</v>
      </c>
      <c r="H36" s="1530"/>
      <c r="I36" s="1531"/>
      <c r="J36" s="1550">
        <f>+J34</f>
        <v>63445.009999999995</v>
      </c>
      <c r="K36" s="1551"/>
      <c r="L36" s="426"/>
      <c r="M36" s="785"/>
      <c r="N36" s="426"/>
    </row>
    <row r="37" spans="1:15" ht="12.75" customHeight="1">
      <c r="A37" s="394" t="s">
        <v>437</v>
      </c>
      <c r="B37" s="407"/>
      <c r="C37" s="397" t="s">
        <v>230</v>
      </c>
      <c r="D37" s="1386">
        <f>+J22*100/J16</f>
        <v>8.0177778716476272E-2</v>
      </c>
      <c r="E37" s="415" t="s">
        <v>205</v>
      </c>
      <c r="F37" s="1548"/>
      <c r="G37" s="1544" t="str">
        <f ca="1">"SON: "&amp;'.'!H1</f>
        <v>SON: SESENTA Y TRES MIL CUATROCIENTOS CUARENTA Y CINCO 01/100 BOLIVIANOS</v>
      </c>
      <c r="H37" s="1544"/>
      <c r="I37" s="1544"/>
      <c r="J37" s="1544"/>
      <c r="K37" s="1545"/>
      <c r="M37" s="785"/>
    </row>
    <row r="38" spans="1:15" ht="12.75" customHeight="1">
      <c r="A38" s="9"/>
      <c r="B38" s="10"/>
      <c r="C38" s="401" t="s">
        <v>179</v>
      </c>
      <c r="D38" s="433">
        <f>+D36+D37</f>
        <v>1.4868886551178504</v>
      </c>
      <c r="E38" s="415" t="s">
        <v>205</v>
      </c>
      <c r="F38" s="1549"/>
      <c r="G38" s="1546"/>
      <c r="H38" s="1546"/>
      <c r="I38" s="1546"/>
      <c r="J38" s="1546"/>
      <c r="K38" s="1547"/>
    </row>
    <row r="39" spans="1:15" ht="12.75" customHeight="1">
      <c r="A39" s="763"/>
      <c r="B39" s="400"/>
      <c r="C39" s="653" t="s">
        <v>229</v>
      </c>
      <c r="D39" s="1385">
        <f>+D41-D40</f>
        <v>21.026898945308169</v>
      </c>
      <c r="E39" s="415" t="s">
        <v>205</v>
      </c>
      <c r="F39" s="399"/>
      <c r="G39" s="405"/>
      <c r="H39" s="405"/>
      <c r="I39" s="399"/>
      <c r="J39" s="405"/>
      <c r="K39" s="406"/>
      <c r="L39" s="14"/>
    </row>
    <row r="40" spans="1:15" ht="12.75" customHeight="1">
      <c r="A40" s="394" t="s">
        <v>231</v>
      </c>
      <c r="B40" s="407"/>
      <c r="C40" s="397" t="s">
        <v>230</v>
      </c>
      <c r="D40" s="1386">
        <f>+J36/J19*100</f>
        <v>5.8529773481378583E-2</v>
      </c>
      <c r="E40" s="415" t="s">
        <v>205</v>
      </c>
      <c r="F40" s="346"/>
      <c r="G40" s="407"/>
      <c r="H40" s="407"/>
      <c r="I40" s="346"/>
      <c r="J40" s="407"/>
      <c r="K40" s="347"/>
    </row>
    <row r="41" spans="1:15" ht="12.75" customHeight="1">
      <c r="A41" s="9"/>
      <c r="B41" s="10"/>
      <c r="C41" s="401" t="s">
        <v>179</v>
      </c>
      <c r="D41" s="433">
        <f>+'Avance Financiero'!R32*100</f>
        <v>21.085428718789547</v>
      </c>
      <c r="E41" s="415" t="s">
        <v>205</v>
      </c>
      <c r="F41" s="6"/>
      <c r="G41" s="7"/>
      <c r="H41" s="7"/>
      <c r="I41" s="6"/>
      <c r="J41" s="7"/>
      <c r="K41" s="8"/>
    </row>
    <row r="42" spans="1:15" ht="12.75" customHeight="1">
      <c r="A42" s="763"/>
      <c r="B42" s="400"/>
      <c r="C42" s="653" t="s">
        <v>229</v>
      </c>
      <c r="D42" s="404">
        <v>0</v>
      </c>
      <c r="E42" s="415" t="s">
        <v>205</v>
      </c>
      <c r="F42" s="6"/>
      <c r="G42" s="7"/>
      <c r="H42" s="7"/>
      <c r="I42" s="6"/>
      <c r="J42" s="7"/>
      <c r="K42" s="8"/>
    </row>
    <row r="43" spans="1:15" ht="12.75" customHeight="1">
      <c r="A43" s="394" t="s">
        <v>232</v>
      </c>
      <c r="B43" s="407"/>
      <c r="C43" s="397" t="s">
        <v>230</v>
      </c>
      <c r="D43" s="398">
        <v>0</v>
      </c>
      <c r="E43" s="415" t="s">
        <v>205</v>
      </c>
      <c r="F43" s="6"/>
      <c r="G43" s="7"/>
      <c r="H43" s="7"/>
      <c r="I43" s="6"/>
      <c r="J43" s="7"/>
      <c r="K43" s="8"/>
    </row>
    <row r="44" spans="1:15" ht="12.75" customHeight="1">
      <c r="A44" s="9"/>
      <c r="B44" s="10"/>
      <c r="C44" s="401" t="s">
        <v>179</v>
      </c>
      <c r="D44" s="348">
        <f>+D42+D43</f>
        <v>0</v>
      </c>
      <c r="E44" s="416" t="s">
        <v>205</v>
      </c>
      <c r="F44" s="346"/>
      <c r="G44" s="407"/>
      <c r="H44" s="407"/>
      <c r="I44" s="346"/>
      <c r="J44" s="407"/>
      <c r="K44" s="347"/>
    </row>
    <row r="45" spans="1:15" ht="12.75" customHeight="1">
      <c r="A45" s="1539" t="s">
        <v>447</v>
      </c>
      <c r="B45" s="1540"/>
      <c r="C45" s="1540"/>
      <c r="D45" s="1540"/>
      <c r="E45" s="1541"/>
      <c r="F45" s="346"/>
      <c r="G45" s="407"/>
      <c r="H45" s="407"/>
      <c r="I45" s="346"/>
      <c r="J45" s="407"/>
      <c r="K45" s="347"/>
    </row>
    <row r="46" spans="1:15" ht="12.75" customHeight="1">
      <c r="A46" s="1475" t="s">
        <v>233</v>
      </c>
      <c r="B46" s="1476"/>
      <c r="C46" s="1481" t="s">
        <v>450</v>
      </c>
      <c r="D46" s="1482"/>
      <c r="E46" s="8"/>
      <c r="F46" s="346"/>
      <c r="G46" s="407"/>
      <c r="H46" s="407"/>
      <c r="I46" s="346"/>
      <c r="J46" s="407"/>
      <c r="K46" s="347"/>
    </row>
    <row r="47" spans="1:15" ht="12.75" customHeight="1">
      <c r="A47" s="1475" t="s">
        <v>234</v>
      </c>
      <c r="B47" s="1476"/>
      <c r="C47" s="1479">
        <v>4298676</v>
      </c>
      <c r="D47" s="1480"/>
      <c r="E47" s="611"/>
      <c r="F47" s="346"/>
      <c r="G47" s="407"/>
      <c r="H47" s="407"/>
      <c r="I47" s="346"/>
      <c r="J47" s="407"/>
      <c r="K47" s="347"/>
    </row>
    <row r="48" spans="1:15" ht="12.75" customHeight="1">
      <c r="A48" s="1475" t="s">
        <v>236</v>
      </c>
      <c r="B48" s="1476"/>
      <c r="C48" s="1481">
        <v>193208025</v>
      </c>
      <c r="D48" s="1482"/>
      <c r="E48" s="611"/>
      <c r="F48" s="346"/>
      <c r="G48" s="407"/>
      <c r="H48" s="407"/>
      <c r="I48" s="346"/>
      <c r="J48" s="407"/>
      <c r="K48" s="347"/>
    </row>
    <row r="49" spans="1:16" ht="12.75" customHeight="1">
      <c r="A49" s="1475" t="s">
        <v>235</v>
      </c>
      <c r="B49" s="1476"/>
      <c r="C49" s="1481" t="s">
        <v>451</v>
      </c>
      <c r="D49" s="1482"/>
      <c r="E49" s="611"/>
      <c r="F49" s="346"/>
      <c r="G49" s="811" t="str">
        <f>+'Planilla de Avance'!F111</f>
        <v>Ing. Gabriel Daza Chavez</v>
      </c>
      <c r="H49" s="1292" t="s">
        <v>676</v>
      </c>
      <c r="I49" s="1558" t="str">
        <f>+'Planilla de Avance'!J111</f>
        <v>Ing. Herlan Rene Ramos Estrada</v>
      </c>
      <c r="J49" s="1474"/>
      <c r="K49" s="1293" t="s">
        <v>676</v>
      </c>
      <c r="L49" s="346"/>
    </row>
    <row r="50" spans="1:16" ht="12.75" customHeight="1">
      <c r="A50" s="1475" t="s">
        <v>237</v>
      </c>
      <c r="B50" s="1476"/>
      <c r="C50" s="1483">
        <v>10000009604451</v>
      </c>
      <c r="D50" s="1484"/>
      <c r="E50" s="611"/>
      <c r="F50" s="12"/>
      <c r="G50" s="812" t="str">
        <f>+'Planilla de Avance'!F112</f>
        <v>SUPERINTENDENTE DE OBRA</v>
      </c>
      <c r="H50" s="628"/>
      <c r="I50" s="1565" t="str">
        <f>+'Planilla de Avance'!J112</f>
        <v>SUPERVISOR DE OBRA</v>
      </c>
      <c r="J50" s="1566"/>
      <c r="K50" s="13"/>
    </row>
    <row r="51" spans="1:16" ht="12.75" customHeight="1">
      <c r="A51" s="412"/>
      <c r="B51" s="411"/>
      <c r="C51" s="411"/>
      <c r="D51" s="411"/>
      <c r="E51" s="411"/>
      <c r="F51" s="378"/>
      <c r="G51" s="763"/>
      <c r="H51" s="764"/>
      <c r="I51" s="764"/>
      <c r="J51" s="764"/>
      <c r="K51" s="378"/>
    </row>
    <row r="52" spans="1:16" ht="12.75" customHeight="1">
      <c r="A52" s="403"/>
      <c r="B52" s="413"/>
      <c r="C52" s="402"/>
      <c r="D52" s="402"/>
      <c r="E52" s="402"/>
      <c r="F52" s="8"/>
      <c r="G52" s="6"/>
      <c r="H52" s="7"/>
      <c r="I52" s="7"/>
      <c r="J52" s="7"/>
      <c r="K52" s="8"/>
    </row>
    <row r="53" spans="1:16" ht="12.75" customHeight="1">
      <c r="A53" s="403"/>
      <c r="B53" s="413"/>
      <c r="C53" s="402"/>
      <c r="D53" s="402"/>
      <c r="E53" s="402"/>
      <c r="F53" s="8"/>
      <c r="G53" s="6"/>
      <c r="H53" s="7"/>
      <c r="I53" s="7"/>
      <c r="J53" s="7"/>
      <c r="K53" s="8"/>
    </row>
    <row r="54" spans="1:16" ht="12.75" customHeight="1">
      <c r="A54" s="394"/>
      <c r="B54" s="407"/>
      <c r="C54" s="407"/>
      <c r="D54" s="407"/>
      <c r="E54" s="407"/>
      <c r="F54" s="8"/>
      <c r="G54" s="346"/>
      <c r="H54" s="7"/>
      <c r="I54" s="7"/>
      <c r="J54" s="7"/>
      <c r="K54" s="8"/>
      <c r="P54" s="1">
        <v>71012.820000000007</v>
      </c>
    </row>
    <row r="55" spans="1:16" ht="12.75" customHeight="1">
      <c r="A55" s="756"/>
      <c r="B55" s="757"/>
      <c r="C55" s="757"/>
      <c r="D55" s="757"/>
      <c r="E55" s="757"/>
      <c r="F55" s="347"/>
      <c r="G55" s="346"/>
      <c r="H55" s="757"/>
      <c r="I55" s="757"/>
      <c r="J55" s="407"/>
      <c r="K55" s="347"/>
      <c r="P55" s="1" t="e">
        <f>+P54+#REF!</f>
        <v>#REF!</v>
      </c>
    </row>
    <row r="56" spans="1:16" ht="12.75" customHeight="1">
      <c r="A56" s="756"/>
      <c r="B56" s="757"/>
      <c r="C56" s="757"/>
      <c r="D56" s="757"/>
      <c r="E56" s="757"/>
      <c r="F56" s="347"/>
      <c r="G56" s="346"/>
      <c r="H56" s="757"/>
      <c r="I56" s="757"/>
      <c r="J56" s="407"/>
      <c r="K56" s="347"/>
    </row>
    <row r="57" spans="1:16" ht="12.75" customHeight="1">
      <c r="A57" s="756"/>
      <c r="B57" s="757"/>
      <c r="C57" s="757"/>
      <c r="D57" s="757"/>
      <c r="E57" s="757"/>
      <c r="F57" s="347"/>
      <c r="G57" s="346"/>
      <c r="H57" s="757"/>
      <c r="I57" s="757"/>
      <c r="J57" s="407"/>
      <c r="K57" s="347"/>
    </row>
    <row r="58" spans="1:16" ht="12.75" customHeight="1">
      <c r="A58" s="1477"/>
      <c r="B58" s="1478"/>
      <c r="C58" s="410"/>
      <c r="D58" s="410"/>
      <c r="E58" s="410"/>
      <c r="F58" s="347"/>
      <c r="G58" s="346"/>
      <c r="H58" s="407"/>
      <c r="I58" s="407"/>
      <c r="J58" s="407"/>
      <c r="K58" s="347"/>
    </row>
    <row r="59" spans="1:16" ht="12.75" customHeight="1">
      <c r="A59" s="346"/>
      <c r="B59" s="1474" t="str">
        <f>+'Planilla de Avance'!Q111</f>
        <v>Ing. Franz Reynaldo Salazar Martinez</v>
      </c>
      <c r="C59" s="1474"/>
      <c r="D59" s="1474" t="s">
        <v>677</v>
      </c>
      <c r="E59" s="1474"/>
      <c r="F59" s="1485"/>
      <c r="G59" s="1276"/>
      <c r="H59" s="1474" t="s">
        <v>643</v>
      </c>
      <c r="I59" s="1474"/>
      <c r="J59" s="1474" t="s">
        <v>678</v>
      </c>
      <c r="K59" s="1485"/>
    </row>
    <row r="60" spans="1:16" ht="12.75" customHeight="1">
      <c r="A60" s="346"/>
      <c r="B60" s="1473" t="str">
        <f>+'Planilla de Avance'!Q112</f>
        <v>FISCAL DE OBRA</v>
      </c>
      <c r="C60" s="1473"/>
      <c r="D60" s="407"/>
      <c r="E60" s="629"/>
      <c r="F60" s="347"/>
      <c r="G60" s="1294"/>
      <c r="H60" s="1473" t="s">
        <v>616</v>
      </c>
      <c r="I60" s="1473"/>
      <c r="J60" s="407"/>
      <c r="K60" s="630"/>
      <c r="P60" s="1">
        <v>139937.01999999999</v>
      </c>
    </row>
    <row r="61" spans="1:16" ht="12.75" customHeight="1">
      <c r="A61" s="9"/>
      <c r="B61" s="1472"/>
      <c r="C61" s="1472"/>
      <c r="D61" s="10"/>
      <c r="E61" s="10"/>
      <c r="F61" s="11"/>
      <c r="G61" s="1295"/>
      <c r="H61" s="10"/>
      <c r="I61" s="1277"/>
      <c r="J61" s="10"/>
      <c r="K61" s="11"/>
      <c r="P61" s="1" t="e">
        <f>+P60-P55</f>
        <v>#REF!</v>
      </c>
    </row>
    <row r="62" spans="1:16">
      <c r="P62" s="1">
        <v>424105.7</v>
      </c>
    </row>
    <row r="63" spans="1:16">
      <c r="A63" s="17"/>
      <c r="B63" s="17"/>
      <c r="C63" s="17"/>
      <c r="D63" s="17"/>
      <c r="E63" s="17"/>
      <c r="P63" s="1">
        <v>1262734.06</v>
      </c>
    </row>
    <row r="64" spans="1:16">
      <c r="P64" s="1" t="e">
        <f>+P61+P62+P63</f>
        <v>#REF!</v>
      </c>
    </row>
    <row r="67" spans="2:5">
      <c r="B67" s="407"/>
      <c r="C67" s="407"/>
      <c r="D67" s="407"/>
      <c r="E67" s="407"/>
    </row>
  </sheetData>
  <mergeCells count="78">
    <mergeCell ref="H60:I60"/>
    <mergeCell ref="H59:I59"/>
    <mergeCell ref="J59:K59"/>
    <mergeCell ref="I50:J50"/>
    <mergeCell ref="J22:K22"/>
    <mergeCell ref="J23:K23"/>
    <mergeCell ref="J35:K35"/>
    <mergeCell ref="J26:K26"/>
    <mergeCell ref="J25:K25"/>
    <mergeCell ref="G33:I33"/>
    <mergeCell ref="G34:I34"/>
    <mergeCell ref="J24:K24"/>
    <mergeCell ref="J29:K29"/>
    <mergeCell ref="J33:K33"/>
    <mergeCell ref="D18:E18"/>
    <mergeCell ref="D22:E22"/>
    <mergeCell ref="L17:M17"/>
    <mergeCell ref="L18:M18"/>
    <mergeCell ref="I49:J49"/>
    <mergeCell ref="M20:Q20"/>
    <mergeCell ref="M33:O35"/>
    <mergeCell ref="J27:K27"/>
    <mergeCell ref="J28:K28"/>
    <mergeCell ref="J30:K30"/>
    <mergeCell ref="J31:K31"/>
    <mergeCell ref="J34:K34"/>
    <mergeCell ref="A46:B46"/>
    <mergeCell ref="G36:I36"/>
    <mergeCell ref="D19:E19"/>
    <mergeCell ref="F19:I19"/>
    <mergeCell ref="C46:D46"/>
    <mergeCell ref="A24:E24"/>
    <mergeCell ref="A45:E45"/>
    <mergeCell ref="D20:E20"/>
    <mergeCell ref="D23:E23"/>
    <mergeCell ref="G37:K38"/>
    <mergeCell ref="F37:F38"/>
    <mergeCell ref="A30:E30"/>
    <mergeCell ref="D21:E21"/>
    <mergeCell ref="J36:K36"/>
    <mergeCell ref="J32:K32"/>
    <mergeCell ref="G35:I35"/>
    <mergeCell ref="C1:I2"/>
    <mergeCell ref="J15:K15"/>
    <mergeCell ref="J21:K21"/>
    <mergeCell ref="J17:K17"/>
    <mergeCell ref="J16:K16"/>
    <mergeCell ref="J18:K18"/>
    <mergeCell ref="J19:K19"/>
    <mergeCell ref="J20:K20"/>
    <mergeCell ref="J6:K6"/>
    <mergeCell ref="C4:I5"/>
    <mergeCell ref="F16:I16"/>
    <mergeCell ref="D17:E17"/>
    <mergeCell ref="F18:I18"/>
    <mergeCell ref="F15:I15"/>
    <mergeCell ref="A17:C17"/>
    <mergeCell ref="A3:B5"/>
    <mergeCell ref="C3:G3"/>
    <mergeCell ref="F17:I17"/>
    <mergeCell ref="A15:C15"/>
    <mergeCell ref="D15:E15"/>
    <mergeCell ref="A16:C16"/>
    <mergeCell ref="D16:E16"/>
    <mergeCell ref="A6:B6"/>
    <mergeCell ref="B61:C61"/>
    <mergeCell ref="B60:C60"/>
    <mergeCell ref="B59:C59"/>
    <mergeCell ref="A47:B47"/>
    <mergeCell ref="A48:B48"/>
    <mergeCell ref="A58:B58"/>
    <mergeCell ref="A50:B50"/>
    <mergeCell ref="A49:B49"/>
    <mergeCell ref="C47:D47"/>
    <mergeCell ref="C48:D48"/>
    <mergeCell ref="C49:D49"/>
    <mergeCell ref="C50:D50"/>
    <mergeCell ref="D59:F59"/>
  </mergeCells>
  <phoneticPr fontId="36" type="noConversion"/>
  <pageMargins left="0.59055118110236227" right="0.39370078740157483" top="0.39370078740157483" bottom="0.19685039370078741" header="0.31496062992125984" footer="0.19685039370078741"/>
  <pageSetup scale="72" orientation="landscape" horizontalDpi="4294967295" verticalDpi="4294967295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6"/>
  <sheetViews>
    <sheetView showGridLines="0" topLeftCell="E1" zoomScale="115" zoomScaleNormal="115" zoomScaleSheetLayoutView="115" workbookViewId="0">
      <pane xSplit="10" ySplit="4" topLeftCell="O11" activePane="bottomRight" state="frozen"/>
      <selection activeCell="E1" sqref="E1"/>
      <selection pane="topRight" activeCell="O1" sqref="O1"/>
      <selection pane="bottomLeft" activeCell="E5" sqref="E5"/>
      <selection pane="bottomRight" activeCell="R93" activeCellId="1" sqref="P93 R93"/>
    </sheetView>
  </sheetViews>
  <sheetFormatPr baseColWidth="10" defaultColWidth="12.6640625" defaultRowHeight="10.199999999999999"/>
  <cols>
    <col min="1" max="4" width="0" style="19" hidden="1" customWidth="1"/>
    <col min="5" max="5" width="3.88671875" style="20" bestFit="1" customWidth="1"/>
    <col min="6" max="6" width="51.33203125" style="19" customWidth="1"/>
    <col min="7" max="7" width="9.44140625" style="20" customWidth="1"/>
    <col min="8" max="8" width="10.33203125" style="20" customWidth="1"/>
    <col min="9" max="9" width="10.33203125" style="19" customWidth="1"/>
    <col min="10" max="10" width="12.6640625" style="19"/>
    <col min="11" max="11" width="11" style="19" customWidth="1"/>
    <col min="12" max="12" width="12.6640625" style="19"/>
    <col min="13" max="13" width="11.44140625" style="19" customWidth="1"/>
    <col min="14" max="14" width="12.6640625" style="19"/>
    <col min="15" max="15" width="12" style="19" customWidth="1"/>
    <col min="16" max="16" width="12.6640625" style="19"/>
    <col min="17" max="17" width="11" style="19" customWidth="1"/>
    <col min="18" max="18" width="12.6640625" style="19"/>
    <col min="19" max="21" width="6.6640625" style="19" customWidth="1"/>
    <col min="22" max="22" width="8.6640625" style="19" customWidth="1"/>
    <col min="23" max="23" width="13.5546875" style="19" bestFit="1" customWidth="1"/>
    <col min="24" max="24" width="8.6640625" style="19" customWidth="1"/>
    <col min="25" max="25" width="9.88671875" style="19" bestFit="1" customWidth="1"/>
    <col min="26" max="26" width="12.6640625" style="19"/>
    <col min="27" max="27" width="8.6640625" style="19" customWidth="1"/>
    <col min="28" max="28" width="9.88671875" style="19" bestFit="1" customWidth="1"/>
    <col min="29" max="29" width="12.6640625" style="19"/>
    <col min="30" max="31" width="8.6640625" style="19" customWidth="1"/>
    <col min="32" max="32" width="12.6640625" style="19"/>
    <col min="33" max="34" width="8.6640625" style="19" customWidth="1"/>
    <col min="35" max="35" width="13.5546875" style="19" bestFit="1" customWidth="1"/>
    <col min="36" max="37" width="8.6640625" style="19" customWidth="1"/>
    <col min="38" max="38" width="12.6640625" style="19"/>
    <col min="39" max="40" width="8.6640625" style="19" customWidth="1"/>
    <col min="41" max="41" width="12.6640625" style="19"/>
    <col min="42" max="43" width="8.6640625" style="19" customWidth="1"/>
    <col min="44" max="44" width="12.6640625" style="19"/>
    <col min="45" max="46" width="8.6640625" style="19" customWidth="1"/>
    <col min="47" max="47" width="12.6640625" style="19"/>
    <col min="48" max="49" width="8.6640625" style="19" customWidth="1"/>
    <col min="50" max="50" width="12.6640625" style="19"/>
    <col min="51" max="52" width="8.6640625" style="19" customWidth="1"/>
    <col min="53" max="53" width="12.6640625" style="19"/>
    <col min="54" max="54" width="8.6640625" style="19" customWidth="1"/>
    <col min="55" max="16384" width="12.6640625" style="19"/>
  </cols>
  <sheetData>
    <row r="1" spans="1:54">
      <c r="J1" s="940">
        <f>+J93</f>
        <v>108397839.64</v>
      </c>
      <c r="L1" s="940">
        <f>+L93</f>
        <v>1524844.2</v>
      </c>
      <c r="N1" s="940">
        <f>+N93</f>
        <v>86910.98</v>
      </c>
      <c r="P1" s="940">
        <f>+P93</f>
        <v>1611755.18</v>
      </c>
      <c r="R1" s="940">
        <f>+R93</f>
        <v>106786084.46000001</v>
      </c>
      <c r="V1" s="19">
        <v>5</v>
      </c>
    </row>
    <row r="2" spans="1:54" ht="12" customHeight="1" thickBot="1">
      <c r="E2" s="654"/>
      <c r="F2" s="824"/>
      <c r="G2" s="825"/>
      <c r="H2" s="655"/>
      <c r="I2" s="655"/>
      <c r="J2" s="655"/>
      <c r="K2" s="655"/>
      <c r="L2" s="655"/>
      <c r="M2" s="655"/>
      <c r="N2" s="655"/>
      <c r="O2" s="655"/>
      <c r="P2" s="655"/>
      <c r="Q2" s="656"/>
      <c r="R2" s="656"/>
      <c r="S2" s="656"/>
      <c r="T2" s="656"/>
      <c r="U2" s="657"/>
    </row>
    <row r="3" spans="1:54" s="77" customFormat="1" ht="15" customHeight="1">
      <c r="E3" s="1586" t="s">
        <v>2</v>
      </c>
      <c r="F3" s="1587" t="s">
        <v>612</v>
      </c>
      <c r="G3" s="1588" t="s">
        <v>4</v>
      </c>
      <c r="H3" s="1588"/>
      <c r="I3" s="1588"/>
      <c r="J3" s="1588"/>
      <c r="K3" s="1580" t="s">
        <v>400</v>
      </c>
      <c r="L3" s="1580"/>
      <c r="M3" s="1580" t="s">
        <v>401</v>
      </c>
      <c r="N3" s="1580"/>
      <c r="O3" s="1580" t="s">
        <v>402</v>
      </c>
      <c r="P3" s="1580"/>
      <c r="Q3" s="1580" t="s">
        <v>403</v>
      </c>
      <c r="R3" s="1580"/>
      <c r="S3" s="1581" t="s">
        <v>187</v>
      </c>
      <c r="T3" s="1581"/>
      <c r="U3" s="1582"/>
      <c r="V3" s="1244">
        <v>1</v>
      </c>
      <c r="W3" s="1245"/>
      <c r="X3" s="1246"/>
      <c r="Y3" s="1239">
        <v>2</v>
      </c>
      <c r="Z3" s="1240"/>
      <c r="AA3" s="1241"/>
      <c r="AB3" s="1239">
        <v>3</v>
      </c>
      <c r="AC3" s="1240"/>
      <c r="AD3" s="1241"/>
      <c r="AE3" s="1239">
        <v>4</v>
      </c>
      <c r="AF3" s="1240"/>
      <c r="AG3" s="1241"/>
      <c r="AH3" s="1239">
        <v>5</v>
      </c>
      <c r="AI3" s="1240"/>
      <c r="AJ3" s="1241"/>
      <c r="AK3" s="1239"/>
      <c r="AL3" s="1240">
        <v>6</v>
      </c>
      <c r="AM3" s="1241"/>
      <c r="AN3" s="1239"/>
      <c r="AO3" s="1240">
        <v>7</v>
      </c>
      <c r="AP3" s="1241"/>
      <c r="AQ3" s="1239"/>
      <c r="AR3" s="1240">
        <v>8</v>
      </c>
      <c r="AS3" s="1241"/>
      <c r="AT3" s="1239"/>
      <c r="AU3" s="1240">
        <v>9</v>
      </c>
      <c r="AV3" s="1241"/>
      <c r="AW3" s="1239"/>
      <c r="AX3" s="1240">
        <v>10</v>
      </c>
      <c r="AY3" s="1241"/>
      <c r="AZ3" s="1239"/>
      <c r="BA3" s="1240">
        <v>11</v>
      </c>
      <c r="BB3" s="1241"/>
    </row>
    <row r="4" spans="1:54" s="77" customFormat="1" ht="21.9" customHeight="1">
      <c r="E4" s="1586"/>
      <c r="F4" s="1587"/>
      <c r="G4" s="1227" t="s">
        <v>398</v>
      </c>
      <c r="H4" s="1226" t="s">
        <v>383</v>
      </c>
      <c r="I4" s="1226" t="s">
        <v>399</v>
      </c>
      <c r="J4" s="1226" t="s">
        <v>191</v>
      </c>
      <c r="K4" s="1225" t="s">
        <v>383</v>
      </c>
      <c r="L4" s="1224" t="s">
        <v>191</v>
      </c>
      <c r="M4" s="1225" t="s">
        <v>383</v>
      </c>
      <c r="N4" s="1225" t="s">
        <v>191</v>
      </c>
      <c r="O4" s="1225" t="s">
        <v>383</v>
      </c>
      <c r="P4" s="1224" t="s">
        <v>191</v>
      </c>
      <c r="Q4" s="1225" t="s">
        <v>383</v>
      </c>
      <c r="R4" s="1224" t="s">
        <v>191</v>
      </c>
      <c r="S4" s="1224" t="s">
        <v>404</v>
      </c>
      <c r="T4" s="1224" t="s">
        <v>275</v>
      </c>
      <c r="U4" s="1233" t="s">
        <v>655</v>
      </c>
      <c r="V4" s="1242">
        <v>44075</v>
      </c>
      <c r="W4" s="1257">
        <f>SUM(W5:W103)/2</f>
        <v>230570.19</v>
      </c>
      <c r="X4" s="1247">
        <f>+W4/$J$93</f>
        <v>2.127073664620499E-3</v>
      </c>
      <c r="Y4" s="1242">
        <v>44105</v>
      </c>
      <c r="Z4" s="1257">
        <f>SUM(Z5:Z103)/2</f>
        <v>515942.19999999995</v>
      </c>
      <c r="AA4" s="1247">
        <f>+Z4/$J$93</f>
        <v>4.7597092498660055E-3</v>
      </c>
      <c r="AB4" s="1242">
        <v>44136</v>
      </c>
      <c r="AC4" s="1257">
        <f>SUM(AC5:AC103)/2</f>
        <v>778326.78</v>
      </c>
      <c r="AD4" s="1243">
        <f>+AC4/$J$93</f>
        <v>7.1802794463884205E-3</v>
      </c>
      <c r="AE4" s="1261" t="s">
        <v>670</v>
      </c>
      <c r="AF4" s="1257">
        <f>SUM(AF5:AF103)/2</f>
        <v>86910.98</v>
      </c>
      <c r="AG4" s="1243">
        <f>+AF4/$J$93</f>
        <v>8.0177778716476267E-4</v>
      </c>
      <c r="AH4" s="1242">
        <v>44256</v>
      </c>
      <c r="AI4" s="1257">
        <f>SUM(AI5:AI103)/2</f>
        <v>0</v>
      </c>
      <c r="AJ4" s="1243">
        <f>+AI4/$J$93</f>
        <v>0</v>
      </c>
      <c r="AK4" s="1242">
        <v>44287</v>
      </c>
      <c r="AL4" s="1257">
        <f>SUM(AL5:AL103)/2</f>
        <v>0</v>
      </c>
      <c r="AM4" s="1243">
        <f>+AL4/$J$93</f>
        <v>0</v>
      </c>
      <c r="AN4" s="1242">
        <v>44317</v>
      </c>
      <c r="AO4" s="1257">
        <f>SUM(AO5:AO103)/2</f>
        <v>0</v>
      </c>
      <c r="AP4" s="1243">
        <f>+AO4/$J$93</f>
        <v>0</v>
      </c>
      <c r="AQ4" s="1242">
        <v>44348</v>
      </c>
      <c r="AR4" s="1257">
        <f>SUM(AR5:AR103)/2</f>
        <v>0</v>
      </c>
      <c r="AS4" s="1243">
        <f>+AR4/$J$93</f>
        <v>0</v>
      </c>
      <c r="AT4" s="1242">
        <v>44378</v>
      </c>
      <c r="AU4" s="1257">
        <f>SUM(AU5:AU103)/2</f>
        <v>0</v>
      </c>
      <c r="AV4" s="1243">
        <f>+AU4/$J$93</f>
        <v>0</v>
      </c>
      <c r="AW4" s="1242">
        <v>44409</v>
      </c>
      <c r="AX4" s="1257">
        <f>SUM(AX5:AX103)/2</f>
        <v>0</v>
      </c>
      <c r="AY4" s="1243">
        <f>+AX4/$J$93</f>
        <v>0</v>
      </c>
      <c r="AZ4" s="1242">
        <v>44440</v>
      </c>
      <c r="BA4" s="1257">
        <f>SUM(BA5:BA103)/2</f>
        <v>0</v>
      </c>
      <c r="BB4" s="1243">
        <f>+BA4/$J$93</f>
        <v>0</v>
      </c>
    </row>
    <row r="5" spans="1:54" ht="13.5" customHeight="1">
      <c r="A5" s="931"/>
      <c r="B5" s="932"/>
      <c r="C5" s="932">
        <v>0</v>
      </c>
      <c r="D5" s="933"/>
      <c r="E5" s="979" t="s">
        <v>614</v>
      </c>
      <c r="F5" s="945" t="s">
        <v>289</v>
      </c>
      <c r="G5" s="993"/>
      <c r="H5" s="994"/>
      <c r="I5" s="995"/>
      <c r="J5" s="996">
        <f>SUM(J6)</f>
        <v>512540.75</v>
      </c>
      <c r="K5" s="997"/>
      <c r="L5" s="996">
        <f>SUM(L6)</f>
        <v>188466.34</v>
      </c>
      <c r="M5" s="998"/>
      <c r="N5" s="996">
        <f>SUM(N6)</f>
        <v>86910.98</v>
      </c>
      <c r="O5" s="997"/>
      <c r="P5" s="996">
        <f>SUM(P6)</f>
        <v>275377.32</v>
      </c>
      <c r="Q5" s="998"/>
      <c r="R5" s="996">
        <f>SUM(R6)</f>
        <v>237163.43</v>
      </c>
      <c r="S5" s="1020">
        <f>(N5/J5)</f>
        <v>0.16956891720316872</v>
      </c>
      <c r="T5" s="1123">
        <f>(P5/J5)</f>
        <v>0.53727887977687627</v>
      </c>
      <c r="U5" s="1235">
        <f>(R5/J5)</f>
        <v>0.46272112022312373</v>
      </c>
      <c r="V5" s="1248"/>
      <c r="W5" s="1249">
        <f>SUM(W6)</f>
        <v>52407.81</v>
      </c>
      <c r="X5" s="1250">
        <f t="shared" ref="X5:X31" si="0">+W5/$J5</f>
        <v>0.10225101126105582</v>
      </c>
      <c r="Y5" s="1248"/>
      <c r="Z5" s="1249">
        <f>SUM(Z6)</f>
        <v>54421.4</v>
      </c>
      <c r="AA5" s="1250">
        <f t="shared" ref="AA5:AA31" si="1">+Z5/$J5</f>
        <v>0.10617965498353057</v>
      </c>
      <c r="AB5" s="1248"/>
      <c r="AC5" s="1249">
        <f>SUM(AC6)</f>
        <v>81632.100000000006</v>
      </c>
      <c r="AD5" s="1250">
        <f t="shared" ref="AD5:AD31" si="2">+AC5/$J5</f>
        <v>0.15926948247529588</v>
      </c>
      <c r="AE5" s="1248"/>
      <c r="AF5" s="1249">
        <f>SUM(AF6)</f>
        <v>86910.98</v>
      </c>
      <c r="AG5" s="1250">
        <f t="shared" ref="AG5:AG31" si="3">+AF5/$J5</f>
        <v>0.16956891720316872</v>
      </c>
      <c r="AH5" s="1248"/>
      <c r="AI5" s="1249">
        <f>SUM(AI6)</f>
        <v>0</v>
      </c>
      <c r="AJ5" s="1250">
        <f t="shared" ref="AJ5:AJ31" si="4">+AI5/$J5</f>
        <v>0</v>
      </c>
      <c r="AK5" s="1248"/>
      <c r="AL5" s="1249">
        <f>SUM(AL6)</f>
        <v>0</v>
      </c>
      <c r="AM5" s="1250">
        <f t="shared" ref="AM5:AM31" si="5">+AL5/$J5</f>
        <v>0</v>
      </c>
      <c r="AN5" s="1248"/>
      <c r="AO5" s="1249">
        <f>SUM(AO6)</f>
        <v>0</v>
      </c>
      <c r="AP5" s="1250">
        <f t="shared" ref="AP5:AP31" si="6">+AO5/$J5</f>
        <v>0</v>
      </c>
      <c r="AQ5" s="1248"/>
      <c r="AR5" s="1249">
        <f>SUM(AR6)</f>
        <v>0</v>
      </c>
      <c r="AS5" s="1250">
        <f t="shared" ref="AS5:AS31" si="7">+AR5/$J5</f>
        <v>0</v>
      </c>
      <c r="AT5" s="1248"/>
      <c r="AU5" s="1249">
        <f>SUM(AU6)</f>
        <v>0</v>
      </c>
      <c r="AV5" s="1250">
        <f t="shared" ref="AV5:AV31" si="8">+AU5/$J5</f>
        <v>0</v>
      </c>
      <c r="AW5" s="1248"/>
      <c r="AX5" s="1249">
        <f>SUM(AX6)</f>
        <v>0</v>
      </c>
      <c r="AY5" s="1250">
        <f t="shared" ref="AY5:AY31" si="9">+AX5/$J5</f>
        <v>0</v>
      </c>
      <c r="AZ5" s="1248"/>
      <c r="BA5" s="1249">
        <f>SUM(BA6)</f>
        <v>0</v>
      </c>
      <c r="BB5" s="1250">
        <f t="shared" ref="BB5:BB31" si="10">+BA5/$J5</f>
        <v>0</v>
      </c>
    </row>
    <row r="6" spans="1:54" ht="13.5" customHeight="1">
      <c r="A6" s="931">
        <f>+IF(B6&gt;0,B6+C5,IF(C6&gt;C5,C6,0))</f>
        <v>1</v>
      </c>
      <c r="B6" s="932">
        <f>+IF(M6&gt;=0.01,1,0)</f>
        <v>1</v>
      </c>
      <c r="C6" s="934">
        <f>+B6+C5</f>
        <v>1</v>
      </c>
      <c r="D6" s="935" t="str">
        <f>+E5&amp;". "&amp;F5</f>
        <v>1. MOVIMIENTO DE TIERRAS</v>
      </c>
      <c r="E6" s="980">
        <v>1</v>
      </c>
      <c r="F6" s="807" t="s">
        <v>528</v>
      </c>
      <c r="G6" s="804" t="s">
        <v>456</v>
      </c>
      <c r="H6" s="63">
        <v>94.18</v>
      </c>
      <c r="I6" s="801">
        <v>5442.14</v>
      </c>
      <c r="J6" s="66">
        <f>ROUND(H6*I6,2)</f>
        <v>512540.75</v>
      </c>
      <c r="K6" s="61">
        <f>SUMIF($V$3:$CH$3,"&lt;"&amp;Datos!$C$19,V6:CH6)</f>
        <v>34.630000000000003</v>
      </c>
      <c r="L6" s="73">
        <f>+ROUND(I6*K6,2)+5.03</f>
        <v>188466.34</v>
      </c>
      <c r="M6" s="72">
        <f>LOOKUP(Datos!$C$19,'Cant. Ejec,'!$V$3:$BB$3,'Cant. Ejec,'!$V6:$BB6)</f>
        <v>15.97</v>
      </c>
      <c r="N6" s="73">
        <f>+ROUND(I6*M6,2)</f>
        <v>86910.98</v>
      </c>
      <c r="O6" s="61">
        <f>+V6+Y6+AB6+AE6+AH6+AK6+AN6+AQ6+AT6+AW6+AZ6</f>
        <v>50.6</v>
      </c>
      <c r="P6" s="1286">
        <f>L6+N6</f>
        <v>275377.32</v>
      </c>
      <c r="Q6" s="61">
        <f>H6-O6</f>
        <v>43.580000000000005</v>
      </c>
      <c r="R6" s="73">
        <f>+J6-P6</f>
        <v>237163.43</v>
      </c>
      <c r="S6" s="978">
        <f>(N6/J6)</f>
        <v>0.16956891720316872</v>
      </c>
      <c r="T6" s="1122">
        <f>(P6/J6)</f>
        <v>0.53727887977687627</v>
      </c>
      <c r="U6" s="1234">
        <f>(R6/J6)</f>
        <v>0.46272112022312373</v>
      </c>
      <c r="V6" s="1251">
        <v>9.6300000000000008</v>
      </c>
      <c r="W6" s="1252">
        <f>ROUND(V6*$I6,2)</f>
        <v>52407.81</v>
      </c>
      <c r="X6" s="1253">
        <f t="shared" si="0"/>
        <v>0.10225101126105582</v>
      </c>
      <c r="Y6" s="1251">
        <v>10</v>
      </c>
      <c r="Z6" s="1252">
        <f>ROUND(Y6*$I6,2)</f>
        <v>54421.4</v>
      </c>
      <c r="AA6" s="1253">
        <f t="shared" si="1"/>
        <v>0.10617965498353057</v>
      </c>
      <c r="AB6" s="1251">
        <v>15</v>
      </c>
      <c r="AC6" s="1252">
        <f>ROUND(AB6*$I6,2)</f>
        <v>81632.100000000006</v>
      </c>
      <c r="AD6" s="1253">
        <f t="shared" si="2"/>
        <v>0.15926948247529588</v>
      </c>
      <c r="AE6" s="1251">
        <v>15.97</v>
      </c>
      <c r="AF6" s="1252">
        <f>ROUND(AE6*$I6,2)</f>
        <v>86910.98</v>
      </c>
      <c r="AG6" s="1253">
        <f t="shared" si="3"/>
        <v>0.16956891720316872</v>
      </c>
      <c r="AH6" s="1251"/>
      <c r="AI6" s="1252">
        <f>ROUND(AH6*$I6,2)</f>
        <v>0</v>
      </c>
      <c r="AJ6" s="1253">
        <f t="shared" si="4"/>
        <v>0</v>
      </c>
      <c r="AK6" s="1251"/>
      <c r="AL6" s="1252">
        <f>ROUND(AK6*$I6,2)</f>
        <v>0</v>
      </c>
      <c r="AM6" s="1253">
        <f t="shared" si="5"/>
        <v>0</v>
      </c>
      <c r="AN6" s="1251"/>
      <c r="AO6" s="1252">
        <f>ROUND(AN6*$I6,2)</f>
        <v>0</v>
      </c>
      <c r="AP6" s="1253">
        <f t="shared" si="6"/>
        <v>0</v>
      </c>
      <c r="AQ6" s="1251"/>
      <c r="AR6" s="1252">
        <f>ROUND(AQ6*$I6,2)</f>
        <v>0</v>
      </c>
      <c r="AS6" s="1253">
        <f t="shared" si="7"/>
        <v>0</v>
      </c>
      <c r="AT6" s="1251"/>
      <c r="AU6" s="1252">
        <f>ROUND(AT6*$I6,2)</f>
        <v>0</v>
      </c>
      <c r="AV6" s="1253">
        <f t="shared" si="8"/>
        <v>0</v>
      </c>
      <c r="AW6" s="1251"/>
      <c r="AX6" s="1252">
        <f>ROUND(AW6*$I6,2)</f>
        <v>0</v>
      </c>
      <c r="AY6" s="1253">
        <f t="shared" si="9"/>
        <v>0</v>
      </c>
      <c r="AZ6" s="1251"/>
      <c r="BA6" s="1252">
        <f>ROUND(AZ6*$I6,2)</f>
        <v>0</v>
      </c>
      <c r="BB6" s="1253">
        <f t="shared" si="10"/>
        <v>0</v>
      </c>
    </row>
    <row r="7" spans="1:54" ht="13.5" customHeight="1">
      <c r="A7" s="931" t="e">
        <f>+IF(B7&gt;0,B7+#REF!,IF(C7&gt;#REF!,C7,0))</f>
        <v>#REF!</v>
      </c>
      <c r="B7" s="932" t="e">
        <f>+IF(#REF!&gt;=0.01,1,0)</f>
        <v>#REF!</v>
      </c>
      <c r="C7" s="934" t="e">
        <f>+B7+#REF!</f>
        <v>#REF!</v>
      </c>
      <c r="D7" s="935"/>
      <c r="E7" s="979" t="s">
        <v>615</v>
      </c>
      <c r="F7" s="945" t="s">
        <v>540</v>
      </c>
      <c r="G7" s="993"/>
      <c r="H7" s="994"/>
      <c r="I7" s="995"/>
      <c r="J7" s="996">
        <f>SUM(J8:J17)</f>
        <v>57368959.560000002</v>
      </c>
      <c r="K7" s="997"/>
      <c r="L7" s="996">
        <f>SUM(L8:L17)</f>
        <v>1295621.6499999999</v>
      </c>
      <c r="M7" s="998"/>
      <c r="N7" s="996">
        <f>SUM(N8:N17)</f>
        <v>0</v>
      </c>
      <c r="O7" s="997"/>
      <c r="P7" s="996">
        <f>SUM(P8:P17)</f>
        <v>1295621.6499999999</v>
      </c>
      <c r="Q7" s="998"/>
      <c r="R7" s="996">
        <f>SUM(R8:R17)</f>
        <v>56073337.910000004</v>
      </c>
      <c r="S7" s="1020">
        <f>(N7/J7)</f>
        <v>0</v>
      </c>
      <c r="T7" s="1123">
        <f>(P7/J7)</f>
        <v>2.2584018604084301E-2</v>
      </c>
      <c r="U7" s="1235">
        <f>(R7/J7)</f>
        <v>0.97741598139591568</v>
      </c>
      <c r="V7" s="1248"/>
      <c r="W7" s="1249">
        <f>SUM(W8:W17)</f>
        <v>178162.38</v>
      </c>
      <c r="X7" s="1250">
        <f t="shared" si="0"/>
        <v>3.1055536193517119E-3</v>
      </c>
      <c r="Y7" s="1248"/>
      <c r="Z7" s="1249">
        <f>SUM(Z8:Z17)</f>
        <v>420764.59</v>
      </c>
      <c r="AA7" s="1250">
        <f t="shared" si="1"/>
        <v>7.3343597866706717E-3</v>
      </c>
      <c r="AB7" s="1248"/>
      <c r="AC7" s="1249">
        <f>SUM(AC8:AC17)</f>
        <v>696694.68</v>
      </c>
      <c r="AD7" s="1250">
        <f t="shared" si="2"/>
        <v>1.214410519806192E-2</v>
      </c>
      <c r="AE7" s="1248"/>
      <c r="AF7" s="1249">
        <f>SUM(AF8:AF17)</f>
        <v>0</v>
      </c>
      <c r="AG7" s="1250">
        <f t="shared" si="3"/>
        <v>0</v>
      </c>
      <c r="AH7" s="1248"/>
      <c r="AI7" s="1249">
        <f>SUM(AI8:AI17)</f>
        <v>0</v>
      </c>
      <c r="AJ7" s="1250">
        <f t="shared" si="4"/>
        <v>0</v>
      </c>
      <c r="AK7" s="1248"/>
      <c r="AL7" s="1249">
        <f>SUM(AL8:AL17)</f>
        <v>0</v>
      </c>
      <c r="AM7" s="1250">
        <f t="shared" si="5"/>
        <v>0</v>
      </c>
      <c r="AN7" s="1248"/>
      <c r="AO7" s="1249">
        <f>SUM(AO8:AO17)</f>
        <v>0</v>
      </c>
      <c r="AP7" s="1250">
        <f t="shared" si="6"/>
        <v>0</v>
      </c>
      <c r="AQ7" s="1248"/>
      <c r="AR7" s="1249">
        <f>SUM(AR8:AR17)</f>
        <v>0</v>
      </c>
      <c r="AS7" s="1250">
        <f t="shared" si="7"/>
        <v>0</v>
      </c>
      <c r="AT7" s="1248"/>
      <c r="AU7" s="1249">
        <f>SUM(AU8:AU17)</f>
        <v>0</v>
      </c>
      <c r="AV7" s="1250">
        <f t="shared" si="8"/>
        <v>0</v>
      </c>
      <c r="AW7" s="1248"/>
      <c r="AX7" s="1249">
        <f>SUM(AX8:AX17)</f>
        <v>0</v>
      </c>
      <c r="AY7" s="1250">
        <f t="shared" si="9"/>
        <v>0</v>
      </c>
      <c r="AZ7" s="1248"/>
      <c r="BA7" s="1249">
        <f>SUM(BA8:BA17)</f>
        <v>0</v>
      </c>
      <c r="BB7" s="1250">
        <f t="shared" si="10"/>
        <v>0</v>
      </c>
    </row>
    <row r="8" spans="1:54" ht="13.5" customHeight="1">
      <c r="A8" s="931" t="e">
        <f t="shared" ref="A8:A65" si="11">+IF(B8&gt;0,B8+C7,IF(C8&gt;C7,C8,0))</f>
        <v>#REF!</v>
      </c>
      <c r="B8" s="932">
        <f t="shared" ref="B8:B65" si="12">+IF(M8&gt;=0.01,1,0)</f>
        <v>0</v>
      </c>
      <c r="C8" s="934" t="e">
        <f t="shared" ref="C8:C65" si="13">+B8+C7</f>
        <v>#REF!</v>
      </c>
      <c r="D8" s="935" t="str">
        <f>+E7&amp;". "&amp;F7</f>
        <v>2. PAVIMENTACION</v>
      </c>
      <c r="E8" s="980">
        <v>2</v>
      </c>
      <c r="F8" s="807" t="s">
        <v>529</v>
      </c>
      <c r="G8" s="968" t="s">
        <v>291</v>
      </c>
      <c r="H8" s="969">
        <v>266002</v>
      </c>
      <c r="I8" s="970">
        <v>1.46</v>
      </c>
      <c r="J8" s="66">
        <f t="shared" ref="J8:J17" si="14">ROUND(H8*I8,2)</f>
        <v>388362.92</v>
      </c>
      <c r="K8" s="61">
        <f>SUMIF($V$3:$CH$3,"&lt;"&amp;Datos!$C$19,V8:CH8)</f>
        <v>0</v>
      </c>
      <c r="L8" s="71">
        <f t="shared" ref="L8:L17" si="15">+ROUND(I8*K8,2)</f>
        <v>0</v>
      </c>
      <c r="M8" s="72">
        <f>LOOKUP(Datos!$C$19,'Cant. Ejec,'!$V$3:$BB$3,'Cant. Ejec,'!$V8:$BB8)</f>
        <v>0</v>
      </c>
      <c r="N8" s="73">
        <f t="shared" ref="N8:N17" si="16">+ROUND(I8*M8,2)</f>
        <v>0</v>
      </c>
      <c r="O8" s="61">
        <f t="shared" ref="O8:O17" si="17">K8+M8</f>
        <v>0</v>
      </c>
      <c r="P8" s="73">
        <f t="shared" ref="P8:P17" si="18">L8+N8</f>
        <v>0</v>
      </c>
      <c r="Q8" s="61">
        <f t="shared" ref="Q8:Q17" si="19">H8-O8</f>
        <v>266002</v>
      </c>
      <c r="R8" s="73">
        <f t="shared" ref="R8:R17" si="20">+J8-P8</f>
        <v>388362.92</v>
      </c>
      <c r="S8" s="827">
        <f>(N8/J8)</f>
        <v>0</v>
      </c>
      <c r="T8" s="827">
        <f t="shared" ref="T8:T17" si="21">(P8/J8)</f>
        <v>0</v>
      </c>
      <c r="U8" s="1236">
        <f t="shared" ref="U8:U17" si="22">(R8/J8)</f>
        <v>1</v>
      </c>
      <c r="V8" s="1254"/>
      <c r="W8" s="1255">
        <f t="shared" ref="W8:W17" si="23">ROUND(V8*$I8,2)</f>
        <v>0</v>
      </c>
      <c r="X8" s="1256">
        <f t="shared" si="0"/>
        <v>0</v>
      </c>
      <c r="Y8" s="1254"/>
      <c r="Z8" s="1255">
        <f t="shared" ref="Z8:Z17" si="24">ROUND(Y8*$I8,2)</f>
        <v>0</v>
      </c>
      <c r="AA8" s="1256">
        <f t="shared" si="1"/>
        <v>0</v>
      </c>
      <c r="AB8" s="1254"/>
      <c r="AC8" s="1255">
        <f t="shared" ref="AC8:AC17" si="25">ROUND(AB8*$I8,2)</f>
        <v>0</v>
      </c>
      <c r="AD8" s="1256">
        <f t="shared" si="2"/>
        <v>0</v>
      </c>
      <c r="AE8" s="1254"/>
      <c r="AF8" s="1255">
        <f t="shared" ref="AF8:AF17" si="26">ROUND(AE8*$I8,2)</f>
        <v>0</v>
      </c>
      <c r="AG8" s="1256">
        <f t="shared" si="3"/>
        <v>0</v>
      </c>
      <c r="AH8" s="1254"/>
      <c r="AI8" s="1255">
        <f t="shared" ref="AI8:AI17" si="27">ROUND(AH8*$I8,2)</f>
        <v>0</v>
      </c>
      <c r="AJ8" s="1256">
        <f t="shared" si="4"/>
        <v>0</v>
      </c>
      <c r="AK8" s="1254"/>
      <c r="AL8" s="1255">
        <f t="shared" ref="AL8:AL17" si="28">ROUND(AK8*$I8,2)</f>
        <v>0</v>
      </c>
      <c r="AM8" s="1256">
        <f t="shared" si="5"/>
        <v>0</v>
      </c>
      <c r="AN8" s="1254"/>
      <c r="AO8" s="1255">
        <f t="shared" ref="AO8:AO17" si="29">ROUND(AN8*$I8,2)</f>
        <v>0</v>
      </c>
      <c r="AP8" s="1256">
        <f t="shared" si="6"/>
        <v>0</v>
      </c>
      <c r="AQ8" s="1254"/>
      <c r="AR8" s="1255">
        <f t="shared" ref="AR8:AR17" si="30">ROUND(AQ8*$I8,2)</f>
        <v>0</v>
      </c>
      <c r="AS8" s="1256">
        <f t="shared" si="7"/>
        <v>0</v>
      </c>
      <c r="AT8" s="1254"/>
      <c r="AU8" s="1255">
        <f t="shared" ref="AU8:AU17" si="31">ROUND(AT8*$I8,2)</f>
        <v>0</v>
      </c>
      <c r="AV8" s="1256">
        <f t="shared" si="8"/>
        <v>0</v>
      </c>
      <c r="AW8" s="1254"/>
      <c r="AX8" s="1255">
        <f t="shared" ref="AX8:AX17" si="32">ROUND(AW8*$I8,2)</f>
        <v>0</v>
      </c>
      <c r="AY8" s="1256">
        <f t="shared" si="9"/>
        <v>0</v>
      </c>
      <c r="AZ8" s="1254"/>
      <c r="BA8" s="1255">
        <f t="shared" ref="BA8:BA17" si="33">ROUND(AZ8*$I8,2)</f>
        <v>0</v>
      </c>
      <c r="BB8" s="1256">
        <f t="shared" si="10"/>
        <v>0</v>
      </c>
    </row>
    <row r="9" spans="1:54" ht="13.5" customHeight="1">
      <c r="A9" s="931" t="e">
        <f t="shared" si="11"/>
        <v>#REF!</v>
      </c>
      <c r="B9" s="932">
        <f t="shared" si="12"/>
        <v>0</v>
      </c>
      <c r="C9" s="934" t="e">
        <f t="shared" si="13"/>
        <v>#REF!</v>
      </c>
      <c r="D9" s="935" t="str">
        <f>+D8</f>
        <v>2. PAVIMENTACION</v>
      </c>
      <c r="E9" s="980">
        <v>3</v>
      </c>
      <c r="F9" s="807" t="s">
        <v>530</v>
      </c>
      <c r="G9" s="968" t="s">
        <v>290</v>
      </c>
      <c r="H9" s="969">
        <v>34368.400000000001</v>
      </c>
      <c r="I9" s="970">
        <v>96.9</v>
      </c>
      <c r="J9" s="66">
        <f t="shared" si="14"/>
        <v>3330297.96</v>
      </c>
      <c r="K9" s="61">
        <f>SUMIF($V$3:$CH$3,"&lt;"&amp;Datos!$C$19,V9:CH9)</f>
        <v>0</v>
      </c>
      <c r="L9" s="71">
        <f t="shared" si="15"/>
        <v>0</v>
      </c>
      <c r="M9" s="971">
        <f>LOOKUP(Datos!$C$19,'Cant. Ejec,'!$V$3:$BB$3,'Cant. Ejec,'!$V9:$BB9)</f>
        <v>0</v>
      </c>
      <c r="N9" s="939">
        <f t="shared" si="16"/>
        <v>0</v>
      </c>
      <c r="O9" s="61">
        <f t="shared" si="17"/>
        <v>0</v>
      </c>
      <c r="P9" s="939">
        <f t="shared" si="18"/>
        <v>0</v>
      </c>
      <c r="Q9" s="61">
        <f>H9-O9</f>
        <v>34368.400000000001</v>
      </c>
      <c r="R9" s="939">
        <f t="shared" si="20"/>
        <v>3330297.96</v>
      </c>
      <c r="S9" s="827">
        <f t="shared" ref="S9:S17" si="34">(N9/J9)</f>
        <v>0</v>
      </c>
      <c r="T9" s="827">
        <f t="shared" si="21"/>
        <v>0</v>
      </c>
      <c r="U9" s="1236">
        <f t="shared" si="22"/>
        <v>1</v>
      </c>
      <c r="V9" s="1254"/>
      <c r="W9" s="1255">
        <f t="shared" si="23"/>
        <v>0</v>
      </c>
      <c r="X9" s="1256">
        <f t="shared" si="0"/>
        <v>0</v>
      </c>
      <c r="Y9" s="1254"/>
      <c r="Z9" s="1255">
        <f t="shared" si="24"/>
        <v>0</v>
      </c>
      <c r="AA9" s="1256">
        <f t="shared" si="1"/>
        <v>0</v>
      </c>
      <c r="AB9" s="1254"/>
      <c r="AC9" s="1255">
        <f t="shared" si="25"/>
        <v>0</v>
      </c>
      <c r="AD9" s="1256">
        <f t="shared" si="2"/>
        <v>0</v>
      </c>
      <c r="AE9" s="1254"/>
      <c r="AF9" s="1255">
        <f t="shared" si="26"/>
        <v>0</v>
      </c>
      <c r="AG9" s="1256">
        <f t="shared" si="3"/>
        <v>0</v>
      </c>
      <c r="AH9" s="1254"/>
      <c r="AI9" s="1255">
        <f t="shared" si="27"/>
        <v>0</v>
      </c>
      <c r="AJ9" s="1256">
        <f t="shared" si="4"/>
        <v>0</v>
      </c>
      <c r="AK9" s="1254"/>
      <c r="AL9" s="1255">
        <f t="shared" si="28"/>
        <v>0</v>
      </c>
      <c r="AM9" s="1256">
        <f t="shared" si="5"/>
        <v>0</v>
      </c>
      <c r="AN9" s="1254"/>
      <c r="AO9" s="1255">
        <f t="shared" si="29"/>
        <v>0</v>
      </c>
      <c r="AP9" s="1256">
        <f t="shared" si="6"/>
        <v>0</v>
      </c>
      <c r="AQ9" s="1254"/>
      <c r="AR9" s="1255">
        <f t="shared" si="30"/>
        <v>0</v>
      </c>
      <c r="AS9" s="1256">
        <f t="shared" si="7"/>
        <v>0</v>
      </c>
      <c r="AT9" s="1254"/>
      <c r="AU9" s="1255">
        <f t="shared" si="31"/>
        <v>0</v>
      </c>
      <c r="AV9" s="1256">
        <f t="shared" si="8"/>
        <v>0</v>
      </c>
      <c r="AW9" s="1254"/>
      <c r="AX9" s="1255">
        <f t="shared" si="32"/>
        <v>0</v>
      </c>
      <c r="AY9" s="1256">
        <f t="shared" si="9"/>
        <v>0</v>
      </c>
      <c r="AZ9" s="1254"/>
      <c r="BA9" s="1255">
        <f t="shared" si="33"/>
        <v>0</v>
      </c>
      <c r="BB9" s="1256">
        <f t="shared" si="10"/>
        <v>0</v>
      </c>
    </row>
    <row r="10" spans="1:54" ht="13.5" customHeight="1">
      <c r="A10" s="931" t="e">
        <f t="shared" si="11"/>
        <v>#REF!</v>
      </c>
      <c r="B10" s="932">
        <f t="shared" si="12"/>
        <v>0</v>
      </c>
      <c r="C10" s="934" t="e">
        <f t="shared" si="13"/>
        <v>#REF!</v>
      </c>
      <c r="D10" s="935" t="str">
        <f t="shared" ref="D10:D17" si="35">+D9</f>
        <v>2. PAVIMENTACION</v>
      </c>
      <c r="E10" s="980">
        <v>4</v>
      </c>
      <c r="F10" s="807" t="s">
        <v>531</v>
      </c>
      <c r="G10" s="968" t="s">
        <v>290</v>
      </c>
      <c r="H10" s="999">
        <v>18832</v>
      </c>
      <c r="I10" s="970">
        <v>96.9</v>
      </c>
      <c r="J10" s="66">
        <f t="shared" si="14"/>
        <v>1824820.8</v>
      </c>
      <c r="K10" s="61">
        <f>SUMIF($V$3:$CH$3,"&lt;"&amp;Datos!$C$19,V10:CH10)</f>
        <v>0</v>
      </c>
      <c r="L10" s="71">
        <f t="shared" si="15"/>
        <v>0</v>
      </c>
      <c r="M10" s="971">
        <f>LOOKUP(Datos!$C$19,'Cant. Ejec,'!$V$3:$BB$3,'Cant. Ejec,'!$V10:$BB10)</f>
        <v>0</v>
      </c>
      <c r="N10" s="939">
        <f t="shared" si="16"/>
        <v>0</v>
      </c>
      <c r="O10" s="61">
        <f t="shared" si="17"/>
        <v>0</v>
      </c>
      <c r="P10" s="939">
        <f t="shared" si="18"/>
        <v>0</v>
      </c>
      <c r="Q10" s="61">
        <f t="shared" si="19"/>
        <v>18832</v>
      </c>
      <c r="R10" s="939">
        <f t="shared" si="20"/>
        <v>1824820.8</v>
      </c>
      <c r="S10" s="827">
        <f t="shared" si="34"/>
        <v>0</v>
      </c>
      <c r="T10" s="827">
        <f t="shared" si="21"/>
        <v>0</v>
      </c>
      <c r="U10" s="1236">
        <f t="shared" si="22"/>
        <v>1</v>
      </c>
      <c r="V10" s="1254"/>
      <c r="W10" s="1255">
        <f t="shared" si="23"/>
        <v>0</v>
      </c>
      <c r="X10" s="1256">
        <f t="shared" si="0"/>
        <v>0</v>
      </c>
      <c r="Y10" s="1254"/>
      <c r="Z10" s="1255">
        <f t="shared" si="24"/>
        <v>0</v>
      </c>
      <c r="AA10" s="1256">
        <f t="shared" si="1"/>
        <v>0</v>
      </c>
      <c r="AB10" s="1254"/>
      <c r="AC10" s="1255">
        <f t="shared" si="25"/>
        <v>0</v>
      </c>
      <c r="AD10" s="1256">
        <f t="shared" si="2"/>
        <v>0</v>
      </c>
      <c r="AE10" s="1254"/>
      <c r="AF10" s="1255">
        <f t="shared" si="26"/>
        <v>0</v>
      </c>
      <c r="AG10" s="1256">
        <f t="shared" si="3"/>
        <v>0</v>
      </c>
      <c r="AH10" s="1254"/>
      <c r="AI10" s="1255">
        <f t="shared" si="27"/>
        <v>0</v>
      </c>
      <c r="AJ10" s="1256">
        <f t="shared" si="4"/>
        <v>0</v>
      </c>
      <c r="AK10" s="1254"/>
      <c r="AL10" s="1255">
        <f t="shared" si="28"/>
        <v>0</v>
      </c>
      <c r="AM10" s="1256">
        <f t="shared" si="5"/>
        <v>0</v>
      </c>
      <c r="AN10" s="1254"/>
      <c r="AO10" s="1255">
        <f t="shared" si="29"/>
        <v>0</v>
      </c>
      <c r="AP10" s="1256">
        <f t="shared" si="6"/>
        <v>0</v>
      </c>
      <c r="AQ10" s="1254"/>
      <c r="AR10" s="1255">
        <f t="shared" si="30"/>
        <v>0</v>
      </c>
      <c r="AS10" s="1256">
        <f t="shared" si="7"/>
        <v>0</v>
      </c>
      <c r="AT10" s="1254"/>
      <c r="AU10" s="1255">
        <f t="shared" si="31"/>
        <v>0</v>
      </c>
      <c r="AV10" s="1256">
        <f t="shared" si="8"/>
        <v>0</v>
      </c>
      <c r="AW10" s="1254"/>
      <c r="AX10" s="1255">
        <f t="shared" si="32"/>
        <v>0</v>
      </c>
      <c r="AY10" s="1256">
        <f t="shared" si="9"/>
        <v>0</v>
      </c>
      <c r="AZ10" s="1254"/>
      <c r="BA10" s="1255">
        <f t="shared" si="33"/>
        <v>0</v>
      </c>
      <c r="BB10" s="1256">
        <f t="shared" si="10"/>
        <v>0</v>
      </c>
    </row>
    <row r="11" spans="1:54" ht="13.5" customHeight="1">
      <c r="A11" s="931" t="e">
        <f t="shared" si="11"/>
        <v>#REF!</v>
      </c>
      <c r="B11" s="932">
        <f t="shared" si="12"/>
        <v>0</v>
      </c>
      <c r="C11" s="934" t="e">
        <f t="shared" si="13"/>
        <v>#REF!</v>
      </c>
      <c r="D11" s="935" t="str">
        <f t="shared" si="35"/>
        <v>2. PAVIMENTACION</v>
      </c>
      <c r="E11" s="980">
        <v>5</v>
      </c>
      <c r="F11" s="807" t="s">
        <v>532</v>
      </c>
      <c r="G11" s="968" t="s">
        <v>665</v>
      </c>
      <c r="H11" s="969">
        <v>439169.3</v>
      </c>
      <c r="I11" s="970">
        <v>3.74</v>
      </c>
      <c r="J11" s="66">
        <f t="shared" si="14"/>
        <v>1642493.18</v>
      </c>
      <c r="K11" s="61">
        <f>SUMIF($V$3:$CH$3,"&lt;"&amp;Datos!$C$19,V11:CH11)</f>
        <v>346422.9</v>
      </c>
      <c r="L11" s="71">
        <f>+ROUND(I11*K11,2)</f>
        <v>1295621.6499999999</v>
      </c>
      <c r="M11" s="971">
        <f>LOOKUP(Datos!$C$19,'Cant. Ejec,'!$V$3:$BB$3,'Cant. Ejec,'!$V11:$BB11)</f>
        <v>0</v>
      </c>
      <c r="N11" s="939">
        <f t="shared" si="16"/>
        <v>0</v>
      </c>
      <c r="O11" s="61">
        <f t="shared" si="17"/>
        <v>346422.9</v>
      </c>
      <c r="P11" s="939">
        <f t="shared" si="18"/>
        <v>1295621.6499999999</v>
      </c>
      <c r="Q11" s="61">
        <f t="shared" si="19"/>
        <v>92746.399999999965</v>
      </c>
      <c r="R11" s="939">
        <f t="shared" si="20"/>
        <v>346871.53</v>
      </c>
      <c r="S11" s="827">
        <f t="shared" si="34"/>
        <v>0</v>
      </c>
      <c r="T11" s="827">
        <f t="shared" si="21"/>
        <v>0.78881402113340893</v>
      </c>
      <c r="U11" s="1236">
        <f t="shared" si="22"/>
        <v>0.21118597886659113</v>
      </c>
      <c r="V11" s="1254">
        <v>47637</v>
      </c>
      <c r="W11" s="1255">
        <f t="shared" si="23"/>
        <v>178162.38</v>
      </c>
      <c r="X11" s="1256">
        <f t="shared" si="0"/>
        <v>0.10847069696812989</v>
      </c>
      <c r="Y11" s="1254">
        <v>112503.9</v>
      </c>
      <c r="Z11" s="1255">
        <f t="shared" si="24"/>
        <v>420764.59</v>
      </c>
      <c r="AA11" s="1256">
        <f t="shared" si="1"/>
        <v>0.25617433005109952</v>
      </c>
      <c r="AB11" s="1254">
        <v>186282</v>
      </c>
      <c r="AC11" s="1255">
        <f t="shared" si="25"/>
        <v>696694.68</v>
      </c>
      <c r="AD11" s="1256">
        <f t="shared" si="2"/>
        <v>0.42416899411417958</v>
      </c>
      <c r="AE11" s="1254"/>
      <c r="AF11" s="1255">
        <f t="shared" si="26"/>
        <v>0</v>
      </c>
      <c r="AG11" s="1256">
        <f t="shared" si="3"/>
        <v>0</v>
      </c>
      <c r="AH11" s="1254"/>
      <c r="AI11" s="1255">
        <f t="shared" si="27"/>
        <v>0</v>
      </c>
      <c r="AJ11" s="1256">
        <f t="shared" si="4"/>
        <v>0</v>
      </c>
      <c r="AK11" s="1254"/>
      <c r="AL11" s="1255">
        <f t="shared" si="28"/>
        <v>0</v>
      </c>
      <c r="AM11" s="1256">
        <f t="shared" si="5"/>
        <v>0</v>
      </c>
      <c r="AN11" s="1254"/>
      <c r="AO11" s="1255">
        <f t="shared" si="29"/>
        <v>0</v>
      </c>
      <c r="AP11" s="1256">
        <f t="shared" si="6"/>
        <v>0</v>
      </c>
      <c r="AQ11" s="1254"/>
      <c r="AR11" s="1255">
        <f t="shared" si="30"/>
        <v>0</v>
      </c>
      <c r="AS11" s="1256">
        <f t="shared" si="7"/>
        <v>0</v>
      </c>
      <c r="AT11" s="1254"/>
      <c r="AU11" s="1255">
        <f t="shared" si="31"/>
        <v>0</v>
      </c>
      <c r="AV11" s="1256">
        <f t="shared" si="8"/>
        <v>0</v>
      </c>
      <c r="AW11" s="1254"/>
      <c r="AX11" s="1255">
        <f t="shared" si="32"/>
        <v>0</v>
      </c>
      <c r="AY11" s="1256">
        <f t="shared" si="9"/>
        <v>0</v>
      </c>
      <c r="AZ11" s="1254"/>
      <c r="BA11" s="1255">
        <f t="shared" si="33"/>
        <v>0</v>
      </c>
      <c r="BB11" s="1256">
        <f t="shared" si="10"/>
        <v>0</v>
      </c>
    </row>
    <row r="12" spans="1:54" ht="13.5" customHeight="1">
      <c r="A12" s="931" t="e">
        <f t="shared" si="11"/>
        <v>#REF!</v>
      </c>
      <c r="B12" s="932">
        <f t="shared" si="12"/>
        <v>0</v>
      </c>
      <c r="C12" s="934" t="e">
        <f t="shared" si="13"/>
        <v>#REF!</v>
      </c>
      <c r="D12" s="935" t="str">
        <f t="shared" si="35"/>
        <v>2. PAVIMENTACION</v>
      </c>
      <c r="E12" s="980">
        <v>6</v>
      </c>
      <c r="F12" s="807" t="s">
        <v>533</v>
      </c>
      <c r="G12" s="968" t="s">
        <v>290</v>
      </c>
      <c r="H12" s="969">
        <v>41713.949999999997</v>
      </c>
      <c r="I12" s="970">
        <v>191.25</v>
      </c>
      <c r="J12" s="66">
        <f t="shared" si="14"/>
        <v>7977792.9400000004</v>
      </c>
      <c r="K12" s="61">
        <f>SUMIF($V$3:$CH$3,"&lt;"&amp;Datos!$C$19,V12:CH12)</f>
        <v>0</v>
      </c>
      <c r="L12" s="71">
        <f t="shared" si="15"/>
        <v>0</v>
      </c>
      <c r="M12" s="971">
        <f>LOOKUP(Datos!$C$19,'Cant. Ejec,'!$V$3:$BB$3,'Cant. Ejec,'!$V12:$BB12)</f>
        <v>0</v>
      </c>
      <c r="N12" s="939">
        <f t="shared" si="16"/>
        <v>0</v>
      </c>
      <c r="O12" s="61">
        <f t="shared" si="17"/>
        <v>0</v>
      </c>
      <c r="P12" s="939">
        <f t="shared" si="18"/>
        <v>0</v>
      </c>
      <c r="Q12" s="61">
        <f t="shared" si="19"/>
        <v>41713.949999999997</v>
      </c>
      <c r="R12" s="939">
        <f t="shared" si="20"/>
        <v>7977792.9400000004</v>
      </c>
      <c r="S12" s="827">
        <f t="shared" si="34"/>
        <v>0</v>
      </c>
      <c r="T12" s="827">
        <f t="shared" si="21"/>
        <v>0</v>
      </c>
      <c r="U12" s="1236">
        <f t="shared" si="22"/>
        <v>1</v>
      </c>
      <c r="V12" s="1254"/>
      <c r="W12" s="1255">
        <f t="shared" si="23"/>
        <v>0</v>
      </c>
      <c r="X12" s="1256">
        <f t="shared" si="0"/>
        <v>0</v>
      </c>
      <c r="Y12" s="1254"/>
      <c r="Z12" s="1255">
        <f t="shared" si="24"/>
        <v>0</v>
      </c>
      <c r="AA12" s="1256">
        <f t="shared" si="1"/>
        <v>0</v>
      </c>
      <c r="AB12" s="1254"/>
      <c r="AC12" s="1255">
        <f t="shared" si="25"/>
        <v>0</v>
      </c>
      <c r="AD12" s="1256">
        <f t="shared" si="2"/>
        <v>0</v>
      </c>
      <c r="AE12" s="1254"/>
      <c r="AF12" s="1255">
        <f t="shared" si="26"/>
        <v>0</v>
      </c>
      <c r="AG12" s="1256">
        <f t="shared" si="3"/>
        <v>0</v>
      </c>
      <c r="AH12" s="1254"/>
      <c r="AI12" s="1255">
        <f t="shared" si="27"/>
        <v>0</v>
      </c>
      <c r="AJ12" s="1256">
        <f t="shared" si="4"/>
        <v>0</v>
      </c>
      <c r="AK12" s="1254"/>
      <c r="AL12" s="1255">
        <f t="shared" si="28"/>
        <v>0</v>
      </c>
      <c r="AM12" s="1256">
        <f t="shared" si="5"/>
        <v>0</v>
      </c>
      <c r="AN12" s="1254"/>
      <c r="AO12" s="1255">
        <f t="shared" si="29"/>
        <v>0</v>
      </c>
      <c r="AP12" s="1256">
        <f t="shared" si="6"/>
        <v>0</v>
      </c>
      <c r="AQ12" s="1254"/>
      <c r="AR12" s="1255">
        <f t="shared" si="30"/>
        <v>0</v>
      </c>
      <c r="AS12" s="1256">
        <f t="shared" si="7"/>
        <v>0</v>
      </c>
      <c r="AT12" s="1254"/>
      <c r="AU12" s="1255">
        <f t="shared" si="31"/>
        <v>0</v>
      </c>
      <c r="AV12" s="1256">
        <f t="shared" si="8"/>
        <v>0</v>
      </c>
      <c r="AW12" s="1254"/>
      <c r="AX12" s="1255">
        <f t="shared" si="32"/>
        <v>0</v>
      </c>
      <c r="AY12" s="1256">
        <f t="shared" si="9"/>
        <v>0</v>
      </c>
      <c r="AZ12" s="1254"/>
      <c r="BA12" s="1255">
        <f t="shared" si="33"/>
        <v>0</v>
      </c>
      <c r="BB12" s="1256">
        <f t="shared" si="10"/>
        <v>0</v>
      </c>
    </row>
    <row r="13" spans="1:54" ht="13.5" customHeight="1">
      <c r="A13" s="931" t="e">
        <f t="shared" si="11"/>
        <v>#REF!</v>
      </c>
      <c r="B13" s="932">
        <f t="shared" si="12"/>
        <v>0</v>
      </c>
      <c r="C13" s="934" t="e">
        <f t="shared" si="13"/>
        <v>#REF!</v>
      </c>
      <c r="D13" s="935" t="str">
        <f t="shared" si="35"/>
        <v>2. PAVIMENTACION</v>
      </c>
      <c r="E13" s="980">
        <v>7</v>
      </c>
      <c r="F13" s="807" t="s">
        <v>534</v>
      </c>
      <c r="G13" s="968" t="s">
        <v>290</v>
      </c>
      <c r="H13" s="969">
        <v>17411.04</v>
      </c>
      <c r="I13" s="970">
        <v>594.04999999999995</v>
      </c>
      <c r="J13" s="66">
        <f t="shared" si="14"/>
        <v>10343028.310000001</v>
      </c>
      <c r="K13" s="61">
        <f>SUMIF($V$3:$CH$3,"&lt;"&amp;Datos!$C$19,V13:CH13)</f>
        <v>0</v>
      </c>
      <c r="L13" s="71">
        <f t="shared" si="15"/>
        <v>0</v>
      </c>
      <c r="M13" s="971">
        <f>LOOKUP(Datos!$C$19,'Cant. Ejec,'!$V$3:$BB$3,'Cant. Ejec,'!$V13:$BB13)</f>
        <v>0</v>
      </c>
      <c r="N13" s="939">
        <f t="shared" si="16"/>
        <v>0</v>
      </c>
      <c r="O13" s="61">
        <f t="shared" si="17"/>
        <v>0</v>
      </c>
      <c r="P13" s="939">
        <f t="shared" si="18"/>
        <v>0</v>
      </c>
      <c r="Q13" s="61">
        <f t="shared" si="19"/>
        <v>17411.04</v>
      </c>
      <c r="R13" s="939">
        <f t="shared" si="20"/>
        <v>10343028.310000001</v>
      </c>
      <c r="S13" s="827">
        <f t="shared" si="34"/>
        <v>0</v>
      </c>
      <c r="T13" s="827">
        <f t="shared" si="21"/>
        <v>0</v>
      </c>
      <c r="U13" s="1236">
        <f t="shared" si="22"/>
        <v>1</v>
      </c>
      <c r="V13" s="1254"/>
      <c r="W13" s="1255">
        <f t="shared" si="23"/>
        <v>0</v>
      </c>
      <c r="X13" s="1256">
        <f t="shared" si="0"/>
        <v>0</v>
      </c>
      <c r="Y13" s="1254"/>
      <c r="Z13" s="1255">
        <f t="shared" si="24"/>
        <v>0</v>
      </c>
      <c r="AA13" s="1256">
        <f t="shared" si="1"/>
        <v>0</v>
      </c>
      <c r="AB13" s="1254"/>
      <c r="AC13" s="1255">
        <f t="shared" si="25"/>
        <v>0</v>
      </c>
      <c r="AD13" s="1256">
        <f t="shared" si="2"/>
        <v>0</v>
      </c>
      <c r="AE13" s="1254"/>
      <c r="AF13" s="1255">
        <f t="shared" si="26"/>
        <v>0</v>
      </c>
      <c r="AG13" s="1256">
        <f t="shared" si="3"/>
        <v>0</v>
      </c>
      <c r="AH13" s="1254"/>
      <c r="AI13" s="1255">
        <f t="shared" si="27"/>
        <v>0</v>
      </c>
      <c r="AJ13" s="1256">
        <f t="shared" si="4"/>
        <v>0</v>
      </c>
      <c r="AK13" s="1254"/>
      <c r="AL13" s="1255">
        <f t="shared" si="28"/>
        <v>0</v>
      </c>
      <c r="AM13" s="1256">
        <f t="shared" si="5"/>
        <v>0</v>
      </c>
      <c r="AN13" s="1254"/>
      <c r="AO13" s="1255">
        <f t="shared" si="29"/>
        <v>0</v>
      </c>
      <c r="AP13" s="1256">
        <f t="shared" si="6"/>
        <v>0</v>
      </c>
      <c r="AQ13" s="1254"/>
      <c r="AR13" s="1255">
        <f t="shared" si="30"/>
        <v>0</v>
      </c>
      <c r="AS13" s="1256">
        <f t="shared" si="7"/>
        <v>0</v>
      </c>
      <c r="AT13" s="1254"/>
      <c r="AU13" s="1255">
        <f t="shared" si="31"/>
        <v>0</v>
      </c>
      <c r="AV13" s="1256">
        <f t="shared" si="8"/>
        <v>0</v>
      </c>
      <c r="AW13" s="1254"/>
      <c r="AX13" s="1255">
        <f t="shared" si="32"/>
        <v>0</v>
      </c>
      <c r="AY13" s="1256">
        <f t="shared" si="9"/>
        <v>0</v>
      </c>
      <c r="AZ13" s="1254"/>
      <c r="BA13" s="1255">
        <f t="shared" si="33"/>
        <v>0</v>
      </c>
      <c r="BB13" s="1256">
        <f t="shared" si="10"/>
        <v>0</v>
      </c>
    </row>
    <row r="14" spans="1:54" ht="13.5" customHeight="1">
      <c r="A14" s="931" t="e">
        <f t="shared" si="11"/>
        <v>#REF!</v>
      </c>
      <c r="B14" s="932">
        <f t="shared" si="12"/>
        <v>0</v>
      </c>
      <c r="C14" s="934" t="e">
        <f t="shared" si="13"/>
        <v>#REF!</v>
      </c>
      <c r="D14" s="935" t="str">
        <f t="shared" si="35"/>
        <v>2. PAVIMENTACION</v>
      </c>
      <c r="E14" s="980">
        <v>8</v>
      </c>
      <c r="F14" s="807" t="s">
        <v>535</v>
      </c>
      <c r="G14" s="968" t="s">
        <v>174</v>
      </c>
      <c r="H14" s="969">
        <v>399003</v>
      </c>
      <c r="I14" s="970">
        <v>12.04</v>
      </c>
      <c r="J14" s="66">
        <f t="shared" si="14"/>
        <v>4803996.12</v>
      </c>
      <c r="K14" s="61">
        <f>SUMIF($V$3:$CH$3,"&lt;"&amp;Datos!$C$19,V14:CH14)</f>
        <v>0</v>
      </c>
      <c r="L14" s="71">
        <f t="shared" si="15"/>
        <v>0</v>
      </c>
      <c r="M14" s="971">
        <f>LOOKUP(Datos!$C$19,'Cant. Ejec,'!$V$3:$BB$3,'Cant. Ejec,'!$V14:$BB14)</f>
        <v>0</v>
      </c>
      <c r="N14" s="939">
        <f t="shared" si="16"/>
        <v>0</v>
      </c>
      <c r="O14" s="61">
        <f t="shared" si="17"/>
        <v>0</v>
      </c>
      <c r="P14" s="939">
        <f t="shared" si="18"/>
        <v>0</v>
      </c>
      <c r="Q14" s="61">
        <f t="shared" si="19"/>
        <v>399003</v>
      </c>
      <c r="R14" s="939">
        <f t="shared" si="20"/>
        <v>4803996.12</v>
      </c>
      <c r="S14" s="827">
        <f t="shared" si="34"/>
        <v>0</v>
      </c>
      <c r="T14" s="827">
        <f t="shared" si="21"/>
        <v>0</v>
      </c>
      <c r="U14" s="1236">
        <f t="shared" si="22"/>
        <v>1</v>
      </c>
      <c r="V14" s="1254"/>
      <c r="W14" s="1255">
        <f t="shared" si="23"/>
        <v>0</v>
      </c>
      <c r="X14" s="1256">
        <f t="shared" si="0"/>
        <v>0</v>
      </c>
      <c r="Y14" s="1254"/>
      <c r="Z14" s="1255">
        <f t="shared" si="24"/>
        <v>0</v>
      </c>
      <c r="AA14" s="1256">
        <f t="shared" si="1"/>
        <v>0</v>
      </c>
      <c r="AB14" s="1254"/>
      <c r="AC14" s="1255">
        <f t="shared" si="25"/>
        <v>0</v>
      </c>
      <c r="AD14" s="1256">
        <f t="shared" si="2"/>
        <v>0</v>
      </c>
      <c r="AE14" s="1254"/>
      <c r="AF14" s="1255">
        <f t="shared" si="26"/>
        <v>0</v>
      </c>
      <c r="AG14" s="1256">
        <f t="shared" si="3"/>
        <v>0</v>
      </c>
      <c r="AH14" s="1254"/>
      <c r="AI14" s="1255">
        <f t="shared" si="27"/>
        <v>0</v>
      </c>
      <c r="AJ14" s="1256">
        <f t="shared" si="4"/>
        <v>0</v>
      </c>
      <c r="AK14" s="1254"/>
      <c r="AL14" s="1255">
        <f t="shared" si="28"/>
        <v>0</v>
      </c>
      <c r="AM14" s="1256">
        <f t="shared" si="5"/>
        <v>0</v>
      </c>
      <c r="AN14" s="1254"/>
      <c r="AO14" s="1255">
        <f t="shared" si="29"/>
        <v>0</v>
      </c>
      <c r="AP14" s="1256">
        <f t="shared" si="6"/>
        <v>0</v>
      </c>
      <c r="AQ14" s="1254"/>
      <c r="AR14" s="1255">
        <f t="shared" si="30"/>
        <v>0</v>
      </c>
      <c r="AS14" s="1256">
        <f t="shared" si="7"/>
        <v>0</v>
      </c>
      <c r="AT14" s="1254"/>
      <c r="AU14" s="1255">
        <f t="shared" si="31"/>
        <v>0</v>
      </c>
      <c r="AV14" s="1256">
        <f t="shared" si="8"/>
        <v>0</v>
      </c>
      <c r="AW14" s="1254"/>
      <c r="AX14" s="1255">
        <f t="shared" si="32"/>
        <v>0</v>
      </c>
      <c r="AY14" s="1256">
        <f t="shared" si="9"/>
        <v>0</v>
      </c>
      <c r="AZ14" s="1254"/>
      <c r="BA14" s="1255">
        <f t="shared" si="33"/>
        <v>0</v>
      </c>
      <c r="BB14" s="1256">
        <f t="shared" si="10"/>
        <v>0</v>
      </c>
    </row>
    <row r="15" spans="1:54" ht="13.5" customHeight="1">
      <c r="A15" s="931" t="e">
        <f t="shared" si="11"/>
        <v>#REF!</v>
      </c>
      <c r="B15" s="932">
        <f t="shared" si="12"/>
        <v>0</v>
      </c>
      <c r="C15" s="934" t="e">
        <f t="shared" si="13"/>
        <v>#REF!</v>
      </c>
      <c r="D15" s="935" t="str">
        <f t="shared" si="35"/>
        <v>2. PAVIMENTACION</v>
      </c>
      <c r="E15" s="980">
        <v>9</v>
      </c>
      <c r="F15" s="807" t="s">
        <v>536</v>
      </c>
      <c r="G15" s="968" t="s">
        <v>537</v>
      </c>
      <c r="H15" s="969">
        <v>2437.5500000000002</v>
      </c>
      <c r="I15" s="970">
        <v>9167.4599999999991</v>
      </c>
      <c r="J15" s="66">
        <f>ROUND(H15*I15,2)</f>
        <v>22346142.120000001</v>
      </c>
      <c r="K15" s="61">
        <f>SUMIF($V$3:$CH$3,"&lt;"&amp;Datos!$C$19,V15:CH15)</f>
        <v>0</v>
      </c>
      <c r="L15" s="71">
        <f t="shared" si="15"/>
        <v>0</v>
      </c>
      <c r="M15" s="971">
        <f>LOOKUP(Datos!$C$19,'Cant. Ejec,'!$V$3:$BB$3,'Cant. Ejec,'!$V15:$BB15)</f>
        <v>0</v>
      </c>
      <c r="N15" s="939">
        <f t="shared" si="16"/>
        <v>0</v>
      </c>
      <c r="O15" s="61">
        <f t="shared" si="17"/>
        <v>0</v>
      </c>
      <c r="P15" s="939">
        <f t="shared" si="18"/>
        <v>0</v>
      </c>
      <c r="Q15" s="61">
        <f t="shared" si="19"/>
        <v>2437.5500000000002</v>
      </c>
      <c r="R15" s="939">
        <f t="shared" si="20"/>
        <v>22346142.120000001</v>
      </c>
      <c r="S15" s="827">
        <f t="shared" si="34"/>
        <v>0</v>
      </c>
      <c r="T15" s="827">
        <f t="shared" si="21"/>
        <v>0</v>
      </c>
      <c r="U15" s="1236">
        <f t="shared" si="22"/>
        <v>1</v>
      </c>
      <c r="V15" s="1254"/>
      <c r="W15" s="1255">
        <f t="shared" si="23"/>
        <v>0</v>
      </c>
      <c r="X15" s="1256">
        <f t="shared" si="0"/>
        <v>0</v>
      </c>
      <c r="Y15" s="1254"/>
      <c r="Z15" s="1255">
        <f t="shared" si="24"/>
        <v>0</v>
      </c>
      <c r="AA15" s="1256">
        <f t="shared" si="1"/>
        <v>0</v>
      </c>
      <c r="AB15" s="1254"/>
      <c r="AC15" s="1255">
        <f t="shared" si="25"/>
        <v>0</v>
      </c>
      <c r="AD15" s="1256">
        <f t="shared" si="2"/>
        <v>0</v>
      </c>
      <c r="AE15" s="1254"/>
      <c r="AF15" s="1255">
        <f t="shared" si="26"/>
        <v>0</v>
      </c>
      <c r="AG15" s="1256">
        <f t="shared" si="3"/>
        <v>0</v>
      </c>
      <c r="AH15" s="1254"/>
      <c r="AI15" s="1255">
        <f t="shared" si="27"/>
        <v>0</v>
      </c>
      <c r="AJ15" s="1256">
        <f t="shared" si="4"/>
        <v>0</v>
      </c>
      <c r="AK15" s="1254"/>
      <c r="AL15" s="1255">
        <f t="shared" si="28"/>
        <v>0</v>
      </c>
      <c r="AM15" s="1256">
        <f t="shared" si="5"/>
        <v>0</v>
      </c>
      <c r="AN15" s="1254"/>
      <c r="AO15" s="1255">
        <f t="shared" si="29"/>
        <v>0</v>
      </c>
      <c r="AP15" s="1256">
        <f t="shared" si="6"/>
        <v>0</v>
      </c>
      <c r="AQ15" s="1254"/>
      <c r="AR15" s="1255">
        <f t="shared" si="30"/>
        <v>0</v>
      </c>
      <c r="AS15" s="1256">
        <f t="shared" si="7"/>
        <v>0</v>
      </c>
      <c r="AT15" s="1254"/>
      <c r="AU15" s="1255">
        <f t="shared" si="31"/>
        <v>0</v>
      </c>
      <c r="AV15" s="1256">
        <f t="shared" si="8"/>
        <v>0</v>
      </c>
      <c r="AW15" s="1254"/>
      <c r="AX15" s="1255">
        <f t="shared" si="32"/>
        <v>0</v>
      </c>
      <c r="AY15" s="1256">
        <f t="shared" si="9"/>
        <v>0</v>
      </c>
      <c r="AZ15" s="1254"/>
      <c r="BA15" s="1255">
        <f t="shared" si="33"/>
        <v>0</v>
      </c>
      <c r="BB15" s="1256">
        <f t="shared" si="10"/>
        <v>0</v>
      </c>
    </row>
    <row r="16" spans="1:54" ht="13.5" customHeight="1">
      <c r="A16" s="931" t="e">
        <f t="shared" si="11"/>
        <v>#REF!</v>
      </c>
      <c r="B16" s="932">
        <f t="shared" si="12"/>
        <v>0</v>
      </c>
      <c r="C16" s="934" t="e">
        <f t="shared" si="13"/>
        <v>#REF!</v>
      </c>
      <c r="D16" s="935" t="str">
        <f t="shared" si="35"/>
        <v>2. PAVIMENTACION</v>
      </c>
      <c r="E16" s="980">
        <v>10</v>
      </c>
      <c r="F16" s="807" t="s">
        <v>538</v>
      </c>
      <c r="G16" s="968" t="s">
        <v>665</v>
      </c>
      <c r="H16" s="969">
        <v>510143.47</v>
      </c>
      <c r="I16" s="970">
        <v>2.72</v>
      </c>
      <c r="J16" s="66">
        <f t="shared" si="14"/>
        <v>1387590.24</v>
      </c>
      <c r="K16" s="61">
        <f>SUMIF($V$3:$CH$3,"&lt;"&amp;Datos!$C$19,V16:CH16)</f>
        <v>0</v>
      </c>
      <c r="L16" s="71">
        <f t="shared" si="15"/>
        <v>0</v>
      </c>
      <c r="M16" s="971">
        <f>LOOKUP(Datos!$C$19,'Cant. Ejec,'!$V$3:$BB$3,'Cant. Ejec,'!$V16:$BB16)</f>
        <v>0</v>
      </c>
      <c r="N16" s="939">
        <f t="shared" si="16"/>
        <v>0</v>
      </c>
      <c r="O16" s="61">
        <f t="shared" si="17"/>
        <v>0</v>
      </c>
      <c r="P16" s="939">
        <f t="shared" si="18"/>
        <v>0</v>
      </c>
      <c r="Q16" s="61">
        <f t="shared" si="19"/>
        <v>510143.47</v>
      </c>
      <c r="R16" s="939">
        <f t="shared" si="20"/>
        <v>1387590.24</v>
      </c>
      <c r="S16" s="827">
        <f t="shared" si="34"/>
        <v>0</v>
      </c>
      <c r="T16" s="827">
        <f t="shared" si="21"/>
        <v>0</v>
      </c>
      <c r="U16" s="1236">
        <f t="shared" si="22"/>
        <v>1</v>
      </c>
      <c r="V16" s="1254"/>
      <c r="W16" s="1255">
        <f t="shared" si="23"/>
        <v>0</v>
      </c>
      <c r="X16" s="1256">
        <f t="shared" si="0"/>
        <v>0</v>
      </c>
      <c r="Y16" s="1254"/>
      <c r="Z16" s="1255">
        <f t="shared" si="24"/>
        <v>0</v>
      </c>
      <c r="AA16" s="1256">
        <f t="shared" si="1"/>
        <v>0</v>
      </c>
      <c r="AB16" s="1254"/>
      <c r="AC16" s="1255">
        <f t="shared" si="25"/>
        <v>0</v>
      </c>
      <c r="AD16" s="1256">
        <f t="shared" si="2"/>
        <v>0</v>
      </c>
      <c r="AE16" s="1254"/>
      <c r="AF16" s="1255">
        <f t="shared" si="26"/>
        <v>0</v>
      </c>
      <c r="AG16" s="1256">
        <f t="shared" si="3"/>
        <v>0</v>
      </c>
      <c r="AH16" s="1254"/>
      <c r="AI16" s="1255">
        <f t="shared" si="27"/>
        <v>0</v>
      </c>
      <c r="AJ16" s="1256">
        <f t="shared" si="4"/>
        <v>0</v>
      </c>
      <c r="AK16" s="1254"/>
      <c r="AL16" s="1255">
        <f t="shared" si="28"/>
        <v>0</v>
      </c>
      <c r="AM16" s="1256">
        <f t="shared" si="5"/>
        <v>0</v>
      </c>
      <c r="AN16" s="1254"/>
      <c r="AO16" s="1255">
        <f t="shared" si="29"/>
        <v>0</v>
      </c>
      <c r="AP16" s="1256">
        <f t="shared" si="6"/>
        <v>0</v>
      </c>
      <c r="AQ16" s="1254"/>
      <c r="AR16" s="1255">
        <f t="shared" si="30"/>
        <v>0</v>
      </c>
      <c r="AS16" s="1256">
        <f t="shared" si="7"/>
        <v>0</v>
      </c>
      <c r="AT16" s="1254"/>
      <c r="AU16" s="1255">
        <f t="shared" si="31"/>
        <v>0</v>
      </c>
      <c r="AV16" s="1256">
        <f t="shared" si="8"/>
        <v>0</v>
      </c>
      <c r="AW16" s="1254"/>
      <c r="AX16" s="1255">
        <f t="shared" si="32"/>
        <v>0</v>
      </c>
      <c r="AY16" s="1256">
        <f t="shared" si="9"/>
        <v>0</v>
      </c>
      <c r="AZ16" s="1254"/>
      <c r="BA16" s="1255">
        <f t="shared" si="33"/>
        <v>0</v>
      </c>
      <c r="BB16" s="1256">
        <f t="shared" si="10"/>
        <v>0</v>
      </c>
    </row>
    <row r="17" spans="1:54" ht="13.5" customHeight="1">
      <c r="A17" s="931" t="e">
        <f t="shared" si="11"/>
        <v>#REF!</v>
      </c>
      <c r="B17" s="932">
        <f t="shared" si="12"/>
        <v>0</v>
      </c>
      <c r="C17" s="934" t="e">
        <f t="shared" si="13"/>
        <v>#REF!</v>
      </c>
      <c r="D17" s="935" t="str">
        <f t="shared" si="35"/>
        <v>2. PAVIMENTACION</v>
      </c>
      <c r="E17" s="980">
        <v>11</v>
      </c>
      <c r="F17" s="807" t="s">
        <v>539</v>
      </c>
      <c r="G17" s="968" t="s">
        <v>665</v>
      </c>
      <c r="H17" s="969">
        <v>1222218.74</v>
      </c>
      <c r="I17" s="970">
        <v>2.72</v>
      </c>
      <c r="J17" s="66">
        <f t="shared" si="14"/>
        <v>3324434.97</v>
      </c>
      <c r="K17" s="61">
        <f>SUMIF($V$3:$CH$3,"&lt;"&amp;Datos!$C$19,V17:CH17)</f>
        <v>0</v>
      </c>
      <c r="L17" s="71">
        <f t="shared" si="15"/>
        <v>0</v>
      </c>
      <c r="M17" s="971">
        <f>LOOKUP(Datos!$C$19,'Cant. Ejec,'!$V$3:$BB$3,'Cant. Ejec,'!$V17:$BB17)</f>
        <v>0</v>
      </c>
      <c r="N17" s="939">
        <f t="shared" si="16"/>
        <v>0</v>
      </c>
      <c r="O17" s="61">
        <f t="shared" si="17"/>
        <v>0</v>
      </c>
      <c r="P17" s="939">
        <f t="shared" si="18"/>
        <v>0</v>
      </c>
      <c r="Q17" s="61">
        <f t="shared" si="19"/>
        <v>1222218.74</v>
      </c>
      <c r="R17" s="939">
        <f t="shared" si="20"/>
        <v>3324434.97</v>
      </c>
      <c r="S17" s="975">
        <f t="shared" si="34"/>
        <v>0</v>
      </c>
      <c r="T17" s="975">
        <f t="shared" si="21"/>
        <v>0</v>
      </c>
      <c r="U17" s="1237">
        <f t="shared" si="22"/>
        <v>1</v>
      </c>
      <c r="V17" s="1254"/>
      <c r="W17" s="1255">
        <f t="shared" si="23"/>
        <v>0</v>
      </c>
      <c r="X17" s="1256">
        <f t="shared" si="0"/>
        <v>0</v>
      </c>
      <c r="Y17" s="1254"/>
      <c r="Z17" s="1255">
        <f t="shared" si="24"/>
        <v>0</v>
      </c>
      <c r="AA17" s="1256">
        <f t="shared" si="1"/>
        <v>0</v>
      </c>
      <c r="AB17" s="1254"/>
      <c r="AC17" s="1255">
        <f t="shared" si="25"/>
        <v>0</v>
      </c>
      <c r="AD17" s="1256">
        <f t="shared" si="2"/>
        <v>0</v>
      </c>
      <c r="AE17" s="1254"/>
      <c r="AF17" s="1255">
        <f t="shared" si="26"/>
        <v>0</v>
      </c>
      <c r="AG17" s="1256">
        <f t="shared" si="3"/>
        <v>0</v>
      </c>
      <c r="AH17" s="1254"/>
      <c r="AI17" s="1255">
        <f t="shared" si="27"/>
        <v>0</v>
      </c>
      <c r="AJ17" s="1256">
        <f t="shared" si="4"/>
        <v>0</v>
      </c>
      <c r="AK17" s="1254"/>
      <c r="AL17" s="1255">
        <f t="shared" si="28"/>
        <v>0</v>
      </c>
      <c r="AM17" s="1256">
        <f t="shared" si="5"/>
        <v>0</v>
      </c>
      <c r="AN17" s="1254"/>
      <c r="AO17" s="1255">
        <f t="shared" si="29"/>
        <v>0</v>
      </c>
      <c r="AP17" s="1256">
        <f t="shared" si="6"/>
        <v>0</v>
      </c>
      <c r="AQ17" s="1254"/>
      <c r="AR17" s="1255">
        <f t="shared" si="30"/>
        <v>0</v>
      </c>
      <c r="AS17" s="1256">
        <f t="shared" si="7"/>
        <v>0</v>
      </c>
      <c r="AT17" s="1254"/>
      <c r="AU17" s="1255">
        <f t="shared" si="31"/>
        <v>0</v>
      </c>
      <c r="AV17" s="1256">
        <f t="shared" si="8"/>
        <v>0</v>
      </c>
      <c r="AW17" s="1254"/>
      <c r="AX17" s="1255">
        <f t="shared" si="32"/>
        <v>0</v>
      </c>
      <c r="AY17" s="1256">
        <f t="shared" si="9"/>
        <v>0</v>
      </c>
      <c r="AZ17" s="1254"/>
      <c r="BA17" s="1255">
        <f t="shared" si="33"/>
        <v>0</v>
      </c>
      <c r="BB17" s="1256">
        <f t="shared" si="10"/>
        <v>0</v>
      </c>
    </row>
    <row r="18" spans="1:54" ht="13.5" customHeight="1">
      <c r="A18" s="931" t="e">
        <f>+IF(B18&gt;0,B18+#REF!,IF(C18&gt;#REF!,C18,0))</f>
        <v>#REF!</v>
      </c>
      <c r="B18" s="932" t="e">
        <f>+IF(#REF!&gt;=0.01,1,0)</f>
        <v>#REF!</v>
      </c>
      <c r="C18" s="934" t="e">
        <f>+B18+#REF!</f>
        <v>#REF!</v>
      </c>
      <c r="D18" s="935"/>
      <c r="E18" s="979" t="s">
        <v>613</v>
      </c>
      <c r="F18" s="945" t="s">
        <v>541</v>
      </c>
      <c r="G18" s="993"/>
      <c r="H18" s="994"/>
      <c r="I18" s="995"/>
      <c r="J18" s="996">
        <f>SUM(J19:J24)</f>
        <v>18406118.689999998</v>
      </c>
      <c r="K18" s="997"/>
      <c r="L18" s="996">
        <f>SUM(L19:L24)</f>
        <v>0</v>
      </c>
      <c r="M18" s="998"/>
      <c r="N18" s="996">
        <f>SUM(N19:N24)</f>
        <v>0</v>
      </c>
      <c r="O18" s="997"/>
      <c r="P18" s="996">
        <f>SUM(P19:P24)</f>
        <v>0</v>
      </c>
      <c r="Q18" s="998"/>
      <c r="R18" s="996">
        <f>SUM(R19:R24)</f>
        <v>18406118.689999998</v>
      </c>
      <c r="S18" s="1020">
        <f>(N18/J18)</f>
        <v>0</v>
      </c>
      <c r="T18" s="1123">
        <f>(P18/J18)</f>
        <v>0</v>
      </c>
      <c r="U18" s="1235">
        <f>(R18/J18)</f>
        <v>1</v>
      </c>
      <c r="V18" s="1248"/>
      <c r="W18" s="1249">
        <f>SUM(W19:W24)</f>
        <v>0</v>
      </c>
      <c r="X18" s="1250">
        <f t="shared" si="0"/>
        <v>0</v>
      </c>
      <c r="Y18" s="1248"/>
      <c r="Z18" s="1249">
        <f>SUM(Z19:Z24)</f>
        <v>0</v>
      </c>
      <c r="AA18" s="1250">
        <f t="shared" si="1"/>
        <v>0</v>
      </c>
      <c r="AB18" s="1248"/>
      <c r="AC18" s="1249">
        <f>SUM(AC19:AC24)</f>
        <v>0</v>
      </c>
      <c r="AD18" s="1250">
        <f t="shared" si="2"/>
        <v>0</v>
      </c>
      <c r="AE18" s="1248"/>
      <c r="AF18" s="1249">
        <f>SUM(AF19:AF24)</f>
        <v>0</v>
      </c>
      <c r="AG18" s="1250">
        <f t="shared" si="3"/>
        <v>0</v>
      </c>
      <c r="AH18" s="1248"/>
      <c r="AI18" s="1249">
        <f>SUM(AI19:AI24)</f>
        <v>0</v>
      </c>
      <c r="AJ18" s="1250">
        <f t="shared" si="4"/>
        <v>0</v>
      </c>
      <c r="AK18" s="1248"/>
      <c r="AL18" s="1249">
        <f>SUM(AL19:AL24)</f>
        <v>0</v>
      </c>
      <c r="AM18" s="1250">
        <f t="shared" si="5"/>
        <v>0</v>
      </c>
      <c r="AN18" s="1248"/>
      <c r="AO18" s="1249">
        <f>SUM(AO19:AO24)</f>
        <v>0</v>
      </c>
      <c r="AP18" s="1250">
        <f t="shared" si="6"/>
        <v>0</v>
      </c>
      <c r="AQ18" s="1248"/>
      <c r="AR18" s="1249">
        <f>SUM(AR19:AR24)</f>
        <v>0</v>
      </c>
      <c r="AS18" s="1250">
        <f t="shared" si="7"/>
        <v>0</v>
      </c>
      <c r="AT18" s="1248"/>
      <c r="AU18" s="1249">
        <f>SUM(AU19:AU24)</f>
        <v>0</v>
      </c>
      <c r="AV18" s="1250">
        <f t="shared" si="8"/>
        <v>0</v>
      </c>
      <c r="AW18" s="1248"/>
      <c r="AX18" s="1249">
        <f>SUM(AX19:AX24)</f>
        <v>0</v>
      </c>
      <c r="AY18" s="1250">
        <f t="shared" si="9"/>
        <v>0</v>
      </c>
      <c r="AZ18" s="1248"/>
      <c r="BA18" s="1249">
        <f>SUM(BA19:BA24)</f>
        <v>0</v>
      </c>
      <c r="BB18" s="1250">
        <f t="shared" si="10"/>
        <v>0</v>
      </c>
    </row>
    <row r="19" spans="1:54" ht="13.5" customHeight="1">
      <c r="A19" s="931" t="e">
        <f t="shared" si="11"/>
        <v>#REF!</v>
      </c>
      <c r="B19" s="932">
        <f t="shared" si="12"/>
        <v>0</v>
      </c>
      <c r="C19" s="934" t="e">
        <f t="shared" si="13"/>
        <v>#REF!</v>
      </c>
      <c r="D19" s="935" t="str">
        <f t="shared" ref="D19:D26" si="36">+E18&amp;". "&amp;F18</f>
        <v>3. REHABILITACION Y MANTENIMIENTO</v>
      </c>
      <c r="E19" s="980">
        <v>12</v>
      </c>
      <c r="F19" s="807" t="s">
        <v>542</v>
      </c>
      <c r="G19" s="968" t="s">
        <v>293</v>
      </c>
      <c r="H19" s="969">
        <v>61360</v>
      </c>
      <c r="I19" s="970">
        <v>18.399999999999999</v>
      </c>
      <c r="J19" s="66">
        <f t="shared" ref="J19:J24" si="37">ROUND(H19*I19,2)</f>
        <v>1129024</v>
      </c>
      <c r="K19" s="61">
        <f>SUMIF($V$3:$CH$3,"&lt;"&amp;Datos!$C$19,V19:CH19)</f>
        <v>0</v>
      </c>
      <c r="L19" s="71">
        <f t="shared" ref="L19:L24" si="38">+ROUND(I19*K19,2)</f>
        <v>0</v>
      </c>
      <c r="M19" s="971">
        <f>LOOKUP(Datos!$C$19,'Cant. Ejec,'!$V$3:$BB$3,'Cant. Ejec,'!$V19:$BB19)</f>
        <v>0</v>
      </c>
      <c r="N19" s="939">
        <f t="shared" ref="N19:N24" si="39">+ROUND(I19*M19,2)</f>
        <v>0</v>
      </c>
      <c r="O19" s="61">
        <f t="shared" ref="O19:O24" si="40">K19+M19</f>
        <v>0</v>
      </c>
      <c r="P19" s="939">
        <f t="shared" ref="P19:P24" si="41">L19+N19</f>
        <v>0</v>
      </c>
      <c r="Q19" s="61">
        <f t="shared" ref="Q19:Q24" si="42">H19-O19</f>
        <v>61360</v>
      </c>
      <c r="R19" s="939">
        <f t="shared" ref="R19:R24" si="43">+J19-P19</f>
        <v>1129024</v>
      </c>
      <c r="S19" s="827">
        <f t="shared" ref="S19:S24" si="44">(N19/J19)</f>
        <v>0</v>
      </c>
      <c r="T19" s="827">
        <f t="shared" ref="T19:T24" si="45">(P19/J19)</f>
        <v>0</v>
      </c>
      <c r="U19" s="1236">
        <f t="shared" ref="U19:U24" si="46">(R19/J19)</f>
        <v>1</v>
      </c>
      <c r="V19" s="1254"/>
      <c r="W19" s="1255">
        <f t="shared" ref="W19:W24" si="47">ROUND(V19*$I19,2)</f>
        <v>0</v>
      </c>
      <c r="X19" s="1256">
        <f t="shared" si="0"/>
        <v>0</v>
      </c>
      <c r="Y19" s="1254"/>
      <c r="Z19" s="1255">
        <f t="shared" ref="Z19:Z24" si="48">ROUND(Y19*$I19,2)</f>
        <v>0</v>
      </c>
      <c r="AA19" s="1256">
        <f t="shared" si="1"/>
        <v>0</v>
      </c>
      <c r="AB19" s="1254"/>
      <c r="AC19" s="1255">
        <f t="shared" ref="AC19:AC24" si="49">ROUND(AB19*$I19,2)</f>
        <v>0</v>
      </c>
      <c r="AD19" s="1256">
        <f t="shared" si="2"/>
        <v>0</v>
      </c>
      <c r="AE19" s="1254"/>
      <c r="AF19" s="1255">
        <f t="shared" ref="AF19:AF24" si="50">ROUND(AE19*$I19,2)</f>
        <v>0</v>
      </c>
      <c r="AG19" s="1256">
        <f t="shared" si="3"/>
        <v>0</v>
      </c>
      <c r="AH19" s="1254"/>
      <c r="AI19" s="1255">
        <f t="shared" ref="AI19:AI24" si="51">ROUND(AH19*$I19,2)</f>
        <v>0</v>
      </c>
      <c r="AJ19" s="1256">
        <f t="shared" si="4"/>
        <v>0</v>
      </c>
      <c r="AK19" s="1254"/>
      <c r="AL19" s="1255">
        <f t="shared" ref="AL19:AL24" si="52">ROUND(AK19*$I19,2)</f>
        <v>0</v>
      </c>
      <c r="AM19" s="1256">
        <f t="shared" si="5"/>
        <v>0</v>
      </c>
      <c r="AN19" s="1254"/>
      <c r="AO19" s="1255">
        <f t="shared" ref="AO19:AO24" si="53">ROUND(AN19*$I19,2)</f>
        <v>0</v>
      </c>
      <c r="AP19" s="1256">
        <f t="shared" si="6"/>
        <v>0</v>
      </c>
      <c r="AQ19" s="1254"/>
      <c r="AR19" s="1255">
        <f t="shared" ref="AR19:AR24" si="54">ROUND(AQ19*$I19,2)</f>
        <v>0</v>
      </c>
      <c r="AS19" s="1256">
        <f t="shared" si="7"/>
        <v>0</v>
      </c>
      <c r="AT19" s="1254"/>
      <c r="AU19" s="1255">
        <f t="shared" ref="AU19:AU24" si="55">ROUND(AT19*$I19,2)</f>
        <v>0</v>
      </c>
      <c r="AV19" s="1256">
        <f t="shared" si="8"/>
        <v>0</v>
      </c>
      <c r="AW19" s="1254"/>
      <c r="AX19" s="1255">
        <f t="shared" ref="AX19:AX24" si="56">ROUND(AW19*$I19,2)</f>
        <v>0</v>
      </c>
      <c r="AY19" s="1256">
        <f t="shared" si="9"/>
        <v>0</v>
      </c>
      <c r="AZ19" s="1254"/>
      <c r="BA19" s="1255">
        <f t="shared" ref="BA19:BA24" si="57">ROUND(AZ19*$I19,2)</f>
        <v>0</v>
      </c>
      <c r="BB19" s="1256">
        <f t="shared" si="10"/>
        <v>0</v>
      </c>
    </row>
    <row r="20" spans="1:54" ht="13.5" customHeight="1">
      <c r="A20" s="931" t="e">
        <f t="shared" si="11"/>
        <v>#REF!</v>
      </c>
      <c r="B20" s="932">
        <f t="shared" si="12"/>
        <v>0</v>
      </c>
      <c r="C20" s="934" t="e">
        <f t="shared" si="13"/>
        <v>#REF!</v>
      </c>
      <c r="D20" s="935" t="str">
        <f>+D19</f>
        <v>3. REHABILITACION Y MANTENIMIENTO</v>
      </c>
      <c r="E20" s="980">
        <v>13</v>
      </c>
      <c r="F20" s="807" t="s">
        <v>543</v>
      </c>
      <c r="G20" s="968" t="s">
        <v>291</v>
      </c>
      <c r="H20" s="969">
        <v>9907</v>
      </c>
      <c r="I20" s="970">
        <v>129.19</v>
      </c>
      <c r="J20" s="66">
        <f t="shared" si="37"/>
        <v>1279885.33</v>
      </c>
      <c r="K20" s="61">
        <f>SUMIF($V$3:$CH$3,"&lt;"&amp;Datos!$C$19,V20:CH20)</f>
        <v>0</v>
      </c>
      <c r="L20" s="71">
        <f t="shared" si="38"/>
        <v>0</v>
      </c>
      <c r="M20" s="971">
        <f>LOOKUP(Datos!$C$19,'Cant. Ejec,'!$V$3:$BB$3,'Cant. Ejec,'!$V20:$BB20)</f>
        <v>0</v>
      </c>
      <c r="N20" s="939">
        <f t="shared" si="39"/>
        <v>0</v>
      </c>
      <c r="O20" s="61">
        <f t="shared" si="40"/>
        <v>0</v>
      </c>
      <c r="P20" s="939">
        <f t="shared" si="41"/>
        <v>0</v>
      </c>
      <c r="Q20" s="61">
        <f t="shared" si="42"/>
        <v>9907</v>
      </c>
      <c r="R20" s="939">
        <f t="shared" si="43"/>
        <v>1279885.33</v>
      </c>
      <c r="S20" s="827">
        <f t="shared" si="44"/>
        <v>0</v>
      </c>
      <c r="T20" s="827">
        <f t="shared" si="45"/>
        <v>0</v>
      </c>
      <c r="U20" s="1236">
        <f t="shared" si="46"/>
        <v>1</v>
      </c>
      <c r="V20" s="1254"/>
      <c r="W20" s="1255">
        <f t="shared" si="47"/>
        <v>0</v>
      </c>
      <c r="X20" s="1256">
        <f t="shared" si="0"/>
        <v>0</v>
      </c>
      <c r="Y20" s="1254"/>
      <c r="Z20" s="1255">
        <f t="shared" si="48"/>
        <v>0</v>
      </c>
      <c r="AA20" s="1256">
        <f t="shared" si="1"/>
        <v>0</v>
      </c>
      <c r="AB20" s="1254"/>
      <c r="AC20" s="1255">
        <f t="shared" si="49"/>
        <v>0</v>
      </c>
      <c r="AD20" s="1256">
        <f t="shared" si="2"/>
        <v>0</v>
      </c>
      <c r="AE20" s="1254"/>
      <c r="AF20" s="1255">
        <f t="shared" si="50"/>
        <v>0</v>
      </c>
      <c r="AG20" s="1256">
        <f t="shared" si="3"/>
        <v>0</v>
      </c>
      <c r="AH20" s="1254"/>
      <c r="AI20" s="1255">
        <f t="shared" si="51"/>
        <v>0</v>
      </c>
      <c r="AJ20" s="1256">
        <f t="shared" si="4"/>
        <v>0</v>
      </c>
      <c r="AK20" s="1254"/>
      <c r="AL20" s="1255">
        <f t="shared" si="52"/>
        <v>0</v>
      </c>
      <c r="AM20" s="1256">
        <f t="shared" si="5"/>
        <v>0</v>
      </c>
      <c r="AN20" s="1254"/>
      <c r="AO20" s="1255">
        <f t="shared" si="53"/>
        <v>0</v>
      </c>
      <c r="AP20" s="1256">
        <f t="shared" si="6"/>
        <v>0</v>
      </c>
      <c r="AQ20" s="1254"/>
      <c r="AR20" s="1255">
        <f t="shared" si="54"/>
        <v>0</v>
      </c>
      <c r="AS20" s="1256">
        <f t="shared" si="7"/>
        <v>0</v>
      </c>
      <c r="AT20" s="1254"/>
      <c r="AU20" s="1255">
        <f t="shared" si="55"/>
        <v>0</v>
      </c>
      <c r="AV20" s="1256">
        <f t="shared" si="8"/>
        <v>0</v>
      </c>
      <c r="AW20" s="1254"/>
      <c r="AX20" s="1255">
        <f t="shared" si="56"/>
        <v>0</v>
      </c>
      <c r="AY20" s="1256">
        <f t="shared" si="9"/>
        <v>0</v>
      </c>
      <c r="AZ20" s="1254"/>
      <c r="BA20" s="1255">
        <f t="shared" si="57"/>
        <v>0</v>
      </c>
      <c r="BB20" s="1256">
        <f t="shared" si="10"/>
        <v>0</v>
      </c>
    </row>
    <row r="21" spans="1:54" ht="13.5" customHeight="1">
      <c r="A21" s="931" t="e">
        <f t="shared" si="11"/>
        <v>#REF!</v>
      </c>
      <c r="B21" s="932">
        <f t="shared" si="12"/>
        <v>0</v>
      </c>
      <c r="C21" s="934" t="e">
        <f t="shared" si="13"/>
        <v>#REF!</v>
      </c>
      <c r="D21" s="935" t="str">
        <f t="shared" ref="D21:D24" si="58">+D20</f>
        <v>3. REHABILITACION Y MANTENIMIENTO</v>
      </c>
      <c r="E21" s="980">
        <v>14</v>
      </c>
      <c r="F21" s="810" t="s">
        <v>544</v>
      </c>
      <c r="G21" s="806" t="s">
        <v>537</v>
      </c>
      <c r="H21" s="36">
        <v>6.14</v>
      </c>
      <c r="I21" s="800">
        <v>8520.98</v>
      </c>
      <c r="J21" s="66">
        <f t="shared" si="37"/>
        <v>52318.82</v>
      </c>
      <c r="K21" s="61">
        <f>SUMIF($V$3:$CH$3,"&lt;"&amp;Datos!$C$19,V21:CH21)</f>
        <v>0</v>
      </c>
      <c r="L21" s="71">
        <f t="shared" si="38"/>
        <v>0</v>
      </c>
      <c r="M21" s="971">
        <f>LOOKUP(Datos!$C$19,'Cant. Ejec,'!$V$3:$BB$3,'Cant. Ejec,'!$V21:$BB21)</f>
        <v>0</v>
      </c>
      <c r="N21" s="939">
        <f t="shared" si="39"/>
        <v>0</v>
      </c>
      <c r="O21" s="61">
        <f t="shared" si="40"/>
        <v>0</v>
      </c>
      <c r="P21" s="939">
        <f t="shared" si="41"/>
        <v>0</v>
      </c>
      <c r="Q21" s="61">
        <f t="shared" si="42"/>
        <v>6.14</v>
      </c>
      <c r="R21" s="939">
        <f t="shared" si="43"/>
        <v>52318.82</v>
      </c>
      <c r="S21" s="827">
        <f t="shared" si="44"/>
        <v>0</v>
      </c>
      <c r="T21" s="827">
        <f t="shared" si="45"/>
        <v>0</v>
      </c>
      <c r="U21" s="1236">
        <f t="shared" si="46"/>
        <v>1</v>
      </c>
      <c r="V21" s="1254"/>
      <c r="W21" s="1255">
        <f t="shared" si="47"/>
        <v>0</v>
      </c>
      <c r="X21" s="1256">
        <f t="shared" si="0"/>
        <v>0</v>
      </c>
      <c r="Y21" s="1254"/>
      <c r="Z21" s="1255">
        <f t="shared" si="48"/>
        <v>0</v>
      </c>
      <c r="AA21" s="1256">
        <f t="shared" si="1"/>
        <v>0</v>
      </c>
      <c r="AB21" s="1254"/>
      <c r="AC21" s="1255">
        <f t="shared" si="49"/>
        <v>0</v>
      </c>
      <c r="AD21" s="1256">
        <f t="shared" si="2"/>
        <v>0</v>
      </c>
      <c r="AE21" s="1254"/>
      <c r="AF21" s="1255">
        <f t="shared" si="50"/>
        <v>0</v>
      </c>
      <c r="AG21" s="1256">
        <f t="shared" si="3"/>
        <v>0</v>
      </c>
      <c r="AH21" s="1254"/>
      <c r="AI21" s="1255">
        <f t="shared" si="51"/>
        <v>0</v>
      </c>
      <c r="AJ21" s="1256">
        <f t="shared" si="4"/>
        <v>0</v>
      </c>
      <c r="AK21" s="1254"/>
      <c r="AL21" s="1255">
        <f t="shared" si="52"/>
        <v>0</v>
      </c>
      <c r="AM21" s="1256">
        <f t="shared" si="5"/>
        <v>0</v>
      </c>
      <c r="AN21" s="1254"/>
      <c r="AO21" s="1255">
        <f t="shared" si="53"/>
        <v>0</v>
      </c>
      <c r="AP21" s="1256">
        <f t="shared" si="6"/>
        <v>0</v>
      </c>
      <c r="AQ21" s="1254"/>
      <c r="AR21" s="1255">
        <f t="shared" si="54"/>
        <v>0</v>
      </c>
      <c r="AS21" s="1256">
        <f t="shared" si="7"/>
        <v>0</v>
      </c>
      <c r="AT21" s="1254"/>
      <c r="AU21" s="1255">
        <f t="shared" si="55"/>
        <v>0</v>
      </c>
      <c r="AV21" s="1256">
        <f t="shared" si="8"/>
        <v>0</v>
      </c>
      <c r="AW21" s="1254"/>
      <c r="AX21" s="1255">
        <f t="shared" si="56"/>
        <v>0</v>
      </c>
      <c r="AY21" s="1256">
        <f t="shared" si="9"/>
        <v>0</v>
      </c>
      <c r="AZ21" s="1254"/>
      <c r="BA21" s="1255">
        <f t="shared" si="57"/>
        <v>0</v>
      </c>
      <c r="BB21" s="1256">
        <f t="shared" si="10"/>
        <v>0</v>
      </c>
    </row>
    <row r="22" spans="1:54" ht="13.5" customHeight="1">
      <c r="A22" s="931" t="e">
        <f t="shared" si="11"/>
        <v>#REF!</v>
      </c>
      <c r="B22" s="932">
        <f t="shared" si="12"/>
        <v>0</v>
      </c>
      <c r="C22" s="934" t="e">
        <f t="shared" si="13"/>
        <v>#REF!</v>
      </c>
      <c r="D22" s="935" t="str">
        <f t="shared" si="58"/>
        <v>3. REHABILITACION Y MANTENIMIENTO</v>
      </c>
      <c r="E22" s="980">
        <v>15</v>
      </c>
      <c r="F22" s="803" t="s">
        <v>545</v>
      </c>
      <c r="G22" s="806" t="s">
        <v>537</v>
      </c>
      <c r="H22" s="36">
        <v>69.349999999999994</v>
      </c>
      <c r="I22" s="800">
        <v>8520.98</v>
      </c>
      <c r="J22" s="66">
        <f t="shared" si="37"/>
        <v>590929.96</v>
      </c>
      <c r="K22" s="61">
        <f>SUMIF($V$3:$CH$3,"&lt;"&amp;Datos!$C$19,V22:CH22)</f>
        <v>0</v>
      </c>
      <c r="L22" s="71">
        <f t="shared" si="38"/>
        <v>0</v>
      </c>
      <c r="M22" s="971">
        <f>LOOKUP(Datos!$C$19,'Cant. Ejec,'!$V$3:$BB$3,'Cant. Ejec,'!$V22:$BB22)</f>
        <v>0</v>
      </c>
      <c r="N22" s="939">
        <f t="shared" si="39"/>
        <v>0</v>
      </c>
      <c r="O22" s="61">
        <f t="shared" si="40"/>
        <v>0</v>
      </c>
      <c r="P22" s="939">
        <f t="shared" si="41"/>
        <v>0</v>
      </c>
      <c r="Q22" s="61">
        <f t="shared" si="42"/>
        <v>69.349999999999994</v>
      </c>
      <c r="R22" s="939">
        <f t="shared" si="43"/>
        <v>590929.96</v>
      </c>
      <c r="S22" s="827">
        <f t="shared" si="44"/>
        <v>0</v>
      </c>
      <c r="T22" s="827">
        <f t="shared" si="45"/>
        <v>0</v>
      </c>
      <c r="U22" s="1236">
        <f t="shared" si="46"/>
        <v>1</v>
      </c>
      <c r="V22" s="1254"/>
      <c r="W22" s="1255">
        <f t="shared" si="47"/>
        <v>0</v>
      </c>
      <c r="X22" s="1256">
        <f t="shared" si="0"/>
        <v>0</v>
      </c>
      <c r="Y22" s="1254"/>
      <c r="Z22" s="1255">
        <f t="shared" si="48"/>
        <v>0</v>
      </c>
      <c r="AA22" s="1256">
        <f t="shared" si="1"/>
        <v>0</v>
      </c>
      <c r="AB22" s="1254"/>
      <c r="AC22" s="1255">
        <f t="shared" si="49"/>
        <v>0</v>
      </c>
      <c r="AD22" s="1256">
        <f t="shared" si="2"/>
        <v>0</v>
      </c>
      <c r="AE22" s="1254"/>
      <c r="AF22" s="1255">
        <f t="shared" si="50"/>
        <v>0</v>
      </c>
      <c r="AG22" s="1256">
        <f t="shared" si="3"/>
        <v>0</v>
      </c>
      <c r="AH22" s="1254"/>
      <c r="AI22" s="1255">
        <f t="shared" si="51"/>
        <v>0</v>
      </c>
      <c r="AJ22" s="1256">
        <f t="shared" si="4"/>
        <v>0</v>
      </c>
      <c r="AK22" s="1254"/>
      <c r="AL22" s="1255">
        <f t="shared" si="52"/>
        <v>0</v>
      </c>
      <c r="AM22" s="1256">
        <f t="shared" si="5"/>
        <v>0</v>
      </c>
      <c r="AN22" s="1254"/>
      <c r="AO22" s="1255">
        <f t="shared" si="53"/>
        <v>0</v>
      </c>
      <c r="AP22" s="1256">
        <f t="shared" si="6"/>
        <v>0</v>
      </c>
      <c r="AQ22" s="1254"/>
      <c r="AR22" s="1255">
        <f t="shared" si="54"/>
        <v>0</v>
      </c>
      <c r="AS22" s="1256">
        <f t="shared" si="7"/>
        <v>0</v>
      </c>
      <c r="AT22" s="1254"/>
      <c r="AU22" s="1255">
        <f t="shared" si="55"/>
        <v>0</v>
      </c>
      <c r="AV22" s="1256">
        <f t="shared" si="8"/>
        <v>0</v>
      </c>
      <c r="AW22" s="1254"/>
      <c r="AX22" s="1255">
        <f t="shared" si="56"/>
        <v>0</v>
      </c>
      <c r="AY22" s="1256">
        <f t="shared" si="9"/>
        <v>0</v>
      </c>
      <c r="AZ22" s="1254"/>
      <c r="BA22" s="1255">
        <f t="shared" si="57"/>
        <v>0</v>
      </c>
      <c r="BB22" s="1256">
        <f t="shared" si="10"/>
        <v>0</v>
      </c>
    </row>
    <row r="23" spans="1:54" ht="13.5" customHeight="1">
      <c r="A23" s="931" t="e">
        <f t="shared" si="11"/>
        <v>#REF!</v>
      </c>
      <c r="B23" s="932">
        <f t="shared" si="12"/>
        <v>0</v>
      </c>
      <c r="C23" s="934" t="e">
        <f t="shared" si="13"/>
        <v>#REF!</v>
      </c>
      <c r="D23" s="935" t="str">
        <f t="shared" si="58"/>
        <v>3. REHABILITACION Y MANTENIMIENTO</v>
      </c>
      <c r="E23" s="980">
        <v>16</v>
      </c>
      <c r="F23" s="803" t="s">
        <v>546</v>
      </c>
      <c r="G23" s="806" t="s">
        <v>291</v>
      </c>
      <c r="H23" s="36">
        <v>180894</v>
      </c>
      <c r="I23" s="800">
        <v>65.069999999999993</v>
      </c>
      <c r="J23" s="66">
        <f t="shared" si="37"/>
        <v>11770772.58</v>
      </c>
      <c r="K23" s="61">
        <f>SUMIF($V$3:$CH$3,"&lt;"&amp;Datos!$C$19,V23:CH23)</f>
        <v>0</v>
      </c>
      <c r="L23" s="71">
        <f t="shared" si="38"/>
        <v>0</v>
      </c>
      <c r="M23" s="971">
        <f>LOOKUP(Datos!$C$19,'Cant. Ejec,'!$V$3:$BB$3,'Cant. Ejec,'!$V23:$BB23)</f>
        <v>0</v>
      </c>
      <c r="N23" s="939">
        <f t="shared" si="39"/>
        <v>0</v>
      </c>
      <c r="O23" s="61">
        <f t="shared" si="40"/>
        <v>0</v>
      </c>
      <c r="P23" s="939">
        <f t="shared" si="41"/>
        <v>0</v>
      </c>
      <c r="Q23" s="61">
        <f t="shared" si="42"/>
        <v>180894</v>
      </c>
      <c r="R23" s="939">
        <f t="shared" si="43"/>
        <v>11770772.58</v>
      </c>
      <c r="S23" s="827">
        <f t="shared" si="44"/>
        <v>0</v>
      </c>
      <c r="T23" s="827">
        <f t="shared" si="45"/>
        <v>0</v>
      </c>
      <c r="U23" s="1236">
        <f t="shared" si="46"/>
        <v>1</v>
      </c>
      <c r="V23" s="1254"/>
      <c r="W23" s="1255">
        <f t="shared" si="47"/>
        <v>0</v>
      </c>
      <c r="X23" s="1256">
        <f t="shared" si="0"/>
        <v>0</v>
      </c>
      <c r="Y23" s="1254"/>
      <c r="Z23" s="1255">
        <f t="shared" si="48"/>
        <v>0</v>
      </c>
      <c r="AA23" s="1256">
        <f t="shared" si="1"/>
        <v>0</v>
      </c>
      <c r="AB23" s="1254"/>
      <c r="AC23" s="1255">
        <f t="shared" si="49"/>
        <v>0</v>
      </c>
      <c r="AD23" s="1256">
        <f t="shared" si="2"/>
        <v>0</v>
      </c>
      <c r="AE23" s="1254"/>
      <c r="AF23" s="1255">
        <f t="shared" si="50"/>
        <v>0</v>
      </c>
      <c r="AG23" s="1256">
        <f t="shared" si="3"/>
        <v>0</v>
      </c>
      <c r="AH23" s="1254"/>
      <c r="AI23" s="1255">
        <f t="shared" si="51"/>
        <v>0</v>
      </c>
      <c r="AJ23" s="1256">
        <f t="shared" si="4"/>
        <v>0</v>
      </c>
      <c r="AK23" s="1254"/>
      <c r="AL23" s="1255">
        <f t="shared" si="52"/>
        <v>0</v>
      </c>
      <c r="AM23" s="1256">
        <f t="shared" si="5"/>
        <v>0</v>
      </c>
      <c r="AN23" s="1254"/>
      <c r="AO23" s="1255">
        <f t="shared" si="53"/>
        <v>0</v>
      </c>
      <c r="AP23" s="1256">
        <f t="shared" si="6"/>
        <v>0</v>
      </c>
      <c r="AQ23" s="1254"/>
      <c r="AR23" s="1255">
        <f t="shared" si="54"/>
        <v>0</v>
      </c>
      <c r="AS23" s="1256">
        <f t="shared" si="7"/>
        <v>0</v>
      </c>
      <c r="AT23" s="1254"/>
      <c r="AU23" s="1255">
        <f t="shared" si="55"/>
        <v>0</v>
      </c>
      <c r="AV23" s="1256">
        <f t="shared" si="8"/>
        <v>0</v>
      </c>
      <c r="AW23" s="1254"/>
      <c r="AX23" s="1255">
        <f t="shared" si="56"/>
        <v>0</v>
      </c>
      <c r="AY23" s="1256">
        <f t="shared" si="9"/>
        <v>0</v>
      </c>
      <c r="AZ23" s="1254"/>
      <c r="BA23" s="1255">
        <f t="shared" si="57"/>
        <v>0</v>
      </c>
      <c r="BB23" s="1256">
        <f t="shared" si="10"/>
        <v>0</v>
      </c>
    </row>
    <row r="24" spans="1:54" ht="13.5" customHeight="1">
      <c r="A24" s="931" t="e">
        <f t="shared" si="11"/>
        <v>#REF!</v>
      </c>
      <c r="B24" s="932">
        <f t="shared" si="12"/>
        <v>0</v>
      </c>
      <c r="C24" s="934" t="e">
        <f t="shared" si="13"/>
        <v>#REF!</v>
      </c>
      <c r="D24" s="935" t="str">
        <f t="shared" si="58"/>
        <v>3. REHABILITACION Y MANTENIMIENTO</v>
      </c>
      <c r="E24" s="982">
        <v>17</v>
      </c>
      <c r="F24" s="808" t="s">
        <v>547</v>
      </c>
      <c r="G24" s="809" t="s">
        <v>291</v>
      </c>
      <c r="H24" s="46">
        <v>99120</v>
      </c>
      <c r="I24" s="802">
        <v>36.15</v>
      </c>
      <c r="J24" s="68">
        <f t="shared" si="37"/>
        <v>3583188</v>
      </c>
      <c r="K24" s="972">
        <f>SUMIF($V$3:$CH$3,"&lt;"&amp;Datos!$C$19,V24:CH24)</f>
        <v>0</v>
      </c>
      <c r="L24" s="973">
        <f t="shared" si="38"/>
        <v>0</v>
      </c>
      <c r="M24" s="974">
        <f>LOOKUP(Datos!$C$19,'Cant. Ejec,'!$V$3:$BB$3,'Cant. Ejec,'!$V24:$BB24)</f>
        <v>0</v>
      </c>
      <c r="N24" s="96">
        <f t="shared" si="39"/>
        <v>0</v>
      </c>
      <c r="O24" s="972">
        <f t="shared" si="40"/>
        <v>0</v>
      </c>
      <c r="P24" s="96">
        <f t="shared" si="41"/>
        <v>0</v>
      </c>
      <c r="Q24" s="972">
        <f t="shared" si="42"/>
        <v>99120</v>
      </c>
      <c r="R24" s="96">
        <f t="shared" si="43"/>
        <v>3583188</v>
      </c>
      <c r="S24" s="975">
        <f t="shared" si="44"/>
        <v>0</v>
      </c>
      <c r="T24" s="975">
        <f t="shared" si="45"/>
        <v>0</v>
      </c>
      <c r="U24" s="1237">
        <f t="shared" si="46"/>
        <v>1</v>
      </c>
      <c r="V24" s="1254"/>
      <c r="W24" s="1255">
        <f t="shared" si="47"/>
        <v>0</v>
      </c>
      <c r="X24" s="1256">
        <f t="shared" si="0"/>
        <v>0</v>
      </c>
      <c r="Y24" s="1254"/>
      <c r="Z24" s="1255">
        <f t="shared" si="48"/>
        <v>0</v>
      </c>
      <c r="AA24" s="1256">
        <f t="shared" si="1"/>
        <v>0</v>
      </c>
      <c r="AB24" s="1254"/>
      <c r="AC24" s="1255">
        <f t="shared" si="49"/>
        <v>0</v>
      </c>
      <c r="AD24" s="1256">
        <f t="shared" si="2"/>
        <v>0</v>
      </c>
      <c r="AE24" s="1254"/>
      <c r="AF24" s="1255">
        <f t="shared" si="50"/>
        <v>0</v>
      </c>
      <c r="AG24" s="1256">
        <f t="shared" si="3"/>
        <v>0</v>
      </c>
      <c r="AH24" s="1254"/>
      <c r="AI24" s="1255">
        <f t="shared" si="51"/>
        <v>0</v>
      </c>
      <c r="AJ24" s="1256">
        <f t="shared" si="4"/>
        <v>0</v>
      </c>
      <c r="AK24" s="1254"/>
      <c r="AL24" s="1255">
        <f t="shared" si="52"/>
        <v>0</v>
      </c>
      <c r="AM24" s="1256">
        <f t="shared" si="5"/>
        <v>0</v>
      </c>
      <c r="AN24" s="1254"/>
      <c r="AO24" s="1255">
        <f t="shared" si="53"/>
        <v>0</v>
      </c>
      <c r="AP24" s="1256">
        <f t="shared" si="6"/>
        <v>0</v>
      </c>
      <c r="AQ24" s="1254"/>
      <c r="AR24" s="1255">
        <f t="shared" si="54"/>
        <v>0</v>
      </c>
      <c r="AS24" s="1256">
        <f t="shared" si="7"/>
        <v>0</v>
      </c>
      <c r="AT24" s="1254"/>
      <c r="AU24" s="1255">
        <f t="shared" si="55"/>
        <v>0</v>
      </c>
      <c r="AV24" s="1256">
        <f t="shared" si="8"/>
        <v>0</v>
      </c>
      <c r="AW24" s="1254"/>
      <c r="AX24" s="1255">
        <f t="shared" si="56"/>
        <v>0</v>
      </c>
      <c r="AY24" s="1256">
        <f t="shared" si="9"/>
        <v>0</v>
      </c>
      <c r="AZ24" s="1254"/>
      <c r="BA24" s="1255">
        <f t="shared" si="57"/>
        <v>0</v>
      </c>
      <c r="BB24" s="1256">
        <f t="shared" si="10"/>
        <v>0</v>
      </c>
    </row>
    <row r="25" spans="1:54" s="77" customFormat="1" ht="13.5" customHeight="1">
      <c r="A25" s="931" t="e">
        <f>+IF(B25&gt;0,B25+#REF!,IF(C25&gt;#REF!,C25,0))</f>
        <v>#REF!</v>
      </c>
      <c r="B25" s="932" t="e">
        <f>+IF(#REF!&gt;=0.01,1,0)</f>
        <v>#REF!</v>
      </c>
      <c r="C25" s="934" t="e">
        <f>+B25+#REF!</f>
        <v>#REF!</v>
      </c>
      <c r="D25" s="935"/>
      <c r="E25" s="979">
        <v>4</v>
      </c>
      <c r="F25" s="945" t="s">
        <v>292</v>
      </c>
      <c r="G25" s="993"/>
      <c r="H25" s="994"/>
      <c r="I25" s="995"/>
      <c r="J25" s="996">
        <f>SUM(J26:J65)</f>
        <v>16778276.030000001</v>
      </c>
      <c r="K25" s="997"/>
      <c r="L25" s="996">
        <f>SUM(L26:L65)</f>
        <v>0</v>
      </c>
      <c r="M25" s="998"/>
      <c r="N25" s="996">
        <f>SUM(N26:N65)</f>
        <v>0</v>
      </c>
      <c r="O25" s="997"/>
      <c r="P25" s="996">
        <f>SUM(P26:P65)</f>
        <v>0</v>
      </c>
      <c r="Q25" s="998"/>
      <c r="R25" s="996">
        <f>SUM(R26:R65)</f>
        <v>16778276.030000001</v>
      </c>
      <c r="S25" s="1020">
        <f>(N25/J25)</f>
        <v>0</v>
      </c>
      <c r="T25" s="1123">
        <f>(P25/J25)</f>
        <v>0</v>
      </c>
      <c r="U25" s="1235">
        <f>(R25/J25)</f>
        <v>1</v>
      </c>
      <c r="V25" s="1248"/>
      <c r="W25" s="1249">
        <f>SUM(W26:W65)</f>
        <v>0</v>
      </c>
      <c r="X25" s="1250">
        <f t="shared" si="0"/>
        <v>0</v>
      </c>
      <c r="Y25" s="1248"/>
      <c r="Z25" s="1249">
        <f>SUM(Z26:Z65)</f>
        <v>0</v>
      </c>
      <c r="AA25" s="1250">
        <f t="shared" si="1"/>
        <v>0</v>
      </c>
      <c r="AB25" s="1248"/>
      <c r="AC25" s="1249">
        <f>SUM(AC26:AC65)</f>
        <v>0</v>
      </c>
      <c r="AD25" s="1250">
        <f t="shared" si="2"/>
        <v>0</v>
      </c>
      <c r="AE25" s="1248"/>
      <c r="AF25" s="1249">
        <f>SUM(AF26:AF65)</f>
        <v>0</v>
      </c>
      <c r="AG25" s="1250">
        <f t="shared" si="3"/>
        <v>0</v>
      </c>
      <c r="AH25" s="1248"/>
      <c r="AI25" s="1249">
        <f>SUM(AI26:AI65)</f>
        <v>0</v>
      </c>
      <c r="AJ25" s="1250">
        <f t="shared" si="4"/>
        <v>0</v>
      </c>
      <c r="AK25" s="1248"/>
      <c r="AL25" s="1249">
        <f>SUM(AL26:AL65)</f>
        <v>0</v>
      </c>
      <c r="AM25" s="1250">
        <f t="shared" si="5"/>
        <v>0</v>
      </c>
      <c r="AN25" s="1248"/>
      <c r="AO25" s="1249">
        <f>SUM(AO26:AO65)</f>
        <v>0</v>
      </c>
      <c r="AP25" s="1250">
        <f t="shared" si="6"/>
        <v>0</v>
      </c>
      <c r="AQ25" s="1248"/>
      <c r="AR25" s="1249">
        <f>SUM(AR26:AR65)</f>
        <v>0</v>
      </c>
      <c r="AS25" s="1250">
        <f t="shared" si="7"/>
        <v>0</v>
      </c>
      <c r="AT25" s="1248"/>
      <c r="AU25" s="1249">
        <f>SUM(AU26:AU65)</f>
        <v>0</v>
      </c>
      <c r="AV25" s="1250">
        <f t="shared" si="8"/>
        <v>0</v>
      </c>
      <c r="AW25" s="1248"/>
      <c r="AX25" s="1249">
        <f>SUM(AX26:AX65)</f>
        <v>0</v>
      </c>
      <c r="AY25" s="1250">
        <f t="shared" si="9"/>
        <v>0</v>
      </c>
      <c r="AZ25" s="1248"/>
      <c r="BA25" s="1249">
        <f>SUM(BA26:BA65)</f>
        <v>0</v>
      </c>
      <c r="BB25" s="1250">
        <f t="shared" si="10"/>
        <v>0</v>
      </c>
    </row>
    <row r="26" spans="1:54" ht="13.5" customHeight="1">
      <c r="A26" s="931" t="e">
        <f t="shared" si="11"/>
        <v>#REF!</v>
      </c>
      <c r="B26" s="932">
        <f t="shared" si="12"/>
        <v>0</v>
      </c>
      <c r="C26" s="934" t="e">
        <f t="shared" si="13"/>
        <v>#REF!</v>
      </c>
      <c r="D26" s="935" t="str">
        <f t="shared" si="36"/>
        <v>4. OBRAS DE DRENAJE</v>
      </c>
      <c r="E26" s="980">
        <v>18</v>
      </c>
      <c r="F26" s="807" t="s">
        <v>548</v>
      </c>
      <c r="G26" s="829" t="s">
        <v>456</v>
      </c>
      <c r="H26" s="63">
        <v>5</v>
      </c>
      <c r="I26" s="63">
        <v>5170.03</v>
      </c>
      <c r="J26" s="64">
        <f>ROUND(H26*I26,2)</f>
        <v>25850.15</v>
      </c>
      <c r="K26" s="61">
        <f>SUMIF($V$3:$CH$3,"&lt;"&amp;Datos!$C$19,V26:CH26)</f>
        <v>0</v>
      </c>
      <c r="L26" s="71">
        <f t="shared" ref="L26:L46" si="59">+ROUND(I26*K26,2)</f>
        <v>0</v>
      </c>
      <c r="M26" s="62">
        <f>LOOKUP(Datos!$C$19,'Cant. Ejec,'!$V$3:$BB$3,'Cant. Ejec,'!$V26:$BB26)</f>
        <v>0</v>
      </c>
      <c r="N26" s="73">
        <f t="shared" ref="N26:N65" si="60">+ROUND(I26*M26,2)</f>
        <v>0</v>
      </c>
      <c r="O26" s="61">
        <f t="shared" ref="O26:P41" si="61">K26+M26</f>
        <v>0</v>
      </c>
      <c r="P26" s="939">
        <f t="shared" si="61"/>
        <v>0</v>
      </c>
      <c r="Q26" s="61">
        <f t="shared" ref="Q26:Q65" si="62">H26-O26</f>
        <v>5</v>
      </c>
      <c r="R26" s="939">
        <f t="shared" ref="R26:R65" si="63">+J26-P26</f>
        <v>25850.15</v>
      </c>
      <c r="S26" s="827">
        <f t="shared" ref="S26:S65" si="64">(N26/J26)</f>
        <v>0</v>
      </c>
      <c r="T26" s="827">
        <f t="shared" ref="T26:T65" si="65">(P26/J26)</f>
        <v>0</v>
      </c>
      <c r="U26" s="1236">
        <f t="shared" ref="U26:U65" si="66">(R26/J26)</f>
        <v>1</v>
      </c>
      <c r="V26" s="1254"/>
      <c r="W26" s="1255">
        <f t="shared" ref="W26:W31" si="67">ROUND(V26*$I26,2)</f>
        <v>0</v>
      </c>
      <c r="X26" s="1256">
        <f t="shared" si="0"/>
        <v>0</v>
      </c>
      <c r="Y26" s="1254"/>
      <c r="Z26" s="1255">
        <f t="shared" ref="Z26:Z31" si="68">ROUND(Y26*$I26,2)</f>
        <v>0</v>
      </c>
      <c r="AA26" s="1256">
        <f t="shared" si="1"/>
        <v>0</v>
      </c>
      <c r="AB26" s="1254"/>
      <c r="AC26" s="1255">
        <f t="shared" ref="AC26:AC31" si="69">ROUND(AB26*$I26,2)</f>
        <v>0</v>
      </c>
      <c r="AD26" s="1256">
        <f t="shared" si="2"/>
        <v>0</v>
      </c>
      <c r="AE26" s="1254"/>
      <c r="AF26" s="1255">
        <f t="shared" ref="AF26:AF31" si="70">ROUND(AE26*$I26,2)</f>
        <v>0</v>
      </c>
      <c r="AG26" s="1256">
        <f t="shared" si="3"/>
        <v>0</v>
      </c>
      <c r="AH26" s="1254"/>
      <c r="AI26" s="1255">
        <f t="shared" ref="AI26:AI31" si="71">ROUND(AH26*$I26,2)</f>
        <v>0</v>
      </c>
      <c r="AJ26" s="1256">
        <f t="shared" si="4"/>
        <v>0</v>
      </c>
      <c r="AK26" s="1254"/>
      <c r="AL26" s="1255">
        <f t="shared" ref="AL26:AL31" si="72">ROUND(AK26*$I26,2)</f>
        <v>0</v>
      </c>
      <c r="AM26" s="1256">
        <f t="shared" si="5"/>
        <v>0</v>
      </c>
      <c r="AN26" s="1254"/>
      <c r="AO26" s="1255">
        <f t="shared" ref="AO26:AO31" si="73">ROUND(AN26*$I26,2)</f>
        <v>0</v>
      </c>
      <c r="AP26" s="1256">
        <f t="shared" si="6"/>
        <v>0</v>
      </c>
      <c r="AQ26" s="1254"/>
      <c r="AR26" s="1255">
        <f t="shared" ref="AR26:AR31" si="74">ROUND(AQ26*$I26,2)</f>
        <v>0</v>
      </c>
      <c r="AS26" s="1256">
        <f t="shared" si="7"/>
        <v>0</v>
      </c>
      <c r="AT26" s="1254"/>
      <c r="AU26" s="1255">
        <f t="shared" ref="AU26:AU31" si="75">ROUND(AT26*$I26,2)</f>
        <v>0</v>
      </c>
      <c r="AV26" s="1256">
        <f t="shared" si="8"/>
        <v>0</v>
      </c>
      <c r="AW26" s="1254"/>
      <c r="AX26" s="1255">
        <f t="shared" ref="AX26:AX31" si="76">ROUND(AW26*$I26,2)</f>
        <v>0</v>
      </c>
      <c r="AY26" s="1256">
        <f t="shared" si="9"/>
        <v>0</v>
      </c>
      <c r="AZ26" s="1254"/>
      <c r="BA26" s="1255">
        <f t="shared" ref="BA26:BA31" si="77">ROUND(AZ26*$I26,2)</f>
        <v>0</v>
      </c>
      <c r="BB26" s="1256">
        <f t="shared" si="10"/>
        <v>0</v>
      </c>
    </row>
    <row r="27" spans="1:54" ht="13.5" customHeight="1">
      <c r="A27" s="931" t="e">
        <f t="shared" si="11"/>
        <v>#REF!</v>
      </c>
      <c r="B27" s="932">
        <f t="shared" si="12"/>
        <v>0</v>
      </c>
      <c r="C27" s="934" t="e">
        <f t="shared" si="13"/>
        <v>#REF!</v>
      </c>
      <c r="D27" s="935" t="str">
        <f>+D26</f>
        <v>4. OBRAS DE DRENAJE</v>
      </c>
      <c r="E27" s="980">
        <v>19</v>
      </c>
      <c r="F27" s="807" t="s">
        <v>549</v>
      </c>
      <c r="G27" s="977" t="s">
        <v>290</v>
      </c>
      <c r="H27" s="36">
        <v>15078</v>
      </c>
      <c r="I27" s="36">
        <v>34.61</v>
      </c>
      <c r="J27" s="66">
        <f t="shared" ref="J27:J65" si="78">ROUND(H27*I27,2)</f>
        <v>521849.58</v>
      </c>
      <c r="K27" s="61">
        <f>SUMIF($V$3:$CH$3,"&lt;"&amp;Datos!$C$19,V27:CH27)</f>
        <v>0</v>
      </c>
      <c r="L27" s="71">
        <f t="shared" si="59"/>
        <v>0</v>
      </c>
      <c r="M27" s="65">
        <f>LOOKUP(Datos!$C$19,'Cant. Ejec,'!$V$3:$BB$3,'Cant. Ejec,'!$V27:$BB27)</f>
        <v>0</v>
      </c>
      <c r="N27" s="939">
        <f t="shared" si="60"/>
        <v>0</v>
      </c>
      <c r="O27" s="61">
        <f t="shared" si="61"/>
        <v>0</v>
      </c>
      <c r="P27" s="939">
        <f t="shared" si="61"/>
        <v>0</v>
      </c>
      <c r="Q27" s="61">
        <f t="shared" si="62"/>
        <v>15078</v>
      </c>
      <c r="R27" s="939">
        <f t="shared" si="63"/>
        <v>521849.58</v>
      </c>
      <c r="S27" s="827">
        <f t="shared" si="64"/>
        <v>0</v>
      </c>
      <c r="T27" s="827">
        <f t="shared" si="65"/>
        <v>0</v>
      </c>
      <c r="U27" s="1236">
        <f t="shared" si="66"/>
        <v>1</v>
      </c>
      <c r="V27" s="1254"/>
      <c r="W27" s="1255">
        <f t="shared" si="67"/>
        <v>0</v>
      </c>
      <c r="X27" s="1256">
        <f t="shared" si="0"/>
        <v>0</v>
      </c>
      <c r="Y27" s="1254"/>
      <c r="Z27" s="1255">
        <f t="shared" si="68"/>
        <v>0</v>
      </c>
      <c r="AA27" s="1256">
        <f t="shared" si="1"/>
        <v>0</v>
      </c>
      <c r="AB27" s="1254"/>
      <c r="AC27" s="1255">
        <f t="shared" si="69"/>
        <v>0</v>
      </c>
      <c r="AD27" s="1256">
        <f t="shared" si="2"/>
        <v>0</v>
      </c>
      <c r="AE27" s="1254"/>
      <c r="AF27" s="1255">
        <f t="shared" si="70"/>
        <v>0</v>
      </c>
      <c r="AG27" s="1256">
        <f t="shared" si="3"/>
        <v>0</v>
      </c>
      <c r="AH27" s="1254"/>
      <c r="AI27" s="1255">
        <f t="shared" si="71"/>
        <v>0</v>
      </c>
      <c r="AJ27" s="1256">
        <f t="shared" si="4"/>
        <v>0</v>
      </c>
      <c r="AK27" s="1254"/>
      <c r="AL27" s="1255">
        <f t="shared" si="72"/>
        <v>0</v>
      </c>
      <c r="AM27" s="1256">
        <f t="shared" si="5"/>
        <v>0</v>
      </c>
      <c r="AN27" s="1254"/>
      <c r="AO27" s="1255">
        <f t="shared" si="73"/>
        <v>0</v>
      </c>
      <c r="AP27" s="1256">
        <f t="shared" si="6"/>
        <v>0</v>
      </c>
      <c r="AQ27" s="1254"/>
      <c r="AR27" s="1255">
        <f t="shared" si="74"/>
        <v>0</v>
      </c>
      <c r="AS27" s="1256">
        <f t="shared" si="7"/>
        <v>0</v>
      </c>
      <c r="AT27" s="1254"/>
      <c r="AU27" s="1255">
        <f t="shared" si="75"/>
        <v>0</v>
      </c>
      <c r="AV27" s="1256">
        <f t="shared" si="8"/>
        <v>0</v>
      </c>
      <c r="AW27" s="1254"/>
      <c r="AX27" s="1255">
        <f t="shared" si="76"/>
        <v>0</v>
      </c>
      <c r="AY27" s="1256">
        <f t="shared" si="9"/>
        <v>0</v>
      </c>
      <c r="AZ27" s="1254"/>
      <c r="BA27" s="1255">
        <f t="shared" si="77"/>
        <v>0</v>
      </c>
      <c r="BB27" s="1256">
        <f t="shared" si="10"/>
        <v>0</v>
      </c>
    </row>
    <row r="28" spans="1:54" ht="13.5" customHeight="1">
      <c r="A28" s="931" t="e">
        <f t="shared" si="11"/>
        <v>#REF!</v>
      </c>
      <c r="B28" s="932">
        <f t="shared" si="12"/>
        <v>0</v>
      </c>
      <c r="C28" s="934" t="e">
        <f t="shared" si="13"/>
        <v>#REF!</v>
      </c>
      <c r="D28" s="935" t="str">
        <f t="shared" ref="D28:D65" si="79">+D27</f>
        <v>4. OBRAS DE DRENAJE</v>
      </c>
      <c r="E28" s="980">
        <v>20</v>
      </c>
      <c r="F28" s="803" t="s">
        <v>550</v>
      </c>
      <c r="G28" s="977" t="s">
        <v>290</v>
      </c>
      <c r="H28" s="36">
        <v>4958</v>
      </c>
      <c r="I28" s="36">
        <v>72.510000000000005</v>
      </c>
      <c r="J28" s="66">
        <f t="shared" si="78"/>
        <v>359504.58</v>
      </c>
      <c r="K28" s="61">
        <f>SUMIF($V$3:$CH$3,"&lt;"&amp;Datos!$C$19,V28:CH28)</f>
        <v>0</v>
      </c>
      <c r="L28" s="71">
        <f t="shared" si="59"/>
        <v>0</v>
      </c>
      <c r="M28" s="65">
        <f>LOOKUP(Datos!$C$19,'Cant. Ejec,'!$V$3:$BB$3,'Cant. Ejec,'!$V28:$BB28)</f>
        <v>0</v>
      </c>
      <c r="N28" s="939">
        <f t="shared" si="60"/>
        <v>0</v>
      </c>
      <c r="O28" s="61">
        <f t="shared" si="61"/>
        <v>0</v>
      </c>
      <c r="P28" s="939">
        <f t="shared" si="61"/>
        <v>0</v>
      </c>
      <c r="Q28" s="61">
        <f t="shared" si="62"/>
        <v>4958</v>
      </c>
      <c r="R28" s="939">
        <f t="shared" si="63"/>
        <v>359504.58</v>
      </c>
      <c r="S28" s="827">
        <f t="shared" si="64"/>
        <v>0</v>
      </c>
      <c r="T28" s="827">
        <f t="shared" si="65"/>
        <v>0</v>
      </c>
      <c r="U28" s="1236">
        <f t="shared" si="66"/>
        <v>1</v>
      </c>
      <c r="V28" s="1254"/>
      <c r="W28" s="1255">
        <f t="shared" si="67"/>
        <v>0</v>
      </c>
      <c r="X28" s="1256">
        <f t="shared" si="0"/>
        <v>0</v>
      </c>
      <c r="Y28" s="1254"/>
      <c r="Z28" s="1255">
        <f t="shared" si="68"/>
        <v>0</v>
      </c>
      <c r="AA28" s="1256">
        <f t="shared" si="1"/>
        <v>0</v>
      </c>
      <c r="AB28" s="1254"/>
      <c r="AC28" s="1255">
        <f t="shared" si="69"/>
        <v>0</v>
      </c>
      <c r="AD28" s="1256">
        <f t="shared" si="2"/>
        <v>0</v>
      </c>
      <c r="AE28" s="1254"/>
      <c r="AF28" s="1255">
        <f t="shared" si="70"/>
        <v>0</v>
      </c>
      <c r="AG28" s="1256">
        <f t="shared" si="3"/>
        <v>0</v>
      </c>
      <c r="AH28" s="1254"/>
      <c r="AI28" s="1255">
        <f t="shared" si="71"/>
        <v>0</v>
      </c>
      <c r="AJ28" s="1256">
        <f t="shared" si="4"/>
        <v>0</v>
      </c>
      <c r="AK28" s="1254"/>
      <c r="AL28" s="1255">
        <f t="shared" si="72"/>
        <v>0</v>
      </c>
      <c r="AM28" s="1256">
        <f t="shared" si="5"/>
        <v>0</v>
      </c>
      <c r="AN28" s="1254"/>
      <c r="AO28" s="1255">
        <f t="shared" si="73"/>
        <v>0</v>
      </c>
      <c r="AP28" s="1256">
        <f t="shared" si="6"/>
        <v>0</v>
      </c>
      <c r="AQ28" s="1254"/>
      <c r="AR28" s="1255">
        <f t="shared" si="74"/>
        <v>0</v>
      </c>
      <c r="AS28" s="1256">
        <f t="shared" si="7"/>
        <v>0</v>
      </c>
      <c r="AT28" s="1254"/>
      <c r="AU28" s="1255">
        <f t="shared" si="75"/>
        <v>0</v>
      </c>
      <c r="AV28" s="1256">
        <f t="shared" si="8"/>
        <v>0</v>
      </c>
      <c r="AW28" s="1254"/>
      <c r="AX28" s="1255">
        <f t="shared" si="76"/>
        <v>0</v>
      </c>
      <c r="AY28" s="1256">
        <f t="shared" si="9"/>
        <v>0</v>
      </c>
      <c r="AZ28" s="1254"/>
      <c r="BA28" s="1255">
        <f t="shared" si="77"/>
        <v>0</v>
      </c>
      <c r="BB28" s="1256">
        <f t="shared" si="10"/>
        <v>0</v>
      </c>
    </row>
    <row r="29" spans="1:54" ht="13.8">
      <c r="A29" s="931" t="e">
        <f t="shared" si="11"/>
        <v>#REF!</v>
      </c>
      <c r="B29" s="932">
        <f t="shared" si="12"/>
        <v>0</v>
      </c>
      <c r="C29" s="934" t="e">
        <f t="shared" si="13"/>
        <v>#REF!</v>
      </c>
      <c r="D29" s="935" t="str">
        <f t="shared" si="79"/>
        <v>4. OBRAS DE DRENAJE</v>
      </c>
      <c r="E29" s="980">
        <v>21</v>
      </c>
      <c r="F29" s="803" t="s">
        <v>551</v>
      </c>
      <c r="G29" s="977" t="s">
        <v>290</v>
      </c>
      <c r="H29" s="36">
        <v>1786</v>
      </c>
      <c r="I29" s="36">
        <v>2112.84</v>
      </c>
      <c r="J29" s="66">
        <f t="shared" si="78"/>
        <v>3773532.24</v>
      </c>
      <c r="K29" s="61">
        <f>SUMIF($V$3:$CH$3,"&lt;"&amp;Datos!$C$19,V29:CH29)</f>
        <v>0</v>
      </c>
      <c r="L29" s="71">
        <f t="shared" si="59"/>
        <v>0</v>
      </c>
      <c r="M29" s="65">
        <f>LOOKUP(Datos!$C$19,'Cant. Ejec,'!$V$3:$BB$3,'Cant. Ejec,'!$V29:$BB29)</f>
        <v>0</v>
      </c>
      <c r="N29" s="939">
        <f t="shared" si="60"/>
        <v>0</v>
      </c>
      <c r="O29" s="61">
        <f t="shared" si="61"/>
        <v>0</v>
      </c>
      <c r="P29" s="939">
        <f t="shared" si="61"/>
        <v>0</v>
      </c>
      <c r="Q29" s="61">
        <f t="shared" si="62"/>
        <v>1786</v>
      </c>
      <c r="R29" s="939">
        <f t="shared" si="63"/>
        <v>3773532.24</v>
      </c>
      <c r="S29" s="827">
        <f t="shared" si="64"/>
        <v>0</v>
      </c>
      <c r="T29" s="827">
        <f t="shared" si="65"/>
        <v>0</v>
      </c>
      <c r="U29" s="1236">
        <f t="shared" si="66"/>
        <v>1</v>
      </c>
      <c r="V29" s="1254"/>
      <c r="W29" s="1255">
        <f t="shared" si="67"/>
        <v>0</v>
      </c>
      <c r="X29" s="1256">
        <f t="shared" si="0"/>
        <v>0</v>
      </c>
      <c r="Y29" s="1254"/>
      <c r="Z29" s="1255">
        <f t="shared" si="68"/>
        <v>0</v>
      </c>
      <c r="AA29" s="1256">
        <f t="shared" si="1"/>
        <v>0</v>
      </c>
      <c r="AB29" s="1254"/>
      <c r="AC29" s="1255">
        <f t="shared" si="69"/>
        <v>0</v>
      </c>
      <c r="AD29" s="1256">
        <f t="shared" si="2"/>
        <v>0</v>
      </c>
      <c r="AE29" s="1254"/>
      <c r="AF29" s="1255">
        <f t="shared" si="70"/>
        <v>0</v>
      </c>
      <c r="AG29" s="1256">
        <f t="shared" si="3"/>
        <v>0</v>
      </c>
      <c r="AH29" s="1254"/>
      <c r="AI29" s="1255">
        <f t="shared" si="71"/>
        <v>0</v>
      </c>
      <c r="AJ29" s="1256">
        <f t="shared" si="4"/>
        <v>0</v>
      </c>
      <c r="AK29" s="1254"/>
      <c r="AL29" s="1255">
        <f t="shared" si="72"/>
        <v>0</v>
      </c>
      <c r="AM29" s="1256">
        <f t="shared" si="5"/>
        <v>0</v>
      </c>
      <c r="AN29" s="1254"/>
      <c r="AO29" s="1255">
        <f t="shared" si="73"/>
        <v>0</v>
      </c>
      <c r="AP29" s="1256">
        <f t="shared" si="6"/>
        <v>0</v>
      </c>
      <c r="AQ29" s="1254"/>
      <c r="AR29" s="1255">
        <f t="shared" si="74"/>
        <v>0</v>
      </c>
      <c r="AS29" s="1256">
        <f t="shared" si="7"/>
        <v>0</v>
      </c>
      <c r="AT29" s="1254"/>
      <c r="AU29" s="1255">
        <f t="shared" si="75"/>
        <v>0</v>
      </c>
      <c r="AV29" s="1256">
        <f t="shared" si="8"/>
        <v>0</v>
      </c>
      <c r="AW29" s="1254"/>
      <c r="AX29" s="1255">
        <f t="shared" si="76"/>
        <v>0</v>
      </c>
      <c r="AY29" s="1256">
        <f t="shared" si="9"/>
        <v>0</v>
      </c>
      <c r="AZ29" s="1254"/>
      <c r="BA29" s="1255">
        <f t="shared" si="77"/>
        <v>0</v>
      </c>
      <c r="BB29" s="1256">
        <f t="shared" si="10"/>
        <v>0</v>
      </c>
    </row>
    <row r="30" spans="1:54" ht="13.5" customHeight="1">
      <c r="A30" s="931" t="e">
        <f t="shared" si="11"/>
        <v>#REF!</v>
      </c>
      <c r="B30" s="932">
        <f t="shared" si="12"/>
        <v>0</v>
      </c>
      <c r="C30" s="934" t="e">
        <f t="shared" si="13"/>
        <v>#REF!</v>
      </c>
      <c r="D30" s="935" t="str">
        <f t="shared" si="79"/>
        <v>4. OBRAS DE DRENAJE</v>
      </c>
      <c r="E30" s="980">
        <v>22</v>
      </c>
      <c r="F30" s="810" t="s">
        <v>552</v>
      </c>
      <c r="G30" s="977" t="s">
        <v>295</v>
      </c>
      <c r="H30" s="36">
        <v>224933</v>
      </c>
      <c r="I30" s="36">
        <v>17.21</v>
      </c>
      <c r="J30" s="66">
        <f t="shared" si="78"/>
        <v>3871096.93</v>
      </c>
      <c r="K30" s="61">
        <f>SUMIF($V$3:$CH$3,"&lt;"&amp;Datos!$C$19,V30:CH30)</f>
        <v>0</v>
      </c>
      <c r="L30" s="71">
        <f t="shared" si="59"/>
        <v>0</v>
      </c>
      <c r="M30" s="65">
        <f>LOOKUP(Datos!$C$19,'Cant. Ejec,'!$V$3:$BB$3,'Cant. Ejec,'!$V30:$BB30)</f>
        <v>0</v>
      </c>
      <c r="N30" s="939">
        <f t="shared" si="60"/>
        <v>0</v>
      </c>
      <c r="O30" s="61">
        <f t="shared" si="61"/>
        <v>0</v>
      </c>
      <c r="P30" s="939">
        <f t="shared" si="61"/>
        <v>0</v>
      </c>
      <c r="Q30" s="61">
        <f t="shared" si="62"/>
        <v>224933</v>
      </c>
      <c r="R30" s="939">
        <f t="shared" si="63"/>
        <v>3871096.93</v>
      </c>
      <c r="S30" s="827">
        <f t="shared" si="64"/>
        <v>0</v>
      </c>
      <c r="T30" s="827">
        <f t="shared" si="65"/>
        <v>0</v>
      </c>
      <c r="U30" s="1236">
        <f t="shared" si="66"/>
        <v>1</v>
      </c>
      <c r="V30" s="1254"/>
      <c r="W30" s="1255">
        <f t="shared" si="67"/>
        <v>0</v>
      </c>
      <c r="X30" s="1256">
        <f t="shared" si="0"/>
        <v>0</v>
      </c>
      <c r="Y30" s="1254"/>
      <c r="Z30" s="1255">
        <f t="shared" si="68"/>
        <v>0</v>
      </c>
      <c r="AA30" s="1256">
        <f t="shared" si="1"/>
        <v>0</v>
      </c>
      <c r="AB30" s="1254"/>
      <c r="AC30" s="1255">
        <f t="shared" si="69"/>
        <v>0</v>
      </c>
      <c r="AD30" s="1256">
        <f t="shared" si="2"/>
        <v>0</v>
      </c>
      <c r="AE30" s="1254"/>
      <c r="AF30" s="1255">
        <f t="shared" si="70"/>
        <v>0</v>
      </c>
      <c r="AG30" s="1256">
        <f t="shared" si="3"/>
        <v>0</v>
      </c>
      <c r="AH30" s="1254"/>
      <c r="AI30" s="1255">
        <f t="shared" si="71"/>
        <v>0</v>
      </c>
      <c r="AJ30" s="1256">
        <f t="shared" si="4"/>
        <v>0</v>
      </c>
      <c r="AK30" s="1254"/>
      <c r="AL30" s="1255">
        <f t="shared" si="72"/>
        <v>0</v>
      </c>
      <c r="AM30" s="1256">
        <f t="shared" si="5"/>
        <v>0</v>
      </c>
      <c r="AN30" s="1254"/>
      <c r="AO30" s="1255">
        <f t="shared" si="73"/>
        <v>0</v>
      </c>
      <c r="AP30" s="1256">
        <f t="shared" si="6"/>
        <v>0</v>
      </c>
      <c r="AQ30" s="1254"/>
      <c r="AR30" s="1255">
        <f t="shared" si="74"/>
        <v>0</v>
      </c>
      <c r="AS30" s="1256">
        <f t="shared" si="7"/>
        <v>0</v>
      </c>
      <c r="AT30" s="1254"/>
      <c r="AU30" s="1255">
        <f t="shared" si="75"/>
        <v>0</v>
      </c>
      <c r="AV30" s="1256">
        <f t="shared" si="8"/>
        <v>0</v>
      </c>
      <c r="AW30" s="1254"/>
      <c r="AX30" s="1255">
        <f t="shared" si="76"/>
        <v>0</v>
      </c>
      <c r="AY30" s="1256">
        <f t="shared" si="9"/>
        <v>0</v>
      </c>
      <c r="AZ30" s="1254"/>
      <c r="BA30" s="1255">
        <f t="shared" si="77"/>
        <v>0</v>
      </c>
      <c r="BB30" s="1256">
        <f t="shared" si="10"/>
        <v>0</v>
      </c>
    </row>
    <row r="31" spans="1:54" ht="13.8">
      <c r="A31" s="931" t="e">
        <f t="shared" si="11"/>
        <v>#REF!</v>
      </c>
      <c r="B31" s="932">
        <f t="shared" si="12"/>
        <v>0</v>
      </c>
      <c r="C31" s="934" t="e">
        <f t="shared" si="13"/>
        <v>#REF!</v>
      </c>
      <c r="D31" s="935" t="str">
        <f t="shared" si="79"/>
        <v>4. OBRAS DE DRENAJE</v>
      </c>
      <c r="E31" s="980">
        <v>23</v>
      </c>
      <c r="F31" s="803" t="s">
        <v>553</v>
      </c>
      <c r="G31" s="977" t="s">
        <v>290</v>
      </c>
      <c r="H31" s="36">
        <v>20</v>
      </c>
      <c r="I31" s="38">
        <v>1634.17</v>
      </c>
      <c r="J31" s="66">
        <f t="shared" si="78"/>
        <v>32683.4</v>
      </c>
      <c r="K31" s="61">
        <f>SUMIF($V$3:$CH$3,"&lt;"&amp;Datos!$C$19,V31:CH31)</f>
        <v>0</v>
      </c>
      <c r="L31" s="71">
        <f t="shared" si="59"/>
        <v>0</v>
      </c>
      <c r="M31" s="65">
        <f>LOOKUP(Datos!$C$19,'Cant. Ejec,'!$V$3:$BB$3,'Cant. Ejec,'!$V31:$BB31)</f>
        <v>0</v>
      </c>
      <c r="N31" s="939">
        <f t="shared" si="60"/>
        <v>0</v>
      </c>
      <c r="O31" s="61">
        <f t="shared" si="61"/>
        <v>0</v>
      </c>
      <c r="P31" s="939">
        <f t="shared" si="61"/>
        <v>0</v>
      </c>
      <c r="Q31" s="61">
        <f t="shared" si="62"/>
        <v>20</v>
      </c>
      <c r="R31" s="939">
        <f t="shared" si="63"/>
        <v>32683.4</v>
      </c>
      <c r="S31" s="827">
        <f t="shared" si="64"/>
        <v>0</v>
      </c>
      <c r="T31" s="827">
        <f t="shared" si="65"/>
        <v>0</v>
      </c>
      <c r="U31" s="1236">
        <f t="shared" si="66"/>
        <v>1</v>
      </c>
      <c r="V31" s="1254"/>
      <c r="W31" s="1255">
        <f t="shared" si="67"/>
        <v>0</v>
      </c>
      <c r="X31" s="1256">
        <f t="shared" si="0"/>
        <v>0</v>
      </c>
      <c r="Y31" s="1254"/>
      <c r="Z31" s="1255">
        <f t="shared" si="68"/>
        <v>0</v>
      </c>
      <c r="AA31" s="1256">
        <f t="shared" si="1"/>
        <v>0</v>
      </c>
      <c r="AB31" s="1254"/>
      <c r="AC31" s="1255">
        <f t="shared" si="69"/>
        <v>0</v>
      </c>
      <c r="AD31" s="1256">
        <f t="shared" si="2"/>
        <v>0</v>
      </c>
      <c r="AE31" s="1254"/>
      <c r="AF31" s="1255">
        <f t="shared" si="70"/>
        <v>0</v>
      </c>
      <c r="AG31" s="1256">
        <f t="shared" si="3"/>
        <v>0</v>
      </c>
      <c r="AH31" s="1254"/>
      <c r="AI31" s="1255">
        <f t="shared" si="71"/>
        <v>0</v>
      </c>
      <c r="AJ31" s="1256">
        <f t="shared" si="4"/>
        <v>0</v>
      </c>
      <c r="AK31" s="1254"/>
      <c r="AL31" s="1255">
        <f t="shared" si="72"/>
        <v>0</v>
      </c>
      <c r="AM31" s="1256">
        <f t="shared" si="5"/>
        <v>0</v>
      </c>
      <c r="AN31" s="1254"/>
      <c r="AO31" s="1255">
        <f t="shared" si="73"/>
        <v>0</v>
      </c>
      <c r="AP31" s="1256">
        <f t="shared" si="6"/>
        <v>0</v>
      </c>
      <c r="AQ31" s="1254"/>
      <c r="AR31" s="1255">
        <f t="shared" si="74"/>
        <v>0</v>
      </c>
      <c r="AS31" s="1256">
        <f t="shared" si="7"/>
        <v>0</v>
      </c>
      <c r="AT31" s="1254"/>
      <c r="AU31" s="1255">
        <f t="shared" si="75"/>
        <v>0</v>
      </c>
      <c r="AV31" s="1256">
        <f t="shared" si="8"/>
        <v>0</v>
      </c>
      <c r="AW31" s="1254"/>
      <c r="AX31" s="1255">
        <f t="shared" si="76"/>
        <v>0</v>
      </c>
      <c r="AY31" s="1256">
        <f t="shared" si="9"/>
        <v>0</v>
      </c>
      <c r="AZ31" s="1254"/>
      <c r="BA31" s="1255">
        <f t="shared" si="77"/>
        <v>0</v>
      </c>
      <c r="BB31" s="1256">
        <f t="shared" si="10"/>
        <v>0</v>
      </c>
    </row>
    <row r="32" spans="1:54" ht="13.5" customHeight="1">
      <c r="A32" s="931" t="e">
        <f t="shared" si="11"/>
        <v>#REF!</v>
      </c>
      <c r="B32" s="932">
        <f t="shared" si="12"/>
        <v>0</v>
      </c>
      <c r="C32" s="934" t="e">
        <f t="shared" si="13"/>
        <v>#REF!</v>
      </c>
      <c r="D32" s="935" t="str">
        <f t="shared" si="79"/>
        <v>4. OBRAS DE DRENAJE</v>
      </c>
      <c r="E32" s="980">
        <v>24</v>
      </c>
      <c r="F32" s="803" t="s">
        <v>554</v>
      </c>
      <c r="G32" s="977" t="s">
        <v>290</v>
      </c>
      <c r="H32" s="36">
        <v>116</v>
      </c>
      <c r="I32" s="38">
        <v>1729.01</v>
      </c>
      <c r="J32" s="66">
        <f t="shared" si="78"/>
        <v>200565.16</v>
      </c>
      <c r="K32" s="61">
        <f>SUMIF($V$3:$CH$3,"&lt;"&amp;Datos!$C$19,V32:CH32)</f>
        <v>0</v>
      </c>
      <c r="L32" s="71">
        <f t="shared" si="59"/>
        <v>0</v>
      </c>
      <c r="M32" s="65">
        <f>LOOKUP(Datos!$C$19,'Cant. Ejec,'!$V$3:$BB$3,'Cant. Ejec,'!$V32:$BB32)</f>
        <v>0</v>
      </c>
      <c r="N32" s="939">
        <f t="shared" si="60"/>
        <v>0</v>
      </c>
      <c r="O32" s="61">
        <f t="shared" si="61"/>
        <v>0</v>
      </c>
      <c r="P32" s="939">
        <f t="shared" si="61"/>
        <v>0</v>
      </c>
      <c r="Q32" s="61">
        <f t="shared" si="62"/>
        <v>116</v>
      </c>
      <c r="R32" s="939">
        <f t="shared" si="63"/>
        <v>200565.16</v>
      </c>
      <c r="S32" s="827">
        <f t="shared" si="64"/>
        <v>0</v>
      </c>
      <c r="T32" s="827">
        <f t="shared" si="65"/>
        <v>0</v>
      </c>
      <c r="U32" s="1236">
        <f t="shared" si="66"/>
        <v>1</v>
      </c>
      <c r="V32" s="1254"/>
      <c r="W32" s="1255">
        <f t="shared" ref="W32:W65" si="80">ROUND(V32*$I32,2)</f>
        <v>0</v>
      </c>
      <c r="X32" s="1256">
        <f t="shared" ref="X32:X65" si="81">+W32/$J32</f>
        <v>0</v>
      </c>
      <c r="Y32" s="1254"/>
      <c r="Z32" s="1255">
        <f t="shared" ref="Z32:Z65" si="82">ROUND(Y32*$I32,2)</f>
        <v>0</v>
      </c>
      <c r="AA32" s="1256">
        <f t="shared" ref="AA32:AA65" si="83">+Z32/$J32</f>
        <v>0</v>
      </c>
      <c r="AB32" s="1254"/>
      <c r="AC32" s="1255">
        <f t="shared" ref="AC32:AC65" si="84">ROUND(AB32*$I32,2)</f>
        <v>0</v>
      </c>
      <c r="AD32" s="1256">
        <f t="shared" ref="AD32:AD65" si="85">+AC32/$J32</f>
        <v>0</v>
      </c>
      <c r="AE32" s="1254"/>
      <c r="AF32" s="1255">
        <f t="shared" ref="AF32:AF65" si="86">ROUND(AE32*$I32,2)</f>
        <v>0</v>
      </c>
      <c r="AG32" s="1256">
        <f t="shared" ref="AG32:AG65" si="87">+AF32/$J32</f>
        <v>0</v>
      </c>
      <c r="AH32" s="1254"/>
      <c r="AI32" s="1255">
        <f t="shared" ref="AI32:AI65" si="88">ROUND(AH32*$I32,2)</f>
        <v>0</v>
      </c>
      <c r="AJ32" s="1256">
        <f t="shared" ref="AJ32:AJ65" si="89">+AI32/$J32</f>
        <v>0</v>
      </c>
      <c r="AK32" s="1254"/>
      <c r="AL32" s="1255">
        <f t="shared" ref="AL32:AL65" si="90">ROUND(AK32*$I32,2)</f>
        <v>0</v>
      </c>
      <c r="AM32" s="1256">
        <f t="shared" ref="AM32:AM65" si="91">+AL32/$J32</f>
        <v>0</v>
      </c>
      <c r="AN32" s="1254"/>
      <c r="AO32" s="1255">
        <f t="shared" ref="AO32:AO65" si="92">ROUND(AN32*$I32,2)</f>
        <v>0</v>
      </c>
      <c r="AP32" s="1256">
        <f t="shared" ref="AP32:AP65" si="93">+AO32/$J32</f>
        <v>0</v>
      </c>
      <c r="AQ32" s="1254"/>
      <c r="AR32" s="1255">
        <f t="shared" ref="AR32:AR65" si="94">ROUND(AQ32*$I32,2)</f>
        <v>0</v>
      </c>
      <c r="AS32" s="1256">
        <f t="shared" ref="AS32:AS65" si="95">+AR32/$J32</f>
        <v>0</v>
      </c>
      <c r="AT32" s="1254"/>
      <c r="AU32" s="1255">
        <f t="shared" ref="AU32:AU65" si="96">ROUND(AT32*$I32,2)</f>
        <v>0</v>
      </c>
      <c r="AV32" s="1256">
        <f t="shared" ref="AV32:AV65" si="97">+AU32/$J32</f>
        <v>0</v>
      </c>
      <c r="AW32" s="1254"/>
      <c r="AX32" s="1255">
        <f t="shared" ref="AX32:AX65" si="98">ROUND(AW32*$I32,2)</f>
        <v>0</v>
      </c>
      <c r="AY32" s="1256">
        <f t="shared" ref="AY32:AY65" si="99">+AX32/$J32</f>
        <v>0</v>
      </c>
      <c r="AZ32" s="1254"/>
      <c r="BA32" s="1255">
        <f t="shared" ref="BA32:BA65" si="100">ROUND(AZ32*$I32,2)</f>
        <v>0</v>
      </c>
      <c r="BB32" s="1256">
        <f t="shared" ref="BB32:BB65" si="101">+BA32/$J32</f>
        <v>0</v>
      </c>
    </row>
    <row r="33" spans="1:54" ht="13.5" customHeight="1">
      <c r="A33" s="931" t="e">
        <f t="shared" si="11"/>
        <v>#REF!</v>
      </c>
      <c r="B33" s="932">
        <f t="shared" si="12"/>
        <v>0</v>
      </c>
      <c r="C33" s="934" t="e">
        <f t="shared" si="13"/>
        <v>#REF!</v>
      </c>
      <c r="D33" s="935" t="str">
        <f t="shared" si="79"/>
        <v>4. OBRAS DE DRENAJE</v>
      </c>
      <c r="E33" s="980">
        <v>25</v>
      </c>
      <c r="F33" s="803" t="s">
        <v>555</v>
      </c>
      <c r="G33" s="977" t="s">
        <v>293</v>
      </c>
      <c r="H33" s="36">
        <v>63</v>
      </c>
      <c r="I33" s="38">
        <v>2244.69</v>
      </c>
      <c r="J33" s="66">
        <f t="shared" si="78"/>
        <v>141415.47</v>
      </c>
      <c r="K33" s="61">
        <f>SUMIF($V$3:$CH$3,"&lt;"&amp;Datos!$C$19,V33:CH33)</f>
        <v>0</v>
      </c>
      <c r="L33" s="71">
        <f t="shared" si="59"/>
        <v>0</v>
      </c>
      <c r="M33" s="65">
        <f>LOOKUP(Datos!$C$19,'Cant. Ejec,'!$V$3:$BB$3,'Cant. Ejec,'!$V33:$BB33)</f>
        <v>0</v>
      </c>
      <c r="N33" s="939">
        <f t="shared" si="60"/>
        <v>0</v>
      </c>
      <c r="O33" s="61">
        <f t="shared" si="61"/>
        <v>0</v>
      </c>
      <c r="P33" s="939">
        <f t="shared" si="61"/>
        <v>0</v>
      </c>
      <c r="Q33" s="61">
        <f t="shared" si="62"/>
        <v>63</v>
      </c>
      <c r="R33" s="939">
        <f t="shared" si="63"/>
        <v>141415.47</v>
      </c>
      <c r="S33" s="827">
        <f t="shared" si="64"/>
        <v>0</v>
      </c>
      <c r="T33" s="827">
        <f t="shared" si="65"/>
        <v>0</v>
      </c>
      <c r="U33" s="1236">
        <f t="shared" si="66"/>
        <v>1</v>
      </c>
      <c r="V33" s="1254"/>
      <c r="W33" s="1255">
        <f t="shared" si="80"/>
        <v>0</v>
      </c>
      <c r="X33" s="1256">
        <f t="shared" si="81"/>
        <v>0</v>
      </c>
      <c r="Y33" s="1254"/>
      <c r="Z33" s="1255">
        <f t="shared" si="82"/>
        <v>0</v>
      </c>
      <c r="AA33" s="1256">
        <f t="shared" si="83"/>
        <v>0</v>
      </c>
      <c r="AB33" s="1254"/>
      <c r="AC33" s="1255">
        <f t="shared" si="84"/>
        <v>0</v>
      </c>
      <c r="AD33" s="1256">
        <f t="shared" si="85"/>
        <v>0</v>
      </c>
      <c r="AE33" s="1254"/>
      <c r="AF33" s="1255">
        <f t="shared" si="86"/>
        <v>0</v>
      </c>
      <c r="AG33" s="1256">
        <f t="shared" si="87"/>
        <v>0</v>
      </c>
      <c r="AH33" s="1254"/>
      <c r="AI33" s="1255">
        <f t="shared" si="88"/>
        <v>0</v>
      </c>
      <c r="AJ33" s="1256">
        <f t="shared" si="89"/>
        <v>0</v>
      </c>
      <c r="AK33" s="1254"/>
      <c r="AL33" s="1255">
        <f t="shared" si="90"/>
        <v>0</v>
      </c>
      <c r="AM33" s="1256">
        <f t="shared" si="91"/>
        <v>0</v>
      </c>
      <c r="AN33" s="1254"/>
      <c r="AO33" s="1255">
        <f t="shared" si="92"/>
        <v>0</v>
      </c>
      <c r="AP33" s="1256">
        <f t="shared" si="93"/>
        <v>0</v>
      </c>
      <c r="AQ33" s="1254"/>
      <c r="AR33" s="1255">
        <f t="shared" si="94"/>
        <v>0</v>
      </c>
      <c r="AS33" s="1256">
        <f t="shared" si="95"/>
        <v>0</v>
      </c>
      <c r="AT33" s="1254"/>
      <c r="AU33" s="1255">
        <f t="shared" si="96"/>
        <v>0</v>
      </c>
      <c r="AV33" s="1256">
        <f t="shared" si="97"/>
        <v>0</v>
      </c>
      <c r="AW33" s="1254"/>
      <c r="AX33" s="1255">
        <f t="shared" si="98"/>
        <v>0</v>
      </c>
      <c r="AY33" s="1256">
        <f t="shared" si="99"/>
        <v>0</v>
      </c>
      <c r="AZ33" s="1254"/>
      <c r="BA33" s="1255">
        <f t="shared" si="100"/>
        <v>0</v>
      </c>
      <c r="BB33" s="1256">
        <f t="shared" si="101"/>
        <v>0</v>
      </c>
    </row>
    <row r="34" spans="1:54" ht="13.5" customHeight="1">
      <c r="A34" s="931" t="e">
        <f t="shared" si="11"/>
        <v>#REF!</v>
      </c>
      <c r="B34" s="932">
        <f t="shared" si="12"/>
        <v>0</v>
      </c>
      <c r="C34" s="934" t="e">
        <f t="shared" si="13"/>
        <v>#REF!</v>
      </c>
      <c r="D34" s="935" t="str">
        <f t="shared" si="79"/>
        <v>4. OBRAS DE DRENAJE</v>
      </c>
      <c r="E34" s="980">
        <v>26</v>
      </c>
      <c r="F34" s="810" t="s">
        <v>556</v>
      </c>
      <c r="G34" s="977" t="s">
        <v>290</v>
      </c>
      <c r="H34" s="36">
        <v>52</v>
      </c>
      <c r="I34" s="36">
        <v>1393.68</v>
      </c>
      <c r="J34" s="66">
        <f t="shared" si="78"/>
        <v>72471.360000000001</v>
      </c>
      <c r="K34" s="61">
        <f>SUMIF($V$3:$CH$3,"&lt;"&amp;Datos!$C$19,V34:CH34)</f>
        <v>0</v>
      </c>
      <c r="L34" s="71">
        <f t="shared" si="59"/>
        <v>0</v>
      </c>
      <c r="M34" s="65">
        <f>LOOKUP(Datos!$C$19,'Cant. Ejec,'!$V$3:$BB$3,'Cant. Ejec,'!$V34:$BB34)</f>
        <v>0</v>
      </c>
      <c r="N34" s="939">
        <f t="shared" si="60"/>
        <v>0</v>
      </c>
      <c r="O34" s="61">
        <f t="shared" si="61"/>
        <v>0</v>
      </c>
      <c r="P34" s="939">
        <f t="shared" si="61"/>
        <v>0</v>
      </c>
      <c r="Q34" s="61">
        <f t="shared" si="62"/>
        <v>52</v>
      </c>
      <c r="R34" s="939">
        <f t="shared" si="63"/>
        <v>72471.360000000001</v>
      </c>
      <c r="S34" s="827">
        <f t="shared" si="64"/>
        <v>0</v>
      </c>
      <c r="T34" s="827">
        <f t="shared" si="65"/>
        <v>0</v>
      </c>
      <c r="U34" s="1236">
        <f t="shared" si="66"/>
        <v>1</v>
      </c>
      <c r="V34" s="1254"/>
      <c r="W34" s="1255">
        <f t="shared" si="80"/>
        <v>0</v>
      </c>
      <c r="X34" s="1256">
        <f t="shared" si="81"/>
        <v>0</v>
      </c>
      <c r="Y34" s="1254"/>
      <c r="Z34" s="1255">
        <f t="shared" si="82"/>
        <v>0</v>
      </c>
      <c r="AA34" s="1256">
        <f t="shared" si="83"/>
        <v>0</v>
      </c>
      <c r="AB34" s="1254"/>
      <c r="AC34" s="1255">
        <f t="shared" si="84"/>
        <v>0</v>
      </c>
      <c r="AD34" s="1256">
        <f t="shared" si="85"/>
        <v>0</v>
      </c>
      <c r="AE34" s="1254"/>
      <c r="AF34" s="1255">
        <f t="shared" si="86"/>
        <v>0</v>
      </c>
      <c r="AG34" s="1256">
        <f t="shared" si="87"/>
        <v>0</v>
      </c>
      <c r="AH34" s="1254"/>
      <c r="AI34" s="1255">
        <f t="shared" si="88"/>
        <v>0</v>
      </c>
      <c r="AJ34" s="1256">
        <f t="shared" si="89"/>
        <v>0</v>
      </c>
      <c r="AK34" s="1254"/>
      <c r="AL34" s="1255">
        <f t="shared" si="90"/>
        <v>0</v>
      </c>
      <c r="AM34" s="1256">
        <f t="shared" si="91"/>
        <v>0</v>
      </c>
      <c r="AN34" s="1254"/>
      <c r="AO34" s="1255">
        <f t="shared" si="92"/>
        <v>0</v>
      </c>
      <c r="AP34" s="1256">
        <f t="shared" si="93"/>
        <v>0</v>
      </c>
      <c r="AQ34" s="1254"/>
      <c r="AR34" s="1255">
        <f t="shared" si="94"/>
        <v>0</v>
      </c>
      <c r="AS34" s="1256">
        <f t="shared" si="95"/>
        <v>0</v>
      </c>
      <c r="AT34" s="1254"/>
      <c r="AU34" s="1255">
        <f t="shared" si="96"/>
        <v>0</v>
      </c>
      <c r="AV34" s="1256">
        <f t="shared" si="97"/>
        <v>0</v>
      </c>
      <c r="AW34" s="1254"/>
      <c r="AX34" s="1255">
        <f t="shared" si="98"/>
        <v>0</v>
      </c>
      <c r="AY34" s="1256">
        <f t="shared" si="99"/>
        <v>0</v>
      </c>
      <c r="AZ34" s="1254"/>
      <c r="BA34" s="1255">
        <f t="shared" si="100"/>
        <v>0</v>
      </c>
      <c r="BB34" s="1256">
        <f t="shared" si="101"/>
        <v>0</v>
      </c>
    </row>
    <row r="35" spans="1:54" ht="13.5" customHeight="1">
      <c r="A35" s="931" t="e">
        <f t="shared" si="11"/>
        <v>#REF!</v>
      </c>
      <c r="B35" s="932">
        <f t="shared" si="12"/>
        <v>0</v>
      </c>
      <c r="C35" s="934" t="e">
        <f t="shared" si="13"/>
        <v>#REF!</v>
      </c>
      <c r="D35" s="935" t="str">
        <f t="shared" si="79"/>
        <v>4. OBRAS DE DRENAJE</v>
      </c>
      <c r="E35" s="980">
        <v>27</v>
      </c>
      <c r="F35" s="803" t="s">
        <v>557</v>
      </c>
      <c r="G35" s="977" t="s">
        <v>290</v>
      </c>
      <c r="H35" s="36">
        <v>959</v>
      </c>
      <c r="I35" s="36">
        <v>1483.78</v>
      </c>
      <c r="J35" s="66">
        <f t="shared" si="78"/>
        <v>1422945.02</v>
      </c>
      <c r="K35" s="61">
        <f>SUMIF($V$3:$CH$3,"&lt;"&amp;Datos!$C$19,V35:CH35)</f>
        <v>0</v>
      </c>
      <c r="L35" s="71">
        <f t="shared" si="59"/>
        <v>0</v>
      </c>
      <c r="M35" s="65">
        <f>LOOKUP(Datos!$C$19,'Cant. Ejec,'!$V$3:$BB$3,'Cant. Ejec,'!$V35:$BB35)</f>
        <v>0</v>
      </c>
      <c r="N35" s="939">
        <f t="shared" si="60"/>
        <v>0</v>
      </c>
      <c r="O35" s="61">
        <f t="shared" si="61"/>
        <v>0</v>
      </c>
      <c r="P35" s="939">
        <f t="shared" si="61"/>
        <v>0</v>
      </c>
      <c r="Q35" s="61">
        <f t="shared" si="62"/>
        <v>959</v>
      </c>
      <c r="R35" s="939">
        <f t="shared" si="63"/>
        <v>1422945.02</v>
      </c>
      <c r="S35" s="827">
        <f t="shared" si="64"/>
        <v>0</v>
      </c>
      <c r="T35" s="827">
        <f t="shared" si="65"/>
        <v>0</v>
      </c>
      <c r="U35" s="1236">
        <f t="shared" si="66"/>
        <v>1</v>
      </c>
      <c r="V35" s="1254"/>
      <c r="W35" s="1255">
        <f t="shared" si="80"/>
        <v>0</v>
      </c>
      <c r="X35" s="1256">
        <f t="shared" si="81"/>
        <v>0</v>
      </c>
      <c r="Y35" s="1254"/>
      <c r="Z35" s="1255">
        <f t="shared" si="82"/>
        <v>0</v>
      </c>
      <c r="AA35" s="1256">
        <f t="shared" si="83"/>
        <v>0</v>
      </c>
      <c r="AB35" s="1254"/>
      <c r="AC35" s="1255">
        <f t="shared" si="84"/>
        <v>0</v>
      </c>
      <c r="AD35" s="1256">
        <f t="shared" si="85"/>
        <v>0</v>
      </c>
      <c r="AE35" s="1254"/>
      <c r="AF35" s="1255">
        <f t="shared" si="86"/>
        <v>0</v>
      </c>
      <c r="AG35" s="1256">
        <f t="shared" si="87"/>
        <v>0</v>
      </c>
      <c r="AH35" s="1254"/>
      <c r="AI35" s="1255">
        <f t="shared" si="88"/>
        <v>0</v>
      </c>
      <c r="AJ35" s="1256">
        <f t="shared" si="89"/>
        <v>0</v>
      </c>
      <c r="AK35" s="1254"/>
      <c r="AL35" s="1255">
        <f t="shared" si="90"/>
        <v>0</v>
      </c>
      <c r="AM35" s="1256">
        <f t="shared" si="91"/>
        <v>0</v>
      </c>
      <c r="AN35" s="1254"/>
      <c r="AO35" s="1255">
        <f t="shared" si="92"/>
        <v>0</v>
      </c>
      <c r="AP35" s="1256">
        <f t="shared" si="93"/>
        <v>0</v>
      </c>
      <c r="AQ35" s="1254"/>
      <c r="AR35" s="1255">
        <f t="shared" si="94"/>
        <v>0</v>
      </c>
      <c r="AS35" s="1256">
        <f t="shared" si="95"/>
        <v>0</v>
      </c>
      <c r="AT35" s="1254"/>
      <c r="AU35" s="1255">
        <f t="shared" si="96"/>
        <v>0</v>
      </c>
      <c r="AV35" s="1256">
        <f t="shared" si="97"/>
        <v>0</v>
      </c>
      <c r="AW35" s="1254"/>
      <c r="AX35" s="1255">
        <f t="shared" si="98"/>
        <v>0</v>
      </c>
      <c r="AY35" s="1256">
        <f t="shared" si="99"/>
        <v>0</v>
      </c>
      <c r="AZ35" s="1254"/>
      <c r="BA35" s="1255">
        <f t="shared" si="100"/>
        <v>0</v>
      </c>
      <c r="BB35" s="1256">
        <f t="shared" si="101"/>
        <v>0</v>
      </c>
    </row>
    <row r="36" spans="1:54" ht="13.5" customHeight="1">
      <c r="A36" s="931" t="e">
        <f t="shared" si="11"/>
        <v>#REF!</v>
      </c>
      <c r="B36" s="932">
        <f t="shared" si="12"/>
        <v>0</v>
      </c>
      <c r="C36" s="934" t="e">
        <f t="shared" si="13"/>
        <v>#REF!</v>
      </c>
      <c r="D36" s="935" t="str">
        <f t="shared" si="79"/>
        <v>4. OBRAS DE DRENAJE</v>
      </c>
      <c r="E36" s="980">
        <v>28</v>
      </c>
      <c r="F36" s="803" t="s">
        <v>558</v>
      </c>
      <c r="G36" s="977" t="s">
        <v>290</v>
      </c>
      <c r="H36" s="36">
        <v>1578</v>
      </c>
      <c r="I36" s="36">
        <v>1483.78</v>
      </c>
      <c r="J36" s="66">
        <f t="shared" si="78"/>
        <v>2341404.84</v>
      </c>
      <c r="K36" s="61">
        <f>SUMIF($V$3:$CH$3,"&lt;"&amp;Datos!$C$19,V36:CH36)</f>
        <v>0</v>
      </c>
      <c r="L36" s="71">
        <f t="shared" si="59"/>
        <v>0</v>
      </c>
      <c r="M36" s="65">
        <f>LOOKUP(Datos!$C$19,'Cant. Ejec,'!$V$3:$BB$3,'Cant. Ejec,'!$V36:$BB36)</f>
        <v>0</v>
      </c>
      <c r="N36" s="939">
        <f t="shared" si="60"/>
        <v>0</v>
      </c>
      <c r="O36" s="61">
        <f t="shared" si="61"/>
        <v>0</v>
      </c>
      <c r="P36" s="939">
        <f t="shared" si="61"/>
        <v>0</v>
      </c>
      <c r="Q36" s="61">
        <f t="shared" si="62"/>
        <v>1578</v>
      </c>
      <c r="R36" s="939">
        <f t="shared" si="63"/>
        <v>2341404.84</v>
      </c>
      <c r="S36" s="827">
        <f t="shared" si="64"/>
        <v>0</v>
      </c>
      <c r="T36" s="827">
        <f t="shared" si="65"/>
        <v>0</v>
      </c>
      <c r="U36" s="1236">
        <f t="shared" si="66"/>
        <v>1</v>
      </c>
      <c r="V36" s="1254"/>
      <c r="W36" s="1255">
        <f t="shared" si="80"/>
        <v>0</v>
      </c>
      <c r="X36" s="1256">
        <f t="shared" si="81"/>
        <v>0</v>
      </c>
      <c r="Y36" s="1254"/>
      <c r="Z36" s="1255">
        <f t="shared" si="82"/>
        <v>0</v>
      </c>
      <c r="AA36" s="1256">
        <f t="shared" si="83"/>
        <v>0</v>
      </c>
      <c r="AB36" s="1254"/>
      <c r="AC36" s="1255">
        <f t="shared" si="84"/>
        <v>0</v>
      </c>
      <c r="AD36" s="1256">
        <f t="shared" si="85"/>
        <v>0</v>
      </c>
      <c r="AE36" s="1254"/>
      <c r="AF36" s="1255">
        <f t="shared" si="86"/>
        <v>0</v>
      </c>
      <c r="AG36" s="1256">
        <f t="shared" si="87"/>
        <v>0</v>
      </c>
      <c r="AH36" s="1254"/>
      <c r="AI36" s="1255">
        <f t="shared" si="88"/>
        <v>0</v>
      </c>
      <c r="AJ36" s="1256">
        <f t="shared" si="89"/>
        <v>0</v>
      </c>
      <c r="AK36" s="1254"/>
      <c r="AL36" s="1255">
        <f t="shared" si="90"/>
        <v>0</v>
      </c>
      <c r="AM36" s="1256">
        <f t="shared" si="91"/>
        <v>0</v>
      </c>
      <c r="AN36" s="1254"/>
      <c r="AO36" s="1255">
        <f t="shared" si="92"/>
        <v>0</v>
      </c>
      <c r="AP36" s="1256">
        <f t="shared" si="93"/>
        <v>0</v>
      </c>
      <c r="AQ36" s="1254"/>
      <c r="AR36" s="1255">
        <f t="shared" si="94"/>
        <v>0</v>
      </c>
      <c r="AS36" s="1256">
        <f t="shared" si="95"/>
        <v>0</v>
      </c>
      <c r="AT36" s="1254"/>
      <c r="AU36" s="1255">
        <f t="shared" si="96"/>
        <v>0</v>
      </c>
      <c r="AV36" s="1256">
        <f t="shared" si="97"/>
        <v>0</v>
      </c>
      <c r="AW36" s="1254"/>
      <c r="AX36" s="1255">
        <f t="shared" si="98"/>
        <v>0</v>
      </c>
      <c r="AY36" s="1256">
        <f t="shared" si="99"/>
        <v>0</v>
      </c>
      <c r="AZ36" s="1254"/>
      <c r="BA36" s="1255">
        <f t="shared" si="100"/>
        <v>0</v>
      </c>
      <c r="BB36" s="1256">
        <f t="shared" si="101"/>
        <v>0</v>
      </c>
    </row>
    <row r="37" spans="1:54" ht="13.5" customHeight="1">
      <c r="A37" s="931" t="e">
        <f t="shared" si="11"/>
        <v>#REF!</v>
      </c>
      <c r="B37" s="932">
        <f t="shared" si="12"/>
        <v>0</v>
      </c>
      <c r="C37" s="934" t="e">
        <f t="shared" si="13"/>
        <v>#REF!</v>
      </c>
      <c r="D37" s="935" t="str">
        <f t="shared" si="79"/>
        <v>4. OBRAS DE DRENAJE</v>
      </c>
      <c r="E37" s="980">
        <v>29</v>
      </c>
      <c r="F37" s="810" t="s">
        <v>559</v>
      </c>
      <c r="G37" s="977" t="s">
        <v>290</v>
      </c>
      <c r="H37" s="36">
        <v>182</v>
      </c>
      <c r="I37" s="36">
        <v>1483.78</v>
      </c>
      <c r="J37" s="66">
        <f t="shared" si="78"/>
        <v>270047.96000000002</v>
      </c>
      <c r="K37" s="61">
        <f>SUMIF($V$3:$CH$3,"&lt;"&amp;Datos!$C$19,V37:CH37)</f>
        <v>0</v>
      </c>
      <c r="L37" s="71">
        <f t="shared" si="59"/>
        <v>0</v>
      </c>
      <c r="M37" s="65">
        <f>LOOKUP(Datos!$C$19,'Cant. Ejec,'!$V$3:$BB$3,'Cant. Ejec,'!$V37:$BB37)</f>
        <v>0</v>
      </c>
      <c r="N37" s="939">
        <f t="shared" si="60"/>
        <v>0</v>
      </c>
      <c r="O37" s="61">
        <f t="shared" si="61"/>
        <v>0</v>
      </c>
      <c r="P37" s="939">
        <f t="shared" si="61"/>
        <v>0</v>
      </c>
      <c r="Q37" s="61">
        <f t="shared" si="62"/>
        <v>182</v>
      </c>
      <c r="R37" s="939">
        <f t="shared" si="63"/>
        <v>270047.96000000002</v>
      </c>
      <c r="S37" s="827">
        <f t="shared" si="64"/>
        <v>0</v>
      </c>
      <c r="T37" s="827">
        <f t="shared" si="65"/>
        <v>0</v>
      </c>
      <c r="U37" s="1236">
        <f t="shared" si="66"/>
        <v>1</v>
      </c>
      <c r="V37" s="1254"/>
      <c r="W37" s="1255">
        <f t="shared" si="80"/>
        <v>0</v>
      </c>
      <c r="X37" s="1256">
        <f t="shared" si="81"/>
        <v>0</v>
      </c>
      <c r="Y37" s="1254"/>
      <c r="Z37" s="1255">
        <f t="shared" si="82"/>
        <v>0</v>
      </c>
      <c r="AA37" s="1256">
        <f t="shared" si="83"/>
        <v>0</v>
      </c>
      <c r="AB37" s="1254"/>
      <c r="AC37" s="1255">
        <f t="shared" si="84"/>
        <v>0</v>
      </c>
      <c r="AD37" s="1256">
        <f t="shared" si="85"/>
        <v>0</v>
      </c>
      <c r="AE37" s="1254"/>
      <c r="AF37" s="1255">
        <f t="shared" si="86"/>
        <v>0</v>
      </c>
      <c r="AG37" s="1256">
        <f t="shared" si="87"/>
        <v>0</v>
      </c>
      <c r="AH37" s="1254"/>
      <c r="AI37" s="1255">
        <f t="shared" si="88"/>
        <v>0</v>
      </c>
      <c r="AJ37" s="1256">
        <f t="shared" si="89"/>
        <v>0</v>
      </c>
      <c r="AK37" s="1254"/>
      <c r="AL37" s="1255">
        <f t="shared" si="90"/>
        <v>0</v>
      </c>
      <c r="AM37" s="1256">
        <f t="shared" si="91"/>
        <v>0</v>
      </c>
      <c r="AN37" s="1254"/>
      <c r="AO37" s="1255">
        <f t="shared" si="92"/>
        <v>0</v>
      </c>
      <c r="AP37" s="1256">
        <f t="shared" si="93"/>
        <v>0</v>
      </c>
      <c r="AQ37" s="1254"/>
      <c r="AR37" s="1255">
        <f t="shared" si="94"/>
        <v>0</v>
      </c>
      <c r="AS37" s="1256">
        <f t="shared" si="95"/>
        <v>0</v>
      </c>
      <c r="AT37" s="1254"/>
      <c r="AU37" s="1255">
        <f t="shared" si="96"/>
        <v>0</v>
      </c>
      <c r="AV37" s="1256">
        <f t="shared" si="97"/>
        <v>0</v>
      </c>
      <c r="AW37" s="1254"/>
      <c r="AX37" s="1255">
        <f t="shared" si="98"/>
        <v>0</v>
      </c>
      <c r="AY37" s="1256">
        <f t="shared" si="99"/>
        <v>0</v>
      </c>
      <c r="AZ37" s="1254"/>
      <c r="BA37" s="1255">
        <f t="shared" si="100"/>
        <v>0</v>
      </c>
      <c r="BB37" s="1256">
        <f t="shared" si="101"/>
        <v>0</v>
      </c>
    </row>
    <row r="38" spans="1:54" ht="13.5" customHeight="1">
      <c r="A38" s="931" t="e">
        <f t="shared" si="11"/>
        <v>#REF!</v>
      </c>
      <c r="B38" s="932">
        <f t="shared" si="12"/>
        <v>0</v>
      </c>
      <c r="C38" s="934" t="e">
        <f t="shared" si="13"/>
        <v>#REF!</v>
      </c>
      <c r="D38" s="935" t="str">
        <f t="shared" si="79"/>
        <v>4. OBRAS DE DRENAJE</v>
      </c>
      <c r="E38" s="980">
        <v>30</v>
      </c>
      <c r="F38" s="803" t="s">
        <v>560</v>
      </c>
      <c r="G38" s="977" t="s">
        <v>290</v>
      </c>
      <c r="H38" s="36">
        <v>324</v>
      </c>
      <c r="I38" s="38">
        <v>1483.78</v>
      </c>
      <c r="J38" s="66">
        <f t="shared" si="78"/>
        <v>480744.72</v>
      </c>
      <c r="K38" s="61">
        <f>SUMIF($V$3:$CH$3,"&lt;"&amp;Datos!$C$19,V38:CH38)</f>
        <v>0</v>
      </c>
      <c r="L38" s="71">
        <f t="shared" si="59"/>
        <v>0</v>
      </c>
      <c r="M38" s="65">
        <f>LOOKUP(Datos!$C$19,'Cant. Ejec,'!$V$3:$BB$3,'Cant. Ejec,'!$V38:$BB38)</f>
        <v>0</v>
      </c>
      <c r="N38" s="939">
        <f t="shared" si="60"/>
        <v>0</v>
      </c>
      <c r="O38" s="61">
        <f t="shared" si="61"/>
        <v>0</v>
      </c>
      <c r="P38" s="939">
        <f t="shared" si="61"/>
        <v>0</v>
      </c>
      <c r="Q38" s="61">
        <f t="shared" si="62"/>
        <v>324</v>
      </c>
      <c r="R38" s="939">
        <f t="shared" si="63"/>
        <v>480744.72</v>
      </c>
      <c r="S38" s="827">
        <f t="shared" si="64"/>
        <v>0</v>
      </c>
      <c r="T38" s="827">
        <f t="shared" si="65"/>
        <v>0</v>
      </c>
      <c r="U38" s="1236">
        <f t="shared" si="66"/>
        <v>1</v>
      </c>
      <c r="V38" s="1254"/>
      <c r="W38" s="1255">
        <f t="shared" si="80"/>
        <v>0</v>
      </c>
      <c r="X38" s="1256">
        <f t="shared" si="81"/>
        <v>0</v>
      </c>
      <c r="Y38" s="1254"/>
      <c r="Z38" s="1255">
        <f t="shared" si="82"/>
        <v>0</v>
      </c>
      <c r="AA38" s="1256">
        <f t="shared" si="83"/>
        <v>0</v>
      </c>
      <c r="AB38" s="1254"/>
      <c r="AC38" s="1255">
        <f t="shared" si="84"/>
        <v>0</v>
      </c>
      <c r="AD38" s="1256">
        <f t="shared" si="85"/>
        <v>0</v>
      </c>
      <c r="AE38" s="1254"/>
      <c r="AF38" s="1255">
        <f t="shared" si="86"/>
        <v>0</v>
      </c>
      <c r="AG38" s="1256">
        <f t="shared" si="87"/>
        <v>0</v>
      </c>
      <c r="AH38" s="1254"/>
      <c r="AI38" s="1255">
        <f t="shared" si="88"/>
        <v>0</v>
      </c>
      <c r="AJ38" s="1256">
        <f t="shared" si="89"/>
        <v>0</v>
      </c>
      <c r="AK38" s="1254"/>
      <c r="AL38" s="1255">
        <f t="shared" si="90"/>
        <v>0</v>
      </c>
      <c r="AM38" s="1256">
        <f t="shared" si="91"/>
        <v>0</v>
      </c>
      <c r="AN38" s="1254"/>
      <c r="AO38" s="1255">
        <f t="shared" si="92"/>
        <v>0</v>
      </c>
      <c r="AP38" s="1256">
        <f t="shared" si="93"/>
        <v>0</v>
      </c>
      <c r="AQ38" s="1254"/>
      <c r="AR38" s="1255">
        <f t="shared" si="94"/>
        <v>0</v>
      </c>
      <c r="AS38" s="1256">
        <f t="shared" si="95"/>
        <v>0</v>
      </c>
      <c r="AT38" s="1254"/>
      <c r="AU38" s="1255">
        <f t="shared" si="96"/>
        <v>0</v>
      </c>
      <c r="AV38" s="1256">
        <f t="shared" si="97"/>
        <v>0</v>
      </c>
      <c r="AW38" s="1254"/>
      <c r="AX38" s="1255">
        <f t="shared" si="98"/>
        <v>0</v>
      </c>
      <c r="AY38" s="1256">
        <f t="shared" si="99"/>
        <v>0</v>
      </c>
      <c r="AZ38" s="1254"/>
      <c r="BA38" s="1255">
        <f t="shared" si="100"/>
        <v>0</v>
      </c>
      <c r="BB38" s="1256">
        <f t="shared" si="101"/>
        <v>0</v>
      </c>
    </row>
    <row r="39" spans="1:54" ht="13.5" customHeight="1">
      <c r="A39" s="931" t="e">
        <f t="shared" si="11"/>
        <v>#REF!</v>
      </c>
      <c r="B39" s="932">
        <f t="shared" si="12"/>
        <v>0</v>
      </c>
      <c r="C39" s="934" t="e">
        <f t="shared" si="13"/>
        <v>#REF!</v>
      </c>
      <c r="D39" s="935" t="str">
        <f t="shared" si="79"/>
        <v>4. OBRAS DE DRENAJE</v>
      </c>
      <c r="E39" s="980">
        <v>31</v>
      </c>
      <c r="F39" s="803" t="s">
        <v>561</v>
      </c>
      <c r="G39" s="977" t="s">
        <v>290</v>
      </c>
      <c r="H39" s="36">
        <v>915</v>
      </c>
      <c r="I39" s="36">
        <v>1483.78</v>
      </c>
      <c r="J39" s="66">
        <f t="shared" si="78"/>
        <v>1357658.7</v>
      </c>
      <c r="K39" s="61">
        <f>SUMIF($V$3:$CH$3,"&lt;"&amp;Datos!$C$19,V39:CH39)</f>
        <v>0</v>
      </c>
      <c r="L39" s="71">
        <f t="shared" si="59"/>
        <v>0</v>
      </c>
      <c r="M39" s="65">
        <f>LOOKUP(Datos!$C$19,'Cant. Ejec,'!$V$3:$BB$3,'Cant. Ejec,'!$V39:$BB39)</f>
        <v>0</v>
      </c>
      <c r="N39" s="939">
        <f t="shared" si="60"/>
        <v>0</v>
      </c>
      <c r="O39" s="61">
        <f t="shared" si="61"/>
        <v>0</v>
      </c>
      <c r="P39" s="939">
        <f t="shared" si="61"/>
        <v>0</v>
      </c>
      <c r="Q39" s="61">
        <f t="shared" si="62"/>
        <v>915</v>
      </c>
      <c r="R39" s="939">
        <f t="shared" si="63"/>
        <v>1357658.7</v>
      </c>
      <c r="S39" s="827">
        <f t="shared" si="64"/>
        <v>0</v>
      </c>
      <c r="T39" s="827">
        <f t="shared" si="65"/>
        <v>0</v>
      </c>
      <c r="U39" s="1236">
        <f t="shared" si="66"/>
        <v>1</v>
      </c>
      <c r="V39" s="1254"/>
      <c r="W39" s="1255">
        <f t="shared" si="80"/>
        <v>0</v>
      </c>
      <c r="X39" s="1256">
        <f t="shared" si="81"/>
        <v>0</v>
      </c>
      <c r="Y39" s="1254"/>
      <c r="Z39" s="1255">
        <f t="shared" si="82"/>
        <v>0</v>
      </c>
      <c r="AA39" s="1256">
        <f t="shared" si="83"/>
        <v>0</v>
      </c>
      <c r="AB39" s="1254"/>
      <c r="AC39" s="1255">
        <f t="shared" si="84"/>
        <v>0</v>
      </c>
      <c r="AD39" s="1256">
        <f t="shared" si="85"/>
        <v>0</v>
      </c>
      <c r="AE39" s="1254"/>
      <c r="AF39" s="1255">
        <f t="shared" si="86"/>
        <v>0</v>
      </c>
      <c r="AG39" s="1256">
        <f t="shared" si="87"/>
        <v>0</v>
      </c>
      <c r="AH39" s="1254"/>
      <c r="AI39" s="1255">
        <f t="shared" si="88"/>
        <v>0</v>
      </c>
      <c r="AJ39" s="1256">
        <f t="shared" si="89"/>
        <v>0</v>
      </c>
      <c r="AK39" s="1254"/>
      <c r="AL39" s="1255">
        <f t="shared" si="90"/>
        <v>0</v>
      </c>
      <c r="AM39" s="1256">
        <f t="shared" si="91"/>
        <v>0</v>
      </c>
      <c r="AN39" s="1254"/>
      <c r="AO39" s="1255">
        <f t="shared" si="92"/>
        <v>0</v>
      </c>
      <c r="AP39" s="1256">
        <f t="shared" si="93"/>
        <v>0</v>
      </c>
      <c r="AQ39" s="1254"/>
      <c r="AR39" s="1255">
        <f t="shared" si="94"/>
        <v>0</v>
      </c>
      <c r="AS39" s="1256">
        <f t="shared" si="95"/>
        <v>0</v>
      </c>
      <c r="AT39" s="1254"/>
      <c r="AU39" s="1255">
        <f t="shared" si="96"/>
        <v>0</v>
      </c>
      <c r="AV39" s="1256">
        <f t="shared" si="97"/>
        <v>0</v>
      </c>
      <c r="AW39" s="1254"/>
      <c r="AX39" s="1255">
        <f t="shared" si="98"/>
        <v>0</v>
      </c>
      <c r="AY39" s="1256">
        <f t="shared" si="99"/>
        <v>0</v>
      </c>
      <c r="AZ39" s="1254"/>
      <c r="BA39" s="1255">
        <f t="shared" si="100"/>
        <v>0</v>
      </c>
      <c r="BB39" s="1256">
        <f t="shared" si="101"/>
        <v>0</v>
      </c>
    </row>
    <row r="40" spans="1:54" ht="13.5" customHeight="1">
      <c r="A40" s="931" t="e">
        <f t="shared" si="11"/>
        <v>#REF!</v>
      </c>
      <c r="B40" s="932">
        <f t="shared" si="12"/>
        <v>0</v>
      </c>
      <c r="C40" s="934" t="e">
        <f t="shared" si="13"/>
        <v>#REF!</v>
      </c>
      <c r="D40" s="935" t="str">
        <f t="shared" si="79"/>
        <v>4. OBRAS DE DRENAJE</v>
      </c>
      <c r="E40" s="980">
        <v>32</v>
      </c>
      <c r="F40" s="803" t="s">
        <v>562</v>
      </c>
      <c r="G40" s="977" t="s">
        <v>290</v>
      </c>
      <c r="H40" s="36">
        <v>173</v>
      </c>
      <c r="I40" s="36">
        <v>1483.78</v>
      </c>
      <c r="J40" s="66">
        <f t="shared" si="78"/>
        <v>256693.94</v>
      </c>
      <c r="K40" s="61">
        <f>SUMIF($V$3:$CH$3,"&lt;"&amp;Datos!$C$19,V40:CH40)</f>
        <v>0</v>
      </c>
      <c r="L40" s="71">
        <f t="shared" si="59"/>
        <v>0</v>
      </c>
      <c r="M40" s="65">
        <f>LOOKUP(Datos!$C$19,'Cant. Ejec,'!$V$3:$BB$3,'Cant. Ejec,'!$V40:$BB40)</f>
        <v>0</v>
      </c>
      <c r="N40" s="939">
        <f t="shared" si="60"/>
        <v>0</v>
      </c>
      <c r="O40" s="61">
        <f t="shared" si="61"/>
        <v>0</v>
      </c>
      <c r="P40" s="939">
        <f t="shared" si="61"/>
        <v>0</v>
      </c>
      <c r="Q40" s="61">
        <f t="shared" si="62"/>
        <v>173</v>
      </c>
      <c r="R40" s="939">
        <f t="shared" si="63"/>
        <v>256693.94</v>
      </c>
      <c r="S40" s="827">
        <f t="shared" si="64"/>
        <v>0</v>
      </c>
      <c r="T40" s="827">
        <f t="shared" si="65"/>
        <v>0</v>
      </c>
      <c r="U40" s="1236">
        <f t="shared" si="66"/>
        <v>1</v>
      </c>
      <c r="V40" s="1254"/>
      <c r="W40" s="1255">
        <f t="shared" si="80"/>
        <v>0</v>
      </c>
      <c r="X40" s="1256">
        <f t="shared" si="81"/>
        <v>0</v>
      </c>
      <c r="Y40" s="1254"/>
      <c r="Z40" s="1255">
        <f t="shared" si="82"/>
        <v>0</v>
      </c>
      <c r="AA40" s="1256">
        <f t="shared" si="83"/>
        <v>0</v>
      </c>
      <c r="AB40" s="1254"/>
      <c r="AC40" s="1255">
        <f t="shared" si="84"/>
        <v>0</v>
      </c>
      <c r="AD40" s="1256">
        <f t="shared" si="85"/>
        <v>0</v>
      </c>
      <c r="AE40" s="1254"/>
      <c r="AF40" s="1255">
        <f t="shared" si="86"/>
        <v>0</v>
      </c>
      <c r="AG40" s="1256">
        <f t="shared" si="87"/>
        <v>0</v>
      </c>
      <c r="AH40" s="1254"/>
      <c r="AI40" s="1255">
        <f t="shared" si="88"/>
        <v>0</v>
      </c>
      <c r="AJ40" s="1256">
        <f t="shared" si="89"/>
        <v>0</v>
      </c>
      <c r="AK40" s="1254"/>
      <c r="AL40" s="1255">
        <f t="shared" si="90"/>
        <v>0</v>
      </c>
      <c r="AM40" s="1256">
        <f t="shared" si="91"/>
        <v>0</v>
      </c>
      <c r="AN40" s="1254"/>
      <c r="AO40" s="1255">
        <f t="shared" si="92"/>
        <v>0</v>
      </c>
      <c r="AP40" s="1256">
        <f t="shared" si="93"/>
        <v>0</v>
      </c>
      <c r="AQ40" s="1254"/>
      <c r="AR40" s="1255">
        <f t="shared" si="94"/>
        <v>0</v>
      </c>
      <c r="AS40" s="1256">
        <f t="shared" si="95"/>
        <v>0</v>
      </c>
      <c r="AT40" s="1254"/>
      <c r="AU40" s="1255">
        <f t="shared" si="96"/>
        <v>0</v>
      </c>
      <c r="AV40" s="1256">
        <f t="shared" si="97"/>
        <v>0</v>
      </c>
      <c r="AW40" s="1254"/>
      <c r="AX40" s="1255">
        <f t="shared" si="98"/>
        <v>0</v>
      </c>
      <c r="AY40" s="1256">
        <f t="shared" si="99"/>
        <v>0</v>
      </c>
      <c r="AZ40" s="1254"/>
      <c r="BA40" s="1255">
        <f t="shared" si="100"/>
        <v>0</v>
      </c>
      <c r="BB40" s="1256">
        <f t="shared" si="101"/>
        <v>0</v>
      </c>
    </row>
    <row r="41" spans="1:54" ht="13.5" customHeight="1">
      <c r="A41" s="931" t="e">
        <f t="shared" si="11"/>
        <v>#REF!</v>
      </c>
      <c r="B41" s="932">
        <f t="shared" si="12"/>
        <v>0</v>
      </c>
      <c r="C41" s="934" t="e">
        <f t="shared" si="13"/>
        <v>#REF!</v>
      </c>
      <c r="D41" s="935" t="str">
        <f t="shared" si="79"/>
        <v>4. OBRAS DE DRENAJE</v>
      </c>
      <c r="E41" s="980">
        <v>33</v>
      </c>
      <c r="F41" s="803" t="s">
        <v>563</v>
      </c>
      <c r="G41" s="977" t="s">
        <v>293</v>
      </c>
      <c r="H41" s="36">
        <v>1320</v>
      </c>
      <c r="I41" s="36">
        <v>298.16000000000003</v>
      </c>
      <c r="J41" s="66">
        <f t="shared" si="78"/>
        <v>393571.2</v>
      </c>
      <c r="K41" s="61">
        <f>SUMIF($V$3:$CH$3,"&lt;"&amp;Datos!$C$19,V41:CH41)</f>
        <v>0</v>
      </c>
      <c r="L41" s="71">
        <f t="shared" si="59"/>
        <v>0</v>
      </c>
      <c r="M41" s="65">
        <f>LOOKUP(Datos!$C$19,'Cant. Ejec,'!$V$3:$BB$3,'Cant. Ejec,'!$V41:$BB41)</f>
        <v>0</v>
      </c>
      <c r="N41" s="939">
        <f t="shared" si="60"/>
        <v>0</v>
      </c>
      <c r="O41" s="61">
        <f t="shared" si="61"/>
        <v>0</v>
      </c>
      <c r="P41" s="939">
        <f t="shared" si="61"/>
        <v>0</v>
      </c>
      <c r="Q41" s="61">
        <f t="shared" si="62"/>
        <v>1320</v>
      </c>
      <c r="R41" s="939">
        <f t="shared" si="63"/>
        <v>393571.2</v>
      </c>
      <c r="S41" s="827">
        <f t="shared" si="64"/>
        <v>0</v>
      </c>
      <c r="T41" s="827">
        <f t="shared" si="65"/>
        <v>0</v>
      </c>
      <c r="U41" s="1236">
        <f t="shared" si="66"/>
        <v>1</v>
      </c>
      <c r="V41" s="1254"/>
      <c r="W41" s="1255">
        <f t="shared" si="80"/>
        <v>0</v>
      </c>
      <c r="X41" s="1256">
        <f t="shared" si="81"/>
        <v>0</v>
      </c>
      <c r="Y41" s="1254"/>
      <c r="Z41" s="1255">
        <f t="shared" si="82"/>
        <v>0</v>
      </c>
      <c r="AA41" s="1256">
        <f t="shared" si="83"/>
        <v>0</v>
      </c>
      <c r="AB41" s="1254"/>
      <c r="AC41" s="1255">
        <f t="shared" si="84"/>
        <v>0</v>
      </c>
      <c r="AD41" s="1256">
        <f t="shared" si="85"/>
        <v>0</v>
      </c>
      <c r="AE41" s="1254"/>
      <c r="AF41" s="1255">
        <f t="shared" si="86"/>
        <v>0</v>
      </c>
      <c r="AG41" s="1256">
        <f t="shared" si="87"/>
        <v>0</v>
      </c>
      <c r="AH41" s="1254"/>
      <c r="AI41" s="1255">
        <f t="shared" si="88"/>
        <v>0</v>
      </c>
      <c r="AJ41" s="1256">
        <f t="shared" si="89"/>
        <v>0</v>
      </c>
      <c r="AK41" s="1254"/>
      <c r="AL41" s="1255">
        <f t="shared" si="90"/>
        <v>0</v>
      </c>
      <c r="AM41" s="1256">
        <f t="shared" si="91"/>
        <v>0</v>
      </c>
      <c r="AN41" s="1254"/>
      <c r="AO41" s="1255">
        <f t="shared" si="92"/>
        <v>0</v>
      </c>
      <c r="AP41" s="1256">
        <f t="shared" si="93"/>
        <v>0</v>
      </c>
      <c r="AQ41" s="1254"/>
      <c r="AR41" s="1255">
        <f t="shared" si="94"/>
        <v>0</v>
      </c>
      <c r="AS41" s="1256">
        <f t="shared" si="95"/>
        <v>0</v>
      </c>
      <c r="AT41" s="1254"/>
      <c r="AU41" s="1255">
        <f t="shared" si="96"/>
        <v>0</v>
      </c>
      <c r="AV41" s="1256">
        <f t="shared" si="97"/>
        <v>0</v>
      </c>
      <c r="AW41" s="1254"/>
      <c r="AX41" s="1255">
        <f t="shared" si="98"/>
        <v>0</v>
      </c>
      <c r="AY41" s="1256">
        <f t="shared" si="99"/>
        <v>0</v>
      </c>
      <c r="AZ41" s="1254"/>
      <c r="BA41" s="1255">
        <f t="shared" si="100"/>
        <v>0</v>
      </c>
      <c r="BB41" s="1256">
        <f t="shared" si="101"/>
        <v>0</v>
      </c>
    </row>
    <row r="42" spans="1:54" ht="13.8">
      <c r="A42" s="931" t="e">
        <f t="shared" si="11"/>
        <v>#REF!</v>
      </c>
      <c r="B42" s="932">
        <f t="shared" si="12"/>
        <v>0</v>
      </c>
      <c r="C42" s="934" t="e">
        <f t="shared" si="13"/>
        <v>#REF!</v>
      </c>
      <c r="D42" s="935" t="str">
        <f t="shared" si="79"/>
        <v>4. OBRAS DE DRENAJE</v>
      </c>
      <c r="E42" s="980">
        <v>34</v>
      </c>
      <c r="F42" s="803" t="s">
        <v>564</v>
      </c>
      <c r="G42" s="977" t="s">
        <v>293</v>
      </c>
      <c r="H42" s="36">
        <v>14</v>
      </c>
      <c r="I42" s="36">
        <v>1943.4</v>
      </c>
      <c r="J42" s="66">
        <f t="shared" si="78"/>
        <v>27207.599999999999</v>
      </c>
      <c r="K42" s="61">
        <f>SUMIF($V$3:$CH$3,"&lt;"&amp;Datos!$C$19,V42:CH42)</f>
        <v>0</v>
      </c>
      <c r="L42" s="71">
        <f t="shared" si="59"/>
        <v>0</v>
      </c>
      <c r="M42" s="65">
        <f>LOOKUP(Datos!$C$19,'Cant. Ejec,'!$V$3:$BB$3,'Cant. Ejec,'!$V42:$BB42)</f>
        <v>0</v>
      </c>
      <c r="N42" s="939">
        <f t="shared" si="60"/>
        <v>0</v>
      </c>
      <c r="O42" s="61">
        <f t="shared" ref="O42:P65" si="102">K42+M42</f>
        <v>0</v>
      </c>
      <c r="P42" s="939">
        <f t="shared" si="102"/>
        <v>0</v>
      </c>
      <c r="Q42" s="61">
        <f t="shared" si="62"/>
        <v>14</v>
      </c>
      <c r="R42" s="939">
        <f t="shared" si="63"/>
        <v>27207.599999999999</v>
      </c>
      <c r="S42" s="827">
        <f t="shared" si="64"/>
        <v>0</v>
      </c>
      <c r="T42" s="827">
        <f t="shared" si="65"/>
        <v>0</v>
      </c>
      <c r="U42" s="1236">
        <f t="shared" si="66"/>
        <v>1</v>
      </c>
      <c r="V42" s="1254"/>
      <c r="W42" s="1255">
        <f t="shared" si="80"/>
        <v>0</v>
      </c>
      <c r="X42" s="1256">
        <f t="shared" si="81"/>
        <v>0</v>
      </c>
      <c r="Y42" s="1254"/>
      <c r="Z42" s="1255">
        <f t="shared" si="82"/>
        <v>0</v>
      </c>
      <c r="AA42" s="1256">
        <f t="shared" si="83"/>
        <v>0</v>
      </c>
      <c r="AB42" s="1254"/>
      <c r="AC42" s="1255">
        <f t="shared" si="84"/>
        <v>0</v>
      </c>
      <c r="AD42" s="1256">
        <f t="shared" si="85"/>
        <v>0</v>
      </c>
      <c r="AE42" s="1254"/>
      <c r="AF42" s="1255">
        <f t="shared" si="86"/>
        <v>0</v>
      </c>
      <c r="AG42" s="1256">
        <f t="shared" si="87"/>
        <v>0</v>
      </c>
      <c r="AH42" s="1254"/>
      <c r="AI42" s="1255">
        <f t="shared" si="88"/>
        <v>0</v>
      </c>
      <c r="AJ42" s="1256">
        <f t="shared" si="89"/>
        <v>0</v>
      </c>
      <c r="AK42" s="1254"/>
      <c r="AL42" s="1255">
        <f t="shared" si="90"/>
        <v>0</v>
      </c>
      <c r="AM42" s="1256">
        <f t="shared" si="91"/>
        <v>0</v>
      </c>
      <c r="AN42" s="1254"/>
      <c r="AO42" s="1255">
        <f t="shared" si="92"/>
        <v>0</v>
      </c>
      <c r="AP42" s="1256">
        <f t="shared" si="93"/>
        <v>0</v>
      </c>
      <c r="AQ42" s="1254"/>
      <c r="AR42" s="1255">
        <f t="shared" si="94"/>
        <v>0</v>
      </c>
      <c r="AS42" s="1256">
        <f t="shared" si="95"/>
        <v>0</v>
      </c>
      <c r="AT42" s="1254"/>
      <c r="AU42" s="1255">
        <f t="shared" si="96"/>
        <v>0</v>
      </c>
      <c r="AV42" s="1256">
        <f t="shared" si="97"/>
        <v>0</v>
      </c>
      <c r="AW42" s="1254"/>
      <c r="AX42" s="1255">
        <f t="shared" si="98"/>
        <v>0</v>
      </c>
      <c r="AY42" s="1256">
        <f t="shared" si="99"/>
        <v>0</v>
      </c>
      <c r="AZ42" s="1254"/>
      <c r="BA42" s="1255">
        <f t="shared" si="100"/>
        <v>0</v>
      </c>
      <c r="BB42" s="1256">
        <f t="shared" si="101"/>
        <v>0</v>
      </c>
    </row>
    <row r="43" spans="1:54" ht="13.5" customHeight="1">
      <c r="A43" s="931" t="e">
        <f t="shared" si="11"/>
        <v>#REF!</v>
      </c>
      <c r="B43" s="932">
        <f t="shared" si="12"/>
        <v>0</v>
      </c>
      <c r="C43" s="934" t="e">
        <f t="shared" si="13"/>
        <v>#REF!</v>
      </c>
      <c r="D43" s="935" t="str">
        <f t="shared" si="79"/>
        <v>4. OBRAS DE DRENAJE</v>
      </c>
      <c r="E43" s="980">
        <v>35</v>
      </c>
      <c r="F43" s="803" t="s">
        <v>565</v>
      </c>
      <c r="G43" s="977" t="s">
        <v>290</v>
      </c>
      <c r="H43" s="36">
        <v>8800</v>
      </c>
      <c r="I43" s="36">
        <v>34.61</v>
      </c>
      <c r="J43" s="66">
        <f t="shared" si="78"/>
        <v>304568</v>
      </c>
      <c r="K43" s="61">
        <f>SUMIF($V$3:$CH$3,"&lt;"&amp;Datos!$C$19,V43:CH43)</f>
        <v>0</v>
      </c>
      <c r="L43" s="71">
        <f t="shared" si="59"/>
        <v>0</v>
      </c>
      <c r="M43" s="65">
        <f>LOOKUP(Datos!$C$19,'Cant. Ejec,'!$V$3:$BB$3,'Cant. Ejec,'!$V43:$BB43)</f>
        <v>0</v>
      </c>
      <c r="N43" s="939">
        <f t="shared" si="60"/>
        <v>0</v>
      </c>
      <c r="O43" s="61">
        <f t="shared" si="102"/>
        <v>0</v>
      </c>
      <c r="P43" s="939">
        <f t="shared" si="102"/>
        <v>0</v>
      </c>
      <c r="Q43" s="61">
        <f t="shared" si="62"/>
        <v>8800</v>
      </c>
      <c r="R43" s="939">
        <f t="shared" si="63"/>
        <v>304568</v>
      </c>
      <c r="S43" s="827">
        <f t="shared" si="64"/>
        <v>0</v>
      </c>
      <c r="T43" s="827">
        <f t="shared" si="65"/>
        <v>0</v>
      </c>
      <c r="U43" s="1236">
        <f t="shared" si="66"/>
        <v>1</v>
      </c>
      <c r="V43" s="1254"/>
      <c r="W43" s="1255">
        <f t="shared" si="80"/>
        <v>0</v>
      </c>
      <c r="X43" s="1256">
        <f t="shared" si="81"/>
        <v>0</v>
      </c>
      <c r="Y43" s="1254"/>
      <c r="Z43" s="1255">
        <f t="shared" si="82"/>
        <v>0</v>
      </c>
      <c r="AA43" s="1256">
        <f t="shared" si="83"/>
        <v>0</v>
      </c>
      <c r="AB43" s="1254"/>
      <c r="AC43" s="1255">
        <f t="shared" si="84"/>
        <v>0</v>
      </c>
      <c r="AD43" s="1256">
        <f t="shared" si="85"/>
        <v>0</v>
      </c>
      <c r="AE43" s="1254"/>
      <c r="AF43" s="1255">
        <f t="shared" si="86"/>
        <v>0</v>
      </c>
      <c r="AG43" s="1256">
        <f t="shared" si="87"/>
        <v>0</v>
      </c>
      <c r="AH43" s="1254"/>
      <c r="AI43" s="1255">
        <f t="shared" si="88"/>
        <v>0</v>
      </c>
      <c r="AJ43" s="1256">
        <f t="shared" si="89"/>
        <v>0</v>
      </c>
      <c r="AK43" s="1254"/>
      <c r="AL43" s="1255">
        <f t="shared" si="90"/>
        <v>0</v>
      </c>
      <c r="AM43" s="1256">
        <f t="shared" si="91"/>
        <v>0</v>
      </c>
      <c r="AN43" s="1254"/>
      <c r="AO43" s="1255">
        <f t="shared" si="92"/>
        <v>0</v>
      </c>
      <c r="AP43" s="1256">
        <f t="shared" si="93"/>
        <v>0</v>
      </c>
      <c r="AQ43" s="1254"/>
      <c r="AR43" s="1255">
        <f t="shared" si="94"/>
        <v>0</v>
      </c>
      <c r="AS43" s="1256">
        <f t="shared" si="95"/>
        <v>0</v>
      </c>
      <c r="AT43" s="1254"/>
      <c r="AU43" s="1255">
        <f t="shared" si="96"/>
        <v>0</v>
      </c>
      <c r="AV43" s="1256">
        <f t="shared" si="97"/>
        <v>0</v>
      </c>
      <c r="AW43" s="1254"/>
      <c r="AX43" s="1255">
        <f t="shared" si="98"/>
        <v>0</v>
      </c>
      <c r="AY43" s="1256">
        <f t="shared" si="99"/>
        <v>0</v>
      </c>
      <c r="AZ43" s="1254"/>
      <c r="BA43" s="1255">
        <f t="shared" si="100"/>
        <v>0</v>
      </c>
      <c r="BB43" s="1256">
        <f t="shared" si="101"/>
        <v>0</v>
      </c>
    </row>
    <row r="44" spans="1:54" ht="13.5" customHeight="1">
      <c r="A44" s="931" t="e">
        <f t="shared" si="11"/>
        <v>#REF!</v>
      </c>
      <c r="B44" s="932">
        <f t="shared" si="12"/>
        <v>0</v>
      </c>
      <c r="C44" s="934" t="e">
        <f t="shared" si="13"/>
        <v>#REF!</v>
      </c>
      <c r="D44" s="935" t="str">
        <f t="shared" si="79"/>
        <v>4. OBRAS DE DRENAJE</v>
      </c>
      <c r="E44" s="980">
        <v>36</v>
      </c>
      <c r="F44" s="803" t="s">
        <v>566</v>
      </c>
      <c r="G44" s="977" t="s">
        <v>291</v>
      </c>
      <c r="H44" s="36">
        <v>1200</v>
      </c>
      <c r="I44" s="36">
        <v>106.62</v>
      </c>
      <c r="J44" s="66">
        <f t="shared" si="78"/>
        <v>127944</v>
      </c>
      <c r="K44" s="61">
        <f>SUMIF($V$3:$CH$3,"&lt;"&amp;Datos!$C$19,V44:CH44)</f>
        <v>0</v>
      </c>
      <c r="L44" s="71">
        <f t="shared" si="59"/>
        <v>0</v>
      </c>
      <c r="M44" s="65">
        <f>LOOKUP(Datos!$C$19,'Cant. Ejec,'!$V$3:$BB$3,'Cant. Ejec,'!$V44:$BB44)</f>
        <v>0</v>
      </c>
      <c r="N44" s="939">
        <f t="shared" si="60"/>
        <v>0</v>
      </c>
      <c r="O44" s="61">
        <f t="shared" si="102"/>
        <v>0</v>
      </c>
      <c r="P44" s="939">
        <f t="shared" si="102"/>
        <v>0</v>
      </c>
      <c r="Q44" s="61">
        <f t="shared" si="62"/>
        <v>1200</v>
      </c>
      <c r="R44" s="939">
        <f t="shared" si="63"/>
        <v>127944</v>
      </c>
      <c r="S44" s="827">
        <f t="shared" si="64"/>
        <v>0</v>
      </c>
      <c r="T44" s="827">
        <f t="shared" si="65"/>
        <v>0</v>
      </c>
      <c r="U44" s="1236">
        <f t="shared" si="66"/>
        <v>1</v>
      </c>
      <c r="V44" s="1254"/>
      <c r="W44" s="1255">
        <f t="shared" si="80"/>
        <v>0</v>
      </c>
      <c r="X44" s="1256">
        <f t="shared" si="81"/>
        <v>0</v>
      </c>
      <c r="Y44" s="1254"/>
      <c r="Z44" s="1255">
        <f t="shared" si="82"/>
        <v>0</v>
      </c>
      <c r="AA44" s="1256">
        <f t="shared" si="83"/>
        <v>0</v>
      </c>
      <c r="AB44" s="1254"/>
      <c r="AC44" s="1255">
        <f t="shared" si="84"/>
        <v>0</v>
      </c>
      <c r="AD44" s="1256">
        <f t="shared" si="85"/>
        <v>0</v>
      </c>
      <c r="AE44" s="1254"/>
      <c r="AF44" s="1255">
        <f t="shared" si="86"/>
        <v>0</v>
      </c>
      <c r="AG44" s="1256">
        <f t="shared" si="87"/>
        <v>0</v>
      </c>
      <c r="AH44" s="1254"/>
      <c r="AI44" s="1255">
        <f t="shared" si="88"/>
        <v>0</v>
      </c>
      <c r="AJ44" s="1256">
        <f t="shared" si="89"/>
        <v>0</v>
      </c>
      <c r="AK44" s="1254"/>
      <c r="AL44" s="1255">
        <f t="shared" si="90"/>
        <v>0</v>
      </c>
      <c r="AM44" s="1256">
        <f t="shared" si="91"/>
        <v>0</v>
      </c>
      <c r="AN44" s="1254"/>
      <c r="AO44" s="1255">
        <f t="shared" si="92"/>
        <v>0</v>
      </c>
      <c r="AP44" s="1256">
        <f t="shared" si="93"/>
        <v>0</v>
      </c>
      <c r="AQ44" s="1254"/>
      <c r="AR44" s="1255">
        <f t="shared" si="94"/>
        <v>0</v>
      </c>
      <c r="AS44" s="1256">
        <f t="shared" si="95"/>
        <v>0</v>
      </c>
      <c r="AT44" s="1254"/>
      <c r="AU44" s="1255">
        <f t="shared" si="96"/>
        <v>0</v>
      </c>
      <c r="AV44" s="1256">
        <f t="shared" si="97"/>
        <v>0</v>
      </c>
      <c r="AW44" s="1254"/>
      <c r="AX44" s="1255">
        <f t="shared" si="98"/>
        <v>0</v>
      </c>
      <c r="AY44" s="1256">
        <f t="shared" si="99"/>
        <v>0</v>
      </c>
      <c r="AZ44" s="1254"/>
      <c r="BA44" s="1255">
        <f t="shared" si="100"/>
        <v>0</v>
      </c>
      <c r="BB44" s="1256">
        <f t="shared" si="101"/>
        <v>0</v>
      </c>
    </row>
    <row r="45" spans="1:54" ht="13.5" customHeight="1">
      <c r="A45" s="931" t="e">
        <f t="shared" si="11"/>
        <v>#REF!</v>
      </c>
      <c r="B45" s="932">
        <f t="shared" si="12"/>
        <v>0</v>
      </c>
      <c r="C45" s="934" t="e">
        <f t="shared" si="13"/>
        <v>#REF!</v>
      </c>
      <c r="D45" s="935" t="str">
        <f t="shared" si="79"/>
        <v>4. OBRAS DE DRENAJE</v>
      </c>
      <c r="E45" s="980">
        <v>37</v>
      </c>
      <c r="F45" s="803" t="s">
        <v>567</v>
      </c>
      <c r="G45" s="977" t="s">
        <v>290</v>
      </c>
      <c r="H45" s="36">
        <v>44</v>
      </c>
      <c r="I45" s="36">
        <v>761.21</v>
      </c>
      <c r="J45" s="66">
        <f t="shared" si="78"/>
        <v>33493.24</v>
      </c>
      <c r="K45" s="61">
        <f>SUMIF($V$3:$CH$3,"&lt;"&amp;Datos!$C$19,V45:CH45)</f>
        <v>0</v>
      </c>
      <c r="L45" s="71">
        <f t="shared" si="59"/>
        <v>0</v>
      </c>
      <c r="M45" s="65">
        <f>LOOKUP(Datos!$C$19,'Cant. Ejec,'!$V$3:$BB$3,'Cant. Ejec,'!$V45:$BB45)</f>
        <v>0</v>
      </c>
      <c r="N45" s="939">
        <f t="shared" si="60"/>
        <v>0</v>
      </c>
      <c r="O45" s="61">
        <f t="shared" si="102"/>
        <v>0</v>
      </c>
      <c r="P45" s="939">
        <f t="shared" si="102"/>
        <v>0</v>
      </c>
      <c r="Q45" s="61">
        <f t="shared" si="62"/>
        <v>44</v>
      </c>
      <c r="R45" s="939">
        <f t="shared" si="63"/>
        <v>33493.24</v>
      </c>
      <c r="S45" s="827">
        <f t="shared" si="64"/>
        <v>0</v>
      </c>
      <c r="T45" s="827">
        <f t="shared" si="65"/>
        <v>0</v>
      </c>
      <c r="U45" s="1236">
        <f t="shared" si="66"/>
        <v>1</v>
      </c>
      <c r="V45" s="1254"/>
      <c r="W45" s="1255">
        <f t="shared" si="80"/>
        <v>0</v>
      </c>
      <c r="X45" s="1256">
        <f t="shared" si="81"/>
        <v>0</v>
      </c>
      <c r="Y45" s="1254"/>
      <c r="Z45" s="1255">
        <f t="shared" si="82"/>
        <v>0</v>
      </c>
      <c r="AA45" s="1256">
        <f t="shared" si="83"/>
        <v>0</v>
      </c>
      <c r="AB45" s="1254"/>
      <c r="AC45" s="1255">
        <f t="shared" si="84"/>
        <v>0</v>
      </c>
      <c r="AD45" s="1256">
        <f t="shared" si="85"/>
        <v>0</v>
      </c>
      <c r="AE45" s="1254"/>
      <c r="AF45" s="1255">
        <f t="shared" si="86"/>
        <v>0</v>
      </c>
      <c r="AG45" s="1256">
        <f t="shared" si="87"/>
        <v>0</v>
      </c>
      <c r="AH45" s="1254"/>
      <c r="AI45" s="1255">
        <f t="shared" si="88"/>
        <v>0</v>
      </c>
      <c r="AJ45" s="1256">
        <f t="shared" si="89"/>
        <v>0</v>
      </c>
      <c r="AK45" s="1254"/>
      <c r="AL45" s="1255">
        <f t="shared" si="90"/>
        <v>0</v>
      </c>
      <c r="AM45" s="1256">
        <f t="shared" si="91"/>
        <v>0</v>
      </c>
      <c r="AN45" s="1254"/>
      <c r="AO45" s="1255">
        <f t="shared" si="92"/>
        <v>0</v>
      </c>
      <c r="AP45" s="1256">
        <f t="shared" si="93"/>
        <v>0</v>
      </c>
      <c r="AQ45" s="1254"/>
      <c r="AR45" s="1255">
        <f t="shared" si="94"/>
        <v>0</v>
      </c>
      <c r="AS45" s="1256">
        <f t="shared" si="95"/>
        <v>0</v>
      </c>
      <c r="AT45" s="1254"/>
      <c r="AU45" s="1255">
        <f t="shared" si="96"/>
        <v>0</v>
      </c>
      <c r="AV45" s="1256">
        <f t="shared" si="97"/>
        <v>0</v>
      </c>
      <c r="AW45" s="1254"/>
      <c r="AX45" s="1255">
        <f t="shared" si="98"/>
        <v>0</v>
      </c>
      <c r="AY45" s="1256">
        <f t="shared" si="99"/>
        <v>0</v>
      </c>
      <c r="AZ45" s="1254"/>
      <c r="BA45" s="1255">
        <f t="shared" si="100"/>
        <v>0</v>
      </c>
      <c r="BB45" s="1256">
        <f t="shared" si="101"/>
        <v>0</v>
      </c>
    </row>
    <row r="46" spans="1:54" ht="13.5" customHeight="1">
      <c r="A46" s="931" t="e">
        <f t="shared" si="11"/>
        <v>#REF!</v>
      </c>
      <c r="B46" s="932">
        <f t="shared" si="12"/>
        <v>0</v>
      </c>
      <c r="C46" s="934" t="e">
        <f t="shared" si="13"/>
        <v>#REF!</v>
      </c>
      <c r="D46" s="935" t="str">
        <f t="shared" si="79"/>
        <v>4. OBRAS DE DRENAJE</v>
      </c>
      <c r="E46" s="980">
        <v>38</v>
      </c>
      <c r="F46" s="803" t="s">
        <v>568</v>
      </c>
      <c r="G46" s="977" t="s">
        <v>290</v>
      </c>
      <c r="H46" s="36">
        <v>8</v>
      </c>
      <c r="I46" s="36">
        <v>941.82</v>
      </c>
      <c r="J46" s="66">
        <f t="shared" si="78"/>
        <v>7534.56</v>
      </c>
      <c r="K46" s="61">
        <f>SUMIF($V$3:$CH$3,"&lt;"&amp;Datos!$C$19,V46:CH46)</f>
        <v>0</v>
      </c>
      <c r="L46" s="71">
        <f t="shared" si="59"/>
        <v>0</v>
      </c>
      <c r="M46" s="65">
        <f>LOOKUP(Datos!$C$19,'Cant. Ejec,'!$V$3:$BB$3,'Cant. Ejec,'!$V46:$BB46)</f>
        <v>0</v>
      </c>
      <c r="N46" s="939">
        <f t="shared" si="60"/>
        <v>0</v>
      </c>
      <c r="O46" s="61">
        <f t="shared" si="102"/>
        <v>0</v>
      </c>
      <c r="P46" s="939">
        <f t="shared" si="102"/>
        <v>0</v>
      </c>
      <c r="Q46" s="61">
        <f t="shared" si="62"/>
        <v>8</v>
      </c>
      <c r="R46" s="939">
        <f t="shared" si="63"/>
        <v>7534.56</v>
      </c>
      <c r="S46" s="827">
        <f t="shared" si="64"/>
        <v>0</v>
      </c>
      <c r="T46" s="827">
        <f t="shared" si="65"/>
        <v>0</v>
      </c>
      <c r="U46" s="1236">
        <f t="shared" si="66"/>
        <v>1</v>
      </c>
      <c r="V46" s="1254"/>
      <c r="W46" s="1255">
        <f t="shared" si="80"/>
        <v>0</v>
      </c>
      <c r="X46" s="1256">
        <f t="shared" si="81"/>
        <v>0</v>
      </c>
      <c r="Y46" s="1254"/>
      <c r="Z46" s="1255">
        <f t="shared" si="82"/>
        <v>0</v>
      </c>
      <c r="AA46" s="1256">
        <f t="shared" si="83"/>
        <v>0</v>
      </c>
      <c r="AB46" s="1254"/>
      <c r="AC46" s="1255">
        <f t="shared" si="84"/>
        <v>0</v>
      </c>
      <c r="AD46" s="1256">
        <f t="shared" si="85"/>
        <v>0</v>
      </c>
      <c r="AE46" s="1254"/>
      <c r="AF46" s="1255">
        <f t="shared" si="86"/>
        <v>0</v>
      </c>
      <c r="AG46" s="1256">
        <f t="shared" si="87"/>
        <v>0</v>
      </c>
      <c r="AH46" s="1254"/>
      <c r="AI46" s="1255">
        <f t="shared" si="88"/>
        <v>0</v>
      </c>
      <c r="AJ46" s="1256">
        <f t="shared" si="89"/>
        <v>0</v>
      </c>
      <c r="AK46" s="1254"/>
      <c r="AL46" s="1255">
        <f t="shared" si="90"/>
        <v>0</v>
      </c>
      <c r="AM46" s="1256">
        <f t="shared" si="91"/>
        <v>0</v>
      </c>
      <c r="AN46" s="1254"/>
      <c r="AO46" s="1255">
        <f t="shared" si="92"/>
        <v>0</v>
      </c>
      <c r="AP46" s="1256">
        <f t="shared" si="93"/>
        <v>0</v>
      </c>
      <c r="AQ46" s="1254"/>
      <c r="AR46" s="1255">
        <f t="shared" si="94"/>
        <v>0</v>
      </c>
      <c r="AS46" s="1256">
        <f t="shared" si="95"/>
        <v>0</v>
      </c>
      <c r="AT46" s="1254"/>
      <c r="AU46" s="1255">
        <f t="shared" si="96"/>
        <v>0</v>
      </c>
      <c r="AV46" s="1256">
        <f t="shared" si="97"/>
        <v>0</v>
      </c>
      <c r="AW46" s="1254"/>
      <c r="AX46" s="1255">
        <f t="shared" si="98"/>
        <v>0</v>
      </c>
      <c r="AY46" s="1256">
        <f t="shared" si="99"/>
        <v>0</v>
      </c>
      <c r="AZ46" s="1254"/>
      <c r="BA46" s="1255">
        <f t="shared" si="100"/>
        <v>0</v>
      </c>
      <c r="BB46" s="1256">
        <f t="shared" si="101"/>
        <v>0</v>
      </c>
    </row>
    <row r="47" spans="1:54" ht="13.5" customHeight="1">
      <c r="A47" s="931" t="e">
        <f t="shared" si="11"/>
        <v>#REF!</v>
      </c>
      <c r="B47" s="932">
        <f t="shared" si="12"/>
        <v>0</v>
      </c>
      <c r="C47" s="934" t="e">
        <f t="shared" si="13"/>
        <v>#REF!</v>
      </c>
      <c r="D47" s="935" t="str">
        <f t="shared" si="79"/>
        <v>4. OBRAS DE DRENAJE</v>
      </c>
      <c r="E47" s="980">
        <v>39</v>
      </c>
      <c r="F47" s="803" t="s">
        <v>569</v>
      </c>
      <c r="G47" s="977" t="s">
        <v>290</v>
      </c>
      <c r="H47" s="36">
        <v>4</v>
      </c>
      <c r="I47" s="36">
        <v>110.15</v>
      </c>
      <c r="J47" s="66">
        <f t="shared" si="78"/>
        <v>440.6</v>
      </c>
      <c r="K47" s="61">
        <f>SUMIF($V$3:$CH$3,"&lt;"&amp;Datos!$C$19,V47:CH47)</f>
        <v>0</v>
      </c>
      <c r="L47" s="71">
        <f t="shared" ref="L47:L65" si="103">+ROUND(I47*K47,2)</f>
        <v>0</v>
      </c>
      <c r="M47" s="65">
        <f>LOOKUP(Datos!$C$19,'Cant. Ejec,'!$V$3:$BB$3,'Cant. Ejec,'!$V47:$BB47)</f>
        <v>0</v>
      </c>
      <c r="N47" s="939">
        <f t="shared" si="60"/>
        <v>0</v>
      </c>
      <c r="O47" s="61">
        <f t="shared" si="102"/>
        <v>0</v>
      </c>
      <c r="P47" s="939">
        <f t="shared" si="102"/>
        <v>0</v>
      </c>
      <c r="Q47" s="61">
        <f t="shared" si="62"/>
        <v>4</v>
      </c>
      <c r="R47" s="939">
        <f t="shared" si="63"/>
        <v>440.6</v>
      </c>
      <c r="S47" s="827">
        <f t="shared" si="64"/>
        <v>0</v>
      </c>
      <c r="T47" s="827">
        <f t="shared" si="65"/>
        <v>0</v>
      </c>
      <c r="U47" s="1236">
        <f t="shared" si="66"/>
        <v>1</v>
      </c>
      <c r="V47" s="1254"/>
      <c r="W47" s="1255">
        <f t="shared" si="80"/>
        <v>0</v>
      </c>
      <c r="X47" s="1256">
        <f t="shared" si="81"/>
        <v>0</v>
      </c>
      <c r="Y47" s="1254"/>
      <c r="Z47" s="1255">
        <f t="shared" si="82"/>
        <v>0</v>
      </c>
      <c r="AA47" s="1256">
        <f t="shared" si="83"/>
        <v>0</v>
      </c>
      <c r="AB47" s="1254"/>
      <c r="AC47" s="1255">
        <f t="shared" si="84"/>
        <v>0</v>
      </c>
      <c r="AD47" s="1256">
        <f t="shared" si="85"/>
        <v>0</v>
      </c>
      <c r="AE47" s="1254"/>
      <c r="AF47" s="1255">
        <f t="shared" si="86"/>
        <v>0</v>
      </c>
      <c r="AG47" s="1256">
        <f t="shared" si="87"/>
        <v>0</v>
      </c>
      <c r="AH47" s="1254"/>
      <c r="AI47" s="1255">
        <f t="shared" si="88"/>
        <v>0</v>
      </c>
      <c r="AJ47" s="1256">
        <f t="shared" si="89"/>
        <v>0</v>
      </c>
      <c r="AK47" s="1254"/>
      <c r="AL47" s="1255">
        <f t="shared" si="90"/>
        <v>0</v>
      </c>
      <c r="AM47" s="1256">
        <f t="shared" si="91"/>
        <v>0</v>
      </c>
      <c r="AN47" s="1254"/>
      <c r="AO47" s="1255">
        <f t="shared" si="92"/>
        <v>0</v>
      </c>
      <c r="AP47" s="1256">
        <f t="shared" si="93"/>
        <v>0</v>
      </c>
      <c r="AQ47" s="1254"/>
      <c r="AR47" s="1255">
        <f t="shared" si="94"/>
        <v>0</v>
      </c>
      <c r="AS47" s="1256">
        <f t="shared" si="95"/>
        <v>0</v>
      </c>
      <c r="AT47" s="1254"/>
      <c r="AU47" s="1255">
        <f t="shared" si="96"/>
        <v>0</v>
      </c>
      <c r="AV47" s="1256">
        <f t="shared" si="97"/>
        <v>0</v>
      </c>
      <c r="AW47" s="1254"/>
      <c r="AX47" s="1255">
        <f t="shared" si="98"/>
        <v>0</v>
      </c>
      <c r="AY47" s="1256">
        <f t="shared" si="99"/>
        <v>0</v>
      </c>
      <c r="AZ47" s="1254"/>
      <c r="BA47" s="1255">
        <f t="shared" si="100"/>
        <v>0</v>
      </c>
      <c r="BB47" s="1256">
        <f t="shared" si="101"/>
        <v>0</v>
      </c>
    </row>
    <row r="48" spans="1:54" ht="13.5" customHeight="1">
      <c r="A48" s="931" t="e">
        <f t="shared" si="11"/>
        <v>#REF!</v>
      </c>
      <c r="B48" s="932">
        <f t="shared" si="12"/>
        <v>0</v>
      </c>
      <c r="C48" s="934" t="e">
        <f t="shared" si="13"/>
        <v>#REF!</v>
      </c>
      <c r="D48" s="935" t="str">
        <f t="shared" si="79"/>
        <v>4. OBRAS DE DRENAJE</v>
      </c>
      <c r="E48" s="980">
        <v>40</v>
      </c>
      <c r="F48" s="803" t="s">
        <v>570</v>
      </c>
      <c r="G48" s="977" t="s">
        <v>291</v>
      </c>
      <c r="H48" s="36">
        <v>4</v>
      </c>
      <c r="I48" s="36">
        <v>107.87</v>
      </c>
      <c r="J48" s="66">
        <f t="shared" si="78"/>
        <v>431.48</v>
      </c>
      <c r="K48" s="61">
        <f>SUMIF($V$3:$CH$3,"&lt;"&amp;Datos!$C$19,V48:CH48)</f>
        <v>0</v>
      </c>
      <c r="L48" s="71">
        <f t="shared" si="103"/>
        <v>0</v>
      </c>
      <c r="M48" s="65">
        <f>LOOKUP(Datos!$C$19,'Cant. Ejec,'!$V$3:$BB$3,'Cant. Ejec,'!$V48:$BB48)</f>
        <v>0</v>
      </c>
      <c r="N48" s="939">
        <f t="shared" si="60"/>
        <v>0</v>
      </c>
      <c r="O48" s="61">
        <f t="shared" si="102"/>
        <v>0</v>
      </c>
      <c r="P48" s="939">
        <f t="shared" si="102"/>
        <v>0</v>
      </c>
      <c r="Q48" s="61">
        <f t="shared" si="62"/>
        <v>4</v>
      </c>
      <c r="R48" s="939">
        <f t="shared" si="63"/>
        <v>431.48</v>
      </c>
      <c r="S48" s="827">
        <f t="shared" si="64"/>
        <v>0</v>
      </c>
      <c r="T48" s="827">
        <f t="shared" si="65"/>
        <v>0</v>
      </c>
      <c r="U48" s="1236">
        <f t="shared" si="66"/>
        <v>1</v>
      </c>
      <c r="V48" s="1254"/>
      <c r="W48" s="1255">
        <f t="shared" si="80"/>
        <v>0</v>
      </c>
      <c r="X48" s="1256">
        <f t="shared" si="81"/>
        <v>0</v>
      </c>
      <c r="Y48" s="1254"/>
      <c r="Z48" s="1255">
        <f t="shared" si="82"/>
        <v>0</v>
      </c>
      <c r="AA48" s="1256">
        <f t="shared" si="83"/>
        <v>0</v>
      </c>
      <c r="AB48" s="1254"/>
      <c r="AC48" s="1255">
        <f t="shared" si="84"/>
        <v>0</v>
      </c>
      <c r="AD48" s="1256">
        <f t="shared" si="85"/>
        <v>0</v>
      </c>
      <c r="AE48" s="1254"/>
      <c r="AF48" s="1255">
        <f t="shared" si="86"/>
        <v>0</v>
      </c>
      <c r="AG48" s="1256">
        <f t="shared" si="87"/>
        <v>0</v>
      </c>
      <c r="AH48" s="1254"/>
      <c r="AI48" s="1255">
        <f t="shared" si="88"/>
        <v>0</v>
      </c>
      <c r="AJ48" s="1256">
        <f t="shared" si="89"/>
        <v>0</v>
      </c>
      <c r="AK48" s="1254"/>
      <c r="AL48" s="1255">
        <f t="shared" si="90"/>
        <v>0</v>
      </c>
      <c r="AM48" s="1256">
        <f t="shared" si="91"/>
        <v>0</v>
      </c>
      <c r="AN48" s="1254"/>
      <c r="AO48" s="1255">
        <f t="shared" si="92"/>
        <v>0</v>
      </c>
      <c r="AP48" s="1256">
        <f t="shared" si="93"/>
        <v>0</v>
      </c>
      <c r="AQ48" s="1254"/>
      <c r="AR48" s="1255">
        <f t="shared" si="94"/>
        <v>0</v>
      </c>
      <c r="AS48" s="1256">
        <f t="shared" si="95"/>
        <v>0</v>
      </c>
      <c r="AT48" s="1254"/>
      <c r="AU48" s="1255">
        <f t="shared" si="96"/>
        <v>0</v>
      </c>
      <c r="AV48" s="1256">
        <f t="shared" si="97"/>
        <v>0</v>
      </c>
      <c r="AW48" s="1254"/>
      <c r="AX48" s="1255">
        <f t="shared" si="98"/>
        <v>0</v>
      </c>
      <c r="AY48" s="1256">
        <f t="shared" si="99"/>
        <v>0</v>
      </c>
      <c r="AZ48" s="1254"/>
      <c r="BA48" s="1255">
        <f t="shared" si="100"/>
        <v>0</v>
      </c>
      <c r="BB48" s="1256">
        <f t="shared" si="101"/>
        <v>0</v>
      </c>
    </row>
    <row r="49" spans="1:54" ht="13.5" customHeight="1">
      <c r="A49" s="931" t="e">
        <f t="shared" si="11"/>
        <v>#REF!</v>
      </c>
      <c r="B49" s="932">
        <f t="shared" si="12"/>
        <v>0</v>
      </c>
      <c r="C49" s="934" t="e">
        <f t="shared" si="13"/>
        <v>#REF!</v>
      </c>
      <c r="D49" s="935" t="str">
        <f t="shared" si="79"/>
        <v>4. OBRAS DE DRENAJE</v>
      </c>
      <c r="E49" s="980">
        <v>41</v>
      </c>
      <c r="F49" s="803" t="s">
        <v>566</v>
      </c>
      <c r="G49" s="977" t="s">
        <v>291</v>
      </c>
      <c r="H49" s="36">
        <v>132</v>
      </c>
      <c r="I49" s="36">
        <v>127.01</v>
      </c>
      <c r="J49" s="66">
        <f t="shared" si="78"/>
        <v>16765.32</v>
      </c>
      <c r="K49" s="61">
        <f>SUMIF($V$3:$CH$3,"&lt;"&amp;Datos!$C$19,V49:CH49)</f>
        <v>0</v>
      </c>
      <c r="L49" s="71">
        <f t="shared" si="103"/>
        <v>0</v>
      </c>
      <c r="M49" s="65">
        <f>LOOKUP(Datos!$C$19,'Cant. Ejec,'!$V$3:$BB$3,'Cant. Ejec,'!$V49:$BB49)</f>
        <v>0</v>
      </c>
      <c r="N49" s="939">
        <f t="shared" si="60"/>
        <v>0</v>
      </c>
      <c r="O49" s="61">
        <f t="shared" si="102"/>
        <v>0</v>
      </c>
      <c r="P49" s="939">
        <f t="shared" si="102"/>
        <v>0</v>
      </c>
      <c r="Q49" s="61">
        <f t="shared" si="62"/>
        <v>132</v>
      </c>
      <c r="R49" s="939">
        <f t="shared" si="63"/>
        <v>16765.32</v>
      </c>
      <c r="S49" s="827">
        <f t="shared" si="64"/>
        <v>0</v>
      </c>
      <c r="T49" s="827">
        <f t="shared" si="65"/>
        <v>0</v>
      </c>
      <c r="U49" s="1236">
        <f t="shared" si="66"/>
        <v>1</v>
      </c>
      <c r="V49" s="1254"/>
      <c r="W49" s="1255">
        <f t="shared" si="80"/>
        <v>0</v>
      </c>
      <c r="X49" s="1256">
        <f t="shared" si="81"/>
        <v>0</v>
      </c>
      <c r="Y49" s="1254"/>
      <c r="Z49" s="1255">
        <f t="shared" si="82"/>
        <v>0</v>
      </c>
      <c r="AA49" s="1256">
        <f t="shared" si="83"/>
        <v>0</v>
      </c>
      <c r="AB49" s="1254"/>
      <c r="AC49" s="1255">
        <f t="shared" si="84"/>
        <v>0</v>
      </c>
      <c r="AD49" s="1256">
        <f t="shared" si="85"/>
        <v>0</v>
      </c>
      <c r="AE49" s="1254"/>
      <c r="AF49" s="1255">
        <f t="shared" si="86"/>
        <v>0</v>
      </c>
      <c r="AG49" s="1256">
        <f t="shared" si="87"/>
        <v>0</v>
      </c>
      <c r="AH49" s="1254"/>
      <c r="AI49" s="1255">
        <f t="shared" si="88"/>
        <v>0</v>
      </c>
      <c r="AJ49" s="1256">
        <f t="shared" si="89"/>
        <v>0</v>
      </c>
      <c r="AK49" s="1254"/>
      <c r="AL49" s="1255">
        <f t="shared" si="90"/>
        <v>0</v>
      </c>
      <c r="AM49" s="1256">
        <f t="shared" si="91"/>
        <v>0</v>
      </c>
      <c r="AN49" s="1254"/>
      <c r="AO49" s="1255">
        <f t="shared" si="92"/>
        <v>0</v>
      </c>
      <c r="AP49" s="1256">
        <f t="shared" si="93"/>
        <v>0</v>
      </c>
      <c r="AQ49" s="1254"/>
      <c r="AR49" s="1255">
        <f t="shared" si="94"/>
        <v>0</v>
      </c>
      <c r="AS49" s="1256">
        <f t="shared" si="95"/>
        <v>0</v>
      </c>
      <c r="AT49" s="1254"/>
      <c r="AU49" s="1255">
        <f t="shared" si="96"/>
        <v>0</v>
      </c>
      <c r="AV49" s="1256">
        <f t="shared" si="97"/>
        <v>0</v>
      </c>
      <c r="AW49" s="1254"/>
      <c r="AX49" s="1255">
        <f t="shared" si="98"/>
        <v>0</v>
      </c>
      <c r="AY49" s="1256">
        <f t="shared" si="99"/>
        <v>0</v>
      </c>
      <c r="AZ49" s="1254"/>
      <c r="BA49" s="1255">
        <f t="shared" si="100"/>
        <v>0</v>
      </c>
      <c r="BB49" s="1256">
        <f t="shared" si="101"/>
        <v>0</v>
      </c>
    </row>
    <row r="50" spans="1:54" ht="13.5" customHeight="1">
      <c r="A50" s="931" t="e">
        <f t="shared" si="11"/>
        <v>#REF!</v>
      </c>
      <c r="B50" s="932">
        <f t="shared" si="12"/>
        <v>0</v>
      </c>
      <c r="C50" s="934" t="e">
        <f t="shared" si="13"/>
        <v>#REF!</v>
      </c>
      <c r="D50" s="935" t="str">
        <f t="shared" si="79"/>
        <v>4. OBRAS DE DRENAJE</v>
      </c>
      <c r="E50" s="980">
        <v>42</v>
      </c>
      <c r="F50" s="803" t="s">
        <v>571</v>
      </c>
      <c r="G50" s="977" t="s">
        <v>291</v>
      </c>
      <c r="H50" s="36">
        <v>27</v>
      </c>
      <c r="I50" s="38">
        <v>174.55</v>
      </c>
      <c r="J50" s="66">
        <f t="shared" si="78"/>
        <v>4712.8500000000004</v>
      </c>
      <c r="K50" s="61">
        <f>SUMIF($V$3:$CH$3,"&lt;"&amp;Datos!$C$19,V50:CH50)</f>
        <v>0</v>
      </c>
      <c r="L50" s="71">
        <f t="shared" si="103"/>
        <v>0</v>
      </c>
      <c r="M50" s="65">
        <f>LOOKUP(Datos!$C$19,'Cant. Ejec,'!$V$3:$BB$3,'Cant. Ejec,'!$V50:$BB50)</f>
        <v>0</v>
      </c>
      <c r="N50" s="939">
        <f t="shared" si="60"/>
        <v>0</v>
      </c>
      <c r="O50" s="61">
        <f t="shared" si="102"/>
        <v>0</v>
      </c>
      <c r="P50" s="939">
        <f t="shared" si="102"/>
        <v>0</v>
      </c>
      <c r="Q50" s="61">
        <f t="shared" si="62"/>
        <v>27</v>
      </c>
      <c r="R50" s="939">
        <f t="shared" si="63"/>
        <v>4712.8500000000004</v>
      </c>
      <c r="S50" s="827">
        <f t="shared" si="64"/>
        <v>0</v>
      </c>
      <c r="T50" s="827">
        <f t="shared" si="65"/>
        <v>0</v>
      </c>
      <c r="U50" s="1236">
        <f t="shared" si="66"/>
        <v>1</v>
      </c>
      <c r="V50" s="1254"/>
      <c r="W50" s="1255">
        <f t="shared" si="80"/>
        <v>0</v>
      </c>
      <c r="X50" s="1256">
        <f t="shared" si="81"/>
        <v>0</v>
      </c>
      <c r="Y50" s="1254"/>
      <c r="Z50" s="1255">
        <f t="shared" si="82"/>
        <v>0</v>
      </c>
      <c r="AA50" s="1256">
        <f t="shared" si="83"/>
        <v>0</v>
      </c>
      <c r="AB50" s="1254"/>
      <c r="AC50" s="1255">
        <f t="shared" si="84"/>
        <v>0</v>
      </c>
      <c r="AD50" s="1256">
        <f t="shared" si="85"/>
        <v>0</v>
      </c>
      <c r="AE50" s="1254"/>
      <c r="AF50" s="1255">
        <f t="shared" si="86"/>
        <v>0</v>
      </c>
      <c r="AG50" s="1256">
        <f t="shared" si="87"/>
        <v>0</v>
      </c>
      <c r="AH50" s="1254"/>
      <c r="AI50" s="1255">
        <f t="shared" si="88"/>
        <v>0</v>
      </c>
      <c r="AJ50" s="1256">
        <f t="shared" si="89"/>
        <v>0</v>
      </c>
      <c r="AK50" s="1254"/>
      <c r="AL50" s="1255">
        <f t="shared" si="90"/>
        <v>0</v>
      </c>
      <c r="AM50" s="1256">
        <f t="shared" si="91"/>
        <v>0</v>
      </c>
      <c r="AN50" s="1254"/>
      <c r="AO50" s="1255">
        <f t="shared" si="92"/>
        <v>0</v>
      </c>
      <c r="AP50" s="1256">
        <f t="shared" si="93"/>
        <v>0</v>
      </c>
      <c r="AQ50" s="1254"/>
      <c r="AR50" s="1255">
        <f t="shared" si="94"/>
        <v>0</v>
      </c>
      <c r="AS50" s="1256">
        <f t="shared" si="95"/>
        <v>0</v>
      </c>
      <c r="AT50" s="1254"/>
      <c r="AU50" s="1255">
        <f t="shared" si="96"/>
        <v>0</v>
      </c>
      <c r="AV50" s="1256">
        <f t="shared" si="97"/>
        <v>0</v>
      </c>
      <c r="AW50" s="1254"/>
      <c r="AX50" s="1255">
        <f t="shared" si="98"/>
        <v>0</v>
      </c>
      <c r="AY50" s="1256">
        <f t="shared" si="99"/>
        <v>0</v>
      </c>
      <c r="AZ50" s="1254"/>
      <c r="BA50" s="1255">
        <f t="shared" si="100"/>
        <v>0</v>
      </c>
      <c r="BB50" s="1256">
        <f t="shared" si="101"/>
        <v>0</v>
      </c>
    </row>
    <row r="51" spans="1:54" ht="13.5" customHeight="1">
      <c r="A51" s="931" t="e">
        <f t="shared" si="11"/>
        <v>#REF!</v>
      </c>
      <c r="B51" s="932">
        <f t="shared" si="12"/>
        <v>0</v>
      </c>
      <c r="C51" s="934" t="e">
        <f t="shared" si="13"/>
        <v>#REF!</v>
      </c>
      <c r="D51" s="935" t="str">
        <f t="shared" si="79"/>
        <v>4. OBRAS DE DRENAJE</v>
      </c>
      <c r="E51" s="980">
        <v>43</v>
      </c>
      <c r="F51" s="803" t="s">
        <v>572</v>
      </c>
      <c r="G51" s="977" t="s">
        <v>290</v>
      </c>
      <c r="H51" s="36">
        <v>66</v>
      </c>
      <c r="I51" s="38">
        <v>72.510000000000005</v>
      </c>
      <c r="J51" s="66">
        <f t="shared" si="78"/>
        <v>4785.66</v>
      </c>
      <c r="K51" s="61">
        <f>SUMIF($V$3:$CH$3,"&lt;"&amp;Datos!$C$19,V51:CH51)</f>
        <v>0</v>
      </c>
      <c r="L51" s="71">
        <f t="shared" si="103"/>
        <v>0</v>
      </c>
      <c r="M51" s="65">
        <f>LOOKUP(Datos!$C$19,'Cant. Ejec,'!$V$3:$BB$3,'Cant. Ejec,'!$V51:$BB51)</f>
        <v>0</v>
      </c>
      <c r="N51" s="939">
        <f t="shared" si="60"/>
        <v>0</v>
      </c>
      <c r="O51" s="61">
        <f t="shared" si="102"/>
        <v>0</v>
      </c>
      <c r="P51" s="939">
        <f t="shared" si="102"/>
        <v>0</v>
      </c>
      <c r="Q51" s="61">
        <f t="shared" si="62"/>
        <v>66</v>
      </c>
      <c r="R51" s="939">
        <f t="shared" si="63"/>
        <v>4785.66</v>
      </c>
      <c r="S51" s="827">
        <f t="shared" si="64"/>
        <v>0</v>
      </c>
      <c r="T51" s="827">
        <f t="shared" si="65"/>
        <v>0</v>
      </c>
      <c r="U51" s="1236">
        <f t="shared" si="66"/>
        <v>1</v>
      </c>
      <c r="V51" s="1254"/>
      <c r="W51" s="1255">
        <f t="shared" si="80"/>
        <v>0</v>
      </c>
      <c r="X51" s="1256">
        <f t="shared" si="81"/>
        <v>0</v>
      </c>
      <c r="Y51" s="1254"/>
      <c r="Z51" s="1255">
        <f t="shared" si="82"/>
        <v>0</v>
      </c>
      <c r="AA51" s="1256">
        <f t="shared" si="83"/>
        <v>0</v>
      </c>
      <c r="AB51" s="1254"/>
      <c r="AC51" s="1255">
        <f t="shared" si="84"/>
        <v>0</v>
      </c>
      <c r="AD51" s="1256">
        <f t="shared" si="85"/>
        <v>0</v>
      </c>
      <c r="AE51" s="1254"/>
      <c r="AF51" s="1255">
        <f t="shared" si="86"/>
        <v>0</v>
      </c>
      <c r="AG51" s="1256">
        <f t="shared" si="87"/>
        <v>0</v>
      </c>
      <c r="AH51" s="1254"/>
      <c r="AI51" s="1255">
        <f t="shared" si="88"/>
        <v>0</v>
      </c>
      <c r="AJ51" s="1256">
        <f t="shared" si="89"/>
        <v>0</v>
      </c>
      <c r="AK51" s="1254"/>
      <c r="AL51" s="1255">
        <f t="shared" si="90"/>
        <v>0</v>
      </c>
      <c r="AM51" s="1256">
        <f t="shared" si="91"/>
        <v>0</v>
      </c>
      <c r="AN51" s="1254"/>
      <c r="AO51" s="1255">
        <f t="shared" si="92"/>
        <v>0</v>
      </c>
      <c r="AP51" s="1256">
        <f t="shared" si="93"/>
        <v>0</v>
      </c>
      <c r="AQ51" s="1254"/>
      <c r="AR51" s="1255">
        <f t="shared" si="94"/>
        <v>0</v>
      </c>
      <c r="AS51" s="1256">
        <f t="shared" si="95"/>
        <v>0</v>
      </c>
      <c r="AT51" s="1254"/>
      <c r="AU51" s="1255">
        <f t="shared" si="96"/>
        <v>0</v>
      </c>
      <c r="AV51" s="1256">
        <f t="shared" si="97"/>
        <v>0</v>
      </c>
      <c r="AW51" s="1254"/>
      <c r="AX51" s="1255">
        <f t="shared" si="98"/>
        <v>0</v>
      </c>
      <c r="AY51" s="1256">
        <f t="shared" si="99"/>
        <v>0</v>
      </c>
      <c r="AZ51" s="1254"/>
      <c r="BA51" s="1255">
        <f t="shared" si="100"/>
        <v>0</v>
      </c>
      <c r="BB51" s="1256">
        <f t="shared" si="101"/>
        <v>0</v>
      </c>
    </row>
    <row r="52" spans="1:54" ht="13.5" customHeight="1">
      <c r="A52" s="931" t="e">
        <f t="shared" si="11"/>
        <v>#REF!</v>
      </c>
      <c r="B52" s="932">
        <f t="shared" si="12"/>
        <v>0</v>
      </c>
      <c r="C52" s="934" t="e">
        <f t="shared" si="13"/>
        <v>#REF!</v>
      </c>
      <c r="D52" s="935" t="str">
        <f t="shared" si="79"/>
        <v>4. OBRAS DE DRENAJE</v>
      </c>
      <c r="E52" s="980">
        <v>44</v>
      </c>
      <c r="F52" s="803" t="s">
        <v>573</v>
      </c>
      <c r="G52" s="977" t="s">
        <v>291</v>
      </c>
      <c r="H52" s="36">
        <v>4400</v>
      </c>
      <c r="I52" s="38">
        <v>33.590000000000003</v>
      </c>
      <c r="J52" s="66">
        <f t="shared" si="78"/>
        <v>147796</v>
      </c>
      <c r="K52" s="61">
        <f>SUMIF($V$3:$CH$3,"&lt;"&amp;Datos!$C$19,V52:CH52)</f>
        <v>0</v>
      </c>
      <c r="L52" s="71">
        <f t="shared" si="103"/>
        <v>0</v>
      </c>
      <c r="M52" s="65">
        <f>LOOKUP(Datos!$C$19,'Cant. Ejec,'!$V$3:$BB$3,'Cant. Ejec,'!$V52:$BB52)</f>
        <v>0</v>
      </c>
      <c r="N52" s="939">
        <f t="shared" si="60"/>
        <v>0</v>
      </c>
      <c r="O52" s="61">
        <f t="shared" si="102"/>
        <v>0</v>
      </c>
      <c r="P52" s="939">
        <f t="shared" si="102"/>
        <v>0</v>
      </c>
      <c r="Q52" s="61">
        <f t="shared" si="62"/>
        <v>4400</v>
      </c>
      <c r="R52" s="939">
        <f t="shared" si="63"/>
        <v>147796</v>
      </c>
      <c r="S52" s="827">
        <f t="shared" si="64"/>
        <v>0</v>
      </c>
      <c r="T52" s="827">
        <f t="shared" si="65"/>
        <v>0</v>
      </c>
      <c r="U52" s="1236">
        <f t="shared" si="66"/>
        <v>1</v>
      </c>
      <c r="V52" s="1254"/>
      <c r="W52" s="1255">
        <f t="shared" si="80"/>
        <v>0</v>
      </c>
      <c r="X52" s="1256">
        <f t="shared" si="81"/>
        <v>0</v>
      </c>
      <c r="Y52" s="1254"/>
      <c r="Z52" s="1255">
        <f t="shared" si="82"/>
        <v>0</v>
      </c>
      <c r="AA52" s="1256">
        <f t="shared" si="83"/>
        <v>0</v>
      </c>
      <c r="AB52" s="1254"/>
      <c r="AC52" s="1255">
        <f t="shared" si="84"/>
        <v>0</v>
      </c>
      <c r="AD52" s="1256">
        <f t="shared" si="85"/>
        <v>0</v>
      </c>
      <c r="AE52" s="1254"/>
      <c r="AF52" s="1255">
        <f t="shared" si="86"/>
        <v>0</v>
      </c>
      <c r="AG52" s="1256">
        <f t="shared" si="87"/>
        <v>0</v>
      </c>
      <c r="AH52" s="1254"/>
      <c r="AI52" s="1255">
        <f t="shared" si="88"/>
        <v>0</v>
      </c>
      <c r="AJ52" s="1256">
        <f t="shared" si="89"/>
        <v>0</v>
      </c>
      <c r="AK52" s="1254"/>
      <c r="AL52" s="1255">
        <f t="shared" si="90"/>
        <v>0</v>
      </c>
      <c r="AM52" s="1256">
        <f t="shared" si="91"/>
        <v>0</v>
      </c>
      <c r="AN52" s="1254"/>
      <c r="AO52" s="1255">
        <f t="shared" si="92"/>
        <v>0</v>
      </c>
      <c r="AP52" s="1256">
        <f t="shared" si="93"/>
        <v>0</v>
      </c>
      <c r="AQ52" s="1254"/>
      <c r="AR52" s="1255">
        <f t="shared" si="94"/>
        <v>0</v>
      </c>
      <c r="AS52" s="1256">
        <f t="shared" si="95"/>
        <v>0</v>
      </c>
      <c r="AT52" s="1254"/>
      <c r="AU52" s="1255">
        <f t="shared" si="96"/>
        <v>0</v>
      </c>
      <c r="AV52" s="1256">
        <f t="shared" si="97"/>
        <v>0</v>
      </c>
      <c r="AW52" s="1254"/>
      <c r="AX52" s="1255">
        <f t="shared" si="98"/>
        <v>0</v>
      </c>
      <c r="AY52" s="1256">
        <f t="shared" si="99"/>
        <v>0</v>
      </c>
      <c r="AZ52" s="1254"/>
      <c r="BA52" s="1255">
        <f t="shared" si="100"/>
        <v>0</v>
      </c>
      <c r="BB52" s="1256">
        <f t="shared" si="101"/>
        <v>0</v>
      </c>
    </row>
    <row r="53" spans="1:54" ht="13.5" customHeight="1">
      <c r="A53" s="931" t="e">
        <f t="shared" si="11"/>
        <v>#REF!</v>
      </c>
      <c r="B53" s="932">
        <f t="shared" si="12"/>
        <v>0</v>
      </c>
      <c r="C53" s="934" t="e">
        <f t="shared" si="13"/>
        <v>#REF!</v>
      </c>
      <c r="D53" s="935" t="str">
        <f t="shared" si="79"/>
        <v>4. OBRAS DE DRENAJE</v>
      </c>
      <c r="E53" s="980">
        <v>45</v>
      </c>
      <c r="F53" s="803" t="s">
        <v>574</v>
      </c>
      <c r="G53" s="977" t="s">
        <v>291</v>
      </c>
      <c r="H53" s="36">
        <v>6072</v>
      </c>
      <c r="I53" s="36">
        <v>33.82</v>
      </c>
      <c r="J53" s="66">
        <f t="shared" si="78"/>
        <v>205355.04</v>
      </c>
      <c r="K53" s="61">
        <f>SUMIF($V$3:$CH$3,"&lt;"&amp;Datos!$C$19,V53:CH53)</f>
        <v>0</v>
      </c>
      <c r="L53" s="71">
        <f t="shared" si="103"/>
        <v>0</v>
      </c>
      <c r="M53" s="65">
        <f>LOOKUP(Datos!$C$19,'Cant. Ejec,'!$V$3:$BB$3,'Cant. Ejec,'!$V53:$BB53)</f>
        <v>0</v>
      </c>
      <c r="N53" s="939">
        <f t="shared" si="60"/>
        <v>0</v>
      </c>
      <c r="O53" s="61">
        <f t="shared" si="102"/>
        <v>0</v>
      </c>
      <c r="P53" s="939">
        <f t="shared" si="102"/>
        <v>0</v>
      </c>
      <c r="Q53" s="61">
        <f t="shared" si="62"/>
        <v>6072</v>
      </c>
      <c r="R53" s="939">
        <f t="shared" si="63"/>
        <v>205355.04</v>
      </c>
      <c r="S53" s="827">
        <f t="shared" si="64"/>
        <v>0</v>
      </c>
      <c r="T53" s="827">
        <f t="shared" si="65"/>
        <v>0</v>
      </c>
      <c r="U53" s="1236">
        <f t="shared" si="66"/>
        <v>1</v>
      </c>
      <c r="V53" s="1254"/>
      <c r="W53" s="1255">
        <f t="shared" si="80"/>
        <v>0</v>
      </c>
      <c r="X53" s="1256">
        <f t="shared" si="81"/>
        <v>0</v>
      </c>
      <c r="Y53" s="1254"/>
      <c r="Z53" s="1255">
        <f t="shared" si="82"/>
        <v>0</v>
      </c>
      <c r="AA53" s="1256">
        <f t="shared" si="83"/>
        <v>0</v>
      </c>
      <c r="AB53" s="1254"/>
      <c r="AC53" s="1255">
        <f t="shared" si="84"/>
        <v>0</v>
      </c>
      <c r="AD53" s="1256">
        <f t="shared" si="85"/>
        <v>0</v>
      </c>
      <c r="AE53" s="1254"/>
      <c r="AF53" s="1255">
        <f t="shared" si="86"/>
        <v>0</v>
      </c>
      <c r="AG53" s="1256">
        <f t="shared" si="87"/>
        <v>0</v>
      </c>
      <c r="AH53" s="1254"/>
      <c r="AI53" s="1255">
        <f t="shared" si="88"/>
        <v>0</v>
      </c>
      <c r="AJ53" s="1256">
        <f t="shared" si="89"/>
        <v>0</v>
      </c>
      <c r="AK53" s="1254"/>
      <c r="AL53" s="1255">
        <f t="shared" si="90"/>
        <v>0</v>
      </c>
      <c r="AM53" s="1256">
        <f t="shared" si="91"/>
        <v>0</v>
      </c>
      <c r="AN53" s="1254"/>
      <c r="AO53" s="1255">
        <f t="shared" si="92"/>
        <v>0</v>
      </c>
      <c r="AP53" s="1256">
        <f t="shared" si="93"/>
        <v>0</v>
      </c>
      <c r="AQ53" s="1254"/>
      <c r="AR53" s="1255">
        <f t="shared" si="94"/>
        <v>0</v>
      </c>
      <c r="AS53" s="1256">
        <f t="shared" si="95"/>
        <v>0</v>
      </c>
      <c r="AT53" s="1254"/>
      <c r="AU53" s="1255">
        <f t="shared" si="96"/>
        <v>0</v>
      </c>
      <c r="AV53" s="1256">
        <f t="shared" si="97"/>
        <v>0</v>
      </c>
      <c r="AW53" s="1254"/>
      <c r="AX53" s="1255">
        <f t="shared" si="98"/>
        <v>0</v>
      </c>
      <c r="AY53" s="1256">
        <f t="shared" si="99"/>
        <v>0</v>
      </c>
      <c r="AZ53" s="1254"/>
      <c r="BA53" s="1255">
        <f t="shared" si="100"/>
        <v>0</v>
      </c>
      <c r="BB53" s="1256">
        <f t="shared" si="101"/>
        <v>0</v>
      </c>
    </row>
    <row r="54" spans="1:54" ht="13.5" customHeight="1">
      <c r="A54" s="931" t="e">
        <f t="shared" si="11"/>
        <v>#REF!</v>
      </c>
      <c r="B54" s="932">
        <f t="shared" si="12"/>
        <v>0</v>
      </c>
      <c r="C54" s="934" t="e">
        <f t="shared" si="13"/>
        <v>#REF!</v>
      </c>
      <c r="D54" s="935" t="str">
        <f t="shared" si="79"/>
        <v>4. OBRAS DE DRENAJE</v>
      </c>
      <c r="E54" s="980">
        <v>46</v>
      </c>
      <c r="F54" s="810" t="s">
        <v>575</v>
      </c>
      <c r="G54" s="977" t="s">
        <v>291</v>
      </c>
      <c r="H54" s="36">
        <v>2200</v>
      </c>
      <c r="I54" s="36">
        <v>18.82</v>
      </c>
      <c r="J54" s="66">
        <f t="shared" si="78"/>
        <v>41404</v>
      </c>
      <c r="K54" s="61">
        <f>SUMIF($V$3:$CH$3,"&lt;"&amp;Datos!$C$19,V54:CH54)</f>
        <v>0</v>
      </c>
      <c r="L54" s="71">
        <f t="shared" si="103"/>
        <v>0</v>
      </c>
      <c r="M54" s="65">
        <f>LOOKUP(Datos!$C$19,'Cant. Ejec,'!$V$3:$BB$3,'Cant. Ejec,'!$V54:$BB54)</f>
        <v>0</v>
      </c>
      <c r="N54" s="939">
        <f t="shared" si="60"/>
        <v>0</v>
      </c>
      <c r="O54" s="61">
        <f t="shared" si="102"/>
        <v>0</v>
      </c>
      <c r="P54" s="939">
        <f t="shared" si="102"/>
        <v>0</v>
      </c>
      <c r="Q54" s="61">
        <f t="shared" si="62"/>
        <v>2200</v>
      </c>
      <c r="R54" s="939">
        <f t="shared" si="63"/>
        <v>41404</v>
      </c>
      <c r="S54" s="827">
        <f t="shared" si="64"/>
        <v>0</v>
      </c>
      <c r="T54" s="827">
        <f t="shared" si="65"/>
        <v>0</v>
      </c>
      <c r="U54" s="1236">
        <f t="shared" si="66"/>
        <v>1</v>
      </c>
      <c r="V54" s="1254"/>
      <c r="W54" s="1255">
        <f t="shared" si="80"/>
        <v>0</v>
      </c>
      <c r="X54" s="1256">
        <f t="shared" si="81"/>
        <v>0</v>
      </c>
      <c r="Y54" s="1254"/>
      <c r="Z54" s="1255">
        <f t="shared" si="82"/>
        <v>0</v>
      </c>
      <c r="AA54" s="1256">
        <f t="shared" si="83"/>
        <v>0</v>
      </c>
      <c r="AB54" s="1254"/>
      <c r="AC54" s="1255">
        <f t="shared" si="84"/>
        <v>0</v>
      </c>
      <c r="AD54" s="1256">
        <f t="shared" si="85"/>
        <v>0</v>
      </c>
      <c r="AE54" s="1254"/>
      <c r="AF54" s="1255">
        <f t="shared" si="86"/>
        <v>0</v>
      </c>
      <c r="AG54" s="1256">
        <f t="shared" si="87"/>
        <v>0</v>
      </c>
      <c r="AH54" s="1254"/>
      <c r="AI54" s="1255">
        <f t="shared" si="88"/>
        <v>0</v>
      </c>
      <c r="AJ54" s="1256">
        <f t="shared" si="89"/>
        <v>0</v>
      </c>
      <c r="AK54" s="1254"/>
      <c r="AL54" s="1255">
        <f t="shared" si="90"/>
        <v>0</v>
      </c>
      <c r="AM54" s="1256">
        <f t="shared" si="91"/>
        <v>0</v>
      </c>
      <c r="AN54" s="1254"/>
      <c r="AO54" s="1255">
        <f t="shared" si="92"/>
        <v>0</v>
      </c>
      <c r="AP54" s="1256">
        <f t="shared" si="93"/>
        <v>0</v>
      </c>
      <c r="AQ54" s="1254"/>
      <c r="AR54" s="1255">
        <f t="shared" si="94"/>
        <v>0</v>
      </c>
      <c r="AS54" s="1256">
        <f t="shared" si="95"/>
        <v>0</v>
      </c>
      <c r="AT54" s="1254"/>
      <c r="AU54" s="1255">
        <f t="shared" si="96"/>
        <v>0</v>
      </c>
      <c r="AV54" s="1256">
        <f t="shared" si="97"/>
        <v>0</v>
      </c>
      <c r="AW54" s="1254"/>
      <c r="AX54" s="1255">
        <f t="shared" si="98"/>
        <v>0</v>
      </c>
      <c r="AY54" s="1256">
        <f t="shared" si="99"/>
        <v>0</v>
      </c>
      <c r="AZ54" s="1254"/>
      <c r="BA54" s="1255">
        <f t="shared" si="100"/>
        <v>0</v>
      </c>
      <c r="BB54" s="1256">
        <f t="shared" si="101"/>
        <v>0</v>
      </c>
    </row>
    <row r="55" spans="1:54" ht="13.5" customHeight="1">
      <c r="A55" s="931" t="e">
        <f t="shared" si="11"/>
        <v>#REF!</v>
      </c>
      <c r="B55" s="932">
        <f t="shared" si="12"/>
        <v>0</v>
      </c>
      <c r="C55" s="934" t="e">
        <f t="shared" si="13"/>
        <v>#REF!</v>
      </c>
      <c r="D55" s="935" t="str">
        <f t="shared" si="79"/>
        <v>4. OBRAS DE DRENAJE</v>
      </c>
      <c r="E55" s="980">
        <v>47</v>
      </c>
      <c r="F55" s="803" t="s">
        <v>576</v>
      </c>
      <c r="G55" s="977" t="s">
        <v>290</v>
      </c>
      <c r="H55" s="36">
        <v>44</v>
      </c>
      <c r="I55" s="36">
        <v>85.23</v>
      </c>
      <c r="J55" s="66">
        <f t="shared" si="78"/>
        <v>3750.12</v>
      </c>
      <c r="K55" s="61">
        <f>SUMIF($V$3:$CH$3,"&lt;"&amp;Datos!$C$19,V55:CH55)</f>
        <v>0</v>
      </c>
      <c r="L55" s="71">
        <f t="shared" si="103"/>
        <v>0</v>
      </c>
      <c r="M55" s="65">
        <f>LOOKUP(Datos!$C$19,'Cant. Ejec,'!$V$3:$BB$3,'Cant. Ejec,'!$V55:$BB55)</f>
        <v>0</v>
      </c>
      <c r="N55" s="939">
        <f t="shared" si="60"/>
        <v>0</v>
      </c>
      <c r="O55" s="61">
        <f t="shared" si="102"/>
        <v>0</v>
      </c>
      <c r="P55" s="939">
        <f t="shared" si="102"/>
        <v>0</v>
      </c>
      <c r="Q55" s="61">
        <f t="shared" si="62"/>
        <v>44</v>
      </c>
      <c r="R55" s="939">
        <f t="shared" si="63"/>
        <v>3750.12</v>
      </c>
      <c r="S55" s="827">
        <f t="shared" si="64"/>
        <v>0</v>
      </c>
      <c r="T55" s="827">
        <f t="shared" si="65"/>
        <v>0</v>
      </c>
      <c r="U55" s="1236">
        <f t="shared" si="66"/>
        <v>1</v>
      </c>
      <c r="V55" s="1254"/>
      <c r="W55" s="1255">
        <f t="shared" si="80"/>
        <v>0</v>
      </c>
      <c r="X55" s="1256">
        <f t="shared" si="81"/>
        <v>0</v>
      </c>
      <c r="Y55" s="1254"/>
      <c r="Z55" s="1255">
        <f t="shared" si="82"/>
        <v>0</v>
      </c>
      <c r="AA55" s="1256">
        <f t="shared" si="83"/>
        <v>0</v>
      </c>
      <c r="AB55" s="1254"/>
      <c r="AC55" s="1255">
        <f t="shared" si="84"/>
        <v>0</v>
      </c>
      <c r="AD55" s="1256">
        <f t="shared" si="85"/>
        <v>0</v>
      </c>
      <c r="AE55" s="1254"/>
      <c r="AF55" s="1255">
        <f t="shared" si="86"/>
        <v>0</v>
      </c>
      <c r="AG55" s="1256">
        <f t="shared" si="87"/>
        <v>0</v>
      </c>
      <c r="AH55" s="1254"/>
      <c r="AI55" s="1255">
        <f t="shared" si="88"/>
        <v>0</v>
      </c>
      <c r="AJ55" s="1256">
        <f t="shared" si="89"/>
        <v>0</v>
      </c>
      <c r="AK55" s="1254"/>
      <c r="AL55" s="1255">
        <f t="shared" si="90"/>
        <v>0</v>
      </c>
      <c r="AM55" s="1256">
        <f t="shared" si="91"/>
        <v>0</v>
      </c>
      <c r="AN55" s="1254"/>
      <c r="AO55" s="1255">
        <f t="shared" si="92"/>
        <v>0</v>
      </c>
      <c r="AP55" s="1256">
        <f t="shared" si="93"/>
        <v>0</v>
      </c>
      <c r="AQ55" s="1254"/>
      <c r="AR55" s="1255">
        <f t="shared" si="94"/>
        <v>0</v>
      </c>
      <c r="AS55" s="1256">
        <f t="shared" si="95"/>
        <v>0</v>
      </c>
      <c r="AT55" s="1254"/>
      <c r="AU55" s="1255">
        <f t="shared" si="96"/>
        <v>0</v>
      </c>
      <c r="AV55" s="1256">
        <f t="shared" si="97"/>
        <v>0</v>
      </c>
      <c r="AW55" s="1254"/>
      <c r="AX55" s="1255">
        <f t="shared" si="98"/>
        <v>0</v>
      </c>
      <c r="AY55" s="1256">
        <f t="shared" si="99"/>
        <v>0</v>
      </c>
      <c r="AZ55" s="1254"/>
      <c r="BA55" s="1255">
        <f t="shared" si="100"/>
        <v>0</v>
      </c>
      <c r="BB55" s="1256">
        <f t="shared" si="101"/>
        <v>0</v>
      </c>
    </row>
    <row r="56" spans="1:54" ht="13.5" customHeight="1">
      <c r="A56" s="931" t="e">
        <f t="shared" si="11"/>
        <v>#REF!</v>
      </c>
      <c r="B56" s="932">
        <f t="shared" si="12"/>
        <v>0</v>
      </c>
      <c r="C56" s="934" t="e">
        <f t="shared" si="13"/>
        <v>#REF!</v>
      </c>
      <c r="D56" s="935" t="str">
        <f t="shared" si="79"/>
        <v>4. OBRAS DE DRENAJE</v>
      </c>
      <c r="E56" s="980">
        <v>48</v>
      </c>
      <c r="F56" s="803" t="s">
        <v>577</v>
      </c>
      <c r="G56" s="977" t="s">
        <v>293</v>
      </c>
      <c r="H56" s="36">
        <v>55</v>
      </c>
      <c r="I56" s="36">
        <v>130.9</v>
      </c>
      <c r="J56" s="66">
        <f t="shared" si="78"/>
        <v>7199.5</v>
      </c>
      <c r="K56" s="61">
        <f>SUMIF($V$3:$CH$3,"&lt;"&amp;Datos!$C$19,V56:CH56)</f>
        <v>0</v>
      </c>
      <c r="L56" s="71">
        <f t="shared" si="103"/>
        <v>0</v>
      </c>
      <c r="M56" s="65">
        <f>LOOKUP(Datos!$C$19,'Cant. Ejec,'!$V$3:$BB$3,'Cant. Ejec,'!$V56:$BB56)</f>
        <v>0</v>
      </c>
      <c r="N56" s="939">
        <f t="shared" si="60"/>
        <v>0</v>
      </c>
      <c r="O56" s="61">
        <f t="shared" si="102"/>
        <v>0</v>
      </c>
      <c r="P56" s="939">
        <f t="shared" si="102"/>
        <v>0</v>
      </c>
      <c r="Q56" s="61">
        <f t="shared" si="62"/>
        <v>55</v>
      </c>
      <c r="R56" s="939">
        <f t="shared" si="63"/>
        <v>7199.5</v>
      </c>
      <c r="S56" s="827">
        <f t="shared" si="64"/>
        <v>0</v>
      </c>
      <c r="T56" s="827">
        <f t="shared" si="65"/>
        <v>0</v>
      </c>
      <c r="U56" s="1236">
        <f t="shared" si="66"/>
        <v>1</v>
      </c>
      <c r="V56" s="1254"/>
      <c r="W56" s="1255">
        <f t="shared" si="80"/>
        <v>0</v>
      </c>
      <c r="X56" s="1256">
        <f t="shared" si="81"/>
        <v>0</v>
      </c>
      <c r="Y56" s="1254"/>
      <c r="Z56" s="1255">
        <f t="shared" si="82"/>
        <v>0</v>
      </c>
      <c r="AA56" s="1256">
        <f t="shared" si="83"/>
        <v>0</v>
      </c>
      <c r="AB56" s="1254"/>
      <c r="AC56" s="1255">
        <f t="shared" si="84"/>
        <v>0</v>
      </c>
      <c r="AD56" s="1256">
        <f t="shared" si="85"/>
        <v>0</v>
      </c>
      <c r="AE56" s="1254"/>
      <c r="AF56" s="1255">
        <f t="shared" si="86"/>
        <v>0</v>
      </c>
      <c r="AG56" s="1256">
        <f t="shared" si="87"/>
        <v>0</v>
      </c>
      <c r="AH56" s="1254"/>
      <c r="AI56" s="1255">
        <f t="shared" si="88"/>
        <v>0</v>
      </c>
      <c r="AJ56" s="1256">
        <f t="shared" si="89"/>
        <v>0</v>
      </c>
      <c r="AK56" s="1254"/>
      <c r="AL56" s="1255">
        <f t="shared" si="90"/>
        <v>0</v>
      </c>
      <c r="AM56" s="1256">
        <f t="shared" si="91"/>
        <v>0</v>
      </c>
      <c r="AN56" s="1254"/>
      <c r="AO56" s="1255">
        <f t="shared" si="92"/>
        <v>0</v>
      </c>
      <c r="AP56" s="1256">
        <f t="shared" si="93"/>
        <v>0</v>
      </c>
      <c r="AQ56" s="1254"/>
      <c r="AR56" s="1255">
        <f t="shared" si="94"/>
        <v>0</v>
      </c>
      <c r="AS56" s="1256">
        <f t="shared" si="95"/>
        <v>0</v>
      </c>
      <c r="AT56" s="1254"/>
      <c r="AU56" s="1255">
        <f t="shared" si="96"/>
        <v>0</v>
      </c>
      <c r="AV56" s="1256">
        <f t="shared" si="97"/>
        <v>0</v>
      </c>
      <c r="AW56" s="1254"/>
      <c r="AX56" s="1255">
        <f t="shared" si="98"/>
        <v>0</v>
      </c>
      <c r="AY56" s="1256">
        <f t="shared" si="99"/>
        <v>0</v>
      </c>
      <c r="AZ56" s="1254"/>
      <c r="BA56" s="1255">
        <f t="shared" si="100"/>
        <v>0</v>
      </c>
      <c r="BB56" s="1256">
        <f t="shared" si="101"/>
        <v>0</v>
      </c>
    </row>
    <row r="57" spans="1:54" s="30" customFormat="1" ht="13.5" customHeight="1">
      <c r="A57" s="931" t="e">
        <f t="shared" si="11"/>
        <v>#REF!</v>
      </c>
      <c r="B57" s="932">
        <f t="shared" si="12"/>
        <v>0</v>
      </c>
      <c r="C57" s="934" t="e">
        <f t="shared" si="13"/>
        <v>#REF!</v>
      </c>
      <c r="D57" s="935" t="str">
        <f t="shared" si="79"/>
        <v>4. OBRAS DE DRENAJE</v>
      </c>
      <c r="E57" s="980">
        <v>49</v>
      </c>
      <c r="F57" s="810" t="s">
        <v>578</v>
      </c>
      <c r="G57" s="977" t="s">
        <v>290</v>
      </c>
      <c r="H57" s="36">
        <v>66</v>
      </c>
      <c r="I57" s="38">
        <v>104.01</v>
      </c>
      <c r="J57" s="66">
        <f t="shared" si="78"/>
        <v>6864.66</v>
      </c>
      <c r="K57" s="61">
        <f>SUMIF($V$3:$CH$3,"&lt;"&amp;Datos!$C$19,V57:CH57)</f>
        <v>0</v>
      </c>
      <c r="L57" s="71">
        <f t="shared" si="103"/>
        <v>0</v>
      </c>
      <c r="M57" s="65">
        <f>LOOKUP(Datos!$C$19,'Cant. Ejec,'!$V$3:$BB$3,'Cant. Ejec,'!$V57:$BB57)</f>
        <v>0</v>
      </c>
      <c r="N57" s="939">
        <f t="shared" si="60"/>
        <v>0</v>
      </c>
      <c r="O57" s="61">
        <f t="shared" si="102"/>
        <v>0</v>
      </c>
      <c r="P57" s="939">
        <f t="shared" si="102"/>
        <v>0</v>
      </c>
      <c r="Q57" s="61">
        <f t="shared" si="62"/>
        <v>66</v>
      </c>
      <c r="R57" s="939">
        <f t="shared" si="63"/>
        <v>6864.66</v>
      </c>
      <c r="S57" s="827">
        <f t="shared" si="64"/>
        <v>0</v>
      </c>
      <c r="T57" s="827">
        <f t="shared" si="65"/>
        <v>0</v>
      </c>
      <c r="U57" s="1236">
        <f t="shared" si="66"/>
        <v>1</v>
      </c>
      <c r="V57" s="1254"/>
      <c r="W57" s="1255">
        <f t="shared" si="80"/>
        <v>0</v>
      </c>
      <c r="X57" s="1256">
        <f t="shared" si="81"/>
        <v>0</v>
      </c>
      <c r="Y57" s="1254"/>
      <c r="Z57" s="1255">
        <f t="shared" si="82"/>
        <v>0</v>
      </c>
      <c r="AA57" s="1256">
        <f t="shared" si="83"/>
        <v>0</v>
      </c>
      <c r="AB57" s="1254"/>
      <c r="AC57" s="1255">
        <f t="shared" si="84"/>
        <v>0</v>
      </c>
      <c r="AD57" s="1256">
        <f t="shared" si="85"/>
        <v>0</v>
      </c>
      <c r="AE57" s="1254"/>
      <c r="AF57" s="1255">
        <f t="shared" si="86"/>
        <v>0</v>
      </c>
      <c r="AG57" s="1256">
        <f t="shared" si="87"/>
        <v>0</v>
      </c>
      <c r="AH57" s="1254"/>
      <c r="AI57" s="1255">
        <f t="shared" si="88"/>
        <v>0</v>
      </c>
      <c r="AJ57" s="1256">
        <f t="shared" si="89"/>
        <v>0</v>
      </c>
      <c r="AK57" s="1254"/>
      <c r="AL57" s="1255">
        <f t="shared" si="90"/>
        <v>0</v>
      </c>
      <c r="AM57" s="1256">
        <f t="shared" si="91"/>
        <v>0</v>
      </c>
      <c r="AN57" s="1254"/>
      <c r="AO57" s="1255">
        <f t="shared" si="92"/>
        <v>0</v>
      </c>
      <c r="AP57" s="1256">
        <f t="shared" si="93"/>
        <v>0</v>
      </c>
      <c r="AQ57" s="1254"/>
      <c r="AR57" s="1255">
        <f t="shared" si="94"/>
        <v>0</v>
      </c>
      <c r="AS57" s="1256">
        <f t="shared" si="95"/>
        <v>0</v>
      </c>
      <c r="AT57" s="1254"/>
      <c r="AU57" s="1255">
        <f t="shared" si="96"/>
        <v>0</v>
      </c>
      <c r="AV57" s="1256">
        <f t="shared" si="97"/>
        <v>0</v>
      </c>
      <c r="AW57" s="1254"/>
      <c r="AX57" s="1255">
        <f t="shared" si="98"/>
        <v>0</v>
      </c>
      <c r="AY57" s="1256">
        <f t="shared" si="99"/>
        <v>0</v>
      </c>
      <c r="AZ57" s="1254"/>
      <c r="BA57" s="1255">
        <f t="shared" si="100"/>
        <v>0</v>
      </c>
      <c r="BB57" s="1256">
        <f t="shared" si="101"/>
        <v>0</v>
      </c>
    </row>
    <row r="58" spans="1:54" s="30" customFormat="1" ht="13.5" customHeight="1">
      <c r="A58" s="931" t="e">
        <f t="shared" si="11"/>
        <v>#REF!</v>
      </c>
      <c r="B58" s="932">
        <f t="shared" si="12"/>
        <v>0</v>
      </c>
      <c r="C58" s="934" t="e">
        <f t="shared" si="13"/>
        <v>#REF!</v>
      </c>
      <c r="D58" s="935" t="str">
        <f t="shared" si="79"/>
        <v>4. OBRAS DE DRENAJE</v>
      </c>
      <c r="E58" s="980">
        <v>50</v>
      </c>
      <c r="F58" s="810" t="s">
        <v>579</v>
      </c>
      <c r="G58" s="977" t="s">
        <v>290</v>
      </c>
      <c r="H58" s="36">
        <v>11</v>
      </c>
      <c r="I58" s="38">
        <v>286.33</v>
      </c>
      <c r="J58" s="66">
        <f t="shared" si="78"/>
        <v>3149.63</v>
      </c>
      <c r="K58" s="61">
        <f>SUMIF($V$3:$CH$3,"&lt;"&amp;Datos!$C$19,V58:CH58)</f>
        <v>0</v>
      </c>
      <c r="L58" s="71">
        <f t="shared" si="103"/>
        <v>0</v>
      </c>
      <c r="M58" s="65">
        <f>LOOKUP(Datos!$C$19,'Cant. Ejec,'!$V$3:$BB$3,'Cant. Ejec,'!$V58:$BB58)</f>
        <v>0</v>
      </c>
      <c r="N58" s="939">
        <f t="shared" si="60"/>
        <v>0</v>
      </c>
      <c r="O58" s="61">
        <f t="shared" si="102"/>
        <v>0</v>
      </c>
      <c r="P58" s="939">
        <f t="shared" si="102"/>
        <v>0</v>
      </c>
      <c r="Q58" s="61">
        <f t="shared" si="62"/>
        <v>11</v>
      </c>
      <c r="R58" s="939">
        <f t="shared" si="63"/>
        <v>3149.63</v>
      </c>
      <c r="S58" s="827">
        <f t="shared" si="64"/>
        <v>0</v>
      </c>
      <c r="T58" s="827">
        <f t="shared" si="65"/>
        <v>0</v>
      </c>
      <c r="U58" s="1236">
        <f t="shared" si="66"/>
        <v>1</v>
      </c>
      <c r="V58" s="1254"/>
      <c r="W58" s="1255">
        <f t="shared" si="80"/>
        <v>0</v>
      </c>
      <c r="X58" s="1256">
        <f t="shared" si="81"/>
        <v>0</v>
      </c>
      <c r="Y58" s="1254"/>
      <c r="Z58" s="1255">
        <f t="shared" si="82"/>
        <v>0</v>
      </c>
      <c r="AA58" s="1256">
        <f t="shared" si="83"/>
        <v>0</v>
      </c>
      <c r="AB58" s="1254"/>
      <c r="AC58" s="1255">
        <f t="shared" si="84"/>
        <v>0</v>
      </c>
      <c r="AD58" s="1256">
        <f t="shared" si="85"/>
        <v>0</v>
      </c>
      <c r="AE58" s="1254"/>
      <c r="AF58" s="1255">
        <f t="shared" si="86"/>
        <v>0</v>
      </c>
      <c r="AG58" s="1256">
        <f t="shared" si="87"/>
        <v>0</v>
      </c>
      <c r="AH58" s="1254"/>
      <c r="AI58" s="1255">
        <f t="shared" si="88"/>
        <v>0</v>
      </c>
      <c r="AJ58" s="1256">
        <f t="shared" si="89"/>
        <v>0</v>
      </c>
      <c r="AK58" s="1254"/>
      <c r="AL58" s="1255">
        <f t="shared" si="90"/>
        <v>0</v>
      </c>
      <c r="AM58" s="1256">
        <f t="shared" si="91"/>
        <v>0</v>
      </c>
      <c r="AN58" s="1254"/>
      <c r="AO58" s="1255">
        <f t="shared" si="92"/>
        <v>0</v>
      </c>
      <c r="AP58" s="1256">
        <f t="shared" si="93"/>
        <v>0</v>
      </c>
      <c r="AQ58" s="1254"/>
      <c r="AR58" s="1255">
        <f t="shared" si="94"/>
        <v>0</v>
      </c>
      <c r="AS58" s="1256">
        <f t="shared" si="95"/>
        <v>0</v>
      </c>
      <c r="AT58" s="1254"/>
      <c r="AU58" s="1255">
        <f t="shared" si="96"/>
        <v>0</v>
      </c>
      <c r="AV58" s="1256">
        <f t="shared" si="97"/>
        <v>0</v>
      </c>
      <c r="AW58" s="1254"/>
      <c r="AX58" s="1255">
        <f t="shared" si="98"/>
        <v>0</v>
      </c>
      <c r="AY58" s="1256">
        <f t="shared" si="99"/>
        <v>0</v>
      </c>
      <c r="AZ58" s="1254"/>
      <c r="BA58" s="1255">
        <f t="shared" si="100"/>
        <v>0</v>
      </c>
      <c r="BB58" s="1256">
        <f t="shared" si="101"/>
        <v>0</v>
      </c>
    </row>
    <row r="59" spans="1:54" s="30" customFormat="1" ht="13.5" customHeight="1">
      <c r="A59" s="931" t="e">
        <f t="shared" si="11"/>
        <v>#REF!</v>
      </c>
      <c r="B59" s="932">
        <f t="shared" si="12"/>
        <v>0</v>
      </c>
      <c r="C59" s="934" t="e">
        <f t="shared" si="13"/>
        <v>#REF!</v>
      </c>
      <c r="D59" s="935" t="str">
        <f t="shared" si="79"/>
        <v>4. OBRAS DE DRENAJE</v>
      </c>
      <c r="E59" s="980">
        <v>51</v>
      </c>
      <c r="F59" s="803" t="s">
        <v>580</v>
      </c>
      <c r="G59" s="977" t="s">
        <v>290</v>
      </c>
      <c r="H59" s="36">
        <v>11</v>
      </c>
      <c r="I59" s="38">
        <v>120.83</v>
      </c>
      <c r="J59" s="66">
        <f t="shared" si="78"/>
        <v>1329.13</v>
      </c>
      <c r="K59" s="61">
        <f>SUMIF($V$3:$CH$3,"&lt;"&amp;Datos!$C$19,V59:CH59)</f>
        <v>0</v>
      </c>
      <c r="L59" s="71">
        <f t="shared" si="103"/>
        <v>0</v>
      </c>
      <c r="M59" s="65">
        <f>LOOKUP(Datos!$C$19,'Cant. Ejec,'!$V$3:$BB$3,'Cant. Ejec,'!$V59:$BB59)</f>
        <v>0</v>
      </c>
      <c r="N59" s="939">
        <f t="shared" si="60"/>
        <v>0</v>
      </c>
      <c r="O59" s="61">
        <f t="shared" si="102"/>
        <v>0</v>
      </c>
      <c r="P59" s="939">
        <f t="shared" si="102"/>
        <v>0</v>
      </c>
      <c r="Q59" s="61">
        <f t="shared" si="62"/>
        <v>11</v>
      </c>
      <c r="R59" s="939">
        <f t="shared" si="63"/>
        <v>1329.13</v>
      </c>
      <c r="S59" s="827">
        <f t="shared" si="64"/>
        <v>0</v>
      </c>
      <c r="T59" s="827">
        <f t="shared" si="65"/>
        <v>0</v>
      </c>
      <c r="U59" s="1236">
        <f t="shared" si="66"/>
        <v>1</v>
      </c>
      <c r="V59" s="1254"/>
      <c r="W59" s="1255">
        <f t="shared" si="80"/>
        <v>0</v>
      </c>
      <c r="X59" s="1256">
        <f t="shared" si="81"/>
        <v>0</v>
      </c>
      <c r="Y59" s="1254"/>
      <c r="Z59" s="1255">
        <f t="shared" si="82"/>
        <v>0</v>
      </c>
      <c r="AA59" s="1256">
        <f t="shared" si="83"/>
        <v>0</v>
      </c>
      <c r="AB59" s="1254"/>
      <c r="AC59" s="1255">
        <f t="shared" si="84"/>
        <v>0</v>
      </c>
      <c r="AD59" s="1256">
        <f t="shared" si="85"/>
        <v>0</v>
      </c>
      <c r="AE59" s="1254"/>
      <c r="AF59" s="1255">
        <f t="shared" si="86"/>
        <v>0</v>
      </c>
      <c r="AG59" s="1256">
        <f t="shared" si="87"/>
        <v>0</v>
      </c>
      <c r="AH59" s="1254"/>
      <c r="AI59" s="1255">
        <f t="shared" si="88"/>
        <v>0</v>
      </c>
      <c r="AJ59" s="1256">
        <f t="shared" si="89"/>
        <v>0</v>
      </c>
      <c r="AK59" s="1254"/>
      <c r="AL59" s="1255">
        <f t="shared" si="90"/>
        <v>0</v>
      </c>
      <c r="AM59" s="1256">
        <f t="shared" si="91"/>
        <v>0</v>
      </c>
      <c r="AN59" s="1254"/>
      <c r="AO59" s="1255">
        <f t="shared" si="92"/>
        <v>0</v>
      </c>
      <c r="AP59" s="1256">
        <f t="shared" si="93"/>
        <v>0</v>
      </c>
      <c r="AQ59" s="1254"/>
      <c r="AR59" s="1255">
        <f t="shared" si="94"/>
        <v>0</v>
      </c>
      <c r="AS59" s="1256">
        <f t="shared" si="95"/>
        <v>0</v>
      </c>
      <c r="AT59" s="1254"/>
      <c r="AU59" s="1255">
        <f t="shared" si="96"/>
        <v>0</v>
      </c>
      <c r="AV59" s="1256">
        <f t="shared" si="97"/>
        <v>0</v>
      </c>
      <c r="AW59" s="1254"/>
      <c r="AX59" s="1255">
        <f t="shared" si="98"/>
        <v>0</v>
      </c>
      <c r="AY59" s="1256">
        <f t="shared" si="99"/>
        <v>0</v>
      </c>
      <c r="AZ59" s="1254"/>
      <c r="BA59" s="1255">
        <f t="shared" si="100"/>
        <v>0</v>
      </c>
      <c r="BB59" s="1256">
        <f t="shared" si="101"/>
        <v>0</v>
      </c>
    </row>
    <row r="60" spans="1:54" s="30" customFormat="1" ht="13.5" customHeight="1">
      <c r="A60" s="931" t="e">
        <f t="shared" si="11"/>
        <v>#REF!</v>
      </c>
      <c r="B60" s="932">
        <f t="shared" si="12"/>
        <v>0</v>
      </c>
      <c r="C60" s="934" t="e">
        <f t="shared" si="13"/>
        <v>#REF!</v>
      </c>
      <c r="D60" s="935" t="str">
        <f t="shared" si="79"/>
        <v>4. OBRAS DE DRENAJE</v>
      </c>
      <c r="E60" s="980">
        <v>52</v>
      </c>
      <c r="F60" s="803" t="s">
        <v>581</v>
      </c>
      <c r="G60" s="977" t="s">
        <v>290</v>
      </c>
      <c r="H60" s="36">
        <v>11</v>
      </c>
      <c r="I60" s="38">
        <v>104.01</v>
      </c>
      <c r="J60" s="66">
        <f t="shared" si="78"/>
        <v>1144.1099999999999</v>
      </c>
      <c r="K60" s="61">
        <f>SUMIF($V$3:$CH$3,"&lt;"&amp;Datos!$C$19,V60:CH60)</f>
        <v>0</v>
      </c>
      <c r="L60" s="71">
        <f t="shared" si="103"/>
        <v>0</v>
      </c>
      <c r="M60" s="65">
        <f>LOOKUP(Datos!$C$19,'Cant. Ejec,'!$V$3:$BB$3,'Cant. Ejec,'!$V60:$BB60)</f>
        <v>0</v>
      </c>
      <c r="N60" s="939">
        <f t="shared" si="60"/>
        <v>0</v>
      </c>
      <c r="O60" s="61">
        <f t="shared" si="102"/>
        <v>0</v>
      </c>
      <c r="P60" s="939">
        <f t="shared" si="102"/>
        <v>0</v>
      </c>
      <c r="Q60" s="61">
        <f t="shared" si="62"/>
        <v>11</v>
      </c>
      <c r="R60" s="939">
        <f t="shared" si="63"/>
        <v>1144.1099999999999</v>
      </c>
      <c r="S60" s="827">
        <f t="shared" si="64"/>
        <v>0</v>
      </c>
      <c r="T60" s="827">
        <f t="shared" si="65"/>
        <v>0</v>
      </c>
      <c r="U60" s="1236">
        <f t="shared" si="66"/>
        <v>1</v>
      </c>
      <c r="V60" s="1254"/>
      <c r="W60" s="1255">
        <f t="shared" si="80"/>
        <v>0</v>
      </c>
      <c r="X60" s="1256">
        <f t="shared" si="81"/>
        <v>0</v>
      </c>
      <c r="Y60" s="1254"/>
      <c r="Z60" s="1255">
        <f t="shared" si="82"/>
        <v>0</v>
      </c>
      <c r="AA60" s="1256">
        <f t="shared" si="83"/>
        <v>0</v>
      </c>
      <c r="AB60" s="1254"/>
      <c r="AC60" s="1255">
        <f t="shared" si="84"/>
        <v>0</v>
      </c>
      <c r="AD60" s="1256">
        <f t="shared" si="85"/>
        <v>0</v>
      </c>
      <c r="AE60" s="1254"/>
      <c r="AF60" s="1255">
        <f t="shared" si="86"/>
        <v>0</v>
      </c>
      <c r="AG60" s="1256">
        <f t="shared" si="87"/>
        <v>0</v>
      </c>
      <c r="AH60" s="1254"/>
      <c r="AI60" s="1255">
        <f t="shared" si="88"/>
        <v>0</v>
      </c>
      <c r="AJ60" s="1256">
        <f t="shared" si="89"/>
        <v>0</v>
      </c>
      <c r="AK60" s="1254"/>
      <c r="AL60" s="1255">
        <f t="shared" si="90"/>
        <v>0</v>
      </c>
      <c r="AM60" s="1256">
        <f t="shared" si="91"/>
        <v>0</v>
      </c>
      <c r="AN60" s="1254"/>
      <c r="AO60" s="1255">
        <f t="shared" si="92"/>
        <v>0</v>
      </c>
      <c r="AP60" s="1256">
        <f t="shared" si="93"/>
        <v>0</v>
      </c>
      <c r="AQ60" s="1254"/>
      <c r="AR60" s="1255">
        <f t="shared" si="94"/>
        <v>0</v>
      </c>
      <c r="AS60" s="1256">
        <f t="shared" si="95"/>
        <v>0</v>
      </c>
      <c r="AT60" s="1254"/>
      <c r="AU60" s="1255">
        <f t="shared" si="96"/>
        <v>0</v>
      </c>
      <c r="AV60" s="1256">
        <f t="shared" si="97"/>
        <v>0</v>
      </c>
      <c r="AW60" s="1254"/>
      <c r="AX60" s="1255">
        <f t="shared" si="98"/>
        <v>0</v>
      </c>
      <c r="AY60" s="1256">
        <f t="shared" si="99"/>
        <v>0</v>
      </c>
      <c r="AZ60" s="1254"/>
      <c r="BA60" s="1255">
        <f t="shared" si="100"/>
        <v>0</v>
      </c>
      <c r="BB60" s="1256">
        <f t="shared" si="101"/>
        <v>0</v>
      </c>
    </row>
    <row r="61" spans="1:54" s="30" customFormat="1" ht="13.5" customHeight="1">
      <c r="A61" s="931" t="e">
        <f t="shared" si="11"/>
        <v>#REF!</v>
      </c>
      <c r="B61" s="932">
        <f t="shared" si="12"/>
        <v>0</v>
      </c>
      <c r="C61" s="934" t="e">
        <f t="shared" si="13"/>
        <v>#REF!</v>
      </c>
      <c r="D61" s="935" t="str">
        <f t="shared" si="79"/>
        <v>4. OBRAS DE DRENAJE</v>
      </c>
      <c r="E61" s="980">
        <v>53</v>
      </c>
      <c r="F61" s="810" t="s">
        <v>582</v>
      </c>
      <c r="G61" s="977" t="s">
        <v>290</v>
      </c>
      <c r="H61" s="36">
        <v>11</v>
      </c>
      <c r="I61" s="38">
        <v>104.01</v>
      </c>
      <c r="J61" s="66">
        <f t="shared" si="78"/>
        <v>1144.1099999999999</v>
      </c>
      <c r="K61" s="61">
        <f>SUMIF($V$3:$CH$3,"&lt;"&amp;Datos!$C$19,V61:CH61)</f>
        <v>0</v>
      </c>
      <c r="L61" s="71">
        <f t="shared" si="103"/>
        <v>0</v>
      </c>
      <c r="M61" s="65">
        <f>LOOKUP(Datos!$C$19,'Cant. Ejec,'!$V$3:$BB$3,'Cant. Ejec,'!$V61:$BB61)</f>
        <v>0</v>
      </c>
      <c r="N61" s="939">
        <f t="shared" si="60"/>
        <v>0</v>
      </c>
      <c r="O61" s="61">
        <f t="shared" si="102"/>
        <v>0</v>
      </c>
      <c r="P61" s="939">
        <f t="shared" si="102"/>
        <v>0</v>
      </c>
      <c r="Q61" s="61">
        <f t="shared" si="62"/>
        <v>11</v>
      </c>
      <c r="R61" s="939">
        <f t="shared" si="63"/>
        <v>1144.1099999999999</v>
      </c>
      <c r="S61" s="827">
        <f t="shared" si="64"/>
        <v>0</v>
      </c>
      <c r="T61" s="827">
        <f t="shared" si="65"/>
        <v>0</v>
      </c>
      <c r="U61" s="1236">
        <f t="shared" si="66"/>
        <v>1</v>
      </c>
      <c r="V61" s="1254"/>
      <c r="W61" s="1255">
        <f t="shared" si="80"/>
        <v>0</v>
      </c>
      <c r="X61" s="1256">
        <f t="shared" si="81"/>
        <v>0</v>
      </c>
      <c r="Y61" s="1254"/>
      <c r="Z61" s="1255">
        <f t="shared" si="82"/>
        <v>0</v>
      </c>
      <c r="AA61" s="1256">
        <f t="shared" si="83"/>
        <v>0</v>
      </c>
      <c r="AB61" s="1254"/>
      <c r="AC61" s="1255">
        <f t="shared" si="84"/>
        <v>0</v>
      </c>
      <c r="AD61" s="1256">
        <f t="shared" si="85"/>
        <v>0</v>
      </c>
      <c r="AE61" s="1254"/>
      <c r="AF61" s="1255">
        <f t="shared" si="86"/>
        <v>0</v>
      </c>
      <c r="AG61" s="1256">
        <f t="shared" si="87"/>
        <v>0</v>
      </c>
      <c r="AH61" s="1254"/>
      <c r="AI61" s="1255">
        <f t="shared" si="88"/>
        <v>0</v>
      </c>
      <c r="AJ61" s="1256">
        <f t="shared" si="89"/>
        <v>0</v>
      </c>
      <c r="AK61" s="1254"/>
      <c r="AL61" s="1255">
        <f t="shared" si="90"/>
        <v>0</v>
      </c>
      <c r="AM61" s="1256">
        <f t="shared" si="91"/>
        <v>0</v>
      </c>
      <c r="AN61" s="1254"/>
      <c r="AO61" s="1255">
        <f t="shared" si="92"/>
        <v>0</v>
      </c>
      <c r="AP61" s="1256">
        <f t="shared" si="93"/>
        <v>0</v>
      </c>
      <c r="AQ61" s="1254"/>
      <c r="AR61" s="1255">
        <f t="shared" si="94"/>
        <v>0</v>
      </c>
      <c r="AS61" s="1256">
        <f t="shared" si="95"/>
        <v>0</v>
      </c>
      <c r="AT61" s="1254"/>
      <c r="AU61" s="1255">
        <f t="shared" si="96"/>
        <v>0</v>
      </c>
      <c r="AV61" s="1256">
        <f t="shared" si="97"/>
        <v>0</v>
      </c>
      <c r="AW61" s="1254"/>
      <c r="AX61" s="1255">
        <f t="shared" si="98"/>
        <v>0</v>
      </c>
      <c r="AY61" s="1256">
        <f t="shared" si="99"/>
        <v>0</v>
      </c>
      <c r="AZ61" s="1254"/>
      <c r="BA61" s="1255">
        <f t="shared" si="100"/>
        <v>0</v>
      </c>
      <c r="BB61" s="1256">
        <f t="shared" si="101"/>
        <v>0</v>
      </c>
    </row>
    <row r="62" spans="1:54" s="30" customFormat="1" ht="13.5" customHeight="1">
      <c r="A62" s="931" t="e">
        <f t="shared" si="11"/>
        <v>#REF!</v>
      </c>
      <c r="B62" s="932">
        <f t="shared" si="12"/>
        <v>0</v>
      </c>
      <c r="C62" s="934" t="e">
        <f t="shared" si="13"/>
        <v>#REF!</v>
      </c>
      <c r="D62" s="935" t="str">
        <f t="shared" si="79"/>
        <v>4. OBRAS DE DRENAJE</v>
      </c>
      <c r="E62" s="980">
        <v>54</v>
      </c>
      <c r="F62" s="810" t="s">
        <v>583</v>
      </c>
      <c r="G62" s="977" t="s">
        <v>291</v>
      </c>
      <c r="H62" s="36">
        <v>1600</v>
      </c>
      <c r="I62" s="38">
        <v>7.53</v>
      </c>
      <c r="J62" s="66">
        <f t="shared" si="78"/>
        <v>12048</v>
      </c>
      <c r="K62" s="61">
        <f>SUMIF($V$3:$CH$3,"&lt;"&amp;Datos!$C$19,V62:CH62)</f>
        <v>0</v>
      </c>
      <c r="L62" s="71">
        <f t="shared" si="103"/>
        <v>0</v>
      </c>
      <c r="M62" s="65">
        <f>LOOKUP(Datos!$C$19,'Cant. Ejec,'!$V$3:$BB$3,'Cant. Ejec,'!$V62:$BB62)</f>
        <v>0</v>
      </c>
      <c r="N62" s="939">
        <f t="shared" si="60"/>
        <v>0</v>
      </c>
      <c r="O62" s="61">
        <f t="shared" si="102"/>
        <v>0</v>
      </c>
      <c r="P62" s="939">
        <f t="shared" si="102"/>
        <v>0</v>
      </c>
      <c r="Q62" s="61">
        <f t="shared" si="62"/>
        <v>1600</v>
      </c>
      <c r="R62" s="939">
        <f t="shared" si="63"/>
        <v>12048</v>
      </c>
      <c r="S62" s="827">
        <f t="shared" si="64"/>
        <v>0</v>
      </c>
      <c r="T62" s="827">
        <f t="shared" si="65"/>
        <v>0</v>
      </c>
      <c r="U62" s="1236">
        <f t="shared" si="66"/>
        <v>1</v>
      </c>
      <c r="V62" s="1254"/>
      <c r="W62" s="1255">
        <f t="shared" si="80"/>
        <v>0</v>
      </c>
      <c r="X62" s="1256">
        <f t="shared" si="81"/>
        <v>0</v>
      </c>
      <c r="Y62" s="1254"/>
      <c r="Z62" s="1255">
        <f t="shared" si="82"/>
        <v>0</v>
      </c>
      <c r="AA62" s="1256">
        <f t="shared" si="83"/>
        <v>0</v>
      </c>
      <c r="AB62" s="1254"/>
      <c r="AC62" s="1255">
        <f t="shared" si="84"/>
        <v>0</v>
      </c>
      <c r="AD62" s="1256">
        <f t="shared" si="85"/>
        <v>0</v>
      </c>
      <c r="AE62" s="1254"/>
      <c r="AF62" s="1255">
        <f t="shared" si="86"/>
        <v>0</v>
      </c>
      <c r="AG62" s="1256">
        <f t="shared" si="87"/>
        <v>0</v>
      </c>
      <c r="AH62" s="1254"/>
      <c r="AI62" s="1255">
        <f t="shared" si="88"/>
        <v>0</v>
      </c>
      <c r="AJ62" s="1256">
        <f t="shared" si="89"/>
        <v>0</v>
      </c>
      <c r="AK62" s="1254"/>
      <c r="AL62" s="1255">
        <f t="shared" si="90"/>
        <v>0</v>
      </c>
      <c r="AM62" s="1256">
        <f t="shared" si="91"/>
        <v>0</v>
      </c>
      <c r="AN62" s="1254"/>
      <c r="AO62" s="1255">
        <f t="shared" si="92"/>
        <v>0</v>
      </c>
      <c r="AP62" s="1256">
        <f t="shared" si="93"/>
        <v>0</v>
      </c>
      <c r="AQ62" s="1254"/>
      <c r="AR62" s="1255">
        <f t="shared" si="94"/>
        <v>0</v>
      </c>
      <c r="AS62" s="1256">
        <f t="shared" si="95"/>
        <v>0</v>
      </c>
      <c r="AT62" s="1254"/>
      <c r="AU62" s="1255">
        <f t="shared" si="96"/>
        <v>0</v>
      </c>
      <c r="AV62" s="1256">
        <f t="shared" si="97"/>
        <v>0</v>
      </c>
      <c r="AW62" s="1254"/>
      <c r="AX62" s="1255">
        <f t="shared" si="98"/>
        <v>0</v>
      </c>
      <c r="AY62" s="1256">
        <f t="shared" si="99"/>
        <v>0</v>
      </c>
      <c r="AZ62" s="1254"/>
      <c r="BA62" s="1255">
        <f t="shared" si="100"/>
        <v>0</v>
      </c>
      <c r="BB62" s="1256">
        <f t="shared" si="101"/>
        <v>0</v>
      </c>
    </row>
    <row r="63" spans="1:54" s="30" customFormat="1" ht="13.5" customHeight="1">
      <c r="A63" s="931" t="e">
        <f t="shared" si="11"/>
        <v>#REF!</v>
      </c>
      <c r="B63" s="932">
        <f t="shared" si="12"/>
        <v>0</v>
      </c>
      <c r="C63" s="934" t="e">
        <f t="shared" si="13"/>
        <v>#REF!</v>
      </c>
      <c r="D63" s="935" t="str">
        <f t="shared" si="79"/>
        <v>4. OBRAS DE DRENAJE</v>
      </c>
      <c r="E63" s="980">
        <v>55</v>
      </c>
      <c r="F63" s="803" t="s">
        <v>584</v>
      </c>
      <c r="G63" s="977" t="s">
        <v>293</v>
      </c>
      <c r="H63" s="36">
        <v>17</v>
      </c>
      <c r="I63" s="38">
        <v>104.01</v>
      </c>
      <c r="J63" s="66">
        <f t="shared" si="78"/>
        <v>1768.17</v>
      </c>
      <c r="K63" s="61">
        <f>SUMIF($V$3:$CH$3,"&lt;"&amp;Datos!$C$19,V63:CH63)</f>
        <v>0</v>
      </c>
      <c r="L63" s="71">
        <f t="shared" si="103"/>
        <v>0</v>
      </c>
      <c r="M63" s="65">
        <f>LOOKUP(Datos!$C$19,'Cant. Ejec,'!$V$3:$BB$3,'Cant. Ejec,'!$V63:$BB63)</f>
        <v>0</v>
      </c>
      <c r="N63" s="939">
        <f t="shared" si="60"/>
        <v>0</v>
      </c>
      <c r="O63" s="61">
        <f t="shared" si="102"/>
        <v>0</v>
      </c>
      <c r="P63" s="939">
        <f t="shared" si="102"/>
        <v>0</v>
      </c>
      <c r="Q63" s="61">
        <f t="shared" si="62"/>
        <v>17</v>
      </c>
      <c r="R63" s="939">
        <f t="shared" si="63"/>
        <v>1768.17</v>
      </c>
      <c r="S63" s="827">
        <f t="shared" si="64"/>
        <v>0</v>
      </c>
      <c r="T63" s="827">
        <f t="shared" si="65"/>
        <v>0</v>
      </c>
      <c r="U63" s="1236">
        <f t="shared" si="66"/>
        <v>1</v>
      </c>
      <c r="V63" s="1254"/>
      <c r="W63" s="1255">
        <f t="shared" si="80"/>
        <v>0</v>
      </c>
      <c r="X63" s="1256">
        <f t="shared" si="81"/>
        <v>0</v>
      </c>
      <c r="Y63" s="1254"/>
      <c r="Z63" s="1255">
        <f t="shared" si="82"/>
        <v>0</v>
      </c>
      <c r="AA63" s="1256">
        <f t="shared" si="83"/>
        <v>0</v>
      </c>
      <c r="AB63" s="1254"/>
      <c r="AC63" s="1255">
        <f t="shared" si="84"/>
        <v>0</v>
      </c>
      <c r="AD63" s="1256">
        <f t="shared" si="85"/>
        <v>0</v>
      </c>
      <c r="AE63" s="1254"/>
      <c r="AF63" s="1255">
        <f t="shared" si="86"/>
        <v>0</v>
      </c>
      <c r="AG63" s="1256">
        <f t="shared" si="87"/>
        <v>0</v>
      </c>
      <c r="AH63" s="1254"/>
      <c r="AI63" s="1255">
        <f t="shared" si="88"/>
        <v>0</v>
      </c>
      <c r="AJ63" s="1256">
        <f t="shared" si="89"/>
        <v>0</v>
      </c>
      <c r="AK63" s="1254"/>
      <c r="AL63" s="1255">
        <f t="shared" si="90"/>
        <v>0</v>
      </c>
      <c r="AM63" s="1256">
        <f t="shared" si="91"/>
        <v>0</v>
      </c>
      <c r="AN63" s="1254"/>
      <c r="AO63" s="1255">
        <f t="shared" si="92"/>
        <v>0</v>
      </c>
      <c r="AP63" s="1256">
        <f t="shared" si="93"/>
        <v>0</v>
      </c>
      <c r="AQ63" s="1254"/>
      <c r="AR63" s="1255">
        <f t="shared" si="94"/>
        <v>0</v>
      </c>
      <c r="AS63" s="1256">
        <f t="shared" si="95"/>
        <v>0</v>
      </c>
      <c r="AT63" s="1254"/>
      <c r="AU63" s="1255">
        <f t="shared" si="96"/>
        <v>0</v>
      </c>
      <c r="AV63" s="1256">
        <f t="shared" si="97"/>
        <v>0</v>
      </c>
      <c r="AW63" s="1254"/>
      <c r="AX63" s="1255">
        <f t="shared" si="98"/>
        <v>0</v>
      </c>
      <c r="AY63" s="1256">
        <f t="shared" si="99"/>
        <v>0</v>
      </c>
      <c r="AZ63" s="1254"/>
      <c r="BA63" s="1255">
        <f t="shared" si="100"/>
        <v>0</v>
      </c>
      <c r="BB63" s="1256">
        <f t="shared" si="101"/>
        <v>0</v>
      </c>
    </row>
    <row r="64" spans="1:54" s="30" customFormat="1" ht="13.5" customHeight="1">
      <c r="A64" s="931" t="e">
        <f t="shared" si="11"/>
        <v>#REF!</v>
      </c>
      <c r="B64" s="932">
        <f t="shared" si="12"/>
        <v>0</v>
      </c>
      <c r="C64" s="934" t="e">
        <f t="shared" si="13"/>
        <v>#REF!</v>
      </c>
      <c r="D64" s="935" t="str">
        <f t="shared" si="79"/>
        <v>4. OBRAS DE DRENAJE</v>
      </c>
      <c r="E64" s="980">
        <v>56</v>
      </c>
      <c r="F64" s="803" t="s">
        <v>585</v>
      </c>
      <c r="G64" s="977" t="s">
        <v>293</v>
      </c>
      <c r="H64" s="36">
        <v>8250</v>
      </c>
      <c r="I64" s="38">
        <v>26.74</v>
      </c>
      <c r="J64" s="66">
        <f t="shared" si="78"/>
        <v>220605</v>
      </c>
      <c r="K64" s="61">
        <f>SUMIF($V$3:$CH$3,"&lt;"&amp;Datos!$C$19,V64:CH64)</f>
        <v>0</v>
      </c>
      <c r="L64" s="71">
        <f t="shared" si="103"/>
        <v>0</v>
      </c>
      <c r="M64" s="65">
        <f>LOOKUP(Datos!$C$19,'Cant. Ejec,'!$V$3:$BB$3,'Cant. Ejec,'!$V64:$BB64)</f>
        <v>0</v>
      </c>
      <c r="N64" s="939">
        <f t="shared" si="60"/>
        <v>0</v>
      </c>
      <c r="O64" s="61">
        <f t="shared" si="102"/>
        <v>0</v>
      </c>
      <c r="P64" s="939">
        <f t="shared" si="102"/>
        <v>0</v>
      </c>
      <c r="Q64" s="61">
        <f t="shared" si="62"/>
        <v>8250</v>
      </c>
      <c r="R64" s="939">
        <f t="shared" si="63"/>
        <v>220605</v>
      </c>
      <c r="S64" s="827">
        <f t="shared" si="64"/>
        <v>0</v>
      </c>
      <c r="T64" s="827">
        <f t="shared" si="65"/>
        <v>0</v>
      </c>
      <c r="U64" s="1236">
        <f t="shared" si="66"/>
        <v>1</v>
      </c>
      <c r="V64" s="1254"/>
      <c r="W64" s="1255">
        <f t="shared" si="80"/>
        <v>0</v>
      </c>
      <c r="X64" s="1256">
        <f t="shared" si="81"/>
        <v>0</v>
      </c>
      <c r="Y64" s="1254"/>
      <c r="Z64" s="1255">
        <f t="shared" si="82"/>
        <v>0</v>
      </c>
      <c r="AA64" s="1256">
        <f t="shared" si="83"/>
        <v>0</v>
      </c>
      <c r="AB64" s="1254"/>
      <c r="AC64" s="1255">
        <f t="shared" si="84"/>
        <v>0</v>
      </c>
      <c r="AD64" s="1256">
        <f t="shared" si="85"/>
        <v>0</v>
      </c>
      <c r="AE64" s="1254"/>
      <c r="AF64" s="1255">
        <f t="shared" si="86"/>
        <v>0</v>
      </c>
      <c r="AG64" s="1256">
        <f t="shared" si="87"/>
        <v>0</v>
      </c>
      <c r="AH64" s="1254"/>
      <c r="AI64" s="1255">
        <f t="shared" si="88"/>
        <v>0</v>
      </c>
      <c r="AJ64" s="1256">
        <f t="shared" si="89"/>
        <v>0</v>
      </c>
      <c r="AK64" s="1254"/>
      <c r="AL64" s="1255">
        <f t="shared" si="90"/>
        <v>0</v>
      </c>
      <c r="AM64" s="1256">
        <f t="shared" si="91"/>
        <v>0</v>
      </c>
      <c r="AN64" s="1254"/>
      <c r="AO64" s="1255">
        <f t="shared" si="92"/>
        <v>0</v>
      </c>
      <c r="AP64" s="1256">
        <f t="shared" si="93"/>
        <v>0</v>
      </c>
      <c r="AQ64" s="1254"/>
      <c r="AR64" s="1255">
        <f t="shared" si="94"/>
        <v>0</v>
      </c>
      <c r="AS64" s="1256">
        <f t="shared" si="95"/>
        <v>0</v>
      </c>
      <c r="AT64" s="1254"/>
      <c r="AU64" s="1255">
        <f t="shared" si="96"/>
        <v>0</v>
      </c>
      <c r="AV64" s="1256">
        <f t="shared" si="97"/>
        <v>0</v>
      </c>
      <c r="AW64" s="1254"/>
      <c r="AX64" s="1255">
        <f t="shared" si="98"/>
        <v>0</v>
      </c>
      <c r="AY64" s="1256">
        <f t="shared" si="99"/>
        <v>0</v>
      </c>
      <c r="AZ64" s="1254"/>
      <c r="BA64" s="1255">
        <f t="shared" si="100"/>
        <v>0</v>
      </c>
      <c r="BB64" s="1256">
        <f t="shared" si="101"/>
        <v>0</v>
      </c>
    </row>
    <row r="65" spans="1:54" s="30" customFormat="1" ht="13.5" customHeight="1">
      <c r="A65" s="931" t="e">
        <f t="shared" si="11"/>
        <v>#REF!</v>
      </c>
      <c r="B65" s="932">
        <f t="shared" si="12"/>
        <v>0</v>
      </c>
      <c r="C65" s="934" t="e">
        <f t="shared" si="13"/>
        <v>#REF!</v>
      </c>
      <c r="D65" s="935" t="str">
        <f t="shared" si="79"/>
        <v>4. OBRAS DE DRENAJE</v>
      </c>
      <c r="E65" s="980">
        <v>57</v>
      </c>
      <c r="F65" s="810" t="s">
        <v>586</v>
      </c>
      <c r="G65" s="977" t="s">
        <v>665</v>
      </c>
      <c r="H65" s="36">
        <v>27500</v>
      </c>
      <c r="I65" s="38">
        <v>2.72</v>
      </c>
      <c r="J65" s="66">
        <f t="shared" si="78"/>
        <v>74800</v>
      </c>
      <c r="K65" s="61">
        <f>SUMIF($V$3:$CH$3,"&lt;"&amp;Datos!$C$19,V65:CH65)</f>
        <v>0</v>
      </c>
      <c r="L65" s="71">
        <f t="shared" si="103"/>
        <v>0</v>
      </c>
      <c r="M65" s="431">
        <f>LOOKUP(Datos!$C$19,'Cant. Ejec,'!$V$3:$BB$3,'Cant. Ejec,'!$V65:$BB65)</f>
        <v>0</v>
      </c>
      <c r="N65" s="1021">
        <f t="shared" si="60"/>
        <v>0</v>
      </c>
      <c r="O65" s="61">
        <f t="shared" si="102"/>
        <v>0</v>
      </c>
      <c r="P65" s="939">
        <f t="shared" si="102"/>
        <v>0</v>
      </c>
      <c r="Q65" s="61">
        <f t="shared" si="62"/>
        <v>27500</v>
      </c>
      <c r="R65" s="939">
        <f t="shared" si="63"/>
        <v>74800</v>
      </c>
      <c r="S65" s="975">
        <f t="shared" si="64"/>
        <v>0</v>
      </c>
      <c r="T65" s="975">
        <f t="shared" si="65"/>
        <v>0</v>
      </c>
      <c r="U65" s="1237">
        <f t="shared" si="66"/>
        <v>1</v>
      </c>
      <c r="V65" s="1254"/>
      <c r="W65" s="1255">
        <f t="shared" si="80"/>
        <v>0</v>
      </c>
      <c r="X65" s="1256">
        <f t="shared" si="81"/>
        <v>0</v>
      </c>
      <c r="Y65" s="1254"/>
      <c r="Z65" s="1255">
        <f t="shared" si="82"/>
        <v>0</v>
      </c>
      <c r="AA65" s="1256">
        <f t="shared" si="83"/>
        <v>0</v>
      </c>
      <c r="AB65" s="1254"/>
      <c r="AC65" s="1255">
        <f t="shared" si="84"/>
        <v>0</v>
      </c>
      <c r="AD65" s="1256">
        <f t="shared" si="85"/>
        <v>0</v>
      </c>
      <c r="AE65" s="1254"/>
      <c r="AF65" s="1255">
        <f t="shared" si="86"/>
        <v>0</v>
      </c>
      <c r="AG65" s="1256">
        <f t="shared" si="87"/>
        <v>0</v>
      </c>
      <c r="AH65" s="1254"/>
      <c r="AI65" s="1255">
        <f t="shared" si="88"/>
        <v>0</v>
      </c>
      <c r="AJ65" s="1256">
        <f t="shared" si="89"/>
        <v>0</v>
      </c>
      <c r="AK65" s="1254"/>
      <c r="AL65" s="1255">
        <f t="shared" si="90"/>
        <v>0</v>
      </c>
      <c r="AM65" s="1256">
        <f t="shared" si="91"/>
        <v>0</v>
      </c>
      <c r="AN65" s="1254"/>
      <c r="AO65" s="1255">
        <f t="shared" si="92"/>
        <v>0</v>
      </c>
      <c r="AP65" s="1256">
        <f t="shared" si="93"/>
        <v>0</v>
      </c>
      <c r="AQ65" s="1254"/>
      <c r="AR65" s="1255">
        <f t="shared" si="94"/>
        <v>0</v>
      </c>
      <c r="AS65" s="1256">
        <f t="shared" si="95"/>
        <v>0</v>
      </c>
      <c r="AT65" s="1254"/>
      <c r="AU65" s="1255">
        <f t="shared" si="96"/>
        <v>0</v>
      </c>
      <c r="AV65" s="1256">
        <f t="shared" si="97"/>
        <v>0</v>
      </c>
      <c r="AW65" s="1254"/>
      <c r="AX65" s="1255">
        <f t="shared" si="98"/>
        <v>0</v>
      </c>
      <c r="AY65" s="1256">
        <f t="shared" si="99"/>
        <v>0</v>
      </c>
      <c r="AZ65" s="1254"/>
      <c r="BA65" s="1255">
        <f t="shared" si="100"/>
        <v>0</v>
      </c>
      <c r="BB65" s="1256">
        <f t="shared" si="101"/>
        <v>0</v>
      </c>
    </row>
    <row r="66" spans="1:54" s="30" customFormat="1" ht="13.5" customHeight="1">
      <c r="A66" s="931" t="e">
        <f>+IF(B66&gt;0,B66+#REF!,IF(C66&gt;#REF!,C66,0))</f>
        <v>#REF!</v>
      </c>
      <c r="B66" s="932" t="e">
        <f>+IF(#REF!&gt;=0.01,1,0)</f>
        <v>#REF!</v>
      </c>
      <c r="C66" s="934" t="e">
        <f>+B66+#REF!</f>
        <v>#REF!</v>
      </c>
      <c r="D66" s="935"/>
      <c r="E66" s="981">
        <v>5</v>
      </c>
      <c r="F66" s="957" t="s">
        <v>587</v>
      </c>
      <c r="G66" s="993"/>
      <c r="H66" s="994"/>
      <c r="I66" s="995"/>
      <c r="J66" s="996">
        <f>SUM(J67:J82)</f>
        <v>12064327.41</v>
      </c>
      <c r="K66" s="997">
        <f>SUMIF($V$3:$CH$3,"&lt;"&amp;Datos!$C$19,V66:CH66)</f>
        <v>0</v>
      </c>
      <c r="L66" s="996">
        <f>SUM(L67:L82)</f>
        <v>0</v>
      </c>
      <c r="M66" s="998">
        <f>LOOKUP(Datos!$C$19,'Cant. Ejec,'!$V$3:$BB$3,'Cant. Ejec,'!$V66:$BB66)</f>
        <v>0</v>
      </c>
      <c r="N66" s="996">
        <f>SUM(N67:N82)</f>
        <v>0</v>
      </c>
      <c r="O66" s="997"/>
      <c r="P66" s="996">
        <f>SUM(P67:P82)</f>
        <v>0</v>
      </c>
      <c r="Q66" s="998"/>
      <c r="R66" s="996">
        <f>SUM(R67:R82)</f>
        <v>12064327.41</v>
      </c>
      <c r="S66" s="1020">
        <f>(N66/J66)</f>
        <v>0</v>
      </c>
      <c r="T66" s="1123">
        <f>(P66/J66)</f>
        <v>0</v>
      </c>
      <c r="U66" s="1235">
        <f>(R66/J66)</f>
        <v>1</v>
      </c>
      <c r="V66" s="1248"/>
      <c r="W66" s="1249">
        <f>SUM(W67:W82)</f>
        <v>0</v>
      </c>
      <c r="X66" s="1250">
        <f t="shared" ref="X66:X72" si="104">+W66/$J66</f>
        <v>0</v>
      </c>
      <c r="Y66" s="1248"/>
      <c r="Z66" s="1249">
        <f>SUM(Z67:Z82)</f>
        <v>0</v>
      </c>
      <c r="AA66" s="1250">
        <f t="shared" ref="AA66:AA72" si="105">+Z66/$J66</f>
        <v>0</v>
      </c>
      <c r="AB66" s="1248"/>
      <c r="AC66" s="1249">
        <f>SUM(AC67:AC82)</f>
        <v>0</v>
      </c>
      <c r="AD66" s="1250">
        <f t="shared" ref="AD66:AD72" si="106">+AC66/$J66</f>
        <v>0</v>
      </c>
      <c r="AE66" s="1248"/>
      <c r="AF66" s="1249">
        <f>SUM(AF67:AF82)</f>
        <v>0</v>
      </c>
      <c r="AG66" s="1250">
        <f t="shared" ref="AG66:AG72" si="107">+AF66/$J66</f>
        <v>0</v>
      </c>
      <c r="AH66" s="1248"/>
      <c r="AI66" s="1249">
        <f>SUM(AI67:AI82)</f>
        <v>0</v>
      </c>
      <c r="AJ66" s="1250">
        <f t="shared" ref="AJ66:AJ72" si="108">+AI66/$J66</f>
        <v>0</v>
      </c>
      <c r="AK66" s="1248"/>
      <c r="AL66" s="1249">
        <f>SUM(AL67:AL82)</f>
        <v>0</v>
      </c>
      <c r="AM66" s="1250">
        <f t="shared" ref="AM66:AM72" si="109">+AL66/$J66</f>
        <v>0</v>
      </c>
      <c r="AN66" s="1248"/>
      <c r="AO66" s="1249">
        <f>SUM(AO67:AO82)</f>
        <v>0</v>
      </c>
      <c r="AP66" s="1250">
        <f t="shared" ref="AP66:AP72" si="110">+AO66/$J66</f>
        <v>0</v>
      </c>
      <c r="AQ66" s="1248"/>
      <c r="AR66" s="1249">
        <f>SUM(AR67:AR82)</f>
        <v>0</v>
      </c>
      <c r="AS66" s="1250">
        <f t="shared" ref="AS66:AS72" si="111">+AR66/$J66</f>
        <v>0</v>
      </c>
      <c r="AT66" s="1248"/>
      <c r="AU66" s="1249">
        <f>SUM(AU67:AU82)</f>
        <v>0</v>
      </c>
      <c r="AV66" s="1250">
        <f t="shared" ref="AV66:AV72" si="112">+AU66/$J66</f>
        <v>0</v>
      </c>
      <c r="AW66" s="1248"/>
      <c r="AX66" s="1249">
        <f>SUM(AX67:AX82)</f>
        <v>0</v>
      </c>
      <c r="AY66" s="1250">
        <f t="shared" ref="AY66:AY72" si="113">+AX66/$J66</f>
        <v>0</v>
      </c>
      <c r="AZ66" s="1248"/>
      <c r="BA66" s="1249">
        <f>SUM(BA67:BA82)</f>
        <v>0</v>
      </c>
      <c r="BB66" s="1250">
        <f t="shared" ref="BB66:BB72" si="114">+BA66/$J66</f>
        <v>0</v>
      </c>
    </row>
    <row r="67" spans="1:54" ht="13.5" customHeight="1">
      <c r="A67" s="931" t="e">
        <f t="shared" ref="A67:A91" si="115">+IF(B67&gt;0,B67+C66,IF(C67&gt;C66,C67,0))</f>
        <v>#REF!</v>
      </c>
      <c r="B67" s="932">
        <f t="shared" ref="B67:B91" si="116">+IF(M67&gt;=0.01,1,0)</f>
        <v>0</v>
      </c>
      <c r="C67" s="934" t="e">
        <f t="shared" ref="C67:C91" si="117">+B67+C66</f>
        <v>#REF!</v>
      </c>
      <c r="D67" s="935" t="str">
        <f t="shared" ref="D67:D86" si="118">+E66&amp;". "&amp;F66</f>
        <v>5. SEÑALIZACION Y SEGURIDAD VIAL</v>
      </c>
      <c r="E67" s="980">
        <v>58</v>
      </c>
      <c r="F67" s="803" t="s">
        <v>588</v>
      </c>
      <c r="G67" s="804" t="s">
        <v>293</v>
      </c>
      <c r="H67" s="63">
        <v>14232</v>
      </c>
      <c r="I67" s="801">
        <v>659.99</v>
      </c>
      <c r="J67" s="66">
        <f t="shared" ref="J67:J82" si="119">ROUND(H67*I67,2)</f>
        <v>9392977.6799999997</v>
      </c>
      <c r="K67" s="63">
        <f>SUMIF($V$3:$CH$3,"&lt;"&amp;Datos!$C$19,V67:CH67)</f>
        <v>0</v>
      </c>
      <c r="L67" s="71">
        <f t="shared" ref="L67:L82" si="120">+ROUND(I67*K67,2)</f>
        <v>0</v>
      </c>
      <c r="M67" s="62">
        <f>LOOKUP(Datos!$C$19,'Cant. Ejec,'!$V$3:$BB$3,'Cant. Ejec,'!$V67:$BB67)</f>
        <v>0</v>
      </c>
      <c r="N67" s="73">
        <f t="shared" ref="N67:N82" si="121">+ROUND(I67*M67,2)</f>
        <v>0</v>
      </c>
      <c r="O67" s="61">
        <f t="shared" ref="O67:P82" si="122">K67+M67</f>
        <v>0</v>
      </c>
      <c r="P67" s="73">
        <f t="shared" si="122"/>
        <v>0</v>
      </c>
      <c r="Q67" s="61">
        <f t="shared" ref="Q67:Q82" si="123">H67-O67</f>
        <v>14232</v>
      </c>
      <c r="R67" s="939">
        <f t="shared" ref="R67:R82" si="124">+J67-P67</f>
        <v>9392977.6799999997</v>
      </c>
      <c r="S67" s="827">
        <f t="shared" ref="S67:S82" si="125">(N67/J67)</f>
        <v>0</v>
      </c>
      <c r="T67" s="827">
        <f t="shared" ref="T67:T82" si="126">(P67/J67)</f>
        <v>0</v>
      </c>
      <c r="U67" s="1236">
        <f t="shared" ref="U67:U82" si="127">(R67/J67)</f>
        <v>1</v>
      </c>
      <c r="V67" s="1254"/>
      <c r="W67" s="1255">
        <f t="shared" ref="W67:W72" si="128">ROUND(V67*$I67,2)</f>
        <v>0</v>
      </c>
      <c r="X67" s="1256">
        <f t="shared" si="104"/>
        <v>0</v>
      </c>
      <c r="Y67" s="1254"/>
      <c r="Z67" s="1255">
        <f t="shared" ref="Z67:Z72" si="129">ROUND(Y67*$I67,2)</f>
        <v>0</v>
      </c>
      <c r="AA67" s="1256">
        <f t="shared" si="105"/>
        <v>0</v>
      </c>
      <c r="AB67" s="1254"/>
      <c r="AC67" s="1255">
        <f t="shared" ref="AC67:AC72" si="130">ROUND(AB67*$I67,2)</f>
        <v>0</v>
      </c>
      <c r="AD67" s="1256">
        <f t="shared" si="106"/>
        <v>0</v>
      </c>
      <c r="AE67" s="1254"/>
      <c r="AF67" s="1255">
        <f t="shared" ref="AF67:AF72" si="131">ROUND(AE67*$I67,2)</f>
        <v>0</v>
      </c>
      <c r="AG67" s="1256">
        <f t="shared" si="107"/>
        <v>0</v>
      </c>
      <c r="AH67" s="1254"/>
      <c r="AI67" s="1255">
        <f t="shared" ref="AI67:AI72" si="132">ROUND(AH67*$I67,2)</f>
        <v>0</v>
      </c>
      <c r="AJ67" s="1256">
        <f t="shared" si="108"/>
        <v>0</v>
      </c>
      <c r="AK67" s="1254"/>
      <c r="AL67" s="1255">
        <f t="shared" ref="AL67:AL72" si="133">ROUND(AK67*$I67,2)</f>
        <v>0</v>
      </c>
      <c r="AM67" s="1256">
        <f t="shared" si="109"/>
        <v>0</v>
      </c>
      <c r="AN67" s="1254"/>
      <c r="AO67" s="1255">
        <f t="shared" ref="AO67:AO72" si="134">ROUND(AN67*$I67,2)</f>
        <v>0</v>
      </c>
      <c r="AP67" s="1256">
        <f t="shared" si="110"/>
        <v>0</v>
      </c>
      <c r="AQ67" s="1254"/>
      <c r="AR67" s="1255">
        <f t="shared" ref="AR67:AR72" si="135">ROUND(AQ67*$I67,2)</f>
        <v>0</v>
      </c>
      <c r="AS67" s="1256">
        <f t="shared" si="111"/>
        <v>0</v>
      </c>
      <c r="AT67" s="1254"/>
      <c r="AU67" s="1255">
        <f t="shared" ref="AU67:AU72" si="136">ROUND(AT67*$I67,2)</f>
        <v>0</v>
      </c>
      <c r="AV67" s="1256">
        <f t="shared" si="112"/>
        <v>0</v>
      </c>
      <c r="AW67" s="1254"/>
      <c r="AX67" s="1255">
        <f t="shared" ref="AX67:AX72" si="137">ROUND(AW67*$I67,2)</f>
        <v>0</v>
      </c>
      <c r="AY67" s="1256">
        <f t="shared" si="113"/>
        <v>0</v>
      </c>
      <c r="AZ67" s="1254"/>
      <c r="BA67" s="1255">
        <f t="shared" ref="BA67:BA72" si="138">ROUND(AZ67*$I67,2)</f>
        <v>0</v>
      </c>
      <c r="BB67" s="1256">
        <f t="shared" si="114"/>
        <v>0</v>
      </c>
    </row>
    <row r="68" spans="1:54" ht="13.5" customHeight="1">
      <c r="A68" s="931" t="e">
        <f t="shared" si="115"/>
        <v>#REF!</v>
      </c>
      <c r="B68" s="932">
        <f t="shared" si="116"/>
        <v>0</v>
      </c>
      <c r="C68" s="934" t="e">
        <f t="shared" si="117"/>
        <v>#REF!</v>
      </c>
      <c r="D68" s="935" t="str">
        <f>+D67</f>
        <v>5. SEÑALIZACION Y SEGURIDAD VIAL</v>
      </c>
      <c r="E68" s="982">
        <v>59</v>
      </c>
      <c r="F68" s="808" t="s">
        <v>458</v>
      </c>
      <c r="G68" s="809" t="s">
        <v>293</v>
      </c>
      <c r="H68" s="46">
        <v>31500</v>
      </c>
      <c r="I68" s="802">
        <v>8.27</v>
      </c>
      <c r="J68" s="66">
        <f t="shared" si="119"/>
        <v>260505</v>
      </c>
      <c r="K68" s="46">
        <f>SUMIF($V$3:$CH$3,"&lt;"&amp;Datos!$C$19,V68:CH68)</f>
        <v>0</v>
      </c>
      <c r="L68" s="71">
        <f t="shared" si="120"/>
        <v>0</v>
      </c>
      <c r="M68" s="67">
        <f>LOOKUP(Datos!$C$19,'Cant. Ejec,'!$V$3:$BB$3,'Cant. Ejec,'!$V68:$BB68)</f>
        <v>0</v>
      </c>
      <c r="N68" s="37">
        <f t="shared" si="121"/>
        <v>0</v>
      </c>
      <c r="O68" s="61">
        <f t="shared" si="122"/>
        <v>0</v>
      </c>
      <c r="P68" s="939">
        <f t="shared" si="122"/>
        <v>0</v>
      </c>
      <c r="Q68" s="61">
        <f t="shared" si="123"/>
        <v>31500</v>
      </c>
      <c r="R68" s="939">
        <f t="shared" si="124"/>
        <v>260505</v>
      </c>
      <c r="S68" s="827">
        <f t="shared" si="125"/>
        <v>0</v>
      </c>
      <c r="T68" s="827">
        <f t="shared" si="126"/>
        <v>0</v>
      </c>
      <c r="U68" s="1236">
        <f t="shared" si="127"/>
        <v>1</v>
      </c>
      <c r="V68" s="1254"/>
      <c r="W68" s="1255">
        <f t="shared" si="128"/>
        <v>0</v>
      </c>
      <c r="X68" s="1256">
        <f t="shared" si="104"/>
        <v>0</v>
      </c>
      <c r="Y68" s="1254"/>
      <c r="Z68" s="1255">
        <f t="shared" si="129"/>
        <v>0</v>
      </c>
      <c r="AA68" s="1256">
        <f t="shared" si="105"/>
        <v>0</v>
      </c>
      <c r="AB68" s="1254"/>
      <c r="AC68" s="1255">
        <f t="shared" si="130"/>
        <v>0</v>
      </c>
      <c r="AD68" s="1256">
        <f t="shared" si="106"/>
        <v>0</v>
      </c>
      <c r="AE68" s="1254"/>
      <c r="AF68" s="1255">
        <f t="shared" si="131"/>
        <v>0</v>
      </c>
      <c r="AG68" s="1256">
        <f t="shared" si="107"/>
        <v>0</v>
      </c>
      <c r="AH68" s="1254"/>
      <c r="AI68" s="1255">
        <f t="shared" si="132"/>
        <v>0</v>
      </c>
      <c r="AJ68" s="1256">
        <f t="shared" si="108"/>
        <v>0</v>
      </c>
      <c r="AK68" s="1254"/>
      <c r="AL68" s="1255">
        <f t="shared" si="133"/>
        <v>0</v>
      </c>
      <c r="AM68" s="1256">
        <f t="shared" si="109"/>
        <v>0</v>
      </c>
      <c r="AN68" s="1254"/>
      <c r="AO68" s="1255">
        <f t="shared" si="134"/>
        <v>0</v>
      </c>
      <c r="AP68" s="1256">
        <f t="shared" si="110"/>
        <v>0</v>
      </c>
      <c r="AQ68" s="1254"/>
      <c r="AR68" s="1255">
        <f t="shared" si="135"/>
        <v>0</v>
      </c>
      <c r="AS68" s="1256">
        <f t="shared" si="111"/>
        <v>0</v>
      </c>
      <c r="AT68" s="1254"/>
      <c r="AU68" s="1255">
        <f t="shared" si="136"/>
        <v>0</v>
      </c>
      <c r="AV68" s="1256">
        <f t="shared" si="112"/>
        <v>0</v>
      </c>
      <c r="AW68" s="1254"/>
      <c r="AX68" s="1255">
        <f t="shared" si="137"/>
        <v>0</v>
      </c>
      <c r="AY68" s="1256">
        <f t="shared" si="113"/>
        <v>0</v>
      </c>
      <c r="AZ68" s="1254"/>
      <c r="BA68" s="1255">
        <f t="shared" si="138"/>
        <v>0</v>
      </c>
      <c r="BB68" s="1256">
        <f t="shared" si="114"/>
        <v>0</v>
      </c>
    </row>
    <row r="69" spans="1:54" ht="13.5" customHeight="1">
      <c r="A69" s="931" t="e">
        <f t="shared" si="115"/>
        <v>#REF!</v>
      </c>
      <c r="B69" s="932">
        <f t="shared" si="116"/>
        <v>0</v>
      </c>
      <c r="C69" s="934" t="e">
        <f t="shared" si="117"/>
        <v>#REF!</v>
      </c>
      <c r="D69" s="935" t="str">
        <f t="shared" ref="D69:D82" si="139">+D68</f>
        <v>5. SEÑALIZACION Y SEGURIDAD VIAL</v>
      </c>
      <c r="E69" s="980">
        <v>60</v>
      </c>
      <c r="F69" s="803" t="s">
        <v>589</v>
      </c>
      <c r="G69" s="806" t="s">
        <v>293</v>
      </c>
      <c r="H69" s="36">
        <v>90000</v>
      </c>
      <c r="I69" s="800">
        <v>10.4</v>
      </c>
      <c r="J69" s="66">
        <f t="shared" si="119"/>
        <v>936000</v>
      </c>
      <c r="K69" s="36">
        <f>SUMIF($V$3:$CH$3,"&lt;"&amp;Datos!$C$19,V69:CH69)</f>
        <v>0</v>
      </c>
      <c r="L69" s="71">
        <f t="shared" si="120"/>
        <v>0</v>
      </c>
      <c r="M69" s="65">
        <f>LOOKUP(Datos!$C$19,'Cant. Ejec,'!$V$3:$BB$3,'Cant. Ejec,'!$V69:$BB69)</f>
        <v>0</v>
      </c>
      <c r="N69" s="37">
        <f t="shared" si="121"/>
        <v>0</v>
      </c>
      <c r="O69" s="61">
        <f t="shared" si="122"/>
        <v>0</v>
      </c>
      <c r="P69" s="939">
        <f t="shared" si="122"/>
        <v>0</v>
      </c>
      <c r="Q69" s="61">
        <f t="shared" si="123"/>
        <v>90000</v>
      </c>
      <c r="R69" s="939">
        <f t="shared" si="124"/>
        <v>936000</v>
      </c>
      <c r="S69" s="827">
        <f t="shared" si="125"/>
        <v>0</v>
      </c>
      <c r="T69" s="827">
        <f t="shared" si="126"/>
        <v>0</v>
      </c>
      <c r="U69" s="1236">
        <f t="shared" si="127"/>
        <v>1</v>
      </c>
      <c r="V69" s="1254"/>
      <c r="W69" s="1255">
        <f t="shared" si="128"/>
        <v>0</v>
      </c>
      <c r="X69" s="1256">
        <f t="shared" si="104"/>
        <v>0</v>
      </c>
      <c r="Y69" s="1254"/>
      <c r="Z69" s="1255">
        <f t="shared" si="129"/>
        <v>0</v>
      </c>
      <c r="AA69" s="1256">
        <f t="shared" si="105"/>
        <v>0</v>
      </c>
      <c r="AB69" s="1254"/>
      <c r="AC69" s="1255">
        <f t="shared" si="130"/>
        <v>0</v>
      </c>
      <c r="AD69" s="1256">
        <f t="shared" si="106"/>
        <v>0</v>
      </c>
      <c r="AE69" s="1254"/>
      <c r="AF69" s="1255">
        <f t="shared" si="131"/>
        <v>0</v>
      </c>
      <c r="AG69" s="1256">
        <f t="shared" si="107"/>
        <v>0</v>
      </c>
      <c r="AH69" s="1254"/>
      <c r="AI69" s="1255">
        <f t="shared" si="132"/>
        <v>0</v>
      </c>
      <c r="AJ69" s="1256">
        <f t="shared" si="108"/>
        <v>0</v>
      </c>
      <c r="AK69" s="1254"/>
      <c r="AL69" s="1255">
        <f t="shared" si="133"/>
        <v>0</v>
      </c>
      <c r="AM69" s="1256">
        <f t="shared" si="109"/>
        <v>0</v>
      </c>
      <c r="AN69" s="1254"/>
      <c r="AO69" s="1255">
        <f t="shared" si="134"/>
        <v>0</v>
      </c>
      <c r="AP69" s="1256">
        <f t="shared" si="110"/>
        <v>0</v>
      </c>
      <c r="AQ69" s="1254"/>
      <c r="AR69" s="1255">
        <f t="shared" si="135"/>
        <v>0</v>
      </c>
      <c r="AS69" s="1256">
        <f t="shared" si="111"/>
        <v>0</v>
      </c>
      <c r="AT69" s="1254"/>
      <c r="AU69" s="1255">
        <f t="shared" si="136"/>
        <v>0</v>
      </c>
      <c r="AV69" s="1256">
        <f t="shared" si="112"/>
        <v>0</v>
      </c>
      <c r="AW69" s="1254"/>
      <c r="AX69" s="1255">
        <f t="shared" si="137"/>
        <v>0</v>
      </c>
      <c r="AY69" s="1256">
        <f t="shared" si="113"/>
        <v>0</v>
      </c>
      <c r="AZ69" s="1254"/>
      <c r="BA69" s="1255">
        <f t="shared" si="138"/>
        <v>0</v>
      </c>
      <c r="BB69" s="1256">
        <f t="shared" si="114"/>
        <v>0</v>
      </c>
    </row>
    <row r="70" spans="1:54" ht="13.5" customHeight="1">
      <c r="A70" s="931" t="e">
        <f t="shared" si="115"/>
        <v>#REF!</v>
      </c>
      <c r="B70" s="932">
        <f t="shared" si="116"/>
        <v>0</v>
      </c>
      <c r="C70" s="934" t="e">
        <f t="shared" si="117"/>
        <v>#REF!</v>
      </c>
      <c r="D70" s="935" t="str">
        <f t="shared" si="139"/>
        <v>5. SEÑALIZACION Y SEGURIDAD VIAL</v>
      </c>
      <c r="E70" s="980">
        <v>61</v>
      </c>
      <c r="F70" s="803" t="s">
        <v>590</v>
      </c>
      <c r="G70" s="806" t="s">
        <v>291</v>
      </c>
      <c r="H70" s="36">
        <v>250</v>
      </c>
      <c r="I70" s="800">
        <v>72.150000000000006</v>
      </c>
      <c r="J70" s="66">
        <f t="shared" si="119"/>
        <v>18037.5</v>
      </c>
      <c r="K70" s="36">
        <f>SUMIF($V$3:$CH$3,"&lt;"&amp;Datos!$C$19,V70:CH70)</f>
        <v>0</v>
      </c>
      <c r="L70" s="71">
        <f t="shared" si="120"/>
        <v>0</v>
      </c>
      <c r="M70" s="65">
        <f>LOOKUP(Datos!$C$19,'Cant. Ejec,'!$V$3:$BB$3,'Cant. Ejec,'!$V70:$BB70)</f>
        <v>0</v>
      </c>
      <c r="N70" s="37">
        <f t="shared" si="121"/>
        <v>0</v>
      </c>
      <c r="O70" s="61">
        <f t="shared" si="122"/>
        <v>0</v>
      </c>
      <c r="P70" s="939">
        <f t="shared" si="122"/>
        <v>0</v>
      </c>
      <c r="Q70" s="61">
        <f t="shared" si="123"/>
        <v>250</v>
      </c>
      <c r="R70" s="939">
        <f t="shared" si="124"/>
        <v>18037.5</v>
      </c>
      <c r="S70" s="827">
        <f t="shared" si="125"/>
        <v>0</v>
      </c>
      <c r="T70" s="827">
        <f t="shared" si="126"/>
        <v>0</v>
      </c>
      <c r="U70" s="1236">
        <f t="shared" si="127"/>
        <v>1</v>
      </c>
      <c r="V70" s="1254"/>
      <c r="W70" s="1255">
        <f t="shared" si="128"/>
        <v>0</v>
      </c>
      <c r="X70" s="1256">
        <f t="shared" si="104"/>
        <v>0</v>
      </c>
      <c r="Y70" s="1254"/>
      <c r="Z70" s="1255">
        <f t="shared" si="129"/>
        <v>0</v>
      </c>
      <c r="AA70" s="1256">
        <f t="shared" si="105"/>
        <v>0</v>
      </c>
      <c r="AB70" s="1254"/>
      <c r="AC70" s="1255">
        <f t="shared" si="130"/>
        <v>0</v>
      </c>
      <c r="AD70" s="1256">
        <f t="shared" si="106"/>
        <v>0</v>
      </c>
      <c r="AE70" s="1254"/>
      <c r="AF70" s="1255">
        <f t="shared" si="131"/>
        <v>0</v>
      </c>
      <c r="AG70" s="1256">
        <f t="shared" si="107"/>
        <v>0</v>
      </c>
      <c r="AH70" s="1254"/>
      <c r="AI70" s="1255">
        <f t="shared" si="132"/>
        <v>0</v>
      </c>
      <c r="AJ70" s="1256">
        <f t="shared" si="108"/>
        <v>0</v>
      </c>
      <c r="AK70" s="1254"/>
      <c r="AL70" s="1255">
        <f t="shared" si="133"/>
        <v>0</v>
      </c>
      <c r="AM70" s="1256">
        <f t="shared" si="109"/>
        <v>0</v>
      </c>
      <c r="AN70" s="1254"/>
      <c r="AO70" s="1255">
        <f t="shared" si="134"/>
        <v>0</v>
      </c>
      <c r="AP70" s="1256">
        <f t="shared" si="110"/>
        <v>0</v>
      </c>
      <c r="AQ70" s="1254"/>
      <c r="AR70" s="1255">
        <f t="shared" si="135"/>
        <v>0</v>
      </c>
      <c r="AS70" s="1256">
        <f t="shared" si="111"/>
        <v>0</v>
      </c>
      <c r="AT70" s="1254"/>
      <c r="AU70" s="1255">
        <f t="shared" si="136"/>
        <v>0</v>
      </c>
      <c r="AV70" s="1256">
        <f t="shared" si="112"/>
        <v>0</v>
      </c>
      <c r="AW70" s="1254"/>
      <c r="AX70" s="1255">
        <f t="shared" si="137"/>
        <v>0</v>
      </c>
      <c r="AY70" s="1256">
        <f t="shared" si="113"/>
        <v>0</v>
      </c>
      <c r="AZ70" s="1254"/>
      <c r="BA70" s="1255">
        <f t="shared" si="138"/>
        <v>0</v>
      </c>
      <c r="BB70" s="1256">
        <f t="shared" si="114"/>
        <v>0</v>
      </c>
    </row>
    <row r="71" spans="1:54" ht="13.5" customHeight="1">
      <c r="A71" s="931" t="e">
        <f t="shared" si="115"/>
        <v>#REF!</v>
      </c>
      <c r="B71" s="932">
        <f t="shared" si="116"/>
        <v>0</v>
      </c>
      <c r="C71" s="934" t="e">
        <f t="shared" si="117"/>
        <v>#REF!</v>
      </c>
      <c r="D71" s="935" t="str">
        <f t="shared" si="139"/>
        <v>5. SEÑALIZACION Y SEGURIDAD VIAL</v>
      </c>
      <c r="E71" s="980">
        <v>62</v>
      </c>
      <c r="F71" s="803" t="s">
        <v>591</v>
      </c>
      <c r="G71" s="806" t="s">
        <v>592</v>
      </c>
      <c r="H71" s="36">
        <v>180</v>
      </c>
      <c r="I71" s="800">
        <v>1283.31</v>
      </c>
      <c r="J71" s="66">
        <f t="shared" si="119"/>
        <v>230995.8</v>
      </c>
      <c r="K71" s="36">
        <f>SUMIF($V$3:$CH$3,"&lt;"&amp;Datos!$C$19,V71:CH71)</f>
        <v>0</v>
      </c>
      <c r="L71" s="71">
        <f t="shared" si="120"/>
        <v>0</v>
      </c>
      <c r="M71" s="65">
        <f>LOOKUP(Datos!$C$19,'Cant. Ejec,'!$V$3:$BB$3,'Cant. Ejec,'!$V71:$BB71)</f>
        <v>0</v>
      </c>
      <c r="N71" s="37">
        <f t="shared" si="121"/>
        <v>0</v>
      </c>
      <c r="O71" s="61">
        <f t="shared" si="122"/>
        <v>0</v>
      </c>
      <c r="P71" s="939">
        <f t="shared" si="122"/>
        <v>0</v>
      </c>
      <c r="Q71" s="61">
        <f t="shared" si="123"/>
        <v>180</v>
      </c>
      <c r="R71" s="939">
        <f t="shared" si="124"/>
        <v>230995.8</v>
      </c>
      <c r="S71" s="827">
        <f t="shared" si="125"/>
        <v>0</v>
      </c>
      <c r="T71" s="827">
        <f t="shared" si="126"/>
        <v>0</v>
      </c>
      <c r="U71" s="1236">
        <f t="shared" si="127"/>
        <v>1</v>
      </c>
      <c r="V71" s="1254"/>
      <c r="W71" s="1255">
        <f t="shared" si="128"/>
        <v>0</v>
      </c>
      <c r="X71" s="1256">
        <f t="shared" si="104"/>
        <v>0</v>
      </c>
      <c r="Y71" s="1254"/>
      <c r="Z71" s="1255">
        <f t="shared" si="129"/>
        <v>0</v>
      </c>
      <c r="AA71" s="1256">
        <f t="shared" si="105"/>
        <v>0</v>
      </c>
      <c r="AB71" s="1254"/>
      <c r="AC71" s="1255">
        <f t="shared" si="130"/>
        <v>0</v>
      </c>
      <c r="AD71" s="1256">
        <f t="shared" si="106"/>
        <v>0</v>
      </c>
      <c r="AE71" s="1254"/>
      <c r="AF71" s="1255">
        <f t="shared" si="131"/>
        <v>0</v>
      </c>
      <c r="AG71" s="1256">
        <f t="shared" si="107"/>
        <v>0</v>
      </c>
      <c r="AH71" s="1254"/>
      <c r="AI71" s="1255">
        <f t="shared" si="132"/>
        <v>0</v>
      </c>
      <c r="AJ71" s="1256">
        <f t="shared" si="108"/>
        <v>0</v>
      </c>
      <c r="AK71" s="1254"/>
      <c r="AL71" s="1255">
        <f t="shared" si="133"/>
        <v>0</v>
      </c>
      <c r="AM71" s="1256">
        <f t="shared" si="109"/>
        <v>0</v>
      </c>
      <c r="AN71" s="1254"/>
      <c r="AO71" s="1255">
        <f t="shared" si="134"/>
        <v>0</v>
      </c>
      <c r="AP71" s="1256">
        <f t="shared" si="110"/>
        <v>0</v>
      </c>
      <c r="AQ71" s="1254"/>
      <c r="AR71" s="1255">
        <f t="shared" si="135"/>
        <v>0</v>
      </c>
      <c r="AS71" s="1256">
        <f t="shared" si="111"/>
        <v>0</v>
      </c>
      <c r="AT71" s="1254"/>
      <c r="AU71" s="1255">
        <f t="shared" si="136"/>
        <v>0</v>
      </c>
      <c r="AV71" s="1256">
        <f t="shared" si="112"/>
        <v>0</v>
      </c>
      <c r="AW71" s="1254"/>
      <c r="AX71" s="1255">
        <f t="shared" si="137"/>
        <v>0</v>
      </c>
      <c r="AY71" s="1256">
        <f t="shared" si="113"/>
        <v>0</v>
      </c>
      <c r="AZ71" s="1254"/>
      <c r="BA71" s="1255">
        <f t="shared" si="138"/>
        <v>0</v>
      </c>
      <c r="BB71" s="1256">
        <f t="shared" si="114"/>
        <v>0</v>
      </c>
    </row>
    <row r="72" spans="1:54" ht="13.5" customHeight="1">
      <c r="A72" s="931" t="e">
        <f t="shared" si="115"/>
        <v>#REF!</v>
      </c>
      <c r="B72" s="932">
        <f t="shared" si="116"/>
        <v>0</v>
      </c>
      <c r="C72" s="934" t="e">
        <f t="shared" si="117"/>
        <v>#REF!</v>
      </c>
      <c r="D72" s="935" t="str">
        <f t="shared" si="139"/>
        <v>5. SEÑALIZACION Y SEGURIDAD VIAL</v>
      </c>
      <c r="E72" s="980">
        <v>63</v>
      </c>
      <c r="F72" s="803" t="s">
        <v>593</v>
      </c>
      <c r="G72" s="806" t="s">
        <v>592</v>
      </c>
      <c r="H72" s="36">
        <v>30</v>
      </c>
      <c r="I72" s="800">
        <v>1283.31</v>
      </c>
      <c r="J72" s="66">
        <f t="shared" si="119"/>
        <v>38499.300000000003</v>
      </c>
      <c r="K72" s="36">
        <f>SUMIF($V$3:$CH$3,"&lt;"&amp;Datos!$C$19,V72:CH72)</f>
        <v>0</v>
      </c>
      <c r="L72" s="71">
        <f t="shared" si="120"/>
        <v>0</v>
      </c>
      <c r="M72" s="65">
        <f>LOOKUP(Datos!$C$19,'Cant. Ejec,'!$V$3:$BB$3,'Cant. Ejec,'!$V72:$BB72)</f>
        <v>0</v>
      </c>
      <c r="N72" s="37">
        <f t="shared" si="121"/>
        <v>0</v>
      </c>
      <c r="O72" s="61">
        <f t="shared" si="122"/>
        <v>0</v>
      </c>
      <c r="P72" s="939">
        <f t="shared" si="122"/>
        <v>0</v>
      </c>
      <c r="Q72" s="61">
        <f t="shared" si="123"/>
        <v>30</v>
      </c>
      <c r="R72" s="939">
        <f t="shared" si="124"/>
        <v>38499.300000000003</v>
      </c>
      <c r="S72" s="827">
        <f t="shared" si="125"/>
        <v>0</v>
      </c>
      <c r="T72" s="827">
        <f t="shared" si="126"/>
        <v>0</v>
      </c>
      <c r="U72" s="1236">
        <f t="shared" si="127"/>
        <v>1</v>
      </c>
      <c r="V72" s="1254"/>
      <c r="W72" s="1255">
        <f t="shared" si="128"/>
        <v>0</v>
      </c>
      <c r="X72" s="1256">
        <f t="shared" si="104"/>
        <v>0</v>
      </c>
      <c r="Y72" s="1254"/>
      <c r="Z72" s="1255">
        <f t="shared" si="129"/>
        <v>0</v>
      </c>
      <c r="AA72" s="1256">
        <f t="shared" si="105"/>
        <v>0</v>
      </c>
      <c r="AB72" s="1254"/>
      <c r="AC72" s="1255">
        <f t="shared" si="130"/>
        <v>0</v>
      </c>
      <c r="AD72" s="1256">
        <f t="shared" si="106"/>
        <v>0</v>
      </c>
      <c r="AE72" s="1254"/>
      <c r="AF72" s="1255">
        <f t="shared" si="131"/>
        <v>0</v>
      </c>
      <c r="AG72" s="1256">
        <f t="shared" si="107"/>
        <v>0</v>
      </c>
      <c r="AH72" s="1254"/>
      <c r="AI72" s="1255">
        <f t="shared" si="132"/>
        <v>0</v>
      </c>
      <c r="AJ72" s="1256">
        <f t="shared" si="108"/>
        <v>0</v>
      </c>
      <c r="AK72" s="1254"/>
      <c r="AL72" s="1255">
        <f t="shared" si="133"/>
        <v>0</v>
      </c>
      <c r="AM72" s="1256">
        <f t="shared" si="109"/>
        <v>0</v>
      </c>
      <c r="AN72" s="1254"/>
      <c r="AO72" s="1255">
        <f t="shared" si="134"/>
        <v>0</v>
      </c>
      <c r="AP72" s="1256">
        <f t="shared" si="110"/>
        <v>0</v>
      </c>
      <c r="AQ72" s="1254"/>
      <c r="AR72" s="1255">
        <f t="shared" si="135"/>
        <v>0</v>
      </c>
      <c r="AS72" s="1256">
        <f t="shared" si="111"/>
        <v>0</v>
      </c>
      <c r="AT72" s="1254"/>
      <c r="AU72" s="1255">
        <f t="shared" si="136"/>
        <v>0</v>
      </c>
      <c r="AV72" s="1256">
        <f t="shared" si="112"/>
        <v>0</v>
      </c>
      <c r="AW72" s="1254"/>
      <c r="AX72" s="1255">
        <f t="shared" si="137"/>
        <v>0</v>
      </c>
      <c r="AY72" s="1256">
        <f t="shared" si="113"/>
        <v>0</v>
      </c>
      <c r="AZ72" s="1254"/>
      <c r="BA72" s="1255">
        <f t="shared" si="138"/>
        <v>0</v>
      </c>
      <c r="BB72" s="1256">
        <f t="shared" si="114"/>
        <v>0</v>
      </c>
    </row>
    <row r="73" spans="1:54" ht="13.5" customHeight="1">
      <c r="A73" s="931" t="e">
        <f t="shared" si="115"/>
        <v>#REF!</v>
      </c>
      <c r="B73" s="932">
        <f t="shared" si="116"/>
        <v>0</v>
      </c>
      <c r="C73" s="934" t="e">
        <f t="shared" si="117"/>
        <v>#REF!</v>
      </c>
      <c r="D73" s="935" t="str">
        <f t="shared" si="139"/>
        <v>5. SEÑALIZACION Y SEGURIDAD VIAL</v>
      </c>
      <c r="E73" s="980">
        <v>64</v>
      </c>
      <c r="F73" s="803" t="s">
        <v>594</v>
      </c>
      <c r="G73" s="806" t="s">
        <v>592</v>
      </c>
      <c r="H73" s="36">
        <v>30</v>
      </c>
      <c r="I73" s="800">
        <v>1839.02</v>
      </c>
      <c r="J73" s="66">
        <f t="shared" si="119"/>
        <v>55170.6</v>
      </c>
      <c r="K73" s="36">
        <f>SUMIF($V$3:$CH$3,"&lt;"&amp;Datos!$C$19,V73:CH73)</f>
        <v>0</v>
      </c>
      <c r="L73" s="71">
        <f t="shared" si="120"/>
        <v>0</v>
      </c>
      <c r="M73" s="65">
        <f>LOOKUP(Datos!$C$19,'Cant. Ejec,'!$V$3:$BB$3,'Cant. Ejec,'!$V73:$BB73)</f>
        <v>0</v>
      </c>
      <c r="N73" s="37">
        <f t="shared" si="121"/>
        <v>0</v>
      </c>
      <c r="O73" s="61">
        <f t="shared" si="122"/>
        <v>0</v>
      </c>
      <c r="P73" s="939">
        <f t="shared" si="122"/>
        <v>0</v>
      </c>
      <c r="Q73" s="61">
        <f t="shared" si="123"/>
        <v>30</v>
      </c>
      <c r="R73" s="939">
        <f t="shared" si="124"/>
        <v>55170.6</v>
      </c>
      <c r="S73" s="827">
        <f t="shared" si="125"/>
        <v>0</v>
      </c>
      <c r="T73" s="827">
        <f t="shared" si="126"/>
        <v>0</v>
      </c>
      <c r="U73" s="1236">
        <f t="shared" si="127"/>
        <v>1</v>
      </c>
      <c r="V73" s="1254"/>
      <c r="W73" s="1255">
        <f t="shared" ref="W73:W82" si="140">ROUND(V73*$I73,2)</f>
        <v>0</v>
      </c>
      <c r="X73" s="1256">
        <f t="shared" ref="X73:X82" si="141">+W73/$J73</f>
        <v>0</v>
      </c>
      <c r="Y73" s="1254"/>
      <c r="Z73" s="1255">
        <f t="shared" ref="Z73:Z82" si="142">ROUND(Y73*$I73,2)</f>
        <v>0</v>
      </c>
      <c r="AA73" s="1256">
        <f t="shared" ref="AA73:AA82" si="143">+Z73/$J73</f>
        <v>0</v>
      </c>
      <c r="AB73" s="1254"/>
      <c r="AC73" s="1255">
        <f t="shared" ref="AC73:AC82" si="144">ROUND(AB73*$I73,2)</f>
        <v>0</v>
      </c>
      <c r="AD73" s="1256">
        <f t="shared" ref="AD73:AD82" si="145">+AC73/$J73</f>
        <v>0</v>
      </c>
      <c r="AE73" s="1254"/>
      <c r="AF73" s="1255">
        <f t="shared" ref="AF73:AF82" si="146">ROUND(AE73*$I73,2)</f>
        <v>0</v>
      </c>
      <c r="AG73" s="1256">
        <f t="shared" ref="AG73:AG82" si="147">+AF73/$J73</f>
        <v>0</v>
      </c>
      <c r="AH73" s="1254"/>
      <c r="AI73" s="1255">
        <f t="shared" ref="AI73:AI82" si="148">ROUND(AH73*$I73,2)</f>
        <v>0</v>
      </c>
      <c r="AJ73" s="1256">
        <f t="shared" ref="AJ73:AJ82" si="149">+AI73/$J73</f>
        <v>0</v>
      </c>
      <c r="AK73" s="1254"/>
      <c r="AL73" s="1255">
        <f t="shared" ref="AL73:AL82" si="150">ROUND(AK73*$I73,2)</f>
        <v>0</v>
      </c>
      <c r="AM73" s="1256">
        <f t="shared" ref="AM73:AM82" si="151">+AL73/$J73</f>
        <v>0</v>
      </c>
      <c r="AN73" s="1254"/>
      <c r="AO73" s="1255">
        <f t="shared" ref="AO73:AO82" si="152">ROUND(AN73*$I73,2)</f>
        <v>0</v>
      </c>
      <c r="AP73" s="1256">
        <f t="shared" ref="AP73:AP82" si="153">+AO73/$J73</f>
        <v>0</v>
      </c>
      <c r="AQ73" s="1254"/>
      <c r="AR73" s="1255">
        <f t="shared" ref="AR73:AR82" si="154">ROUND(AQ73*$I73,2)</f>
        <v>0</v>
      </c>
      <c r="AS73" s="1256">
        <f t="shared" ref="AS73:AS82" si="155">+AR73/$J73</f>
        <v>0</v>
      </c>
      <c r="AT73" s="1254"/>
      <c r="AU73" s="1255">
        <f t="shared" ref="AU73:AU82" si="156">ROUND(AT73*$I73,2)</f>
        <v>0</v>
      </c>
      <c r="AV73" s="1256">
        <f t="shared" ref="AV73:AV82" si="157">+AU73/$J73</f>
        <v>0</v>
      </c>
      <c r="AW73" s="1254"/>
      <c r="AX73" s="1255">
        <f t="shared" ref="AX73:AX82" si="158">ROUND(AW73*$I73,2)</f>
        <v>0</v>
      </c>
      <c r="AY73" s="1256">
        <f t="shared" ref="AY73:AY82" si="159">+AX73/$J73</f>
        <v>0</v>
      </c>
      <c r="AZ73" s="1254"/>
      <c r="BA73" s="1255">
        <f t="shared" ref="BA73:BA82" si="160">ROUND(AZ73*$I73,2)</f>
        <v>0</v>
      </c>
      <c r="BB73" s="1256">
        <f t="shared" ref="BB73:BB82" si="161">+BA73/$J73</f>
        <v>0</v>
      </c>
    </row>
    <row r="74" spans="1:54" ht="13.5" customHeight="1">
      <c r="A74" s="931" t="e">
        <f t="shared" si="115"/>
        <v>#REF!</v>
      </c>
      <c r="B74" s="932">
        <f t="shared" si="116"/>
        <v>0</v>
      </c>
      <c r="C74" s="934" t="e">
        <f t="shared" si="117"/>
        <v>#REF!</v>
      </c>
      <c r="D74" s="935" t="str">
        <f t="shared" si="139"/>
        <v>5. SEÑALIZACION Y SEGURIDAD VIAL</v>
      </c>
      <c r="E74" s="980">
        <v>65</v>
      </c>
      <c r="F74" s="803" t="s">
        <v>595</v>
      </c>
      <c r="G74" s="806" t="s">
        <v>592</v>
      </c>
      <c r="H74" s="36">
        <v>65</v>
      </c>
      <c r="I74" s="800">
        <v>1542.64</v>
      </c>
      <c r="J74" s="66">
        <f t="shared" si="119"/>
        <v>100271.6</v>
      </c>
      <c r="K74" s="36">
        <f>SUMIF($V$3:$CH$3,"&lt;"&amp;Datos!$C$19,V74:CH74)</f>
        <v>0</v>
      </c>
      <c r="L74" s="71">
        <f t="shared" si="120"/>
        <v>0</v>
      </c>
      <c r="M74" s="65">
        <f>LOOKUP(Datos!$C$19,'Cant. Ejec,'!$V$3:$BB$3,'Cant. Ejec,'!$V74:$BB74)</f>
        <v>0</v>
      </c>
      <c r="N74" s="37">
        <f t="shared" si="121"/>
        <v>0</v>
      </c>
      <c r="O74" s="61">
        <f t="shared" si="122"/>
        <v>0</v>
      </c>
      <c r="P74" s="939">
        <f t="shared" si="122"/>
        <v>0</v>
      </c>
      <c r="Q74" s="61">
        <f t="shared" si="123"/>
        <v>65</v>
      </c>
      <c r="R74" s="939">
        <f t="shared" si="124"/>
        <v>100271.6</v>
      </c>
      <c r="S74" s="827">
        <f t="shared" si="125"/>
        <v>0</v>
      </c>
      <c r="T74" s="827">
        <f t="shared" si="126"/>
        <v>0</v>
      </c>
      <c r="U74" s="1236">
        <f t="shared" si="127"/>
        <v>1</v>
      </c>
      <c r="V74" s="1254"/>
      <c r="W74" s="1255">
        <f t="shared" si="140"/>
        <v>0</v>
      </c>
      <c r="X74" s="1256">
        <f t="shared" si="141"/>
        <v>0</v>
      </c>
      <c r="Y74" s="1254"/>
      <c r="Z74" s="1255">
        <f t="shared" si="142"/>
        <v>0</v>
      </c>
      <c r="AA74" s="1256">
        <f t="shared" si="143"/>
        <v>0</v>
      </c>
      <c r="AB74" s="1254"/>
      <c r="AC74" s="1255">
        <f t="shared" si="144"/>
        <v>0</v>
      </c>
      <c r="AD74" s="1256">
        <f t="shared" si="145"/>
        <v>0</v>
      </c>
      <c r="AE74" s="1254"/>
      <c r="AF74" s="1255">
        <f t="shared" si="146"/>
        <v>0</v>
      </c>
      <c r="AG74" s="1256">
        <f t="shared" si="147"/>
        <v>0</v>
      </c>
      <c r="AH74" s="1254"/>
      <c r="AI74" s="1255">
        <f t="shared" si="148"/>
        <v>0</v>
      </c>
      <c r="AJ74" s="1256">
        <f t="shared" si="149"/>
        <v>0</v>
      </c>
      <c r="AK74" s="1254"/>
      <c r="AL74" s="1255">
        <f t="shared" si="150"/>
        <v>0</v>
      </c>
      <c r="AM74" s="1256">
        <f t="shared" si="151"/>
        <v>0</v>
      </c>
      <c r="AN74" s="1254"/>
      <c r="AO74" s="1255">
        <f t="shared" si="152"/>
        <v>0</v>
      </c>
      <c r="AP74" s="1256">
        <f t="shared" si="153"/>
        <v>0</v>
      </c>
      <c r="AQ74" s="1254"/>
      <c r="AR74" s="1255">
        <f t="shared" si="154"/>
        <v>0</v>
      </c>
      <c r="AS74" s="1256">
        <f t="shared" si="155"/>
        <v>0</v>
      </c>
      <c r="AT74" s="1254"/>
      <c r="AU74" s="1255">
        <f t="shared" si="156"/>
        <v>0</v>
      </c>
      <c r="AV74" s="1256">
        <f t="shared" si="157"/>
        <v>0</v>
      </c>
      <c r="AW74" s="1254"/>
      <c r="AX74" s="1255">
        <f t="shared" si="158"/>
        <v>0</v>
      </c>
      <c r="AY74" s="1256">
        <f t="shared" si="159"/>
        <v>0</v>
      </c>
      <c r="AZ74" s="1254"/>
      <c r="BA74" s="1255">
        <f t="shared" si="160"/>
        <v>0</v>
      </c>
      <c r="BB74" s="1256">
        <f t="shared" si="161"/>
        <v>0</v>
      </c>
    </row>
    <row r="75" spans="1:54" ht="13.5" customHeight="1">
      <c r="A75" s="931" t="e">
        <f t="shared" si="115"/>
        <v>#REF!</v>
      </c>
      <c r="B75" s="932">
        <f t="shared" si="116"/>
        <v>0</v>
      </c>
      <c r="C75" s="934" t="e">
        <f t="shared" si="117"/>
        <v>#REF!</v>
      </c>
      <c r="D75" s="935" t="str">
        <f t="shared" si="139"/>
        <v>5. SEÑALIZACION Y SEGURIDAD VIAL</v>
      </c>
      <c r="E75" s="980">
        <v>66</v>
      </c>
      <c r="F75" s="803" t="s">
        <v>596</v>
      </c>
      <c r="G75" s="806" t="s">
        <v>592</v>
      </c>
      <c r="H75" s="36">
        <v>2</v>
      </c>
      <c r="I75" s="800">
        <v>4225.3900000000003</v>
      </c>
      <c r="J75" s="66">
        <f t="shared" si="119"/>
        <v>8450.7800000000007</v>
      </c>
      <c r="K75" s="36">
        <f>SUMIF($V$3:$CH$3,"&lt;"&amp;Datos!$C$19,V75:CH75)</f>
        <v>0</v>
      </c>
      <c r="L75" s="71">
        <f t="shared" si="120"/>
        <v>0</v>
      </c>
      <c r="M75" s="65">
        <f>LOOKUP(Datos!$C$19,'Cant. Ejec,'!$V$3:$BB$3,'Cant. Ejec,'!$V75:$BB75)</f>
        <v>0</v>
      </c>
      <c r="N75" s="37">
        <f t="shared" si="121"/>
        <v>0</v>
      </c>
      <c r="O75" s="61">
        <f t="shared" si="122"/>
        <v>0</v>
      </c>
      <c r="P75" s="939">
        <f t="shared" si="122"/>
        <v>0</v>
      </c>
      <c r="Q75" s="61">
        <f t="shared" si="123"/>
        <v>2</v>
      </c>
      <c r="R75" s="939">
        <f t="shared" si="124"/>
        <v>8450.7800000000007</v>
      </c>
      <c r="S75" s="827">
        <f t="shared" si="125"/>
        <v>0</v>
      </c>
      <c r="T75" s="827">
        <f t="shared" si="126"/>
        <v>0</v>
      </c>
      <c r="U75" s="1236">
        <f t="shared" si="127"/>
        <v>1</v>
      </c>
      <c r="V75" s="1254"/>
      <c r="W75" s="1255">
        <f t="shared" si="140"/>
        <v>0</v>
      </c>
      <c r="X75" s="1256">
        <f t="shared" si="141"/>
        <v>0</v>
      </c>
      <c r="Y75" s="1254"/>
      <c r="Z75" s="1255">
        <f t="shared" si="142"/>
        <v>0</v>
      </c>
      <c r="AA75" s="1256">
        <f t="shared" si="143"/>
        <v>0</v>
      </c>
      <c r="AB75" s="1254"/>
      <c r="AC75" s="1255">
        <f t="shared" si="144"/>
        <v>0</v>
      </c>
      <c r="AD75" s="1256">
        <f t="shared" si="145"/>
        <v>0</v>
      </c>
      <c r="AE75" s="1254"/>
      <c r="AF75" s="1255">
        <f t="shared" si="146"/>
        <v>0</v>
      </c>
      <c r="AG75" s="1256">
        <f t="shared" si="147"/>
        <v>0</v>
      </c>
      <c r="AH75" s="1254"/>
      <c r="AI75" s="1255">
        <f t="shared" si="148"/>
        <v>0</v>
      </c>
      <c r="AJ75" s="1256">
        <f t="shared" si="149"/>
        <v>0</v>
      </c>
      <c r="AK75" s="1254"/>
      <c r="AL75" s="1255">
        <f t="shared" si="150"/>
        <v>0</v>
      </c>
      <c r="AM75" s="1256">
        <f t="shared" si="151"/>
        <v>0</v>
      </c>
      <c r="AN75" s="1254"/>
      <c r="AO75" s="1255">
        <f t="shared" si="152"/>
        <v>0</v>
      </c>
      <c r="AP75" s="1256">
        <f t="shared" si="153"/>
        <v>0</v>
      </c>
      <c r="AQ75" s="1254"/>
      <c r="AR75" s="1255">
        <f t="shared" si="154"/>
        <v>0</v>
      </c>
      <c r="AS75" s="1256">
        <f t="shared" si="155"/>
        <v>0</v>
      </c>
      <c r="AT75" s="1254"/>
      <c r="AU75" s="1255">
        <f t="shared" si="156"/>
        <v>0</v>
      </c>
      <c r="AV75" s="1256">
        <f t="shared" si="157"/>
        <v>0</v>
      </c>
      <c r="AW75" s="1254"/>
      <c r="AX75" s="1255">
        <f t="shared" si="158"/>
        <v>0</v>
      </c>
      <c r="AY75" s="1256">
        <f t="shared" si="159"/>
        <v>0</v>
      </c>
      <c r="AZ75" s="1254"/>
      <c r="BA75" s="1255">
        <f t="shared" si="160"/>
        <v>0</v>
      </c>
      <c r="BB75" s="1256">
        <f t="shared" si="161"/>
        <v>0</v>
      </c>
    </row>
    <row r="76" spans="1:54" ht="13.5" customHeight="1">
      <c r="A76" s="931" t="e">
        <f t="shared" si="115"/>
        <v>#REF!</v>
      </c>
      <c r="B76" s="932">
        <f t="shared" si="116"/>
        <v>0</v>
      </c>
      <c r="C76" s="934" t="e">
        <f t="shared" si="117"/>
        <v>#REF!</v>
      </c>
      <c r="D76" s="935" t="str">
        <f t="shared" si="139"/>
        <v>5. SEÑALIZACION Y SEGURIDAD VIAL</v>
      </c>
      <c r="E76" s="980">
        <v>67</v>
      </c>
      <c r="F76" s="803" t="s">
        <v>597</v>
      </c>
      <c r="G76" s="806" t="s">
        <v>592</v>
      </c>
      <c r="H76" s="36">
        <v>6</v>
      </c>
      <c r="I76" s="800">
        <v>3521.48</v>
      </c>
      <c r="J76" s="66">
        <f t="shared" si="119"/>
        <v>21128.880000000001</v>
      </c>
      <c r="K76" s="36">
        <f>SUMIF($V$3:$CH$3,"&lt;"&amp;Datos!$C$19,V76:CH76)</f>
        <v>0</v>
      </c>
      <c r="L76" s="71">
        <f t="shared" si="120"/>
        <v>0</v>
      </c>
      <c r="M76" s="65">
        <f>LOOKUP(Datos!$C$19,'Cant. Ejec,'!$V$3:$BB$3,'Cant. Ejec,'!$V76:$BB76)</f>
        <v>0</v>
      </c>
      <c r="N76" s="37">
        <f t="shared" si="121"/>
        <v>0</v>
      </c>
      <c r="O76" s="61">
        <f t="shared" si="122"/>
        <v>0</v>
      </c>
      <c r="P76" s="939">
        <f t="shared" si="122"/>
        <v>0</v>
      </c>
      <c r="Q76" s="61">
        <f t="shared" si="123"/>
        <v>6</v>
      </c>
      <c r="R76" s="939">
        <f t="shared" si="124"/>
        <v>21128.880000000001</v>
      </c>
      <c r="S76" s="827">
        <f t="shared" si="125"/>
        <v>0</v>
      </c>
      <c r="T76" s="827">
        <f t="shared" si="126"/>
        <v>0</v>
      </c>
      <c r="U76" s="1236">
        <f t="shared" si="127"/>
        <v>1</v>
      </c>
      <c r="V76" s="1254"/>
      <c r="W76" s="1255">
        <f t="shared" si="140"/>
        <v>0</v>
      </c>
      <c r="X76" s="1256">
        <f t="shared" si="141"/>
        <v>0</v>
      </c>
      <c r="Y76" s="1254"/>
      <c r="Z76" s="1255">
        <f t="shared" si="142"/>
        <v>0</v>
      </c>
      <c r="AA76" s="1256">
        <f t="shared" si="143"/>
        <v>0</v>
      </c>
      <c r="AB76" s="1254"/>
      <c r="AC76" s="1255">
        <f t="shared" si="144"/>
        <v>0</v>
      </c>
      <c r="AD76" s="1256">
        <f t="shared" si="145"/>
        <v>0</v>
      </c>
      <c r="AE76" s="1254"/>
      <c r="AF76" s="1255">
        <f t="shared" si="146"/>
        <v>0</v>
      </c>
      <c r="AG76" s="1256">
        <f t="shared" si="147"/>
        <v>0</v>
      </c>
      <c r="AH76" s="1254"/>
      <c r="AI76" s="1255">
        <f t="shared" si="148"/>
        <v>0</v>
      </c>
      <c r="AJ76" s="1256">
        <f t="shared" si="149"/>
        <v>0</v>
      </c>
      <c r="AK76" s="1254"/>
      <c r="AL76" s="1255">
        <f t="shared" si="150"/>
        <v>0</v>
      </c>
      <c r="AM76" s="1256">
        <f t="shared" si="151"/>
        <v>0</v>
      </c>
      <c r="AN76" s="1254"/>
      <c r="AO76" s="1255">
        <f t="shared" si="152"/>
        <v>0</v>
      </c>
      <c r="AP76" s="1256">
        <f t="shared" si="153"/>
        <v>0</v>
      </c>
      <c r="AQ76" s="1254"/>
      <c r="AR76" s="1255">
        <f t="shared" si="154"/>
        <v>0</v>
      </c>
      <c r="AS76" s="1256">
        <f t="shared" si="155"/>
        <v>0</v>
      </c>
      <c r="AT76" s="1254"/>
      <c r="AU76" s="1255">
        <f t="shared" si="156"/>
        <v>0</v>
      </c>
      <c r="AV76" s="1256">
        <f t="shared" si="157"/>
        <v>0</v>
      </c>
      <c r="AW76" s="1254"/>
      <c r="AX76" s="1255">
        <f t="shared" si="158"/>
        <v>0</v>
      </c>
      <c r="AY76" s="1256">
        <f t="shared" si="159"/>
        <v>0</v>
      </c>
      <c r="AZ76" s="1254"/>
      <c r="BA76" s="1255">
        <f t="shared" si="160"/>
        <v>0</v>
      </c>
      <c r="BB76" s="1256">
        <f t="shared" si="161"/>
        <v>0</v>
      </c>
    </row>
    <row r="77" spans="1:54" ht="13.5" customHeight="1">
      <c r="A77" s="931" t="e">
        <f t="shared" si="115"/>
        <v>#REF!</v>
      </c>
      <c r="B77" s="932">
        <f t="shared" si="116"/>
        <v>0</v>
      </c>
      <c r="C77" s="934" t="e">
        <f t="shared" si="117"/>
        <v>#REF!</v>
      </c>
      <c r="D77" s="935" t="str">
        <f t="shared" si="139"/>
        <v>5. SEÑALIZACION Y SEGURIDAD VIAL</v>
      </c>
      <c r="E77" s="980">
        <v>68</v>
      </c>
      <c r="F77" s="803" t="s">
        <v>598</v>
      </c>
      <c r="G77" s="806" t="s">
        <v>592</v>
      </c>
      <c r="H77" s="36">
        <v>4</v>
      </c>
      <c r="I77" s="800">
        <v>5040.4399999999996</v>
      </c>
      <c r="J77" s="66">
        <f t="shared" si="119"/>
        <v>20161.759999999998</v>
      </c>
      <c r="K77" s="36">
        <f>SUMIF($V$3:$CH$3,"&lt;"&amp;Datos!$C$19,V77:CH77)</f>
        <v>0</v>
      </c>
      <c r="L77" s="71">
        <f t="shared" si="120"/>
        <v>0</v>
      </c>
      <c r="M77" s="65">
        <f>LOOKUP(Datos!$C$19,'Cant. Ejec,'!$V$3:$BB$3,'Cant. Ejec,'!$V77:$BB77)</f>
        <v>0</v>
      </c>
      <c r="N77" s="37">
        <f t="shared" si="121"/>
        <v>0</v>
      </c>
      <c r="O77" s="61">
        <f t="shared" si="122"/>
        <v>0</v>
      </c>
      <c r="P77" s="939">
        <f t="shared" si="122"/>
        <v>0</v>
      </c>
      <c r="Q77" s="61">
        <f t="shared" si="123"/>
        <v>4</v>
      </c>
      <c r="R77" s="939">
        <f t="shared" si="124"/>
        <v>20161.759999999998</v>
      </c>
      <c r="S77" s="827">
        <f t="shared" si="125"/>
        <v>0</v>
      </c>
      <c r="T77" s="827">
        <f t="shared" si="126"/>
        <v>0</v>
      </c>
      <c r="U77" s="1236">
        <f t="shared" si="127"/>
        <v>1</v>
      </c>
      <c r="V77" s="1254"/>
      <c r="W77" s="1255">
        <f t="shared" si="140"/>
        <v>0</v>
      </c>
      <c r="X77" s="1256">
        <f t="shared" si="141"/>
        <v>0</v>
      </c>
      <c r="Y77" s="1254"/>
      <c r="Z77" s="1255">
        <f t="shared" si="142"/>
        <v>0</v>
      </c>
      <c r="AA77" s="1256">
        <f t="shared" si="143"/>
        <v>0</v>
      </c>
      <c r="AB77" s="1254"/>
      <c r="AC77" s="1255">
        <f t="shared" si="144"/>
        <v>0</v>
      </c>
      <c r="AD77" s="1256">
        <f t="shared" si="145"/>
        <v>0</v>
      </c>
      <c r="AE77" s="1254"/>
      <c r="AF77" s="1255">
        <f t="shared" si="146"/>
        <v>0</v>
      </c>
      <c r="AG77" s="1256">
        <f t="shared" si="147"/>
        <v>0</v>
      </c>
      <c r="AH77" s="1254"/>
      <c r="AI77" s="1255">
        <f t="shared" si="148"/>
        <v>0</v>
      </c>
      <c r="AJ77" s="1256">
        <f t="shared" si="149"/>
        <v>0</v>
      </c>
      <c r="AK77" s="1254"/>
      <c r="AL77" s="1255">
        <f t="shared" si="150"/>
        <v>0</v>
      </c>
      <c r="AM77" s="1256">
        <f t="shared" si="151"/>
        <v>0</v>
      </c>
      <c r="AN77" s="1254"/>
      <c r="AO77" s="1255">
        <f t="shared" si="152"/>
        <v>0</v>
      </c>
      <c r="AP77" s="1256">
        <f t="shared" si="153"/>
        <v>0</v>
      </c>
      <c r="AQ77" s="1254"/>
      <c r="AR77" s="1255">
        <f t="shared" si="154"/>
        <v>0</v>
      </c>
      <c r="AS77" s="1256">
        <f t="shared" si="155"/>
        <v>0</v>
      </c>
      <c r="AT77" s="1254"/>
      <c r="AU77" s="1255">
        <f t="shared" si="156"/>
        <v>0</v>
      </c>
      <c r="AV77" s="1256">
        <f t="shared" si="157"/>
        <v>0</v>
      </c>
      <c r="AW77" s="1254"/>
      <c r="AX77" s="1255">
        <f t="shared" si="158"/>
        <v>0</v>
      </c>
      <c r="AY77" s="1256">
        <f t="shared" si="159"/>
        <v>0</v>
      </c>
      <c r="AZ77" s="1254"/>
      <c r="BA77" s="1255">
        <f t="shared" si="160"/>
        <v>0</v>
      </c>
      <c r="BB77" s="1256">
        <f t="shared" si="161"/>
        <v>0</v>
      </c>
    </row>
    <row r="78" spans="1:54" ht="13.5" customHeight="1">
      <c r="A78" s="931" t="e">
        <f t="shared" si="115"/>
        <v>#REF!</v>
      </c>
      <c r="B78" s="932">
        <f t="shared" si="116"/>
        <v>0</v>
      </c>
      <c r="C78" s="934" t="e">
        <f t="shared" si="117"/>
        <v>#REF!</v>
      </c>
      <c r="D78" s="935" t="str">
        <f t="shared" si="139"/>
        <v>5. SEÑALIZACION Y SEGURIDAD VIAL</v>
      </c>
      <c r="E78" s="980">
        <v>69</v>
      </c>
      <c r="F78" s="803" t="s">
        <v>599</v>
      </c>
      <c r="G78" s="806" t="s">
        <v>592</v>
      </c>
      <c r="H78" s="36">
        <v>1</v>
      </c>
      <c r="I78" s="800">
        <v>5892.53</v>
      </c>
      <c r="J78" s="66">
        <f t="shared" si="119"/>
        <v>5892.53</v>
      </c>
      <c r="K78" s="36">
        <f>SUMIF($V$3:$CH$3,"&lt;"&amp;Datos!$C$19,V78:CH78)</f>
        <v>0</v>
      </c>
      <c r="L78" s="71">
        <f t="shared" si="120"/>
        <v>0</v>
      </c>
      <c r="M78" s="65">
        <f>LOOKUP(Datos!$C$19,'Cant. Ejec,'!$V$3:$BB$3,'Cant. Ejec,'!$V78:$BB78)</f>
        <v>0</v>
      </c>
      <c r="N78" s="37">
        <f t="shared" si="121"/>
        <v>0</v>
      </c>
      <c r="O78" s="61">
        <f t="shared" si="122"/>
        <v>0</v>
      </c>
      <c r="P78" s="939">
        <f t="shared" si="122"/>
        <v>0</v>
      </c>
      <c r="Q78" s="61">
        <f t="shared" si="123"/>
        <v>1</v>
      </c>
      <c r="R78" s="939">
        <f t="shared" si="124"/>
        <v>5892.53</v>
      </c>
      <c r="S78" s="827">
        <f t="shared" si="125"/>
        <v>0</v>
      </c>
      <c r="T78" s="827">
        <f t="shared" si="126"/>
        <v>0</v>
      </c>
      <c r="U78" s="1236">
        <f t="shared" si="127"/>
        <v>1</v>
      </c>
      <c r="V78" s="1254"/>
      <c r="W78" s="1255">
        <f t="shared" si="140"/>
        <v>0</v>
      </c>
      <c r="X78" s="1256">
        <f t="shared" si="141"/>
        <v>0</v>
      </c>
      <c r="Y78" s="1254"/>
      <c r="Z78" s="1255">
        <f t="shared" si="142"/>
        <v>0</v>
      </c>
      <c r="AA78" s="1256">
        <f t="shared" si="143"/>
        <v>0</v>
      </c>
      <c r="AB78" s="1254"/>
      <c r="AC78" s="1255">
        <f t="shared" si="144"/>
        <v>0</v>
      </c>
      <c r="AD78" s="1256">
        <f t="shared" si="145"/>
        <v>0</v>
      </c>
      <c r="AE78" s="1254"/>
      <c r="AF78" s="1255">
        <f t="shared" si="146"/>
        <v>0</v>
      </c>
      <c r="AG78" s="1256">
        <f t="shared" si="147"/>
        <v>0</v>
      </c>
      <c r="AH78" s="1254"/>
      <c r="AI78" s="1255">
        <f t="shared" si="148"/>
        <v>0</v>
      </c>
      <c r="AJ78" s="1256">
        <f t="shared" si="149"/>
        <v>0</v>
      </c>
      <c r="AK78" s="1254"/>
      <c r="AL78" s="1255">
        <f t="shared" si="150"/>
        <v>0</v>
      </c>
      <c r="AM78" s="1256">
        <f t="shared" si="151"/>
        <v>0</v>
      </c>
      <c r="AN78" s="1254"/>
      <c r="AO78" s="1255">
        <f t="shared" si="152"/>
        <v>0</v>
      </c>
      <c r="AP78" s="1256">
        <f t="shared" si="153"/>
        <v>0</v>
      </c>
      <c r="AQ78" s="1254"/>
      <c r="AR78" s="1255">
        <f t="shared" si="154"/>
        <v>0</v>
      </c>
      <c r="AS78" s="1256">
        <f t="shared" si="155"/>
        <v>0</v>
      </c>
      <c r="AT78" s="1254"/>
      <c r="AU78" s="1255">
        <f t="shared" si="156"/>
        <v>0</v>
      </c>
      <c r="AV78" s="1256">
        <f t="shared" si="157"/>
        <v>0</v>
      </c>
      <c r="AW78" s="1254"/>
      <c r="AX78" s="1255">
        <f t="shared" si="158"/>
        <v>0</v>
      </c>
      <c r="AY78" s="1256">
        <f t="shared" si="159"/>
        <v>0</v>
      </c>
      <c r="AZ78" s="1254"/>
      <c r="BA78" s="1255">
        <f t="shared" si="160"/>
        <v>0</v>
      </c>
      <c r="BB78" s="1256">
        <f t="shared" si="161"/>
        <v>0</v>
      </c>
    </row>
    <row r="79" spans="1:54" ht="13.5" customHeight="1">
      <c r="A79" s="931" t="e">
        <f t="shared" si="115"/>
        <v>#REF!</v>
      </c>
      <c r="B79" s="932">
        <f t="shared" si="116"/>
        <v>0</v>
      </c>
      <c r="C79" s="934" t="e">
        <f t="shared" si="117"/>
        <v>#REF!</v>
      </c>
      <c r="D79" s="935" t="str">
        <f t="shared" si="139"/>
        <v>5. SEÑALIZACION Y SEGURIDAD VIAL</v>
      </c>
      <c r="E79" s="980">
        <v>70</v>
      </c>
      <c r="F79" s="803" t="s">
        <v>600</v>
      </c>
      <c r="G79" s="806" t="s">
        <v>592</v>
      </c>
      <c r="H79" s="36">
        <v>8</v>
      </c>
      <c r="I79" s="800">
        <v>5216.41</v>
      </c>
      <c r="J79" s="66">
        <f t="shared" si="119"/>
        <v>41731.279999999999</v>
      </c>
      <c r="K79" s="36">
        <f>SUMIF($V$3:$CH$3,"&lt;"&amp;Datos!$C$19,V79:CH79)</f>
        <v>0</v>
      </c>
      <c r="L79" s="71">
        <f t="shared" si="120"/>
        <v>0</v>
      </c>
      <c r="M79" s="65">
        <f>LOOKUP(Datos!$C$19,'Cant. Ejec,'!$V$3:$BB$3,'Cant. Ejec,'!$V79:$BB79)</f>
        <v>0</v>
      </c>
      <c r="N79" s="37">
        <f t="shared" si="121"/>
        <v>0</v>
      </c>
      <c r="O79" s="61">
        <f t="shared" si="122"/>
        <v>0</v>
      </c>
      <c r="P79" s="939">
        <f t="shared" si="122"/>
        <v>0</v>
      </c>
      <c r="Q79" s="61">
        <f t="shared" si="123"/>
        <v>8</v>
      </c>
      <c r="R79" s="939">
        <f t="shared" si="124"/>
        <v>41731.279999999999</v>
      </c>
      <c r="S79" s="827">
        <f t="shared" si="125"/>
        <v>0</v>
      </c>
      <c r="T79" s="827">
        <f t="shared" si="126"/>
        <v>0</v>
      </c>
      <c r="U79" s="1236">
        <f t="shared" si="127"/>
        <v>1</v>
      </c>
      <c r="V79" s="1254"/>
      <c r="W79" s="1255">
        <f t="shared" si="140"/>
        <v>0</v>
      </c>
      <c r="X79" s="1256">
        <f t="shared" si="141"/>
        <v>0</v>
      </c>
      <c r="Y79" s="1254"/>
      <c r="Z79" s="1255">
        <f t="shared" si="142"/>
        <v>0</v>
      </c>
      <c r="AA79" s="1256">
        <f t="shared" si="143"/>
        <v>0</v>
      </c>
      <c r="AB79" s="1254"/>
      <c r="AC79" s="1255">
        <f t="shared" si="144"/>
        <v>0</v>
      </c>
      <c r="AD79" s="1256">
        <f t="shared" si="145"/>
        <v>0</v>
      </c>
      <c r="AE79" s="1254"/>
      <c r="AF79" s="1255">
        <f t="shared" si="146"/>
        <v>0</v>
      </c>
      <c r="AG79" s="1256">
        <f t="shared" si="147"/>
        <v>0</v>
      </c>
      <c r="AH79" s="1254"/>
      <c r="AI79" s="1255">
        <f t="shared" si="148"/>
        <v>0</v>
      </c>
      <c r="AJ79" s="1256">
        <f t="shared" si="149"/>
        <v>0</v>
      </c>
      <c r="AK79" s="1254"/>
      <c r="AL79" s="1255">
        <f t="shared" si="150"/>
        <v>0</v>
      </c>
      <c r="AM79" s="1256">
        <f t="shared" si="151"/>
        <v>0</v>
      </c>
      <c r="AN79" s="1254"/>
      <c r="AO79" s="1255">
        <f t="shared" si="152"/>
        <v>0</v>
      </c>
      <c r="AP79" s="1256">
        <f t="shared" si="153"/>
        <v>0</v>
      </c>
      <c r="AQ79" s="1254"/>
      <c r="AR79" s="1255">
        <f t="shared" si="154"/>
        <v>0</v>
      </c>
      <c r="AS79" s="1256">
        <f t="shared" si="155"/>
        <v>0</v>
      </c>
      <c r="AT79" s="1254"/>
      <c r="AU79" s="1255">
        <f t="shared" si="156"/>
        <v>0</v>
      </c>
      <c r="AV79" s="1256">
        <f t="shared" si="157"/>
        <v>0</v>
      </c>
      <c r="AW79" s="1254"/>
      <c r="AX79" s="1255">
        <f t="shared" si="158"/>
        <v>0</v>
      </c>
      <c r="AY79" s="1256">
        <f t="shared" si="159"/>
        <v>0</v>
      </c>
      <c r="AZ79" s="1254"/>
      <c r="BA79" s="1255">
        <f t="shared" si="160"/>
        <v>0</v>
      </c>
      <c r="BB79" s="1256">
        <f t="shared" si="161"/>
        <v>0</v>
      </c>
    </row>
    <row r="80" spans="1:54" ht="13.5" customHeight="1">
      <c r="A80" s="931" t="e">
        <f t="shared" si="115"/>
        <v>#REF!</v>
      </c>
      <c r="B80" s="932">
        <f t="shared" si="116"/>
        <v>0</v>
      </c>
      <c r="C80" s="934" t="e">
        <f t="shared" si="117"/>
        <v>#REF!</v>
      </c>
      <c r="D80" s="935" t="str">
        <f t="shared" si="139"/>
        <v>5. SEÑALIZACION Y SEGURIDAD VIAL</v>
      </c>
      <c r="E80" s="980">
        <v>71</v>
      </c>
      <c r="F80" s="803" t="s">
        <v>601</v>
      </c>
      <c r="G80" s="806" t="s">
        <v>592</v>
      </c>
      <c r="H80" s="36">
        <v>22</v>
      </c>
      <c r="I80" s="800">
        <v>2141.4499999999998</v>
      </c>
      <c r="J80" s="66">
        <f t="shared" si="119"/>
        <v>47111.9</v>
      </c>
      <c r="K80" s="36">
        <f>SUMIF($V$3:$CH$3,"&lt;"&amp;Datos!$C$19,V80:CH80)</f>
        <v>0</v>
      </c>
      <c r="L80" s="71">
        <f t="shared" si="120"/>
        <v>0</v>
      </c>
      <c r="M80" s="65">
        <f>LOOKUP(Datos!$C$19,'Cant. Ejec,'!$V$3:$BB$3,'Cant. Ejec,'!$V80:$BB80)</f>
        <v>0</v>
      </c>
      <c r="N80" s="37">
        <f t="shared" si="121"/>
        <v>0</v>
      </c>
      <c r="O80" s="61">
        <f t="shared" si="122"/>
        <v>0</v>
      </c>
      <c r="P80" s="939">
        <f t="shared" si="122"/>
        <v>0</v>
      </c>
      <c r="Q80" s="61">
        <f t="shared" si="123"/>
        <v>22</v>
      </c>
      <c r="R80" s="939">
        <f t="shared" si="124"/>
        <v>47111.9</v>
      </c>
      <c r="S80" s="827">
        <f t="shared" si="125"/>
        <v>0</v>
      </c>
      <c r="T80" s="827">
        <f t="shared" si="126"/>
        <v>0</v>
      </c>
      <c r="U80" s="1236">
        <f t="shared" si="127"/>
        <v>1</v>
      </c>
      <c r="V80" s="1254"/>
      <c r="W80" s="1255">
        <f t="shared" si="140"/>
        <v>0</v>
      </c>
      <c r="X80" s="1256">
        <f t="shared" si="141"/>
        <v>0</v>
      </c>
      <c r="Y80" s="1254"/>
      <c r="Z80" s="1255">
        <f t="shared" si="142"/>
        <v>0</v>
      </c>
      <c r="AA80" s="1256">
        <f t="shared" si="143"/>
        <v>0</v>
      </c>
      <c r="AB80" s="1254"/>
      <c r="AC80" s="1255">
        <f t="shared" si="144"/>
        <v>0</v>
      </c>
      <c r="AD80" s="1256">
        <f t="shared" si="145"/>
        <v>0</v>
      </c>
      <c r="AE80" s="1254"/>
      <c r="AF80" s="1255">
        <f t="shared" si="146"/>
        <v>0</v>
      </c>
      <c r="AG80" s="1256">
        <f t="shared" si="147"/>
        <v>0</v>
      </c>
      <c r="AH80" s="1254"/>
      <c r="AI80" s="1255">
        <f t="shared" si="148"/>
        <v>0</v>
      </c>
      <c r="AJ80" s="1256">
        <f t="shared" si="149"/>
        <v>0</v>
      </c>
      <c r="AK80" s="1254"/>
      <c r="AL80" s="1255">
        <f t="shared" si="150"/>
        <v>0</v>
      </c>
      <c r="AM80" s="1256">
        <f t="shared" si="151"/>
        <v>0</v>
      </c>
      <c r="AN80" s="1254"/>
      <c r="AO80" s="1255">
        <f t="shared" si="152"/>
        <v>0</v>
      </c>
      <c r="AP80" s="1256">
        <f t="shared" si="153"/>
        <v>0</v>
      </c>
      <c r="AQ80" s="1254"/>
      <c r="AR80" s="1255">
        <f t="shared" si="154"/>
        <v>0</v>
      </c>
      <c r="AS80" s="1256">
        <f t="shared" si="155"/>
        <v>0</v>
      </c>
      <c r="AT80" s="1254"/>
      <c r="AU80" s="1255">
        <f t="shared" si="156"/>
        <v>0</v>
      </c>
      <c r="AV80" s="1256">
        <f t="shared" si="157"/>
        <v>0</v>
      </c>
      <c r="AW80" s="1254"/>
      <c r="AX80" s="1255">
        <f t="shared" si="158"/>
        <v>0</v>
      </c>
      <c r="AY80" s="1256">
        <f t="shared" si="159"/>
        <v>0</v>
      </c>
      <c r="AZ80" s="1254"/>
      <c r="BA80" s="1255">
        <f t="shared" si="160"/>
        <v>0</v>
      </c>
      <c r="BB80" s="1256">
        <f t="shared" si="161"/>
        <v>0</v>
      </c>
    </row>
    <row r="81" spans="1:54" ht="13.5" customHeight="1">
      <c r="A81" s="931" t="e">
        <f t="shared" si="115"/>
        <v>#REF!</v>
      </c>
      <c r="B81" s="932">
        <f t="shared" si="116"/>
        <v>0</v>
      </c>
      <c r="C81" s="934" t="e">
        <f t="shared" si="117"/>
        <v>#REF!</v>
      </c>
      <c r="D81" s="935" t="str">
        <f t="shared" si="139"/>
        <v>5. SEÑALIZACION Y SEGURIDAD VIAL</v>
      </c>
      <c r="E81" s="980">
        <v>72</v>
      </c>
      <c r="F81" s="803" t="s">
        <v>602</v>
      </c>
      <c r="G81" s="806" t="s">
        <v>592</v>
      </c>
      <c r="H81" s="36">
        <v>16875</v>
      </c>
      <c r="I81" s="800">
        <v>52.22</v>
      </c>
      <c r="J81" s="66">
        <f t="shared" si="119"/>
        <v>881212.5</v>
      </c>
      <c r="K81" s="36">
        <f>SUMIF($V$3:$CH$3,"&lt;"&amp;Datos!$C$19,V81:CH81)</f>
        <v>0</v>
      </c>
      <c r="L81" s="71">
        <f t="shared" si="120"/>
        <v>0</v>
      </c>
      <c r="M81" s="65">
        <f>LOOKUP(Datos!$C$19,'Cant. Ejec,'!$V$3:$BB$3,'Cant. Ejec,'!$V81:$BB81)</f>
        <v>0</v>
      </c>
      <c r="N81" s="37">
        <f t="shared" si="121"/>
        <v>0</v>
      </c>
      <c r="O81" s="61">
        <f t="shared" si="122"/>
        <v>0</v>
      </c>
      <c r="P81" s="939">
        <f t="shared" si="122"/>
        <v>0</v>
      </c>
      <c r="Q81" s="61">
        <f t="shared" si="123"/>
        <v>16875</v>
      </c>
      <c r="R81" s="939">
        <f t="shared" si="124"/>
        <v>881212.5</v>
      </c>
      <c r="S81" s="827">
        <f t="shared" si="125"/>
        <v>0</v>
      </c>
      <c r="T81" s="827">
        <f t="shared" si="126"/>
        <v>0</v>
      </c>
      <c r="U81" s="1236">
        <f t="shared" si="127"/>
        <v>1</v>
      </c>
      <c r="V81" s="1254"/>
      <c r="W81" s="1255">
        <f t="shared" si="140"/>
        <v>0</v>
      </c>
      <c r="X81" s="1256">
        <f t="shared" si="141"/>
        <v>0</v>
      </c>
      <c r="Y81" s="1254"/>
      <c r="Z81" s="1255">
        <f t="shared" si="142"/>
        <v>0</v>
      </c>
      <c r="AA81" s="1256">
        <f t="shared" si="143"/>
        <v>0</v>
      </c>
      <c r="AB81" s="1254"/>
      <c r="AC81" s="1255">
        <f t="shared" si="144"/>
        <v>0</v>
      </c>
      <c r="AD81" s="1256">
        <f t="shared" si="145"/>
        <v>0</v>
      </c>
      <c r="AE81" s="1254"/>
      <c r="AF81" s="1255">
        <f t="shared" si="146"/>
        <v>0</v>
      </c>
      <c r="AG81" s="1256">
        <f t="shared" si="147"/>
        <v>0</v>
      </c>
      <c r="AH81" s="1254"/>
      <c r="AI81" s="1255">
        <f t="shared" si="148"/>
        <v>0</v>
      </c>
      <c r="AJ81" s="1256">
        <f t="shared" si="149"/>
        <v>0</v>
      </c>
      <c r="AK81" s="1254"/>
      <c r="AL81" s="1255">
        <f t="shared" si="150"/>
        <v>0</v>
      </c>
      <c r="AM81" s="1256">
        <f t="shared" si="151"/>
        <v>0</v>
      </c>
      <c r="AN81" s="1254"/>
      <c r="AO81" s="1255">
        <f t="shared" si="152"/>
        <v>0</v>
      </c>
      <c r="AP81" s="1256">
        <f t="shared" si="153"/>
        <v>0</v>
      </c>
      <c r="AQ81" s="1254"/>
      <c r="AR81" s="1255">
        <f t="shared" si="154"/>
        <v>0</v>
      </c>
      <c r="AS81" s="1256">
        <f t="shared" si="155"/>
        <v>0</v>
      </c>
      <c r="AT81" s="1254"/>
      <c r="AU81" s="1255">
        <f t="shared" si="156"/>
        <v>0</v>
      </c>
      <c r="AV81" s="1256">
        <f t="shared" si="157"/>
        <v>0</v>
      </c>
      <c r="AW81" s="1254"/>
      <c r="AX81" s="1255">
        <f t="shared" si="158"/>
        <v>0</v>
      </c>
      <c r="AY81" s="1256">
        <f t="shared" si="159"/>
        <v>0</v>
      </c>
      <c r="AZ81" s="1254"/>
      <c r="BA81" s="1255">
        <f t="shared" si="160"/>
        <v>0</v>
      </c>
      <c r="BB81" s="1256">
        <f t="shared" si="161"/>
        <v>0</v>
      </c>
    </row>
    <row r="82" spans="1:54" ht="13.5" customHeight="1">
      <c r="A82" s="931" t="e">
        <f t="shared" si="115"/>
        <v>#REF!</v>
      </c>
      <c r="B82" s="932">
        <f t="shared" si="116"/>
        <v>0</v>
      </c>
      <c r="C82" s="934" t="e">
        <f t="shared" si="117"/>
        <v>#REF!</v>
      </c>
      <c r="D82" s="935" t="str">
        <f t="shared" si="139"/>
        <v>5. SEÑALIZACION Y SEGURIDAD VIAL</v>
      </c>
      <c r="E82" s="980">
        <v>73</v>
      </c>
      <c r="F82" s="803" t="s">
        <v>603</v>
      </c>
      <c r="G82" s="806" t="s">
        <v>294</v>
      </c>
      <c r="H82" s="36">
        <v>109</v>
      </c>
      <c r="I82" s="800">
        <v>56.7</v>
      </c>
      <c r="J82" s="66">
        <f t="shared" si="119"/>
        <v>6180.3</v>
      </c>
      <c r="K82" s="36">
        <f>SUMIF($V$3:$CH$3,"&lt;"&amp;Datos!$C$19,V82:CH82)</f>
        <v>0</v>
      </c>
      <c r="L82" s="71">
        <f t="shared" si="120"/>
        <v>0</v>
      </c>
      <c r="M82" s="431">
        <f>LOOKUP(Datos!$C$19,'Cant. Ejec,'!$V$3:$BB$3,'Cant. Ejec,'!$V82:$BB82)</f>
        <v>0</v>
      </c>
      <c r="N82" s="1022">
        <f t="shared" si="121"/>
        <v>0</v>
      </c>
      <c r="O82" s="61">
        <f t="shared" si="122"/>
        <v>0</v>
      </c>
      <c r="P82" s="939">
        <f t="shared" si="122"/>
        <v>0</v>
      </c>
      <c r="Q82" s="61">
        <f t="shared" si="123"/>
        <v>109</v>
      </c>
      <c r="R82" s="939">
        <f t="shared" si="124"/>
        <v>6180.3</v>
      </c>
      <c r="S82" s="975">
        <f t="shared" si="125"/>
        <v>0</v>
      </c>
      <c r="T82" s="975">
        <f t="shared" si="126"/>
        <v>0</v>
      </c>
      <c r="U82" s="1237">
        <f t="shared" si="127"/>
        <v>1</v>
      </c>
      <c r="V82" s="1254"/>
      <c r="W82" s="1255">
        <f t="shared" si="140"/>
        <v>0</v>
      </c>
      <c r="X82" s="1256">
        <f t="shared" si="141"/>
        <v>0</v>
      </c>
      <c r="Y82" s="1254"/>
      <c r="Z82" s="1255">
        <f t="shared" si="142"/>
        <v>0</v>
      </c>
      <c r="AA82" s="1256">
        <f t="shared" si="143"/>
        <v>0</v>
      </c>
      <c r="AB82" s="1254"/>
      <c r="AC82" s="1255">
        <f t="shared" si="144"/>
        <v>0</v>
      </c>
      <c r="AD82" s="1256">
        <f t="shared" si="145"/>
        <v>0</v>
      </c>
      <c r="AE82" s="1254"/>
      <c r="AF82" s="1255">
        <f t="shared" si="146"/>
        <v>0</v>
      </c>
      <c r="AG82" s="1256">
        <f t="shared" si="147"/>
        <v>0</v>
      </c>
      <c r="AH82" s="1254"/>
      <c r="AI82" s="1255">
        <f t="shared" si="148"/>
        <v>0</v>
      </c>
      <c r="AJ82" s="1256">
        <f t="shared" si="149"/>
        <v>0</v>
      </c>
      <c r="AK82" s="1254"/>
      <c r="AL82" s="1255">
        <f t="shared" si="150"/>
        <v>0</v>
      </c>
      <c r="AM82" s="1256">
        <f t="shared" si="151"/>
        <v>0</v>
      </c>
      <c r="AN82" s="1254"/>
      <c r="AO82" s="1255">
        <f t="shared" si="152"/>
        <v>0</v>
      </c>
      <c r="AP82" s="1256">
        <f t="shared" si="153"/>
        <v>0</v>
      </c>
      <c r="AQ82" s="1254"/>
      <c r="AR82" s="1255">
        <f t="shared" si="154"/>
        <v>0</v>
      </c>
      <c r="AS82" s="1256">
        <f t="shared" si="155"/>
        <v>0</v>
      </c>
      <c r="AT82" s="1254"/>
      <c r="AU82" s="1255">
        <f t="shared" si="156"/>
        <v>0</v>
      </c>
      <c r="AV82" s="1256">
        <f t="shared" si="157"/>
        <v>0</v>
      </c>
      <c r="AW82" s="1254"/>
      <c r="AX82" s="1255">
        <f t="shared" si="158"/>
        <v>0</v>
      </c>
      <c r="AY82" s="1256">
        <f t="shared" si="159"/>
        <v>0</v>
      </c>
      <c r="AZ82" s="1254"/>
      <c r="BA82" s="1255">
        <f t="shared" si="160"/>
        <v>0</v>
      </c>
      <c r="BB82" s="1256">
        <f t="shared" si="161"/>
        <v>0</v>
      </c>
    </row>
    <row r="83" spans="1:54" ht="13.5" customHeight="1">
      <c r="A83" s="931" t="e">
        <f>+IF(B83&gt;0,B83+#REF!,IF(C83&gt;#REF!,C83,0))</f>
        <v>#REF!</v>
      </c>
      <c r="B83" s="932" t="e">
        <f>+IF(#REF!&gt;=0.01,1,0)</f>
        <v>#REF!</v>
      </c>
      <c r="C83" s="934" t="e">
        <f>+B83+#REF!</f>
        <v>#REF!</v>
      </c>
      <c r="D83" s="935"/>
      <c r="E83" s="981">
        <v>6</v>
      </c>
      <c r="F83" s="957" t="s">
        <v>461</v>
      </c>
      <c r="G83" s="993"/>
      <c r="H83" s="994"/>
      <c r="I83" s="995"/>
      <c r="J83" s="996">
        <f>SUM(J84)</f>
        <v>1018905.14</v>
      </c>
      <c r="K83" s="997">
        <f>SUMIF($V$3:$CH$3,"&lt;"&amp;Datos!$C$19,V83:CH83)</f>
        <v>0</v>
      </c>
      <c r="L83" s="996">
        <f>SUM(L84)</f>
        <v>40756.21</v>
      </c>
      <c r="M83" s="998">
        <f>LOOKUP(Datos!$C$19,'Cant. Ejec,'!$V$3:$BB$3,'Cant. Ejec,'!$V83:$BB83)</f>
        <v>0</v>
      </c>
      <c r="N83" s="996">
        <f>SUM(N84)</f>
        <v>0</v>
      </c>
      <c r="O83" s="997"/>
      <c r="P83" s="996">
        <f>SUM(P84)</f>
        <v>40756.21</v>
      </c>
      <c r="Q83" s="998"/>
      <c r="R83" s="996">
        <f>SUM(R84)</f>
        <v>978148.93</v>
      </c>
      <c r="S83" s="1020">
        <f>(N83/J83)</f>
        <v>0</v>
      </c>
      <c r="T83" s="1123">
        <f>(P83/J83)</f>
        <v>4.0000004318360781E-2</v>
      </c>
      <c r="U83" s="1235">
        <f>(R83/J83)</f>
        <v>0.9599999956816393</v>
      </c>
      <c r="V83" s="1248"/>
      <c r="W83" s="1249">
        <f>SUM(W84)</f>
        <v>0</v>
      </c>
      <c r="X83" s="1250">
        <f t="shared" ref="X83:X91" si="162">+W83/$J83</f>
        <v>0</v>
      </c>
      <c r="Y83" s="1248"/>
      <c r="Z83" s="1249">
        <f>SUM(Z84)</f>
        <v>40756.21</v>
      </c>
      <c r="AA83" s="1250">
        <f t="shared" ref="AA83:AA91" si="163">+Z83/$J83</f>
        <v>4.0000004318360781E-2</v>
      </c>
      <c r="AB83" s="1248"/>
      <c r="AC83" s="1249">
        <f>SUM(AC84)</f>
        <v>0</v>
      </c>
      <c r="AD83" s="1250">
        <f t="shared" ref="AD83:AD91" si="164">+AC83/$J83</f>
        <v>0</v>
      </c>
      <c r="AE83" s="1248"/>
      <c r="AF83" s="1249">
        <f>SUM(AF84)</f>
        <v>0</v>
      </c>
      <c r="AG83" s="1250">
        <f t="shared" ref="AG83:AG91" si="165">+AF83/$J83</f>
        <v>0</v>
      </c>
      <c r="AH83" s="1248"/>
      <c r="AI83" s="1249">
        <f>SUM(AI84)</f>
        <v>0</v>
      </c>
      <c r="AJ83" s="1250">
        <f t="shared" ref="AJ83:AJ91" si="166">+AI83/$J83</f>
        <v>0</v>
      </c>
      <c r="AK83" s="1248"/>
      <c r="AL83" s="1249">
        <f>SUM(AL84)</f>
        <v>0</v>
      </c>
      <c r="AM83" s="1250">
        <f t="shared" ref="AM83:AM91" si="167">+AL83/$J83</f>
        <v>0</v>
      </c>
      <c r="AN83" s="1248"/>
      <c r="AO83" s="1249">
        <f>SUM(AO84)</f>
        <v>0</v>
      </c>
      <c r="AP83" s="1250">
        <f t="shared" ref="AP83:AP91" si="168">+AO83/$J83</f>
        <v>0</v>
      </c>
      <c r="AQ83" s="1248"/>
      <c r="AR83" s="1249">
        <f>SUM(AR84)</f>
        <v>0</v>
      </c>
      <c r="AS83" s="1250">
        <f t="shared" ref="AS83:AS91" si="169">+AR83/$J83</f>
        <v>0</v>
      </c>
      <c r="AT83" s="1248"/>
      <c r="AU83" s="1249">
        <f>SUM(AU84)</f>
        <v>0</v>
      </c>
      <c r="AV83" s="1250">
        <f t="shared" ref="AV83:AV91" si="170">+AU83/$J83</f>
        <v>0</v>
      </c>
      <c r="AW83" s="1248"/>
      <c r="AX83" s="1249">
        <f>SUM(AX84)</f>
        <v>0</v>
      </c>
      <c r="AY83" s="1250">
        <f t="shared" ref="AY83:AY91" si="171">+AX83/$J83</f>
        <v>0</v>
      </c>
      <c r="AZ83" s="1248"/>
      <c r="BA83" s="1249">
        <f>SUM(BA84)</f>
        <v>0</v>
      </c>
      <c r="BB83" s="1250">
        <f t="shared" ref="BB83:BB91" si="172">+BA83/$J83</f>
        <v>0</v>
      </c>
    </row>
    <row r="84" spans="1:54" ht="13.5" customHeight="1">
      <c r="A84" s="931" t="e">
        <f t="shared" si="115"/>
        <v>#REF!</v>
      </c>
      <c r="B84" s="932">
        <f t="shared" si="116"/>
        <v>0</v>
      </c>
      <c r="C84" s="934" t="e">
        <f t="shared" si="117"/>
        <v>#REF!</v>
      </c>
      <c r="D84" s="935" t="str">
        <f t="shared" si="118"/>
        <v>6. MEDIDAS DE MITIGACION AMBIENTAL</v>
      </c>
      <c r="E84" s="980">
        <v>74</v>
      </c>
      <c r="F84" s="803" t="s">
        <v>461</v>
      </c>
      <c r="G84" s="806" t="s">
        <v>296</v>
      </c>
      <c r="H84" s="36">
        <v>1</v>
      </c>
      <c r="I84" s="800">
        <v>1018905.14</v>
      </c>
      <c r="J84" s="66">
        <f>ROUND(H84*I84,2)</f>
        <v>1018905.14</v>
      </c>
      <c r="K84" s="36">
        <f>SUMIF($V$3:$CH$3,"&lt;"&amp;Datos!$C$19,V84:CH84)</f>
        <v>0.04</v>
      </c>
      <c r="L84" s="71">
        <f>+ROUND(I84*K84,2)</f>
        <v>40756.21</v>
      </c>
      <c r="M84" s="1023">
        <f>LOOKUP(Datos!$C$19,'Cant. Ejec,'!$V$3:$BB$3,'Cant. Ejec,'!$V84:$BB84)</f>
        <v>0</v>
      </c>
      <c r="N84" s="1024">
        <f>+ROUND(I84*M84,2)</f>
        <v>0</v>
      </c>
      <c r="O84" s="61">
        <f t="shared" ref="O84:P84" si="173">K84+M84</f>
        <v>0.04</v>
      </c>
      <c r="P84" s="939">
        <f t="shared" si="173"/>
        <v>40756.21</v>
      </c>
      <c r="Q84" s="61">
        <f>H84-O84</f>
        <v>0.96</v>
      </c>
      <c r="R84" s="939">
        <f>+J84-P84</f>
        <v>978148.93</v>
      </c>
      <c r="S84" s="975">
        <f t="shared" ref="S84" si="174">(N84/J84)</f>
        <v>0</v>
      </c>
      <c r="T84" s="975">
        <f t="shared" ref="T84" si="175">(P84/J84)</f>
        <v>4.0000004318360781E-2</v>
      </c>
      <c r="U84" s="1237">
        <f t="shared" ref="U84" si="176">(R84/J84)</f>
        <v>0.9599999956816393</v>
      </c>
      <c r="V84" s="1254"/>
      <c r="W84" s="1255">
        <f>ROUND(V84*$I84,2)</f>
        <v>0</v>
      </c>
      <c r="X84" s="1256">
        <f t="shared" si="162"/>
        <v>0</v>
      </c>
      <c r="Y84" s="1254">
        <v>0.04</v>
      </c>
      <c r="Z84" s="1255">
        <f>ROUND(Y84*$I84,2)</f>
        <v>40756.21</v>
      </c>
      <c r="AA84" s="1256">
        <f t="shared" si="163"/>
        <v>4.0000004318360781E-2</v>
      </c>
      <c r="AB84" s="1254"/>
      <c r="AC84" s="1255">
        <f>ROUND(AB84*$I84,2)</f>
        <v>0</v>
      </c>
      <c r="AD84" s="1256">
        <f t="shared" si="164"/>
        <v>0</v>
      </c>
      <c r="AE84" s="1254"/>
      <c r="AF84" s="1255">
        <f>ROUND(AE84*$I84,2)</f>
        <v>0</v>
      </c>
      <c r="AG84" s="1256">
        <f t="shared" si="165"/>
        <v>0</v>
      </c>
      <c r="AH84" s="1254"/>
      <c r="AI84" s="1255">
        <f>ROUND(AH84*$I84,2)</f>
        <v>0</v>
      </c>
      <c r="AJ84" s="1256">
        <f t="shared" si="166"/>
        <v>0</v>
      </c>
      <c r="AK84" s="1254"/>
      <c r="AL84" s="1255">
        <f>ROUND(AK84*$I84,2)</f>
        <v>0</v>
      </c>
      <c r="AM84" s="1256">
        <f t="shared" si="167"/>
        <v>0</v>
      </c>
      <c r="AN84" s="1254"/>
      <c r="AO84" s="1255">
        <f>ROUND(AN84*$I84,2)</f>
        <v>0</v>
      </c>
      <c r="AP84" s="1256">
        <f t="shared" si="168"/>
        <v>0</v>
      </c>
      <c r="AQ84" s="1254"/>
      <c r="AR84" s="1255">
        <f>ROUND(AQ84*$I84,2)</f>
        <v>0</v>
      </c>
      <c r="AS84" s="1256">
        <f t="shared" si="169"/>
        <v>0</v>
      </c>
      <c r="AT84" s="1254"/>
      <c r="AU84" s="1255">
        <f>ROUND(AT84*$I84,2)</f>
        <v>0</v>
      </c>
      <c r="AV84" s="1256">
        <f t="shared" si="170"/>
        <v>0</v>
      </c>
      <c r="AW84" s="1254"/>
      <c r="AX84" s="1255">
        <f>ROUND(AW84*$I84,2)</f>
        <v>0</v>
      </c>
      <c r="AY84" s="1256">
        <f t="shared" si="171"/>
        <v>0</v>
      </c>
      <c r="AZ84" s="1254"/>
      <c r="BA84" s="1255">
        <f>ROUND(AZ84*$I84,2)</f>
        <v>0</v>
      </c>
      <c r="BB84" s="1256">
        <f t="shared" si="172"/>
        <v>0</v>
      </c>
    </row>
    <row r="85" spans="1:54" ht="13.5" customHeight="1">
      <c r="A85" s="931" t="e">
        <f>+IF(B85&gt;0,B85+#REF!,IF(C85&gt;#REF!,C85,0))</f>
        <v>#REF!</v>
      </c>
      <c r="B85" s="932" t="e">
        <f>+IF(#REF!&gt;=0.01,1,0)</f>
        <v>#REF!</v>
      </c>
      <c r="C85" s="934" t="e">
        <f>+B85+#REF!</f>
        <v>#REF!</v>
      </c>
      <c r="D85" s="935"/>
      <c r="E85" s="981">
        <v>7</v>
      </c>
      <c r="F85" s="957" t="s">
        <v>604</v>
      </c>
      <c r="G85" s="993"/>
      <c r="H85" s="994"/>
      <c r="I85" s="995"/>
      <c r="J85" s="996">
        <f>SUM(J86:J91)</f>
        <v>2248712.06</v>
      </c>
      <c r="K85" s="997">
        <f>SUMIF($V$3:$CH$3,"&lt;"&amp;Datos!$C$19,V85:CH85)</f>
        <v>0</v>
      </c>
      <c r="L85" s="996">
        <f>SUM(L86:L91)</f>
        <v>0</v>
      </c>
      <c r="M85" s="998">
        <f>LOOKUP(Datos!$C$19,'Cant. Ejec,'!$V$3:$BB$3,'Cant. Ejec,'!$V85:$BB85)</f>
        <v>0</v>
      </c>
      <c r="N85" s="996">
        <f>SUM(N86:N91)</f>
        <v>0</v>
      </c>
      <c r="O85" s="997"/>
      <c r="P85" s="996">
        <f>SUM(P86:P91)</f>
        <v>0</v>
      </c>
      <c r="Q85" s="998"/>
      <c r="R85" s="996">
        <f>SUM(R86:R91)</f>
        <v>2248712.06</v>
      </c>
      <c r="S85" s="1020">
        <f>(N85/J85)</f>
        <v>0</v>
      </c>
      <c r="T85" s="1123">
        <f>(P85/J85)</f>
        <v>0</v>
      </c>
      <c r="U85" s="1235">
        <f>(R85/J85)</f>
        <v>1</v>
      </c>
      <c r="V85" s="1248"/>
      <c r="W85" s="1249">
        <f>SUM(W86:W91)</f>
        <v>0</v>
      </c>
      <c r="X85" s="1250">
        <f t="shared" si="162"/>
        <v>0</v>
      </c>
      <c r="Y85" s="1248"/>
      <c r="Z85" s="1249">
        <f>SUM(Z86:Z91)</f>
        <v>0</v>
      </c>
      <c r="AA85" s="1250">
        <f t="shared" si="163"/>
        <v>0</v>
      </c>
      <c r="AB85" s="1248"/>
      <c r="AC85" s="1249">
        <f>SUM(AC86:AC91)</f>
        <v>0</v>
      </c>
      <c r="AD85" s="1250">
        <f t="shared" si="164"/>
        <v>0</v>
      </c>
      <c r="AE85" s="1248"/>
      <c r="AF85" s="1249">
        <f>SUM(AF86:AF91)</f>
        <v>0</v>
      </c>
      <c r="AG85" s="1250">
        <f t="shared" si="165"/>
        <v>0</v>
      </c>
      <c r="AH85" s="1248"/>
      <c r="AI85" s="1249">
        <f>SUM(AI86:AI91)</f>
        <v>0</v>
      </c>
      <c r="AJ85" s="1250">
        <f t="shared" si="166"/>
        <v>0</v>
      </c>
      <c r="AK85" s="1248"/>
      <c r="AL85" s="1249">
        <f>SUM(AL86:AL91)</f>
        <v>0</v>
      </c>
      <c r="AM85" s="1250">
        <f t="shared" si="167"/>
        <v>0</v>
      </c>
      <c r="AN85" s="1248"/>
      <c r="AO85" s="1249">
        <f>SUM(AO86:AO91)</f>
        <v>0</v>
      </c>
      <c r="AP85" s="1250">
        <f t="shared" si="168"/>
        <v>0</v>
      </c>
      <c r="AQ85" s="1248"/>
      <c r="AR85" s="1249">
        <f>SUM(AR86:AR91)</f>
        <v>0</v>
      </c>
      <c r="AS85" s="1250">
        <f t="shared" si="169"/>
        <v>0</v>
      </c>
      <c r="AT85" s="1248"/>
      <c r="AU85" s="1249">
        <f>SUM(AU86:AU91)</f>
        <v>0</v>
      </c>
      <c r="AV85" s="1250">
        <f t="shared" si="170"/>
        <v>0</v>
      </c>
      <c r="AW85" s="1248"/>
      <c r="AX85" s="1249">
        <f>SUM(AX86:AX91)</f>
        <v>0</v>
      </c>
      <c r="AY85" s="1250">
        <f t="shared" si="171"/>
        <v>0</v>
      </c>
      <c r="AZ85" s="1248"/>
      <c r="BA85" s="1249">
        <f>SUM(BA86:BA91)</f>
        <v>0</v>
      </c>
      <c r="BB85" s="1250">
        <f t="shared" si="172"/>
        <v>0</v>
      </c>
    </row>
    <row r="86" spans="1:54" ht="13.5" customHeight="1">
      <c r="A86" s="931" t="e">
        <f t="shared" si="115"/>
        <v>#REF!</v>
      </c>
      <c r="B86" s="932">
        <f t="shared" si="116"/>
        <v>0</v>
      </c>
      <c r="C86" s="934" t="e">
        <f t="shared" si="117"/>
        <v>#REF!</v>
      </c>
      <c r="D86" s="935" t="str">
        <f t="shared" si="118"/>
        <v>7. SERVICIOS PARA EL INGENIERO</v>
      </c>
      <c r="E86" s="980">
        <v>75</v>
      </c>
      <c r="F86" s="803" t="s">
        <v>605</v>
      </c>
      <c r="G86" s="806" t="s">
        <v>459</v>
      </c>
      <c r="H86" s="36">
        <v>11316.9</v>
      </c>
      <c r="I86" s="800">
        <v>49.55</v>
      </c>
      <c r="J86" s="66">
        <f t="shared" ref="J86:J91" si="177">ROUND(H86*I86,2)</f>
        <v>560752.4</v>
      </c>
      <c r="K86" s="36">
        <f>SUMIF($V$3:$CH$3,"&lt;"&amp;Datos!$C$19,V86:CH86)</f>
        <v>0</v>
      </c>
      <c r="L86" s="71">
        <f t="shared" ref="L86:L91" si="178">+ROUND(I86*K86,2)</f>
        <v>0</v>
      </c>
      <c r="M86" s="62">
        <f>LOOKUP(Datos!$C$19,'Cant. Ejec,'!$V$3:$BB$3,'Cant. Ejec,'!$V86:$BB86)</f>
        <v>0</v>
      </c>
      <c r="N86" s="73">
        <f t="shared" ref="N86:N91" si="179">+ROUND(I86*M86,2)</f>
        <v>0</v>
      </c>
      <c r="O86" s="61">
        <f t="shared" ref="O86:P91" si="180">K86+M86</f>
        <v>0</v>
      </c>
      <c r="P86" s="939">
        <f t="shared" si="180"/>
        <v>0</v>
      </c>
      <c r="Q86" s="61">
        <f t="shared" ref="Q86:Q91" si="181">H86-O86</f>
        <v>11316.9</v>
      </c>
      <c r="R86" s="939">
        <f t="shared" ref="R86:R91" si="182">+J86-P86</f>
        <v>560752.4</v>
      </c>
      <c r="S86" s="827">
        <f t="shared" ref="S86:S91" si="183">(N86/J86)</f>
        <v>0</v>
      </c>
      <c r="T86" s="827">
        <f t="shared" ref="T86:T91" si="184">(P86/J86)</f>
        <v>0</v>
      </c>
      <c r="U86" s="1236">
        <f t="shared" ref="U86:U91" si="185">(R86/J86)</f>
        <v>1</v>
      </c>
      <c r="V86" s="1254"/>
      <c r="W86" s="1255">
        <f t="shared" ref="W86:W91" si="186">ROUND(V86*$I86,2)</f>
        <v>0</v>
      </c>
      <c r="X86" s="1256">
        <f t="shared" si="162"/>
        <v>0</v>
      </c>
      <c r="Y86" s="1254"/>
      <c r="Z86" s="1255">
        <f t="shared" ref="Z86:Z91" si="187">ROUND(Y86*$I86,2)</f>
        <v>0</v>
      </c>
      <c r="AA86" s="1256">
        <f t="shared" si="163"/>
        <v>0</v>
      </c>
      <c r="AB86" s="1254"/>
      <c r="AC86" s="1255">
        <f t="shared" ref="AC86:AC91" si="188">ROUND(AB86*$I86,2)</f>
        <v>0</v>
      </c>
      <c r="AD86" s="1256">
        <f t="shared" si="164"/>
        <v>0</v>
      </c>
      <c r="AE86" s="1254"/>
      <c r="AF86" s="1255">
        <f t="shared" ref="AF86:AF91" si="189">ROUND(AE86*$I86,2)</f>
        <v>0</v>
      </c>
      <c r="AG86" s="1256">
        <f t="shared" si="165"/>
        <v>0</v>
      </c>
      <c r="AH86" s="1254"/>
      <c r="AI86" s="1255">
        <f t="shared" ref="AI86:AI91" si="190">ROUND(AH86*$I86,2)</f>
        <v>0</v>
      </c>
      <c r="AJ86" s="1256">
        <f t="shared" si="166"/>
        <v>0</v>
      </c>
      <c r="AK86" s="1254"/>
      <c r="AL86" s="1255">
        <f t="shared" ref="AL86:AL91" si="191">ROUND(AK86*$I86,2)</f>
        <v>0</v>
      </c>
      <c r="AM86" s="1256">
        <f t="shared" si="167"/>
        <v>0</v>
      </c>
      <c r="AN86" s="1254"/>
      <c r="AO86" s="1255">
        <f t="shared" ref="AO86:AO91" si="192">ROUND(AN86*$I86,2)</f>
        <v>0</v>
      </c>
      <c r="AP86" s="1256">
        <f t="shared" si="168"/>
        <v>0</v>
      </c>
      <c r="AQ86" s="1254"/>
      <c r="AR86" s="1255">
        <f t="shared" ref="AR86:AR91" si="193">ROUND(AQ86*$I86,2)</f>
        <v>0</v>
      </c>
      <c r="AS86" s="1256">
        <f t="shared" si="169"/>
        <v>0</v>
      </c>
      <c r="AT86" s="1254"/>
      <c r="AU86" s="1255">
        <f t="shared" ref="AU86:AU91" si="194">ROUND(AT86*$I86,2)</f>
        <v>0</v>
      </c>
      <c r="AV86" s="1256">
        <f t="shared" si="170"/>
        <v>0</v>
      </c>
      <c r="AW86" s="1254"/>
      <c r="AX86" s="1255">
        <f t="shared" ref="AX86:AX91" si="195">ROUND(AW86*$I86,2)</f>
        <v>0</v>
      </c>
      <c r="AY86" s="1256">
        <f t="shared" si="171"/>
        <v>0</v>
      </c>
      <c r="AZ86" s="1254"/>
      <c r="BA86" s="1255">
        <f t="shared" ref="BA86:BA91" si="196">ROUND(AZ86*$I86,2)</f>
        <v>0</v>
      </c>
      <c r="BB86" s="1256">
        <f t="shared" si="172"/>
        <v>0</v>
      </c>
    </row>
    <row r="87" spans="1:54" ht="13.5" customHeight="1">
      <c r="A87" s="931" t="e">
        <f t="shared" si="115"/>
        <v>#REF!</v>
      </c>
      <c r="B87" s="932">
        <f t="shared" si="116"/>
        <v>0</v>
      </c>
      <c r="C87" s="934" t="e">
        <f t="shared" si="117"/>
        <v>#REF!</v>
      </c>
      <c r="D87" s="935" t="str">
        <f>+D86</f>
        <v>7. SERVICIOS PARA EL INGENIERO</v>
      </c>
      <c r="E87" s="980">
        <v>76</v>
      </c>
      <c r="F87" s="803" t="s">
        <v>606</v>
      </c>
      <c r="G87" s="806" t="s">
        <v>592</v>
      </c>
      <c r="H87" s="36">
        <v>1</v>
      </c>
      <c r="I87" s="800">
        <v>527727.62</v>
      </c>
      <c r="J87" s="66">
        <f t="shared" si="177"/>
        <v>527727.62</v>
      </c>
      <c r="K87" s="36">
        <f>SUMIF($V$3:$CH$3,"&lt;"&amp;Datos!$C$19,V87:CH87)</f>
        <v>0</v>
      </c>
      <c r="L87" s="71">
        <f t="shared" si="178"/>
        <v>0</v>
      </c>
      <c r="M87" s="65">
        <f>LOOKUP(Datos!$C$19,'Cant. Ejec,'!$V$3:$BB$3,'Cant. Ejec,'!$V87:$BB87)</f>
        <v>0</v>
      </c>
      <c r="N87" s="37">
        <f t="shared" si="179"/>
        <v>0</v>
      </c>
      <c r="O87" s="61">
        <f t="shared" si="180"/>
        <v>0</v>
      </c>
      <c r="P87" s="939">
        <f t="shared" si="180"/>
        <v>0</v>
      </c>
      <c r="Q87" s="61">
        <f t="shared" si="181"/>
        <v>1</v>
      </c>
      <c r="R87" s="939">
        <f t="shared" si="182"/>
        <v>527727.62</v>
      </c>
      <c r="S87" s="827">
        <f t="shared" si="183"/>
        <v>0</v>
      </c>
      <c r="T87" s="827">
        <f t="shared" si="184"/>
        <v>0</v>
      </c>
      <c r="U87" s="1236">
        <f t="shared" si="185"/>
        <v>1</v>
      </c>
      <c r="V87" s="1254"/>
      <c r="W87" s="1255">
        <f t="shared" si="186"/>
        <v>0</v>
      </c>
      <c r="X87" s="1256">
        <f t="shared" si="162"/>
        <v>0</v>
      </c>
      <c r="Y87" s="1254"/>
      <c r="Z87" s="1255">
        <f t="shared" si="187"/>
        <v>0</v>
      </c>
      <c r="AA87" s="1256">
        <f t="shared" si="163"/>
        <v>0</v>
      </c>
      <c r="AB87" s="1254"/>
      <c r="AC87" s="1255">
        <f t="shared" si="188"/>
        <v>0</v>
      </c>
      <c r="AD87" s="1256">
        <f t="shared" si="164"/>
        <v>0</v>
      </c>
      <c r="AE87" s="1254"/>
      <c r="AF87" s="1255">
        <f t="shared" si="189"/>
        <v>0</v>
      </c>
      <c r="AG87" s="1256">
        <f t="shared" si="165"/>
        <v>0</v>
      </c>
      <c r="AH87" s="1254"/>
      <c r="AI87" s="1255">
        <f t="shared" si="190"/>
        <v>0</v>
      </c>
      <c r="AJ87" s="1256">
        <f t="shared" si="166"/>
        <v>0</v>
      </c>
      <c r="AK87" s="1254"/>
      <c r="AL87" s="1255">
        <f t="shared" si="191"/>
        <v>0</v>
      </c>
      <c r="AM87" s="1256">
        <f t="shared" si="167"/>
        <v>0</v>
      </c>
      <c r="AN87" s="1254"/>
      <c r="AO87" s="1255">
        <f t="shared" si="192"/>
        <v>0</v>
      </c>
      <c r="AP87" s="1256">
        <f t="shared" si="168"/>
        <v>0</v>
      </c>
      <c r="AQ87" s="1254"/>
      <c r="AR87" s="1255">
        <f t="shared" si="193"/>
        <v>0</v>
      </c>
      <c r="AS87" s="1256">
        <f t="shared" si="169"/>
        <v>0</v>
      </c>
      <c r="AT87" s="1254"/>
      <c r="AU87" s="1255">
        <f t="shared" si="194"/>
        <v>0</v>
      </c>
      <c r="AV87" s="1256">
        <f t="shared" si="170"/>
        <v>0</v>
      </c>
      <c r="AW87" s="1254"/>
      <c r="AX87" s="1255">
        <f t="shared" si="195"/>
        <v>0</v>
      </c>
      <c r="AY87" s="1256">
        <f t="shared" si="171"/>
        <v>0</v>
      </c>
      <c r="AZ87" s="1254"/>
      <c r="BA87" s="1255">
        <f t="shared" si="196"/>
        <v>0</v>
      </c>
      <c r="BB87" s="1256">
        <f t="shared" si="172"/>
        <v>0</v>
      </c>
    </row>
    <row r="88" spans="1:54" ht="13.5" customHeight="1">
      <c r="A88" s="931" t="e">
        <f t="shared" si="115"/>
        <v>#REF!</v>
      </c>
      <c r="B88" s="932">
        <f t="shared" si="116"/>
        <v>0</v>
      </c>
      <c r="C88" s="934" t="e">
        <f t="shared" si="117"/>
        <v>#REF!</v>
      </c>
      <c r="D88" s="935" t="str">
        <f t="shared" ref="D88:D91" si="197">+D87</f>
        <v>7. SERVICIOS PARA EL INGENIERO</v>
      </c>
      <c r="E88" s="980">
        <v>77</v>
      </c>
      <c r="F88" s="803" t="s">
        <v>607</v>
      </c>
      <c r="G88" s="806" t="s">
        <v>592</v>
      </c>
      <c r="H88" s="36">
        <v>2</v>
      </c>
      <c r="I88" s="800">
        <v>277857.94</v>
      </c>
      <c r="J88" s="66">
        <f t="shared" si="177"/>
        <v>555715.88</v>
      </c>
      <c r="K88" s="36">
        <f>SUMIF($V$3:$CH$3,"&lt;"&amp;Datos!$C$19,V88:CH88)</f>
        <v>0</v>
      </c>
      <c r="L88" s="71">
        <f t="shared" si="178"/>
        <v>0</v>
      </c>
      <c r="M88" s="65">
        <f>LOOKUP(Datos!$C$19,'Cant. Ejec,'!$V$3:$BB$3,'Cant. Ejec,'!$V88:$BB88)</f>
        <v>0</v>
      </c>
      <c r="N88" s="37">
        <f t="shared" si="179"/>
        <v>0</v>
      </c>
      <c r="O88" s="61">
        <f t="shared" si="180"/>
        <v>0</v>
      </c>
      <c r="P88" s="939">
        <f t="shared" si="180"/>
        <v>0</v>
      </c>
      <c r="Q88" s="61">
        <f t="shared" si="181"/>
        <v>2</v>
      </c>
      <c r="R88" s="939">
        <f t="shared" si="182"/>
        <v>555715.88</v>
      </c>
      <c r="S88" s="827">
        <f t="shared" si="183"/>
        <v>0</v>
      </c>
      <c r="T88" s="827">
        <f t="shared" si="184"/>
        <v>0</v>
      </c>
      <c r="U88" s="1236">
        <f t="shared" si="185"/>
        <v>1</v>
      </c>
      <c r="V88" s="1254"/>
      <c r="W88" s="1255">
        <f t="shared" si="186"/>
        <v>0</v>
      </c>
      <c r="X88" s="1256">
        <f t="shared" si="162"/>
        <v>0</v>
      </c>
      <c r="Y88" s="1254"/>
      <c r="Z88" s="1255">
        <f t="shared" si="187"/>
        <v>0</v>
      </c>
      <c r="AA88" s="1256">
        <f t="shared" si="163"/>
        <v>0</v>
      </c>
      <c r="AB88" s="1254"/>
      <c r="AC88" s="1255">
        <f t="shared" si="188"/>
        <v>0</v>
      </c>
      <c r="AD88" s="1256">
        <f t="shared" si="164"/>
        <v>0</v>
      </c>
      <c r="AE88" s="1254"/>
      <c r="AF88" s="1255">
        <f t="shared" si="189"/>
        <v>0</v>
      </c>
      <c r="AG88" s="1256">
        <f t="shared" si="165"/>
        <v>0</v>
      </c>
      <c r="AH88" s="1254"/>
      <c r="AI88" s="1255">
        <f t="shared" si="190"/>
        <v>0</v>
      </c>
      <c r="AJ88" s="1256">
        <f t="shared" si="166"/>
        <v>0</v>
      </c>
      <c r="AK88" s="1254"/>
      <c r="AL88" s="1255">
        <f t="shared" si="191"/>
        <v>0</v>
      </c>
      <c r="AM88" s="1256">
        <f t="shared" si="167"/>
        <v>0</v>
      </c>
      <c r="AN88" s="1254"/>
      <c r="AO88" s="1255">
        <f t="shared" si="192"/>
        <v>0</v>
      </c>
      <c r="AP88" s="1256">
        <f t="shared" si="168"/>
        <v>0</v>
      </c>
      <c r="AQ88" s="1254"/>
      <c r="AR88" s="1255">
        <f t="shared" si="193"/>
        <v>0</v>
      </c>
      <c r="AS88" s="1256">
        <f t="shared" si="169"/>
        <v>0</v>
      </c>
      <c r="AT88" s="1254"/>
      <c r="AU88" s="1255">
        <f t="shared" si="194"/>
        <v>0</v>
      </c>
      <c r="AV88" s="1256">
        <f t="shared" si="170"/>
        <v>0</v>
      </c>
      <c r="AW88" s="1254"/>
      <c r="AX88" s="1255">
        <f t="shared" si="195"/>
        <v>0</v>
      </c>
      <c r="AY88" s="1256">
        <f t="shared" si="171"/>
        <v>0</v>
      </c>
      <c r="AZ88" s="1254"/>
      <c r="BA88" s="1255">
        <f t="shared" si="196"/>
        <v>0</v>
      </c>
      <c r="BB88" s="1256">
        <f t="shared" si="172"/>
        <v>0</v>
      </c>
    </row>
    <row r="89" spans="1:54" ht="13.5" customHeight="1">
      <c r="A89" s="931" t="e">
        <f t="shared" si="115"/>
        <v>#REF!</v>
      </c>
      <c r="B89" s="932">
        <f t="shared" si="116"/>
        <v>0</v>
      </c>
      <c r="C89" s="934" t="e">
        <f t="shared" si="117"/>
        <v>#REF!</v>
      </c>
      <c r="D89" s="935" t="str">
        <f t="shared" si="197"/>
        <v>7. SERVICIOS PARA EL INGENIERO</v>
      </c>
      <c r="E89" s="980">
        <v>78</v>
      </c>
      <c r="F89" s="803" t="s">
        <v>608</v>
      </c>
      <c r="G89" s="806" t="s">
        <v>460</v>
      </c>
      <c r="H89" s="36">
        <v>18</v>
      </c>
      <c r="I89" s="800">
        <v>1535.17</v>
      </c>
      <c r="J89" s="66">
        <f t="shared" si="177"/>
        <v>27633.06</v>
      </c>
      <c r="K89" s="36">
        <f>SUMIF($V$3:$CH$3,"&lt;"&amp;Datos!$C$19,V89:CH89)</f>
        <v>0</v>
      </c>
      <c r="L89" s="71">
        <f t="shared" si="178"/>
        <v>0</v>
      </c>
      <c r="M89" s="65">
        <f>LOOKUP(Datos!$C$19,'Cant. Ejec,'!$V$3:$BB$3,'Cant. Ejec,'!$V89:$BB89)</f>
        <v>0</v>
      </c>
      <c r="N89" s="37">
        <f t="shared" si="179"/>
        <v>0</v>
      </c>
      <c r="O89" s="61">
        <f t="shared" si="180"/>
        <v>0</v>
      </c>
      <c r="P89" s="939">
        <f t="shared" si="180"/>
        <v>0</v>
      </c>
      <c r="Q89" s="61">
        <f t="shared" si="181"/>
        <v>18</v>
      </c>
      <c r="R89" s="939">
        <f t="shared" si="182"/>
        <v>27633.06</v>
      </c>
      <c r="S89" s="827">
        <f t="shared" si="183"/>
        <v>0</v>
      </c>
      <c r="T89" s="827">
        <f t="shared" si="184"/>
        <v>0</v>
      </c>
      <c r="U89" s="1236">
        <f t="shared" si="185"/>
        <v>1</v>
      </c>
      <c r="V89" s="1254"/>
      <c r="W89" s="1255">
        <f t="shared" si="186"/>
        <v>0</v>
      </c>
      <c r="X89" s="1256">
        <f t="shared" si="162"/>
        <v>0</v>
      </c>
      <c r="Y89" s="1254"/>
      <c r="Z89" s="1255">
        <f t="shared" si="187"/>
        <v>0</v>
      </c>
      <c r="AA89" s="1256">
        <f t="shared" si="163"/>
        <v>0</v>
      </c>
      <c r="AB89" s="1254"/>
      <c r="AC89" s="1255">
        <f t="shared" si="188"/>
        <v>0</v>
      </c>
      <c r="AD89" s="1256">
        <f t="shared" si="164"/>
        <v>0</v>
      </c>
      <c r="AE89" s="1254"/>
      <c r="AF89" s="1255">
        <f t="shared" si="189"/>
        <v>0</v>
      </c>
      <c r="AG89" s="1256">
        <f t="shared" si="165"/>
        <v>0</v>
      </c>
      <c r="AH89" s="1254"/>
      <c r="AI89" s="1255">
        <f t="shared" si="190"/>
        <v>0</v>
      </c>
      <c r="AJ89" s="1256">
        <f t="shared" si="166"/>
        <v>0</v>
      </c>
      <c r="AK89" s="1254"/>
      <c r="AL89" s="1255">
        <f t="shared" si="191"/>
        <v>0</v>
      </c>
      <c r="AM89" s="1256">
        <f t="shared" si="167"/>
        <v>0</v>
      </c>
      <c r="AN89" s="1254"/>
      <c r="AO89" s="1255">
        <f t="shared" si="192"/>
        <v>0</v>
      </c>
      <c r="AP89" s="1256">
        <f t="shared" si="168"/>
        <v>0</v>
      </c>
      <c r="AQ89" s="1254"/>
      <c r="AR89" s="1255">
        <f t="shared" si="193"/>
        <v>0</v>
      </c>
      <c r="AS89" s="1256">
        <f t="shared" si="169"/>
        <v>0</v>
      </c>
      <c r="AT89" s="1254"/>
      <c r="AU89" s="1255">
        <f t="shared" si="194"/>
        <v>0</v>
      </c>
      <c r="AV89" s="1256">
        <f t="shared" si="170"/>
        <v>0</v>
      </c>
      <c r="AW89" s="1254"/>
      <c r="AX89" s="1255">
        <f t="shared" si="195"/>
        <v>0</v>
      </c>
      <c r="AY89" s="1256">
        <f t="shared" si="171"/>
        <v>0</v>
      </c>
      <c r="AZ89" s="1254"/>
      <c r="BA89" s="1255">
        <f t="shared" si="196"/>
        <v>0</v>
      </c>
      <c r="BB89" s="1256">
        <f t="shared" si="172"/>
        <v>0</v>
      </c>
    </row>
    <row r="90" spans="1:54" ht="13.5" customHeight="1">
      <c r="A90" s="931" t="e">
        <f t="shared" si="115"/>
        <v>#REF!</v>
      </c>
      <c r="B90" s="932">
        <f t="shared" si="116"/>
        <v>0</v>
      </c>
      <c r="C90" s="934" t="e">
        <f t="shared" si="117"/>
        <v>#REF!</v>
      </c>
      <c r="D90" s="935" t="str">
        <f t="shared" si="197"/>
        <v>7. SERVICIOS PARA EL INGENIERO</v>
      </c>
      <c r="E90" s="980">
        <v>79</v>
      </c>
      <c r="F90" s="803" t="s">
        <v>609</v>
      </c>
      <c r="G90" s="806" t="s">
        <v>664</v>
      </c>
      <c r="H90" s="36">
        <v>33004.019999999997</v>
      </c>
      <c r="I90" s="800">
        <v>15.2</v>
      </c>
      <c r="J90" s="66">
        <f t="shared" si="177"/>
        <v>501661.1</v>
      </c>
      <c r="K90" s="36">
        <f>SUMIF($V$3:$CH$3,"&lt;"&amp;Datos!$C$19,V90:CH90)</f>
        <v>0</v>
      </c>
      <c r="L90" s="71">
        <f t="shared" si="178"/>
        <v>0</v>
      </c>
      <c r="M90" s="65">
        <f>LOOKUP(Datos!$C$19,'Cant. Ejec,'!$V$3:$BB$3,'Cant. Ejec,'!$V90:$BB90)</f>
        <v>0</v>
      </c>
      <c r="N90" s="37">
        <f t="shared" si="179"/>
        <v>0</v>
      </c>
      <c r="O90" s="61">
        <f t="shared" si="180"/>
        <v>0</v>
      </c>
      <c r="P90" s="939">
        <f t="shared" si="180"/>
        <v>0</v>
      </c>
      <c r="Q90" s="61">
        <f t="shared" si="181"/>
        <v>33004.019999999997</v>
      </c>
      <c r="R90" s="939">
        <f t="shared" si="182"/>
        <v>501661.1</v>
      </c>
      <c r="S90" s="827">
        <f>(N90/J90)</f>
        <v>0</v>
      </c>
      <c r="T90" s="827">
        <f>(P90/J90)</f>
        <v>0</v>
      </c>
      <c r="U90" s="1236">
        <f t="shared" si="185"/>
        <v>1</v>
      </c>
      <c r="V90" s="1254"/>
      <c r="W90" s="1255">
        <f t="shared" si="186"/>
        <v>0</v>
      </c>
      <c r="X90" s="1256">
        <f t="shared" si="162"/>
        <v>0</v>
      </c>
      <c r="Y90" s="1254"/>
      <c r="Z90" s="1255">
        <f t="shared" si="187"/>
        <v>0</v>
      </c>
      <c r="AA90" s="1256">
        <f t="shared" si="163"/>
        <v>0</v>
      </c>
      <c r="AB90" s="1254"/>
      <c r="AC90" s="1255">
        <f t="shared" si="188"/>
        <v>0</v>
      </c>
      <c r="AD90" s="1256">
        <f t="shared" si="164"/>
        <v>0</v>
      </c>
      <c r="AE90" s="1254"/>
      <c r="AF90" s="1255">
        <f t="shared" si="189"/>
        <v>0</v>
      </c>
      <c r="AG90" s="1256">
        <f t="shared" si="165"/>
        <v>0</v>
      </c>
      <c r="AH90" s="1254"/>
      <c r="AI90" s="1255">
        <f t="shared" si="190"/>
        <v>0</v>
      </c>
      <c r="AJ90" s="1256">
        <f t="shared" si="166"/>
        <v>0</v>
      </c>
      <c r="AK90" s="1254"/>
      <c r="AL90" s="1255">
        <f t="shared" si="191"/>
        <v>0</v>
      </c>
      <c r="AM90" s="1256">
        <f t="shared" si="167"/>
        <v>0</v>
      </c>
      <c r="AN90" s="1254"/>
      <c r="AO90" s="1255">
        <f t="shared" si="192"/>
        <v>0</v>
      </c>
      <c r="AP90" s="1256">
        <f t="shared" si="168"/>
        <v>0</v>
      </c>
      <c r="AQ90" s="1254"/>
      <c r="AR90" s="1255">
        <f t="shared" si="193"/>
        <v>0</v>
      </c>
      <c r="AS90" s="1256">
        <f t="shared" si="169"/>
        <v>0</v>
      </c>
      <c r="AT90" s="1254"/>
      <c r="AU90" s="1255">
        <f t="shared" si="194"/>
        <v>0</v>
      </c>
      <c r="AV90" s="1256">
        <f t="shared" si="170"/>
        <v>0</v>
      </c>
      <c r="AW90" s="1254"/>
      <c r="AX90" s="1255">
        <f t="shared" si="195"/>
        <v>0</v>
      </c>
      <c r="AY90" s="1256">
        <f t="shared" si="171"/>
        <v>0</v>
      </c>
      <c r="AZ90" s="1254"/>
      <c r="BA90" s="1255">
        <f t="shared" si="196"/>
        <v>0</v>
      </c>
      <c r="BB90" s="1256">
        <f t="shared" si="172"/>
        <v>0</v>
      </c>
    </row>
    <row r="91" spans="1:54" ht="13.5" customHeight="1">
      <c r="A91" s="931" t="e">
        <f t="shared" si="115"/>
        <v>#REF!</v>
      </c>
      <c r="B91" s="932">
        <f t="shared" si="116"/>
        <v>0</v>
      </c>
      <c r="C91" s="934" t="e">
        <f t="shared" si="117"/>
        <v>#REF!</v>
      </c>
      <c r="D91" s="935" t="str">
        <f t="shared" si="197"/>
        <v>7. SERVICIOS PARA EL INGENIERO</v>
      </c>
      <c r="E91" s="980">
        <v>80</v>
      </c>
      <c r="F91" s="803" t="s">
        <v>610</v>
      </c>
      <c r="G91" s="806" t="s">
        <v>611</v>
      </c>
      <c r="H91" s="36">
        <v>540</v>
      </c>
      <c r="I91" s="800">
        <v>139.30000000000001</v>
      </c>
      <c r="J91" s="66">
        <f t="shared" si="177"/>
        <v>75222</v>
      </c>
      <c r="K91" s="36">
        <f>SUMIF($V$3:$CH$3,"&lt;"&amp;Datos!$C$19,V91:CH91)</f>
        <v>0</v>
      </c>
      <c r="L91" s="71">
        <f t="shared" si="178"/>
        <v>0</v>
      </c>
      <c r="M91" s="431">
        <f>LOOKUP(Datos!$C$19,'Cant. Ejec,'!$V$3:$BB$3,'Cant. Ejec,'!$V91:$BB91)</f>
        <v>0</v>
      </c>
      <c r="N91" s="1022">
        <f t="shared" si="179"/>
        <v>0</v>
      </c>
      <c r="O91" s="61">
        <f t="shared" si="180"/>
        <v>0</v>
      </c>
      <c r="P91" s="939">
        <f t="shared" si="180"/>
        <v>0</v>
      </c>
      <c r="Q91" s="61">
        <f t="shared" si="181"/>
        <v>540</v>
      </c>
      <c r="R91" s="939">
        <f t="shared" si="182"/>
        <v>75222</v>
      </c>
      <c r="S91" s="975">
        <f t="shared" si="183"/>
        <v>0</v>
      </c>
      <c r="T91" s="975">
        <f t="shared" si="184"/>
        <v>0</v>
      </c>
      <c r="U91" s="1237">
        <f t="shared" si="185"/>
        <v>1</v>
      </c>
      <c r="V91" s="1254"/>
      <c r="W91" s="1255">
        <f t="shared" si="186"/>
        <v>0</v>
      </c>
      <c r="X91" s="1256">
        <f t="shared" si="162"/>
        <v>0</v>
      </c>
      <c r="Y91" s="1254"/>
      <c r="Z91" s="1255">
        <f t="shared" si="187"/>
        <v>0</v>
      </c>
      <c r="AA91" s="1256">
        <f t="shared" si="163"/>
        <v>0</v>
      </c>
      <c r="AB91" s="1254"/>
      <c r="AC91" s="1255">
        <f t="shared" si="188"/>
        <v>0</v>
      </c>
      <c r="AD91" s="1256">
        <f t="shared" si="164"/>
        <v>0</v>
      </c>
      <c r="AE91" s="1254"/>
      <c r="AF91" s="1255">
        <f t="shared" si="189"/>
        <v>0</v>
      </c>
      <c r="AG91" s="1256">
        <f t="shared" si="165"/>
        <v>0</v>
      </c>
      <c r="AH91" s="1254"/>
      <c r="AI91" s="1255">
        <f t="shared" si="190"/>
        <v>0</v>
      </c>
      <c r="AJ91" s="1256">
        <f t="shared" si="166"/>
        <v>0</v>
      </c>
      <c r="AK91" s="1254"/>
      <c r="AL91" s="1255">
        <f t="shared" si="191"/>
        <v>0</v>
      </c>
      <c r="AM91" s="1256">
        <f t="shared" si="167"/>
        <v>0</v>
      </c>
      <c r="AN91" s="1254"/>
      <c r="AO91" s="1255">
        <f t="shared" si="192"/>
        <v>0</v>
      </c>
      <c r="AP91" s="1256">
        <f t="shared" si="168"/>
        <v>0</v>
      </c>
      <c r="AQ91" s="1254"/>
      <c r="AR91" s="1255">
        <f t="shared" si="193"/>
        <v>0</v>
      </c>
      <c r="AS91" s="1256">
        <f t="shared" si="169"/>
        <v>0</v>
      </c>
      <c r="AT91" s="1254"/>
      <c r="AU91" s="1255">
        <f t="shared" si="194"/>
        <v>0</v>
      </c>
      <c r="AV91" s="1256">
        <f t="shared" si="170"/>
        <v>0</v>
      </c>
      <c r="AW91" s="1254"/>
      <c r="AX91" s="1255">
        <f t="shared" si="195"/>
        <v>0</v>
      </c>
      <c r="AY91" s="1256">
        <f t="shared" si="171"/>
        <v>0</v>
      </c>
      <c r="AZ91" s="1254"/>
      <c r="BA91" s="1255">
        <f t="shared" si="196"/>
        <v>0</v>
      </c>
      <c r="BB91" s="1256">
        <f t="shared" si="172"/>
        <v>0</v>
      </c>
    </row>
    <row r="92" spans="1:54" ht="13.5" customHeight="1">
      <c r="A92" s="931"/>
      <c r="B92" s="932"/>
      <c r="C92" s="934"/>
      <c r="D92" s="935"/>
      <c r="E92" s="21"/>
      <c r="F92" s="646" t="s">
        <v>428</v>
      </c>
      <c r="G92" s="286"/>
      <c r="H92" s="647"/>
      <c r="I92" s="938"/>
      <c r="J92" s="805">
        <v>1</v>
      </c>
      <c r="K92" s="734"/>
      <c r="L92" s="734"/>
      <c r="M92" s="738"/>
      <c r="N92" s="734"/>
      <c r="O92" s="738"/>
      <c r="P92" s="958"/>
      <c r="Q92" s="959"/>
      <c r="R92" s="734"/>
      <c r="S92" s="739"/>
      <c r="T92" s="1121"/>
      <c r="U92" s="1121"/>
      <c r="V92" s="1254"/>
      <c r="W92" s="1255">
        <f t="shared" ref="W92:W93" si="198">ROUND(V92*$I92,2)</f>
        <v>0</v>
      </c>
      <c r="X92" s="1256">
        <f t="shared" ref="X92:X93" si="199">+W92/$J92</f>
        <v>0</v>
      </c>
      <c r="Y92" s="1254"/>
      <c r="Z92" s="1255">
        <f t="shared" ref="Z92:Z93" si="200">ROUND(Y92*$I92,2)</f>
        <v>0</v>
      </c>
      <c r="AA92" s="1256">
        <f t="shared" ref="AA92:AA93" si="201">+Z92/$J92</f>
        <v>0</v>
      </c>
      <c r="AB92" s="1254"/>
      <c r="AC92" s="1255">
        <f t="shared" ref="AC92:AC93" si="202">ROUND(AB92*$I92,2)</f>
        <v>0</v>
      </c>
      <c r="AD92" s="1256">
        <f t="shared" ref="AD92:AD93" si="203">+AC92/$J92</f>
        <v>0</v>
      </c>
      <c r="AE92" s="1254"/>
      <c r="AF92" s="1255">
        <f t="shared" ref="AF92:AF93" si="204">ROUND(AE92*$I92,2)</f>
        <v>0</v>
      </c>
      <c r="AG92" s="1256">
        <f t="shared" ref="AG92:AG93" si="205">+AF92/$J92</f>
        <v>0</v>
      </c>
      <c r="AH92" s="1254"/>
      <c r="AI92" s="1255">
        <f t="shared" ref="AI92:AI93" si="206">ROUND(AH92*$I92,2)</f>
        <v>0</v>
      </c>
      <c r="AJ92" s="1256">
        <f t="shared" ref="AJ92:AJ93" si="207">+AI92/$J92</f>
        <v>0</v>
      </c>
      <c r="AK92" s="1254"/>
      <c r="AL92" s="1255">
        <f t="shared" ref="AL92:AL93" si="208">ROUND(AK92*$I92,2)</f>
        <v>0</v>
      </c>
      <c r="AM92" s="1256">
        <f t="shared" ref="AM92:AM93" si="209">+AL92/$J92</f>
        <v>0</v>
      </c>
      <c r="AN92" s="1254"/>
      <c r="AO92" s="1255">
        <f t="shared" ref="AO92:AO93" si="210">ROUND(AN92*$I92,2)</f>
        <v>0</v>
      </c>
      <c r="AP92" s="1256">
        <f t="shared" ref="AP92:AP93" si="211">+AO92/$J92</f>
        <v>0</v>
      </c>
      <c r="AQ92" s="1254"/>
      <c r="AR92" s="1255">
        <f t="shared" ref="AR92:AR93" si="212">ROUND(AQ92*$I92,2)</f>
        <v>0</v>
      </c>
      <c r="AS92" s="1256">
        <f t="shared" ref="AS92:AS93" si="213">+AR92/$J92</f>
        <v>0</v>
      </c>
      <c r="AT92" s="1254"/>
      <c r="AU92" s="1255">
        <f t="shared" ref="AU92:AU93" si="214">ROUND(AT92*$I92,2)</f>
        <v>0</v>
      </c>
      <c r="AV92" s="1256">
        <f t="shared" ref="AV92:AV93" si="215">+AU92/$J92</f>
        <v>0</v>
      </c>
      <c r="AW92" s="1254"/>
      <c r="AX92" s="1255">
        <f t="shared" ref="AX92:AX93" si="216">ROUND(AW92*$I92,2)</f>
        <v>0</v>
      </c>
      <c r="AY92" s="1256">
        <f t="shared" ref="AY92:AY93" si="217">+AX92/$J92</f>
        <v>0</v>
      </c>
      <c r="AZ92" s="1254"/>
      <c r="BA92" s="1255">
        <f t="shared" ref="BA92:BA93" si="218">ROUND(AZ92*$I92,2)</f>
        <v>0</v>
      </c>
      <c r="BB92" s="1256">
        <f t="shared" ref="BB92:BB93" si="219">+BA92/$J92</f>
        <v>0</v>
      </c>
    </row>
    <row r="93" spans="1:54" s="77" customFormat="1" ht="13.5" customHeight="1" thickBot="1">
      <c r="D93" s="935"/>
      <c r="E93" s="1026"/>
      <c r="F93" s="1027" t="s">
        <v>154</v>
      </c>
      <c r="G93" s="1028"/>
      <c r="H93" s="1029"/>
      <c r="I93" s="1030"/>
      <c r="J93" s="1128">
        <f>+J5+J7+J18+J25+J66+J83+J85</f>
        <v>108397839.64</v>
      </c>
      <c r="K93" s="1031"/>
      <c r="L93" s="1128">
        <f>+L5+L7+L18+L25+L66+L83+L85</f>
        <v>1524844.2</v>
      </c>
      <c r="M93" s="1032"/>
      <c r="N93" s="1128">
        <f>+N5+N7+N18+N25+N66+N83+N85</f>
        <v>86910.98</v>
      </c>
      <c r="O93" s="1031"/>
      <c r="P93" s="1030">
        <f>+P5+P7+P18+P25+P66+P83+P85</f>
        <v>1611755.18</v>
      </c>
      <c r="Q93" s="1032"/>
      <c r="R93" s="1030">
        <f>+R5+R7+R18+R25+R66+R83+R85</f>
        <v>106786084.46000001</v>
      </c>
      <c r="S93" s="1127">
        <f>(N93/J93)</f>
        <v>8.0177778716476267E-4</v>
      </c>
      <c r="T93" s="1124">
        <f>(P93/J93)</f>
        <v>1.4868886551178502E-2</v>
      </c>
      <c r="U93" s="1238">
        <f>(R93/J93)</f>
        <v>0.98513111344882154</v>
      </c>
      <c r="V93" s="1258"/>
      <c r="W93" s="1259">
        <f t="shared" si="198"/>
        <v>0</v>
      </c>
      <c r="X93" s="1260">
        <f t="shared" si="199"/>
        <v>0</v>
      </c>
      <c r="Y93" s="1258"/>
      <c r="Z93" s="1259">
        <f t="shared" si="200"/>
        <v>0</v>
      </c>
      <c r="AA93" s="1260">
        <f t="shared" si="201"/>
        <v>0</v>
      </c>
      <c r="AB93" s="1258"/>
      <c r="AC93" s="1259">
        <f t="shared" si="202"/>
        <v>0</v>
      </c>
      <c r="AD93" s="1260">
        <f t="shared" si="203"/>
        <v>0</v>
      </c>
      <c r="AE93" s="1258"/>
      <c r="AF93" s="1259">
        <f t="shared" si="204"/>
        <v>0</v>
      </c>
      <c r="AG93" s="1260">
        <f t="shared" si="205"/>
        <v>0</v>
      </c>
      <c r="AH93" s="1258"/>
      <c r="AI93" s="1259">
        <f t="shared" si="206"/>
        <v>0</v>
      </c>
      <c r="AJ93" s="1260">
        <f t="shared" si="207"/>
        <v>0</v>
      </c>
      <c r="AK93" s="1258"/>
      <c r="AL93" s="1259">
        <f t="shared" si="208"/>
        <v>0</v>
      </c>
      <c r="AM93" s="1260">
        <f t="shared" si="209"/>
        <v>0</v>
      </c>
      <c r="AN93" s="1258"/>
      <c r="AO93" s="1259">
        <f t="shared" si="210"/>
        <v>0</v>
      </c>
      <c r="AP93" s="1260">
        <f t="shared" si="211"/>
        <v>0</v>
      </c>
      <c r="AQ93" s="1258"/>
      <c r="AR93" s="1259">
        <f t="shared" si="212"/>
        <v>0</v>
      </c>
      <c r="AS93" s="1260">
        <f t="shared" si="213"/>
        <v>0</v>
      </c>
      <c r="AT93" s="1258"/>
      <c r="AU93" s="1259">
        <f t="shared" si="214"/>
        <v>0</v>
      </c>
      <c r="AV93" s="1260">
        <f t="shared" si="215"/>
        <v>0</v>
      </c>
      <c r="AW93" s="1258"/>
      <c r="AX93" s="1259">
        <f t="shared" si="216"/>
        <v>0</v>
      </c>
      <c r="AY93" s="1260">
        <f t="shared" si="217"/>
        <v>0</v>
      </c>
      <c r="AZ93" s="1258"/>
      <c r="BA93" s="1259">
        <f t="shared" si="218"/>
        <v>0</v>
      </c>
      <c r="BB93" s="1260">
        <f t="shared" si="219"/>
        <v>0</v>
      </c>
    </row>
    <row r="94" spans="1:54" ht="12.75" customHeight="1">
      <c r="D94" s="935"/>
      <c r="E94" s="22"/>
      <c r="F94" s="23"/>
      <c r="G94" s="24"/>
      <c r="H94" s="24"/>
      <c r="I94" s="31"/>
      <c r="J94" s="25"/>
      <c r="K94" s="26"/>
      <c r="L94" s="26"/>
      <c r="M94" s="27"/>
      <c r="N94" s="26"/>
      <c r="O94" s="28"/>
      <c r="P94" s="26"/>
      <c r="Q94" s="1583"/>
      <c r="R94" s="1583"/>
      <c r="S94" s="26"/>
      <c r="T94" s="26"/>
      <c r="U94" s="29"/>
    </row>
    <row r="95" spans="1:54" ht="12.75" customHeight="1">
      <c r="E95" s="22"/>
      <c r="F95" s="23"/>
      <c r="G95" s="24"/>
      <c r="H95" s="24"/>
      <c r="I95" s="31"/>
      <c r="J95" s="25"/>
      <c r="K95" s="26"/>
      <c r="L95" s="26"/>
      <c r="M95" s="27"/>
      <c r="N95" s="26"/>
      <c r="O95" s="28"/>
      <c r="P95" s="26"/>
      <c r="Q95" s="1231"/>
      <c r="R95" s="1231"/>
      <c r="S95" s="26"/>
      <c r="T95" s="26"/>
      <c r="U95" s="29"/>
    </row>
    <row r="96" spans="1:54" ht="12.75" customHeight="1">
      <c r="E96" s="22"/>
      <c r="F96" s="23"/>
      <c r="G96" s="24"/>
      <c r="H96" s="24"/>
      <c r="I96" s="31"/>
      <c r="J96" s="25"/>
      <c r="K96" s="26"/>
      <c r="L96" s="26"/>
      <c r="M96" s="27"/>
      <c r="N96" s="26"/>
      <c r="O96" s="28"/>
      <c r="P96" s="26"/>
      <c r="Q96" s="1231"/>
      <c r="R96" s="1231"/>
      <c r="S96" s="26"/>
      <c r="T96" s="26"/>
      <c r="U96" s="29"/>
    </row>
    <row r="97" spans="1:21" ht="12.75" customHeight="1">
      <c r="E97" s="22"/>
      <c r="F97" s="23"/>
      <c r="G97" s="24"/>
      <c r="H97" s="24"/>
      <c r="I97" s="31"/>
      <c r="J97" s="25"/>
      <c r="K97" s="26"/>
      <c r="L97" s="26"/>
      <c r="M97" s="27"/>
      <c r="N97" s="26"/>
      <c r="O97" s="28"/>
      <c r="P97" s="26"/>
      <c r="Q97" s="1231"/>
      <c r="R97" s="1231"/>
      <c r="S97" s="26"/>
      <c r="T97" s="26"/>
      <c r="U97" s="29"/>
    </row>
    <row r="98" spans="1:21" ht="12.75" customHeight="1">
      <c r="E98" s="22"/>
      <c r="F98" s="23"/>
      <c r="G98" s="24"/>
      <c r="H98" s="24"/>
      <c r="I98" s="31"/>
      <c r="J98" s="25"/>
      <c r="K98" s="26"/>
      <c r="L98" s="26"/>
      <c r="M98" s="27"/>
      <c r="N98" s="26"/>
      <c r="O98" s="28"/>
      <c r="P98" s="26"/>
      <c r="Q98" s="1231"/>
      <c r="R98" s="1231"/>
      <c r="S98" s="26"/>
      <c r="T98" s="26"/>
      <c r="U98" s="29"/>
    </row>
    <row r="99" spans="1:21" ht="12.75" customHeight="1">
      <c r="E99" s="92"/>
      <c r="F99" s="30"/>
      <c r="G99" s="816"/>
      <c r="H99" s="816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</row>
    <row r="100" spans="1:21" ht="12.75" customHeight="1">
      <c r="E100" s="92"/>
      <c r="F100" s="1230"/>
      <c r="G100" s="1230"/>
      <c r="H100" s="1230"/>
      <c r="I100" s="1036"/>
      <c r="J100" s="1584"/>
      <c r="K100" s="1584"/>
      <c r="L100" s="1584"/>
      <c r="M100" s="1036"/>
      <c r="N100" s="1036"/>
      <c r="O100" s="1036"/>
      <c r="P100" s="30"/>
      <c r="Q100" s="1230"/>
      <c r="R100" s="32"/>
      <c r="S100" s="32"/>
      <c r="T100" s="32"/>
      <c r="U100" s="33"/>
    </row>
    <row r="101" spans="1:21" ht="12.75" customHeight="1">
      <c r="E101" s="92"/>
      <c r="F101" s="1228"/>
      <c r="G101" s="1230"/>
      <c r="H101" s="1230"/>
      <c r="I101" s="1036"/>
      <c r="J101" s="1585"/>
      <c r="K101" s="1585"/>
      <c r="L101" s="1585"/>
      <c r="M101" s="1036"/>
      <c r="N101" s="1036"/>
      <c r="O101" s="1036"/>
      <c r="P101" s="30"/>
      <c r="Q101" s="1228"/>
      <c r="R101" s="32"/>
      <c r="S101" s="32"/>
      <c r="T101" s="32"/>
      <c r="U101" s="33"/>
    </row>
    <row r="102" spans="1:21" s="106" customFormat="1" ht="23.25" customHeight="1">
      <c r="A102" s="19"/>
      <c r="B102" s="19"/>
      <c r="C102" s="19"/>
      <c r="D102" s="19"/>
      <c r="E102" s="301"/>
      <c r="F102" s="1038"/>
      <c r="G102" s="1039"/>
      <c r="H102" s="1039"/>
      <c r="I102" s="1040"/>
      <c r="J102" s="1579"/>
      <c r="K102" s="1579"/>
      <c r="L102" s="1579"/>
      <c r="M102" s="1156"/>
      <c r="N102" s="1156"/>
      <c r="O102" s="1156"/>
      <c r="P102" s="1157"/>
      <c r="Q102" s="1229"/>
      <c r="R102" s="1158"/>
      <c r="S102" s="302"/>
      <c r="T102" s="302"/>
      <c r="U102" s="303"/>
    </row>
    <row r="103" spans="1:21" s="106" customFormat="1" ht="12.75" customHeight="1">
      <c r="A103" s="19"/>
      <c r="B103" s="19"/>
      <c r="C103" s="19"/>
      <c r="D103" s="19"/>
      <c r="E103" s="20"/>
      <c r="F103" s="19"/>
      <c r="G103" s="20"/>
      <c r="H103" s="20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</row>
    <row r="104" spans="1:21" s="106" customFormat="1" ht="12.75" customHeight="1">
      <c r="A104" s="19"/>
      <c r="B104" s="19"/>
      <c r="C104" s="19"/>
      <c r="D104" s="19"/>
      <c r="E104" s="20"/>
      <c r="F104" s="19"/>
      <c r="G104" s="20"/>
      <c r="H104" s="20"/>
      <c r="I104" s="34"/>
      <c r="J104" s="34"/>
      <c r="K104" s="34"/>
      <c r="L104" s="34"/>
      <c r="M104" s="616"/>
      <c r="N104" s="414"/>
      <c r="O104" s="414"/>
      <c r="P104" s="617"/>
      <c r="Q104" s="34"/>
      <c r="R104" s="615"/>
      <c r="S104" s="34"/>
      <c r="T104" s="34"/>
      <c r="U104" s="34"/>
    </row>
    <row r="105" spans="1:21" s="106" customFormat="1" ht="12.75" customHeight="1">
      <c r="A105" s="19"/>
      <c r="B105" s="19"/>
      <c r="C105" s="19"/>
      <c r="D105" s="19"/>
      <c r="E105" s="20"/>
      <c r="F105" s="19"/>
      <c r="G105" s="20"/>
      <c r="H105" s="20"/>
      <c r="I105" s="34"/>
      <c r="J105" s="777"/>
      <c r="K105" s="34"/>
      <c r="L105" s="414"/>
      <c r="M105" s="616"/>
      <c r="N105" s="34"/>
      <c r="O105" s="34"/>
      <c r="P105" s="34"/>
      <c r="Q105" s="414"/>
      <c r="R105" s="615"/>
      <c r="S105" s="34"/>
      <c r="T105" s="34"/>
      <c r="U105" s="34"/>
    </row>
    <row r="106" spans="1:21" s="106" customFormat="1" ht="12.75" customHeight="1">
      <c r="A106" s="19"/>
      <c r="B106" s="19"/>
      <c r="C106" s="19"/>
      <c r="D106" s="19"/>
      <c r="E106" s="20"/>
      <c r="F106" s="19"/>
      <c r="G106" s="20"/>
      <c r="H106" s="20"/>
      <c r="I106" s="34"/>
      <c r="J106" s="778"/>
      <c r="K106" s="34"/>
      <c r="L106" s="34"/>
      <c r="M106" s="34"/>
      <c r="N106" s="34"/>
      <c r="O106" s="34"/>
      <c r="P106" s="617"/>
      <c r="Q106" s="615"/>
      <c r="R106" s="34"/>
      <c r="S106" s="34"/>
      <c r="T106" s="34"/>
      <c r="U106" s="34"/>
    </row>
    <row r="107" spans="1:21" s="106" customFormat="1" ht="12.75" customHeight="1">
      <c r="A107" s="19"/>
      <c r="B107" s="19"/>
      <c r="C107" s="19"/>
      <c r="D107" s="19"/>
      <c r="E107" s="20"/>
      <c r="F107" s="19"/>
      <c r="G107" s="20"/>
      <c r="H107" s="20"/>
      <c r="I107" s="34"/>
      <c r="J107" s="779"/>
      <c r="K107" s="34"/>
      <c r="L107" s="34"/>
      <c r="M107" s="34"/>
      <c r="N107" s="616"/>
      <c r="O107" s="34"/>
      <c r="P107" s="34"/>
      <c r="Q107" s="34"/>
      <c r="R107" s="34"/>
      <c r="S107" s="34"/>
      <c r="T107" s="34"/>
      <c r="U107" s="34"/>
    </row>
    <row r="108" spans="1:21" s="106" customFormat="1" ht="12.75" customHeight="1">
      <c r="A108" s="19"/>
      <c r="B108" s="19"/>
      <c r="C108" s="19"/>
      <c r="D108" s="19"/>
      <c r="E108" s="20"/>
      <c r="F108" s="19"/>
      <c r="G108" s="20"/>
      <c r="H108" s="20"/>
      <c r="I108" s="34"/>
      <c r="J108" s="34"/>
      <c r="K108" s="34"/>
      <c r="L108" s="34"/>
      <c r="M108" s="34"/>
      <c r="N108" s="616"/>
      <c r="O108" s="34"/>
      <c r="P108" s="616"/>
      <c r="Q108" s="34"/>
      <c r="R108" s="34"/>
      <c r="S108" s="34"/>
      <c r="T108" s="34"/>
      <c r="U108" s="34"/>
    </row>
    <row r="109" spans="1:21" s="106" customFormat="1" ht="12.75" customHeight="1">
      <c r="A109" s="19"/>
      <c r="B109" s="19"/>
      <c r="C109" s="19"/>
      <c r="D109" s="19"/>
      <c r="E109" s="20"/>
      <c r="F109" s="19"/>
      <c r="G109" s="20"/>
      <c r="H109" s="20"/>
      <c r="I109" s="34"/>
      <c r="J109" s="34"/>
      <c r="K109" s="34"/>
      <c r="L109" s="34"/>
      <c r="M109" s="34"/>
      <c r="N109" s="616"/>
      <c r="O109" s="617"/>
      <c r="P109" s="778"/>
      <c r="Q109" s="34"/>
      <c r="R109" s="34"/>
      <c r="S109" s="34"/>
      <c r="T109" s="34"/>
      <c r="U109" s="34"/>
    </row>
    <row r="110" spans="1:21" s="106" customFormat="1" ht="12.75" customHeight="1">
      <c r="A110" s="19"/>
      <c r="B110" s="19"/>
      <c r="C110" s="19"/>
      <c r="D110" s="19"/>
      <c r="E110" s="20"/>
      <c r="F110" s="19"/>
      <c r="G110" s="20"/>
      <c r="H110" s="20"/>
      <c r="I110" s="34"/>
      <c r="J110" s="34"/>
      <c r="K110" s="34"/>
      <c r="L110" s="34"/>
      <c r="M110" s="34"/>
      <c r="N110" s="616"/>
      <c r="O110" s="34"/>
      <c r="P110" s="34"/>
      <c r="Q110" s="34"/>
      <c r="R110" s="34"/>
      <c r="S110" s="34"/>
      <c r="T110" s="34"/>
      <c r="U110" s="34"/>
    </row>
    <row r="111" spans="1:21" s="106" customFormat="1" ht="12.75" customHeight="1">
      <c r="A111" s="19"/>
      <c r="B111" s="19"/>
      <c r="C111" s="19"/>
      <c r="D111" s="19"/>
      <c r="E111" s="20"/>
      <c r="F111" s="19"/>
      <c r="G111" s="20"/>
      <c r="H111" s="20"/>
      <c r="I111" s="34"/>
      <c r="J111" s="34"/>
      <c r="K111" s="34"/>
      <c r="L111" s="34"/>
      <c r="M111" s="34"/>
      <c r="N111" s="616"/>
      <c r="O111" s="34"/>
      <c r="P111" s="616"/>
      <c r="Q111" s="34"/>
      <c r="R111" s="34"/>
      <c r="S111" s="34"/>
      <c r="T111" s="34"/>
      <c r="U111" s="34"/>
    </row>
    <row r="112" spans="1:21" s="106" customFormat="1" ht="12.75" customHeight="1">
      <c r="A112" s="19"/>
      <c r="B112" s="19"/>
      <c r="C112" s="19"/>
      <c r="D112" s="19"/>
      <c r="E112" s="20"/>
      <c r="F112" s="19"/>
      <c r="G112" s="20"/>
      <c r="H112" s="20"/>
      <c r="I112" s="34"/>
      <c r="J112" s="34"/>
      <c r="K112" s="34"/>
      <c r="L112" s="34"/>
      <c r="M112" s="34"/>
      <c r="N112" s="414"/>
      <c r="O112" s="34"/>
      <c r="P112" s="34"/>
      <c r="Q112" s="34"/>
      <c r="R112" s="34"/>
      <c r="S112" s="34"/>
      <c r="T112" s="34"/>
      <c r="U112" s="34"/>
    </row>
    <row r="113" spans="1:21" s="106" customFormat="1" ht="12.75" customHeight="1">
      <c r="A113" s="19"/>
      <c r="B113" s="19"/>
      <c r="C113" s="19"/>
      <c r="D113" s="19"/>
      <c r="E113" s="20"/>
      <c r="F113" s="19"/>
      <c r="G113" s="20"/>
      <c r="H113" s="20"/>
      <c r="I113" s="34"/>
      <c r="J113" s="34"/>
      <c r="K113" s="34"/>
      <c r="L113" s="34"/>
      <c r="M113" s="34"/>
      <c r="N113" s="414"/>
      <c r="O113" s="34"/>
      <c r="P113" s="34"/>
      <c r="Q113" s="34"/>
      <c r="R113" s="34"/>
      <c r="S113" s="34"/>
      <c r="T113" s="34"/>
      <c r="U113" s="34"/>
    </row>
    <row r="114" spans="1:21" s="106" customFormat="1" ht="12.75" customHeight="1">
      <c r="A114" s="19"/>
      <c r="B114" s="19"/>
      <c r="C114" s="19"/>
      <c r="D114" s="19"/>
      <c r="E114" s="20"/>
      <c r="F114" s="19"/>
      <c r="G114" s="20"/>
      <c r="H114" s="20"/>
      <c r="I114" s="34"/>
      <c r="J114" s="34"/>
      <c r="K114" s="34"/>
      <c r="L114" s="616"/>
      <c r="M114" s="34"/>
      <c r="N114" s="616"/>
      <c r="O114" s="34"/>
      <c r="P114" s="34"/>
      <c r="Q114" s="34"/>
      <c r="R114" s="34"/>
      <c r="S114" s="34"/>
      <c r="T114" s="34"/>
      <c r="U114" s="34"/>
    </row>
    <row r="115" spans="1:21" s="106" customFormat="1" ht="12.75" customHeight="1">
      <c r="A115" s="19"/>
      <c r="B115" s="19"/>
      <c r="C115" s="19"/>
      <c r="D115" s="19"/>
      <c r="E115" s="20"/>
      <c r="F115" s="19"/>
      <c r="G115" s="20"/>
      <c r="H115" s="20"/>
      <c r="I115" s="34"/>
      <c r="J115" s="34"/>
      <c r="K115" s="34"/>
      <c r="L115" s="34"/>
      <c r="M115" s="34"/>
      <c r="N115" s="616"/>
      <c r="O115" s="34"/>
      <c r="P115" s="34"/>
      <c r="Q115" s="34"/>
      <c r="R115" s="34"/>
      <c r="S115" s="34"/>
      <c r="T115" s="34"/>
      <c r="U115" s="34"/>
    </row>
    <row r="116" spans="1:21" s="106" customFormat="1" ht="12.75" customHeight="1">
      <c r="A116" s="19"/>
      <c r="B116" s="19"/>
      <c r="C116" s="19"/>
      <c r="D116" s="19"/>
      <c r="E116" s="20"/>
      <c r="F116" s="19"/>
      <c r="G116" s="20"/>
      <c r="H116" s="20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</row>
    <row r="117" spans="1:21" s="106" customFormat="1" ht="12.75" customHeight="1">
      <c r="A117" s="19"/>
      <c r="B117" s="19"/>
      <c r="C117" s="19"/>
      <c r="D117" s="19"/>
      <c r="E117" s="20"/>
      <c r="F117" s="19"/>
      <c r="G117" s="20"/>
      <c r="H117" s="20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</row>
    <row r="118" spans="1:21" s="106" customFormat="1" ht="12.75" customHeight="1">
      <c r="A118" s="19"/>
      <c r="B118" s="19"/>
      <c r="C118" s="19"/>
      <c r="D118" s="19"/>
      <c r="E118" s="20"/>
      <c r="F118" s="19"/>
      <c r="G118" s="20"/>
      <c r="H118" s="20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</row>
    <row r="119" spans="1:21" s="106" customFormat="1" ht="12.75" customHeight="1">
      <c r="A119" s="19"/>
      <c r="B119" s="19"/>
      <c r="C119" s="19"/>
      <c r="D119" s="19"/>
      <c r="E119" s="20"/>
      <c r="F119" s="19"/>
      <c r="G119" s="20"/>
      <c r="H119" s="20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</row>
    <row r="120" spans="1:21" s="106" customFormat="1" ht="12.75" customHeight="1">
      <c r="A120" s="19"/>
      <c r="B120" s="19"/>
      <c r="C120" s="19"/>
      <c r="D120" s="19"/>
      <c r="E120" s="20"/>
      <c r="F120" s="19"/>
      <c r="G120" s="20"/>
      <c r="H120" s="20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</row>
    <row r="121" spans="1:21" s="106" customFormat="1" ht="12.75" customHeight="1">
      <c r="A121" s="19"/>
      <c r="B121" s="19"/>
      <c r="C121" s="19"/>
      <c r="D121" s="19"/>
      <c r="E121" s="20"/>
      <c r="F121" s="19"/>
      <c r="G121" s="20"/>
      <c r="H121" s="20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</row>
    <row r="122" spans="1:21" s="106" customFormat="1" ht="12.75" customHeight="1">
      <c r="A122" s="19"/>
      <c r="B122" s="19"/>
      <c r="C122" s="19"/>
      <c r="D122" s="19"/>
      <c r="E122" s="20"/>
      <c r="F122" s="19"/>
      <c r="G122" s="20"/>
      <c r="H122" s="20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</row>
    <row r="123" spans="1:21" s="106" customFormat="1" ht="12.75" customHeight="1">
      <c r="A123" s="19"/>
      <c r="B123" s="19"/>
      <c r="C123" s="19"/>
      <c r="D123" s="19"/>
      <c r="E123" s="20"/>
      <c r="F123" s="19"/>
      <c r="G123" s="20"/>
      <c r="H123" s="20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</row>
    <row r="124" spans="1:21" s="106" customFormat="1" ht="12.75" customHeight="1">
      <c r="A124" s="19"/>
      <c r="B124" s="19"/>
      <c r="C124" s="19"/>
      <c r="D124" s="19"/>
      <c r="E124" s="20"/>
      <c r="F124" s="19"/>
      <c r="G124" s="20"/>
      <c r="H124" s="20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 spans="1:21" s="106" customFormat="1" ht="12.75" customHeight="1">
      <c r="A125" s="19"/>
      <c r="B125" s="19"/>
      <c r="C125" s="19"/>
      <c r="D125" s="19"/>
      <c r="E125" s="20"/>
      <c r="F125" s="19"/>
      <c r="G125" s="20"/>
      <c r="H125" s="20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</row>
    <row r="126" spans="1:21" s="106" customFormat="1" ht="12.75" customHeight="1">
      <c r="A126" s="19"/>
      <c r="B126" s="19"/>
      <c r="C126" s="19"/>
      <c r="D126" s="19"/>
      <c r="E126" s="20"/>
      <c r="F126" s="19"/>
      <c r="G126" s="20"/>
      <c r="H126" s="20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</row>
    <row r="127" spans="1:21" s="106" customFormat="1" ht="12.75" customHeight="1">
      <c r="A127" s="19"/>
      <c r="B127" s="19"/>
      <c r="C127" s="19"/>
      <c r="D127" s="19"/>
      <c r="E127" s="20"/>
      <c r="F127" s="19"/>
      <c r="G127" s="20"/>
      <c r="H127" s="20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</row>
    <row r="128" spans="1:21" s="106" customFormat="1" ht="12.75" customHeight="1">
      <c r="A128" s="19"/>
      <c r="B128" s="19"/>
      <c r="C128" s="19"/>
      <c r="D128" s="19"/>
      <c r="E128" s="20"/>
      <c r="F128" s="19"/>
      <c r="G128" s="20"/>
      <c r="H128" s="20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</row>
    <row r="129" spans="1:21" s="106" customFormat="1" ht="12.75" customHeight="1">
      <c r="A129" s="19"/>
      <c r="B129" s="19"/>
      <c r="C129" s="19"/>
      <c r="D129" s="19"/>
      <c r="E129" s="20"/>
      <c r="F129" s="19"/>
      <c r="G129" s="20"/>
      <c r="H129" s="20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</row>
    <row r="130" spans="1:21" s="106" customFormat="1" ht="12.75" customHeight="1">
      <c r="A130" s="19"/>
      <c r="B130" s="19"/>
      <c r="C130" s="19"/>
      <c r="D130" s="19"/>
      <c r="E130" s="20"/>
      <c r="F130" s="19"/>
      <c r="G130" s="20"/>
      <c r="H130" s="20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</row>
    <row r="131" spans="1:21" s="106" customFormat="1" ht="12.75" customHeight="1">
      <c r="A131" s="19"/>
      <c r="B131" s="19"/>
      <c r="C131" s="19"/>
      <c r="D131" s="19"/>
      <c r="E131" s="20"/>
      <c r="F131" s="19"/>
      <c r="G131" s="20"/>
      <c r="H131" s="20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</row>
    <row r="132" spans="1:21" s="106" customFormat="1" ht="12.75" customHeight="1">
      <c r="A132" s="19"/>
      <c r="B132" s="19"/>
      <c r="C132" s="19"/>
      <c r="D132" s="19"/>
      <c r="E132" s="20"/>
      <c r="F132" s="19"/>
      <c r="G132" s="20"/>
      <c r="H132" s="20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</row>
    <row r="133" spans="1:21" s="106" customFormat="1" ht="12.75" customHeight="1">
      <c r="A133" s="19"/>
      <c r="B133" s="19"/>
      <c r="C133" s="19"/>
      <c r="D133" s="19"/>
      <c r="E133" s="20"/>
      <c r="F133" s="19"/>
      <c r="G133" s="20"/>
      <c r="H133" s="20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</row>
    <row r="134" spans="1:21" s="106" customFormat="1" ht="12.75" customHeight="1">
      <c r="A134" s="19"/>
      <c r="B134" s="19"/>
      <c r="C134" s="19"/>
      <c r="D134" s="19"/>
      <c r="E134" s="20"/>
      <c r="F134" s="19"/>
      <c r="G134" s="20"/>
      <c r="H134" s="20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</row>
    <row r="135" spans="1:21" s="106" customFormat="1" ht="12.75" customHeight="1">
      <c r="A135" s="19"/>
      <c r="B135" s="19"/>
      <c r="C135" s="19"/>
      <c r="D135" s="19"/>
      <c r="E135" s="20"/>
      <c r="F135" s="19"/>
      <c r="G135" s="20"/>
      <c r="H135" s="20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</row>
    <row r="136" spans="1:21" s="106" customFormat="1" ht="12.75" customHeight="1">
      <c r="A136" s="19"/>
      <c r="B136" s="19"/>
      <c r="C136" s="19"/>
      <c r="D136" s="19"/>
      <c r="E136" s="20"/>
      <c r="F136" s="19"/>
      <c r="G136" s="20"/>
      <c r="H136" s="20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</row>
    <row r="137" spans="1:21" s="106" customFormat="1" ht="12.75" customHeight="1">
      <c r="A137" s="19"/>
      <c r="B137" s="19"/>
      <c r="C137" s="19"/>
      <c r="D137" s="19"/>
      <c r="E137" s="20"/>
      <c r="F137" s="19"/>
      <c r="G137" s="20"/>
      <c r="H137" s="20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</row>
    <row r="138" spans="1:21" s="106" customFormat="1" ht="12.75" customHeight="1">
      <c r="A138" s="19"/>
      <c r="B138" s="19"/>
      <c r="C138" s="19"/>
      <c r="D138" s="19"/>
      <c r="E138" s="20"/>
      <c r="F138" s="19"/>
      <c r="G138" s="20"/>
      <c r="H138" s="20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</row>
    <row r="139" spans="1:21" s="106" customFormat="1" ht="12.75" customHeight="1">
      <c r="A139" s="19"/>
      <c r="B139" s="19"/>
      <c r="C139" s="19"/>
      <c r="D139" s="19"/>
      <c r="E139" s="20"/>
      <c r="F139" s="19"/>
      <c r="G139" s="20"/>
      <c r="H139" s="20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</row>
    <row r="140" spans="1:21" s="106" customFormat="1" ht="12.75" customHeight="1">
      <c r="A140" s="19"/>
      <c r="B140" s="19"/>
      <c r="C140" s="19"/>
      <c r="D140" s="19"/>
      <c r="E140" s="20"/>
      <c r="F140" s="19"/>
      <c r="G140" s="20"/>
      <c r="H140" s="20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 spans="1:21" s="106" customFormat="1" ht="12.75" customHeight="1">
      <c r="A141" s="19"/>
      <c r="B141" s="19"/>
      <c r="C141" s="19"/>
      <c r="D141" s="19"/>
      <c r="E141" s="20"/>
      <c r="F141" s="19"/>
      <c r="G141" s="20"/>
      <c r="H141" s="20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</row>
    <row r="142" spans="1:21" s="106" customFormat="1" ht="12.75" customHeight="1">
      <c r="A142" s="19"/>
      <c r="B142" s="19"/>
      <c r="C142" s="19"/>
      <c r="D142" s="19"/>
      <c r="E142" s="20"/>
      <c r="F142" s="19"/>
      <c r="G142" s="20"/>
      <c r="H142" s="20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</row>
    <row r="143" spans="1:21" s="106" customFormat="1" ht="12.75" customHeight="1">
      <c r="A143" s="19"/>
      <c r="B143" s="19"/>
      <c r="C143" s="19"/>
      <c r="D143" s="19"/>
      <c r="E143" s="20"/>
      <c r="F143" s="19"/>
      <c r="G143" s="20"/>
      <c r="H143" s="20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</row>
    <row r="144" spans="1:21" s="106" customFormat="1" ht="12.75" customHeight="1">
      <c r="A144" s="19"/>
      <c r="B144" s="19"/>
      <c r="C144" s="19"/>
      <c r="D144" s="19"/>
      <c r="E144" s="20"/>
      <c r="F144" s="19"/>
      <c r="G144" s="20"/>
      <c r="H144" s="20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</row>
    <row r="145" spans="1:21" s="106" customFormat="1" ht="12.75" customHeight="1">
      <c r="A145" s="19"/>
      <c r="B145" s="19"/>
      <c r="C145" s="19"/>
      <c r="D145" s="19"/>
      <c r="E145" s="20"/>
      <c r="F145" s="19"/>
      <c r="G145" s="20"/>
      <c r="H145" s="20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</row>
    <row r="146" spans="1:21" s="106" customFormat="1" ht="12.75" customHeight="1">
      <c r="A146" s="19"/>
      <c r="B146" s="19"/>
      <c r="C146" s="19"/>
      <c r="D146" s="19"/>
      <c r="E146" s="20"/>
      <c r="F146" s="19"/>
      <c r="G146" s="20"/>
      <c r="H146" s="20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</row>
    <row r="147" spans="1:21" s="106" customFormat="1" ht="12.75" customHeight="1">
      <c r="A147" s="19"/>
      <c r="B147" s="19"/>
      <c r="C147" s="19"/>
      <c r="D147" s="19"/>
      <c r="E147" s="20"/>
      <c r="F147" s="19"/>
      <c r="G147" s="20"/>
      <c r="H147" s="20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</row>
    <row r="148" spans="1:21" s="106" customFormat="1" ht="12.75" customHeight="1">
      <c r="A148" s="19"/>
      <c r="B148" s="19"/>
      <c r="C148" s="19"/>
      <c r="D148" s="19"/>
      <c r="E148" s="20"/>
      <c r="F148" s="19"/>
      <c r="G148" s="20"/>
      <c r="H148" s="20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</row>
    <row r="149" spans="1:21" s="106" customFormat="1" ht="12.75" customHeight="1">
      <c r="A149" s="19"/>
      <c r="B149" s="19"/>
      <c r="C149" s="19"/>
      <c r="D149" s="19"/>
      <c r="E149" s="20"/>
      <c r="F149" s="19"/>
      <c r="G149" s="20"/>
      <c r="H149" s="20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</row>
    <row r="150" spans="1:21" s="106" customFormat="1" ht="12.75" customHeight="1">
      <c r="A150" s="19"/>
      <c r="B150" s="19"/>
      <c r="C150" s="19"/>
      <c r="D150" s="19"/>
      <c r="E150" s="20"/>
      <c r="F150" s="19"/>
      <c r="G150" s="20"/>
      <c r="H150" s="20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</row>
    <row r="151" spans="1:21" s="106" customFormat="1" ht="12.75" customHeight="1">
      <c r="A151" s="19"/>
      <c r="B151" s="19"/>
      <c r="C151" s="19"/>
      <c r="D151" s="19"/>
      <c r="E151" s="20"/>
      <c r="F151" s="19"/>
      <c r="G151" s="20"/>
      <c r="H151" s="20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 spans="1:21" s="106" customFormat="1" ht="12.75" customHeight="1">
      <c r="A152" s="19"/>
      <c r="B152" s="19"/>
      <c r="C152" s="19"/>
      <c r="D152" s="19"/>
      <c r="E152" s="20"/>
      <c r="F152" s="19"/>
      <c r="G152" s="20"/>
      <c r="H152" s="20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</row>
    <row r="153" spans="1:21" s="106" customFormat="1" ht="12.75" customHeight="1">
      <c r="A153" s="19"/>
      <c r="B153" s="19"/>
      <c r="C153" s="19"/>
      <c r="D153" s="19"/>
      <c r="E153" s="20"/>
      <c r="F153" s="19"/>
      <c r="G153" s="20"/>
      <c r="H153" s="20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</row>
    <row r="154" spans="1:21" s="106" customFormat="1" ht="12.75" customHeight="1">
      <c r="A154" s="19"/>
      <c r="B154" s="19"/>
      <c r="C154" s="19"/>
      <c r="D154" s="19"/>
      <c r="E154" s="20"/>
      <c r="F154" s="19"/>
      <c r="G154" s="20"/>
      <c r="H154" s="20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</row>
    <row r="155" spans="1:21" s="106" customFormat="1" ht="12.75" customHeight="1">
      <c r="A155" s="19"/>
      <c r="B155" s="19"/>
      <c r="C155" s="19"/>
      <c r="D155" s="19"/>
      <c r="E155" s="20"/>
      <c r="F155" s="19"/>
      <c r="G155" s="20"/>
      <c r="H155" s="20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</row>
    <row r="156" spans="1:21" s="106" customFormat="1" ht="12.75" customHeight="1">
      <c r="A156" s="19"/>
      <c r="B156" s="19"/>
      <c r="C156" s="19"/>
      <c r="D156" s="19"/>
      <c r="E156" s="20"/>
      <c r="F156" s="19"/>
      <c r="G156" s="20"/>
      <c r="H156" s="20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</row>
    <row r="157" spans="1:21" s="106" customFormat="1" ht="12.75" customHeight="1">
      <c r="A157" s="19"/>
      <c r="B157" s="19"/>
      <c r="C157" s="19"/>
      <c r="D157" s="19"/>
      <c r="E157" s="20"/>
      <c r="F157" s="19"/>
      <c r="G157" s="20"/>
      <c r="H157" s="20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 spans="1:21" s="106" customFormat="1" ht="12.75" customHeight="1">
      <c r="A158" s="19"/>
      <c r="B158" s="19"/>
      <c r="C158" s="19"/>
      <c r="D158" s="19"/>
      <c r="E158" s="20"/>
      <c r="F158" s="19"/>
      <c r="G158" s="20"/>
      <c r="H158" s="20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</row>
    <row r="159" spans="1:21" s="106" customFormat="1" ht="12.75" customHeight="1">
      <c r="A159" s="19"/>
      <c r="B159" s="19"/>
      <c r="C159" s="19"/>
      <c r="D159" s="19"/>
      <c r="E159" s="20"/>
      <c r="F159" s="19"/>
      <c r="G159" s="20"/>
      <c r="H159" s="20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</row>
    <row r="160" spans="1:21" s="106" customFormat="1" ht="12.75" customHeight="1">
      <c r="A160" s="19"/>
      <c r="B160" s="19"/>
      <c r="C160" s="19"/>
      <c r="D160" s="19"/>
      <c r="E160" s="20"/>
      <c r="F160" s="19"/>
      <c r="G160" s="20"/>
      <c r="H160" s="20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</row>
    <row r="161" spans="1:21" s="106" customFormat="1" ht="12.75" customHeight="1">
      <c r="A161" s="19"/>
      <c r="B161" s="19"/>
      <c r="C161" s="19"/>
      <c r="D161" s="19"/>
      <c r="E161" s="20"/>
      <c r="F161" s="19"/>
      <c r="G161" s="20"/>
      <c r="H161" s="20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</row>
    <row r="162" spans="1:21" s="106" customFormat="1" ht="12.75" customHeight="1">
      <c r="A162" s="19"/>
      <c r="B162" s="19"/>
      <c r="C162" s="19"/>
      <c r="D162" s="19"/>
      <c r="E162" s="20"/>
      <c r="F162" s="19"/>
      <c r="G162" s="20"/>
      <c r="H162" s="20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</row>
    <row r="163" spans="1:21" s="106" customFormat="1" ht="12.75" customHeight="1">
      <c r="A163" s="19"/>
      <c r="B163" s="19"/>
      <c r="C163" s="19"/>
      <c r="D163" s="19"/>
      <c r="E163" s="20"/>
      <c r="F163" s="19"/>
      <c r="G163" s="20"/>
      <c r="H163" s="20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</row>
    <row r="164" spans="1:21" s="106" customFormat="1" ht="12.75" customHeight="1">
      <c r="A164" s="19"/>
      <c r="B164" s="19"/>
      <c r="C164" s="19"/>
      <c r="D164" s="19"/>
      <c r="E164" s="20"/>
      <c r="F164" s="19"/>
      <c r="G164" s="20"/>
      <c r="H164" s="20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</row>
    <row r="165" spans="1:21" s="106" customFormat="1" ht="12.75" customHeight="1">
      <c r="A165" s="19"/>
      <c r="B165" s="19"/>
      <c r="C165" s="19"/>
      <c r="D165" s="19"/>
      <c r="E165" s="20"/>
      <c r="F165" s="19"/>
      <c r="G165" s="20"/>
      <c r="H165" s="20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</row>
    <row r="166" spans="1:21" s="106" customFormat="1" ht="12.75" customHeight="1">
      <c r="A166" s="19"/>
      <c r="B166" s="19"/>
      <c r="C166" s="19"/>
      <c r="D166" s="19"/>
      <c r="E166" s="20"/>
      <c r="F166" s="19"/>
      <c r="G166" s="20"/>
      <c r="H166" s="20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</row>
    <row r="167" spans="1:21" s="106" customFormat="1" ht="12.75" customHeight="1">
      <c r="A167" s="19"/>
      <c r="B167" s="19"/>
      <c r="C167" s="19"/>
      <c r="D167" s="19"/>
      <c r="E167" s="20"/>
      <c r="F167" s="19"/>
      <c r="G167" s="20"/>
      <c r="H167" s="20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</row>
    <row r="168" spans="1:21" s="106" customFormat="1" ht="12.75" customHeight="1">
      <c r="A168" s="19"/>
      <c r="B168" s="19"/>
      <c r="C168" s="19"/>
      <c r="D168" s="19"/>
      <c r="E168" s="20"/>
      <c r="F168" s="19"/>
      <c r="G168" s="20"/>
      <c r="H168" s="20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</row>
    <row r="169" spans="1:21" s="106" customFormat="1" ht="12.75" customHeight="1">
      <c r="A169" s="19"/>
      <c r="B169" s="19"/>
      <c r="C169" s="19"/>
      <c r="D169" s="19"/>
      <c r="E169" s="20"/>
      <c r="F169" s="19"/>
      <c r="G169" s="20"/>
      <c r="H169" s="20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</row>
    <row r="170" spans="1:21" s="106" customFormat="1" ht="12.75" customHeight="1">
      <c r="A170" s="19"/>
      <c r="B170" s="19"/>
      <c r="C170" s="19"/>
      <c r="D170" s="19"/>
      <c r="E170" s="20"/>
      <c r="F170" s="19"/>
      <c r="G170" s="20"/>
      <c r="H170" s="20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</row>
    <row r="171" spans="1:21" s="106" customFormat="1" ht="12.75" customHeight="1">
      <c r="A171" s="19"/>
      <c r="B171" s="19"/>
      <c r="C171" s="19"/>
      <c r="D171" s="19"/>
      <c r="E171" s="20"/>
      <c r="F171" s="19"/>
      <c r="G171" s="20"/>
      <c r="H171" s="20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</row>
    <row r="172" spans="1:21" s="106" customFormat="1" ht="12.75" customHeight="1">
      <c r="A172" s="19"/>
      <c r="B172" s="19"/>
      <c r="C172" s="19"/>
      <c r="D172" s="19"/>
      <c r="E172" s="20"/>
      <c r="F172" s="19"/>
      <c r="G172" s="20"/>
      <c r="H172" s="20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</row>
    <row r="173" spans="1:21" s="106" customFormat="1" ht="12.75" customHeight="1">
      <c r="A173" s="19"/>
      <c r="B173" s="19"/>
      <c r="C173" s="19"/>
      <c r="D173" s="19"/>
      <c r="E173" s="20"/>
      <c r="F173" s="19"/>
      <c r="G173" s="20"/>
      <c r="H173" s="20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</row>
    <row r="174" spans="1:21" s="106" customFormat="1" ht="12.75" customHeight="1">
      <c r="A174" s="19"/>
      <c r="B174" s="19"/>
      <c r="C174" s="19"/>
      <c r="D174" s="19"/>
      <c r="E174" s="20"/>
      <c r="F174" s="19"/>
      <c r="G174" s="20"/>
      <c r="H174" s="20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 s="106" customFormat="1" ht="12.75" customHeight="1">
      <c r="A175" s="19"/>
      <c r="B175" s="19"/>
      <c r="C175" s="19"/>
      <c r="D175" s="19"/>
      <c r="E175" s="20"/>
      <c r="F175" s="19"/>
      <c r="G175" s="20"/>
      <c r="H175" s="20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 s="106" customFormat="1" ht="12.75" customHeight="1">
      <c r="A176" s="19"/>
      <c r="B176" s="19"/>
      <c r="C176" s="19"/>
      <c r="D176" s="19"/>
      <c r="E176" s="20"/>
      <c r="F176" s="19"/>
      <c r="G176" s="20"/>
      <c r="H176" s="20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 s="106" customFormat="1" ht="12.75" customHeight="1">
      <c r="A177" s="19"/>
      <c r="B177" s="19"/>
      <c r="C177" s="19"/>
      <c r="D177" s="19"/>
      <c r="E177" s="20"/>
      <c r="F177" s="19"/>
      <c r="G177" s="20"/>
      <c r="H177" s="20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 s="106" customFormat="1" ht="12.75" customHeight="1">
      <c r="A178" s="19"/>
      <c r="B178" s="19"/>
      <c r="C178" s="19"/>
      <c r="D178" s="19"/>
      <c r="E178" s="20"/>
      <c r="F178" s="19"/>
      <c r="G178" s="20"/>
      <c r="H178" s="20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 s="106" customFormat="1" ht="12.75" customHeight="1">
      <c r="A179" s="19"/>
      <c r="B179" s="19"/>
      <c r="C179" s="19"/>
      <c r="D179" s="19"/>
      <c r="E179" s="20"/>
      <c r="F179" s="19"/>
      <c r="G179" s="20"/>
      <c r="H179" s="20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 s="106" customFormat="1" ht="12.75" customHeight="1">
      <c r="A180" s="19"/>
      <c r="B180" s="19"/>
      <c r="C180" s="19"/>
      <c r="D180" s="19"/>
      <c r="E180" s="20"/>
      <c r="F180" s="19"/>
      <c r="G180" s="20"/>
      <c r="H180" s="20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 s="106" customFormat="1" ht="12.75" customHeight="1">
      <c r="A181" s="19"/>
      <c r="B181" s="19"/>
      <c r="C181" s="19"/>
      <c r="D181" s="19"/>
      <c r="E181" s="20"/>
      <c r="F181" s="19"/>
      <c r="G181" s="20"/>
      <c r="H181" s="20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 ht="12.75" customHeight="1"/>
    <row r="183" spans="1:21" ht="12.75" customHeight="1"/>
    <row r="184" spans="1:21" ht="12.75" customHeight="1"/>
    <row r="185" spans="1:21" ht="12.75" customHeight="1"/>
    <row r="186" spans="1:21" ht="12.75" customHeight="1"/>
    <row r="187" spans="1:21" ht="12.75" customHeight="1"/>
    <row r="188" spans="1:21" ht="12.75" customHeight="1"/>
    <row r="189" spans="1:21" ht="12.75" customHeight="1"/>
    <row r="190" spans="1:21" ht="12.75" customHeight="1"/>
    <row r="191" spans="1:21" ht="12.75" customHeight="1"/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</sheetData>
  <mergeCells count="12">
    <mergeCell ref="E3:E4"/>
    <mergeCell ref="F3:F4"/>
    <mergeCell ref="G3:J3"/>
    <mergeCell ref="K3:L3"/>
    <mergeCell ref="M3:N3"/>
    <mergeCell ref="J102:L102"/>
    <mergeCell ref="O3:P3"/>
    <mergeCell ref="Q3:R3"/>
    <mergeCell ref="S3:U3"/>
    <mergeCell ref="Q94:R94"/>
    <mergeCell ref="J100:L100"/>
    <mergeCell ref="J101:L101"/>
  </mergeCells>
  <conditionalFormatting sqref="U9:U17">
    <cfRule type="cellIs" dxfId="97" priority="58" operator="greaterThan">
      <formula>1</formula>
    </cfRule>
    <cfRule type="cellIs" dxfId="96" priority="59" operator="greaterThan">
      <formula>100</formula>
    </cfRule>
  </conditionalFormatting>
  <conditionalFormatting sqref="U8">
    <cfRule type="cellIs" dxfId="95" priority="54" operator="greaterThan">
      <formula>1</formula>
    </cfRule>
    <cfRule type="cellIs" dxfId="94" priority="55" operator="greaterThan">
      <formula>100</formula>
    </cfRule>
  </conditionalFormatting>
  <conditionalFormatting sqref="U19:U24">
    <cfRule type="cellIs" dxfId="93" priority="52" operator="greaterThan">
      <formula>1</formula>
    </cfRule>
    <cfRule type="cellIs" dxfId="92" priority="53" operator="greaterThan">
      <formula>100</formula>
    </cfRule>
  </conditionalFormatting>
  <conditionalFormatting sqref="U31:U65">
    <cfRule type="cellIs" dxfId="91" priority="48" operator="greaterThan">
      <formula>1</formula>
    </cfRule>
    <cfRule type="cellIs" dxfId="90" priority="49" operator="greaterThan">
      <formula>100</formula>
    </cfRule>
  </conditionalFormatting>
  <conditionalFormatting sqref="U26:U30">
    <cfRule type="cellIs" dxfId="89" priority="46" operator="greaterThan">
      <formula>1</formula>
    </cfRule>
    <cfRule type="cellIs" dxfId="88" priority="47" operator="greaterThan">
      <formula>100</formula>
    </cfRule>
  </conditionalFormatting>
  <conditionalFormatting sqref="U86:U91">
    <cfRule type="cellIs" dxfId="87" priority="36" operator="greaterThan">
      <formula>1</formula>
    </cfRule>
    <cfRule type="cellIs" dxfId="86" priority="37" operator="greaterThan">
      <formula>100</formula>
    </cfRule>
  </conditionalFormatting>
  <conditionalFormatting sqref="U67:U82">
    <cfRule type="cellIs" dxfId="85" priority="44" operator="greaterThan">
      <formula>1</formula>
    </cfRule>
    <cfRule type="cellIs" dxfId="84" priority="45" operator="greaterThan">
      <formula>100</formula>
    </cfRule>
  </conditionalFormatting>
  <conditionalFormatting sqref="U84">
    <cfRule type="cellIs" dxfId="83" priority="38" operator="greaterThan">
      <formula>1</formula>
    </cfRule>
    <cfRule type="cellIs" dxfId="82" priority="39" operator="greaterThan">
      <formula>100</formula>
    </cfRule>
  </conditionalFormatting>
  <conditionalFormatting sqref="U93">
    <cfRule type="cellIs" dxfId="81" priority="34" operator="greaterThan">
      <formula>1</formula>
    </cfRule>
    <cfRule type="cellIs" dxfId="80" priority="35" operator="greaterThan">
      <formula>100</formula>
    </cfRule>
  </conditionalFormatting>
  <conditionalFormatting sqref="U7">
    <cfRule type="cellIs" dxfId="79" priority="32" operator="greaterThan">
      <formula>1</formula>
    </cfRule>
    <cfRule type="cellIs" dxfId="78" priority="33" operator="greaterThan">
      <formula>100</formula>
    </cfRule>
  </conditionalFormatting>
  <conditionalFormatting sqref="U18">
    <cfRule type="cellIs" dxfId="77" priority="30" operator="greaterThan">
      <formula>1</formula>
    </cfRule>
    <cfRule type="cellIs" dxfId="76" priority="31" operator="greaterThan">
      <formula>100</formula>
    </cfRule>
  </conditionalFormatting>
  <conditionalFormatting sqref="U25">
    <cfRule type="cellIs" dxfId="75" priority="28" operator="greaterThan">
      <formula>1</formula>
    </cfRule>
    <cfRule type="cellIs" dxfId="74" priority="29" operator="greaterThan">
      <formula>100</formula>
    </cfRule>
  </conditionalFormatting>
  <conditionalFormatting sqref="U66">
    <cfRule type="cellIs" dxfId="73" priority="26" operator="greaterThan">
      <formula>1</formula>
    </cfRule>
    <cfRule type="cellIs" dxfId="72" priority="27" operator="greaterThan">
      <formula>100</formula>
    </cfRule>
  </conditionalFormatting>
  <conditionalFormatting sqref="U83">
    <cfRule type="cellIs" dxfId="71" priority="24" operator="greaterThan">
      <formula>1</formula>
    </cfRule>
    <cfRule type="cellIs" dxfId="70" priority="25" operator="greaterThan">
      <formula>100</formula>
    </cfRule>
  </conditionalFormatting>
  <conditionalFormatting sqref="U85">
    <cfRule type="cellIs" dxfId="69" priority="22" operator="greaterThan">
      <formula>1</formula>
    </cfRule>
    <cfRule type="cellIs" dxfId="68" priority="23" operator="greaterThan">
      <formula>100</formula>
    </cfRule>
  </conditionalFormatting>
  <conditionalFormatting sqref="S93 S5:U6 S7:T91">
    <cfRule type="cellIs" dxfId="67" priority="21" operator="equal">
      <formula>0</formula>
    </cfRule>
  </conditionalFormatting>
  <conditionalFormatting sqref="S7">
    <cfRule type="cellIs" priority="20" operator="equal">
      <formula>0</formula>
    </cfRule>
  </conditionalFormatting>
  <conditionalFormatting sqref="S7 S18 S25 S66 S83 S85 S5">
    <cfRule type="cellIs" dxfId="66" priority="19" operator="equal">
      <formula>0</formula>
    </cfRule>
  </conditionalFormatting>
  <conditionalFormatting sqref="T5">
    <cfRule type="cellIs" dxfId="65" priority="17" operator="equal">
      <formula>0</formula>
    </cfRule>
  </conditionalFormatting>
  <conditionalFormatting sqref="U5">
    <cfRule type="cellIs" dxfId="64" priority="15" operator="equal">
      <formula>0</formula>
    </cfRule>
  </conditionalFormatting>
  <conditionalFormatting sqref="T7">
    <cfRule type="cellIs" priority="13" operator="equal">
      <formula>0</formula>
    </cfRule>
  </conditionalFormatting>
  <conditionalFormatting sqref="T7">
    <cfRule type="cellIs" dxfId="63" priority="12" operator="equal">
      <formula>0</formula>
    </cfRule>
  </conditionalFormatting>
  <conditionalFormatting sqref="T18">
    <cfRule type="cellIs" dxfId="62" priority="10" operator="equal">
      <formula>0</formula>
    </cfRule>
  </conditionalFormatting>
  <conditionalFormatting sqref="T25">
    <cfRule type="cellIs" dxfId="61" priority="8" operator="equal">
      <formula>0</formula>
    </cfRule>
  </conditionalFormatting>
  <conditionalFormatting sqref="T66">
    <cfRule type="cellIs" dxfId="60" priority="6" operator="equal">
      <formula>0</formula>
    </cfRule>
  </conditionalFormatting>
  <conditionalFormatting sqref="T83">
    <cfRule type="cellIs" dxfId="59" priority="4" operator="equal">
      <formula>0</formula>
    </cfRule>
  </conditionalFormatting>
  <conditionalFormatting sqref="T85">
    <cfRule type="cellIs" dxfId="58" priority="2" operator="equal">
      <formula>0</formula>
    </cfRule>
  </conditionalFormatting>
  <conditionalFormatting sqref="S93">
    <cfRule type="cellIs" dxfId="57" priority="1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51" min="4" max="1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A1:T57"/>
  <sheetViews>
    <sheetView view="pageBreakPreview" topLeftCell="D5" zoomScale="145" zoomScaleNormal="85" zoomScaleSheetLayoutView="145" workbookViewId="0">
      <selection activeCell="K11" sqref="K11"/>
    </sheetView>
  </sheetViews>
  <sheetFormatPr baseColWidth="10" defaultColWidth="11.44140625" defaultRowHeight="14.4"/>
  <cols>
    <col min="1" max="1" width="8.6640625" style="623" customWidth="1"/>
    <col min="2" max="2" width="10.6640625" style="182" customWidth="1"/>
    <col min="3" max="3" width="13.6640625" style="182" customWidth="1"/>
    <col min="4" max="4" width="6.6640625" style="182" customWidth="1"/>
    <col min="5" max="5" width="14.33203125" style="182" customWidth="1"/>
    <col min="6" max="6" width="15" style="182" customWidth="1"/>
    <col min="7" max="7" width="14.33203125" style="182" customWidth="1"/>
    <col min="8" max="8" width="6.6640625" style="182" customWidth="1"/>
    <col min="9" max="9" width="12.6640625" style="182" customWidth="1"/>
    <col min="10" max="10" width="6.6640625" style="182" customWidth="1"/>
    <col min="11" max="11" width="12.6640625" style="182" customWidth="1"/>
    <col min="12" max="12" width="6.6640625" style="182" customWidth="1"/>
    <col min="13" max="13" width="12.6640625" style="182" hidden="1" customWidth="1"/>
    <col min="14" max="14" width="7.6640625" style="182" customWidth="1"/>
    <col min="15" max="15" width="12.6640625" style="182" customWidth="1"/>
    <col min="16" max="16" width="6.6640625" style="182" customWidth="1"/>
    <col min="17" max="17" width="13.109375" style="177" bestFit="1" customWidth="1"/>
    <col min="18" max="18" width="6.6640625" style="177" customWidth="1"/>
    <col min="19" max="19" width="15.109375" style="177" bestFit="1" customWidth="1"/>
    <col min="20" max="20" width="13.6640625" style="177" bestFit="1" customWidth="1"/>
    <col min="21" max="16384" width="11.44140625" style="177"/>
  </cols>
  <sheetData>
    <row r="1" spans="1:19" s="180" customFormat="1" ht="15.6">
      <c r="A1" s="1604"/>
      <c r="B1" s="1605"/>
      <c r="C1" s="1605"/>
      <c r="D1" s="632"/>
      <c r="E1" s="1619" t="str">
        <f>+Certificado!C1</f>
        <v>CERTIFICADO DE PAGO Nº 4</v>
      </c>
      <c r="F1" s="1620"/>
      <c r="G1" s="1620"/>
      <c r="H1" s="1620"/>
      <c r="I1" s="1620"/>
      <c r="J1" s="1620"/>
      <c r="K1" s="1620"/>
      <c r="L1" s="1620"/>
      <c r="M1" s="1620"/>
      <c r="N1" s="1621"/>
      <c r="O1" s="189"/>
      <c r="P1" s="636"/>
      <c r="Q1" s="645"/>
      <c r="R1" s="639"/>
    </row>
    <row r="2" spans="1:19" s="180" customFormat="1" ht="15" customHeight="1">
      <c r="A2" s="619"/>
      <c r="B2" s="185"/>
      <c r="C2" s="631"/>
      <c r="D2" s="735"/>
      <c r="E2" s="1622"/>
      <c r="F2" s="1623"/>
      <c r="G2" s="1623"/>
      <c r="H2" s="1623"/>
      <c r="I2" s="1623"/>
      <c r="J2" s="1623"/>
      <c r="K2" s="1623"/>
      <c r="L2" s="1623"/>
      <c r="M2" s="1623"/>
      <c r="N2" s="1624"/>
      <c r="O2" s="190"/>
      <c r="P2" s="637"/>
      <c r="Q2" s="642"/>
      <c r="R2" s="191"/>
    </row>
    <row r="3" spans="1:19" s="180" customFormat="1" ht="15" customHeight="1">
      <c r="A3" s="619"/>
      <c r="B3" s="185"/>
      <c r="C3" s="631"/>
      <c r="D3" s="735"/>
      <c r="E3" s="1616" t="str">
        <f>+Datos!B2</f>
        <v>PROYECTO: CONSTRUCCION Y REHABILITACION TRAMO CARRETERO VILLA MONTES - LA VERTIENTE - PALO MARCADO</v>
      </c>
      <c r="F3" s="1617"/>
      <c r="G3" s="1617"/>
      <c r="H3" s="1617"/>
      <c r="I3" s="1617"/>
      <c r="J3" s="1617"/>
      <c r="K3" s="1617"/>
      <c r="L3" s="1617"/>
      <c r="M3" s="1617"/>
      <c r="N3" s="1618"/>
      <c r="O3" s="190"/>
      <c r="P3" s="637"/>
      <c r="Q3" s="642"/>
      <c r="R3" s="191"/>
    </row>
    <row r="4" spans="1:19" s="180" customFormat="1" ht="15" customHeight="1">
      <c r="A4" s="619"/>
      <c r="B4" s="185"/>
      <c r="C4" s="631"/>
      <c r="D4" s="735"/>
      <c r="E4" s="1616"/>
      <c r="F4" s="1617"/>
      <c r="G4" s="1617"/>
      <c r="H4" s="1617"/>
      <c r="I4" s="1617"/>
      <c r="J4" s="1617"/>
      <c r="K4" s="1617"/>
      <c r="L4" s="1617"/>
      <c r="M4" s="1617"/>
      <c r="N4" s="1618"/>
      <c r="O4" s="190"/>
      <c r="P4" s="637"/>
      <c r="Q4" s="642"/>
      <c r="R4" s="191"/>
    </row>
    <row r="5" spans="1:19" s="180" customFormat="1" ht="15" customHeight="1">
      <c r="A5" s="620"/>
      <c r="B5" s="186"/>
      <c r="C5" s="631"/>
      <c r="D5" s="188"/>
      <c r="E5" s="1631" t="s">
        <v>386</v>
      </c>
      <c r="F5" s="1632"/>
      <c r="G5" s="1632"/>
      <c r="H5" s="1632"/>
      <c r="I5" s="1632"/>
      <c r="J5" s="1632"/>
      <c r="K5" s="1632"/>
      <c r="L5" s="1632"/>
      <c r="M5" s="1632"/>
      <c r="N5" s="1633"/>
      <c r="O5" s="643"/>
      <c r="P5" s="644"/>
      <c r="Q5" s="644"/>
      <c r="R5" s="627"/>
    </row>
    <row r="6" spans="1:19" s="180" customFormat="1" ht="11.25" customHeight="1">
      <c r="A6" s="1613" t="s">
        <v>155</v>
      </c>
      <c r="B6" s="1614"/>
      <c r="C6" s="1614"/>
      <c r="D6" s="1615"/>
      <c r="E6" s="1634"/>
      <c r="F6" s="1635"/>
      <c r="G6" s="1635"/>
      <c r="H6" s="1635"/>
      <c r="I6" s="1635"/>
      <c r="J6" s="1635"/>
      <c r="K6" s="1635"/>
      <c r="L6" s="1635"/>
      <c r="M6" s="1635"/>
      <c r="N6" s="1636"/>
      <c r="O6" s="1589" t="s">
        <v>244</v>
      </c>
      <c r="P6" s="1590"/>
      <c r="Q6" s="1590"/>
      <c r="R6" s="1591"/>
    </row>
    <row r="7" spans="1:19" s="181" customFormat="1" ht="17.100000000000001" customHeight="1">
      <c r="A7" s="624" t="s">
        <v>190</v>
      </c>
      <c r="B7" s="201"/>
      <c r="C7" s="640"/>
      <c r="D7" s="640"/>
      <c r="E7" s="626">
        <f>+Certificado!$J$16</f>
        <v>108397839.64</v>
      </c>
      <c r="F7" s="187"/>
      <c r="G7" s="187"/>
      <c r="H7" s="187"/>
      <c r="I7" s="187"/>
      <c r="J7" s="187"/>
      <c r="K7" s="178"/>
      <c r="L7" s="178"/>
      <c r="M7" s="638"/>
      <c r="N7" s="638"/>
      <c r="O7" s="178"/>
      <c r="P7" s="178"/>
      <c r="Q7" s="638"/>
      <c r="R7" s="192"/>
    </row>
    <row r="8" spans="1:19" s="181" customFormat="1" ht="21.75" customHeight="1">
      <c r="A8" s="1627" t="s">
        <v>387</v>
      </c>
      <c r="B8" s="1629" t="s">
        <v>193</v>
      </c>
      <c r="C8" s="1608" t="s">
        <v>192</v>
      </c>
      <c r="D8" s="1609"/>
      <c r="E8" s="1606" t="s">
        <v>392</v>
      </c>
      <c r="F8" s="1607"/>
      <c r="G8" s="1607"/>
      <c r="H8" s="1607"/>
      <c r="I8" s="1592" t="s">
        <v>430</v>
      </c>
      <c r="J8" s="1593"/>
      <c r="K8" s="1592" t="s">
        <v>464</v>
      </c>
      <c r="L8" s="1593"/>
      <c r="M8" s="1598" t="s">
        <v>397</v>
      </c>
      <c r="N8" s="1595"/>
      <c r="O8" s="1600" t="s">
        <v>394</v>
      </c>
      <c r="P8" s="1593"/>
      <c r="Q8" s="1592" t="s">
        <v>196</v>
      </c>
      <c r="R8" s="1593"/>
    </row>
    <row r="9" spans="1:19" s="181" customFormat="1" ht="47.4" customHeight="1">
      <c r="A9" s="1628"/>
      <c r="B9" s="1630"/>
      <c r="C9" s="1610"/>
      <c r="D9" s="1611"/>
      <c r="E9" s="1051" t="s">
        <v>384</v>
      </c>
      <c r="F9" s="1052" t="s">
        <v>395</v>
      </c>
      <c r="G9" s="1612" t="s">
        <v>393</v>
      </c>
      <c r="H9" s="1612"/>
      <c r="I9" s="1596"/>
      <c r="J9" s="1597"/>
      <c r="K9" s="1596"/>
      <c r="L9" s="1597"/>
      <c r="M9" s="1599"/>
      <c r="N9" s="1597"/>
      <c r="O9" s="1599"/>
      <c r="P9" s="1597"/>
      <c r="Q9" s="1594"/>
      <c r="R9" s="1595"/>
    </row>
    <row r="10" spans="1:19" s="181" customFormat="1" ht="17.100000000000001" customHeight="1">
      <c r="A10" s="621" t="s">
        <v>390</v>
      </c>
      <c r="B10" s="274" t="s">
        <v>389</v>
      </c>
      <c r="C10" s="633" t="s">
        <v>388</v>
      </c>
      <c r="D10" s="274" t="s">
        <v>391</v>
      </c>
      <c r="E10" s="275" t="s">
        <v>388</v>
      </c>
      <c r="F10" s="635" t="s">
        <v>388</v>
      </c>
      <c r="G10" s="635" t="s">
        <v>388</v>
      </c>
      <c r="H10" s="273" t="s">
        <v>391</v>
      </c>
      <c r="I10" s="275" t="s">
        <v>388</v>
      </c>
      <c r="J10" s="618" t="s">
        <v>391</v>
      </c>
      <c r="K10" s="275" t="s">
        <v>388</v>
      </c>
      <c r="L10" s="618" t="s">
        <v>391</v>
      </c>
      <c r="M10" s="634" t="s">
        <v>388</v>
      </c>
      <c r="N10" s="618" t="s">
        <v>391</v>
      </c>
      <c r="O10" s="634" t="s">
        <v>388</v>
      </c>
      <c r="P10" s="618" t="s">
        <v>391</v>
      </c>
      <c r="Q10" s="275" t="s">
        <v>388</v>
      </c>
      <c r="R10" s="618" t="s">
        <v>391</v>
      </c>
    </row>
    <row r="11" spans="1:19" s="181" customFormat="1" ht="17.100000000000001" customHeight="1">
      <c r="A11" s="1080" t="s">
        <v>627</v>
      </c>
      <c r="B11" s="1130">
        <v>43726</v>
      </c>
      <c r="C11" s="1131">
        <v>0</v>
      </c>
      <c r="D11" s="1132">
        <f>+C11*100/E$7</f>
        <v>0</v>
      </c>
      <c r="E11" s="1131"/>
      <c r="F11" s="1133"/>
      <c r="G11" s="1133"/>
      <c r="H11" s="1132"/>
      <c r="I11" s="1131"/>
      <c r="J11" s="1134"/>
      <c r="K11" s="1131"/>
      <c r="L11" s="1134"/>
      <c r="M11" s="1135"/>
      <c r="N11" s="1134"/>
      <c r="O11" s="1136"/>
      <c r="P11" s="1134"/>
      <c r="Q11" s="1137">
        <f>+Anticipo!H8</f>
        <v>21679567.93</v>
      </c>
      <c r="R11" s="1138">
        <f>+Q11/E7</f>
        <v>0.20000000001845056</v>
      </c>
      <c r="S11" s="181">
        <v>21679567.93</v>
      </c>
    </row>
    <row r="12" spans="1:19" s="181" customFormat="1" ht="17.100000000000001" customHeight="1">
      <c r="A12" s="1139">
        <v>1</v>
      </c>
      <c r="B12" s="1130">
        <v>44075</v>
      </c>
      <c r="C12" s="1140">
        <v>230575.22</v>
      </c>
      <c r="D12" s="1141">
        <f t="shared" ref="D12" si="0">+C12/$E$7</f>
        <v>2.1271200677593135E-3</v>
      </c>
      <c r="E12" s="1142"/>
      <c r="F12" s="1143"/>
      <c r="G12" s="1143"/>
      <c r="H12" s="1144"/>
      <c r="I12" s="1142">
        <f t="shared" ref="I12:I13" si="1">+ROUND(C12*0.2,2)</f>
        <v>46115.040000000001</v>
      </c>
      <c r="J12" s="1141">
        <f t="shared" ref="J12:J13" si="2">+I12/$E$7</f>
        <v>4.2542397665075828E-4</v>
      </c>
      <c r="K12" s="1142">
        <f t="shared" ref="K12:K13" si="3">+ROUND(C12*0.07,2)</f>
        <v>16140.27</v>
      </c>
      <c r="L12" s="1145">
        <f t="shared" ref="L12:L13" si="4">+K12/$E$7</f>
        <v>1.4889844717942203E-4</v>
      </c>
      <c r="M12" s="1146"/>
      <c r="N12" s="1147"/>
      <c r="O12" s="1142"/>
      <c r="P12" s="1147"/>
      <c r="Q12" s="1142">
        <f t="shared" ref="Q12" si="5">+C12-I12-K12</f>
        <v>168319.91</v>
      </c>
      <c r="R12" s="1138">
        <f t="shared" ref="R12:R13" si="6">+D12-J12-L12</f>
        <v>1.552797643929133E-3</v>
      </c>
      <c r="S12" s="1018"/>
    </row>
    <row r="13" spans="1:19" s="181" customFormat="1" ht="17.100000000000001" customHeight="1">
      <c r="A13" s="1139">
        <v>2</v>
      </c>
      <c r="B13" s="1130">
        <v>44105</v>
      </c>
      <c r="C13" s="1140">
        <v>515942.20000000007</v>
      </c>
      <c r="D13" s="1141">
        <f t="shared" ref="D13" si="7">+C13/$E$7</f>
        <v>4.7597092498660063E-3</v>
      </c>
      <c r="E13" s="1142"/>
      <c r="F13" s="1143"/>
      <c r="G13" s="1143"/>
      <c r="H13" s="1144"/>
      <c r="I13" s="1142">
        <f t="shared" si="1"/>
        <v>103188.44</v>
      </c>
      <c r="J13" s="1145">
        <f t="shared" si="2"/>
        <v>9.5194184997320118E-4</v>
      </c>
      <c r="K13" s="1142">
        <f t="shared" si="3"/>
        <v>36115.949999999997</v>
      </c>
      <c r="L13" s="1145">
        <f t="shared" si="4"/>
        <v>3.3317961058951598E-4</v>
      </c>
      <c r="M13" s="1146"/>
      <c r="N13" s="1147"/>
      <c r="O13" s="1142"/>
      <c r="P13" s="1147"/>
      <c r="Q13" s="1142">
        <f>+C13-I13-K13</f>
        <v>376637.81000000006</v>
      </c>
      <c r="R13" s="1138">
        <f t="shared" si="6"/>
        <v>3.4745877893032893E-3</v>
      </c>
      <c r="S13" s="1018"/>
    </row>
    <row r="14" spans="1:19" s="181" customFormat="1" ht="17.100000000000001" customHeight="1">
      <c r="A14" s="1139">
        <v>3</v>
      </c>
      <c r="B14" s="1130">
        <v>44136</v>
      </c>
      <c r="C14" s="1142">
        <v>778326.78</v>
      </c>
      <c r="D14" s="1141">
        <f t="shared" ref="D14:D15" si="8">+C14/$E$7</f>
        <v>7.1802794463884205E-3</v>
      </c>
      <c r="E14" s="1142"/>
      <c r="F14" s="1143"/>
      <c r="G14" s="1143"/>
      <c r="H14" s="1144"/>
      <c r="I14" s="1142">
        <f t="shared" ref="I14" si="9">+ROUND(C14*0.2,2)</f>
        <v>155665.35999999999</v>
      </c>
      <c r="J14" s="1145">
        <f t="shared" ref="J14" si="10">+I14/$E$7</f>
        <v>1.4360559261787885E-3</v>
      </c>
      <c r="K14" s="1142">
        <f t="shared" ref="K14" si="11">+ROUND(C14*0.07,2)</f>
        <v>54482.87</v>
      </c>
      <c r="L14" s="1145">
        <f t="shared" ref="L14" si="12">+K14/$E$7</f>
        <v>5.026195188109194E-4</v>
      </c>
      <c r="M14" s="1146"/>
      <c r="N14" s="1147"/>
      <c r="O14" s="1142"/>
      <c r="P14" s="1147"/>
      <c r="Q14" s="1142">
        <f>+C14-I14-K14</f>
        <v>568178.55000000005</v>
      </c>
      <c r="R14" s="1138">
        <f t="shared" ref="R14" si="13">+D14-J14-L14</f>
        <v>5.2416040013987123E-3</v>
      </c>
      <c r="S14" s="1018"/>
    </row>
    <row r="15" spans="1:19" s="181" customFormat="1" ht="17.100000000000001" customHeight="1">
      <c r="A15" s="1139">
        <v>4</v>
      </c>
      <c r="B15" s="1130" t="s">
        <v>670</v>
      </c>
      <c r="C15" s="1142">
        <f>+'Planilla de Avance'!N104</f>
        <v>86910.98</v>
      </c>
      <c r="D15" s="1141">
        <f t="shared" si="8"/>
        <v>8.0177778716476267E-4</v>
      </c>
      <c r="E15" s="1142"/>
      <c r="F15" s="1143"/>
      <c r="G15" s="1143"/>
      <c r="H15" s="1144"/>
      <c r="I15" s="1142">
        <f>+ROUND(C15*0.2,2)</f>
        <v>17382.2</v>
      </c>
      <c r="J15" s="1145">
        <f t="shared" ref="J15" si="14">+I15/$E$7</f>
        <v>1.6035559433405698E-4</v>
      </c>
      <c r="K15" s="1142">
        <f>+ROUND(C15*0.07,2)</f>
        <v>6083.77</v>
      </c>
      <c r="L15" s="1145">
        <f>+K15/$E$7</f>
        <v>5.6124458016919943E-5</v>
      </c>
      <c r="M15" s="1146"/>
      <c r="N15" s="1147"/>
      <c r="O15" s="1142"/>
      <c r="P15" s="1147"/>
      <c r="Q15" s="1142">
        <f>+C15-I15-K15</f>
        <v>63445.009999999995</v>
      </c>
      <c r="R15" s="1138">
        <f t="shared" ref="R15" si="15">+D15-J15-L15</f>
        <v>5.852977348137858E-4</v>
      </c>
      <c r="S15" s="1019"/>
    </row>
    <row r="16" spans="1:19" s="181" customFormat="1" ht="17.100000000000001" customHeight="1">
      <c r="A16" s="1139"/>
      <c r="B16" s="1130"/>
      <c r="C16" s="1142"/>
      <c r="D16" s="1141"/>
      <c r="E16" s="1142"/>
      <c r="F16" s="1143"/>
      <c r="G16" s="1143"/>
      <c r="H16" s="1144"/>
      <c r="I16" s="1142"/>
      <c r="J16" s="1145"/>
      <c r="K16" s="1142"/>
      <c r="L16" s="1145"/>
      <c r="M16" s="1179"/>
      <c r="N16" s="1180"/>
      <c r="O16" s="1142"/>
      <c r="P16" s="1147"/>
      <c r="Q16" s="1142"/>
      <c r="R16" s="1138"/>
      <c r="S16" s="613"/>
    </row>
    <row r="17" spans="1:20" s="181" customFormat="1" ht="17.100000000000001" customHeight="1">
      <c r="A17" s="1139"/>
      <c r="B17" s="1130"/>
      <c r="C17" s="1142"/>
      <c r="D17" s="1141"/>
      <c r="E17" s="1142"/>
      <c r="F17" s="1143"/>
      <c r="G17" s="1143"/>
      <c r="H17" s="1144"/>
      <c r="I17" s="1142"/>
      <c r="J17" s="1145"/>
      <c r="K17" s="1142"/>
      <c r="L17" s="1145"/>
      <c r="M17" s="1146"/>
      <c r="N17" s="1147"/>
      <c r="O17" s="1142"/>
      <c r="P17" s="1147"/>
      <c r="Q17" s="1142"/>
      <c r="R17" s="1138"/>
    </row>
    <row r="18" spans="1:20" s="181" customFormat="1" ht="17.100000000000001" customHeight="1">
      <c r="A18" s="1139"/>
      <c r="B18" s="1130"/>
      <c r="C18" s="1142"/>
      <c r="D18" s="1141"/>
      <c r="E18" s="1142"/>
      <c r="F18" s="1143"/>
      <c r="G18" s="1143"/>
      <c r="H18" s="1144"/>
      <c r="I18" s="1142"/>
      <c r="J18" s="1145"/>
      <c r="K18" s="1142"/>
      <c r="L18" s="1145"/>
      <c r="M18" s="1146"/>
      <c r="N18" s="1147"/>
      <c r="O18" s="1142"/>
      <c r="P18" s="1147"/>
      <c r="Q18" s="1142"/>
      <c r="R18" s="1138"/>
    </row>
    <row r="19" spans="1:20" s="181" customFormat="1" ht="17.100000000000001" customHeight="1">
      <c r="A19" s="1139"/>
      <c r="B19" s="1130"/>
      <c r="C19" s="1142"/>
      <c r="D19" s="1144"/>
      <c r="E19" s="1142"/>
      <c r="F19" s="1143"/>
      <c r="G19" s="1143"/>
      <c r="H19" s="1144"/>
      <c r="I19" s="1142"/>
      <c r="J19" s="1147"/>
      <c r="K19" s="1142"/>
      <c r="L19" s="1147"/>
      <c r="M19" s="1146"/>
      <c r="N19" s="1147"/>
      <c r="O19" s="1142"/>
      <c r="P19" s="1147"/>
      <c r="Q19" s="1142"/>
      <c r="R19" s="1178"/>
    </row>
    <row r="20" spans="1:20" s="181" customFormat="1" ht="17.100000000000001" customHeight="1">
      <c r="A20" s="1139"/>
      <c r="B20" s="1130"/>
      <c r="C20" s="1142"/>
      <c r="D20" s="1144"/>
      <c r="E20" s="1142"/>
      <c r="F20" s="1143"/>
      <c r="G20" s="1143"/>
      <c r="H20" s="1144"/>
      <c r="I20" s="1142"/>
      <c r="J20" s="1147"/>
      <c r="K20" s="1142"/>
      <c r="L20" s="1147"/>
      <c r="M20" s="1146"/>
      <c r="N20" s="1147"/>
      <c r="O20" s="1142"/>
      <c r="P20" s="1147"/>
      <c r="Q20" s="1142"/>
      <c r="R20" s="1178"/>
    </row>
    <row r="21" spans="1:20" s="181" customFormat="1" ht="17.100000000000001" customHeight="1">
      <c r="A21" s="1139"/>
      <c r="B21" s="1130"/>
      <c r="C21" s="1142"/>
      <c r="D21" s="1144"/>
      <c r="E21" s="1142"/>
      <c r="F21" s="1143"/>
      <c r="G21" s="1143"/>
      <c r="H21" s="1144"/>
      <c r="I21" s="1142"/>
      <c r="J21" s="1147"/>
      <c r="K21" s="1142"/>
      <c r="L21" s="1147"/>
      <c r="M21" s="1146"/>
      <c r="N21" s="1147"/>
      <c r="O21" s="1142"/>
      <c r="P21" s="1147"/>
      <c r="Q21" s="1142"/>
      <c r="R21" s="1178"/>
      <c r="S21" s="745"/>
      <c r="T21" s="746"/>
    </row>
    <row r="22" spans="1:20" s="181" customFormat="1" ht="17.100000000000001" customHeight="1">
      <c r="A22" s="1139"/>
      <c r="B22" s="1130"/>
      <c r="C22" s="1142"/>
      <c r="D22" s="1144"/>
      <c r="E22" s="1142"/>
      <c r="F22" s="1143"/>
      <c r="G22" s="1143"/>
      <c r="H22" s="1144"/>
      <c r="I22" s="1142"/>
      <c r="J22" s="1147"/>
      <c r="K22" s="1142"/>
      <c r="L22" s="1147"/>
      <c r="M22" s="1146"/>
      <c r="N22" s="1147"/>
      <c r="O22" s="1142"/>
      <c r="P22" s="1147"/>
      <c r="Q22" s="1142"/>
      <c r="R22" s="1178"/>
      <c r="T22" s="745"/>
    </row>
    <row r="23" spans="1:20" s="181" customFormat="1" ht="17.100000000000001" customHeight="1">
      <c r="A23" s="1139"/>
      <c r="B23" s="1130"/>
      <c r="C23" s="1142"/>
      <c r="D23" s="1144"/>
      <c r="E23" s="1142"/>
      <c r="F23" s="1143"/>
      <c r="G23" s="1143"/>
      <c r="H23" s="1144"/>
      <c r="I23" s="1142"/>
      <c r="J23" s="1147"/>
      <c r="K23" s="1142"/>
      <c r="L23" s="1147"/>
      <c r="M23" s="1146"/>
      <c r="N23" s="1147"/>
      <c r="O23" s="1142"/>
      <c r="P23" s="1147"/>
      <c r="Q23" s="1142"/>
      <c r="R23" s="1178"/>
    </row>
    <row r="24" spans="1:20" s="181" customFormat="1" ht="17.100000000000001" customHeight="1">
      <c r="A24" s="1139"/>
      <c r="B24" s="1130"/>
      <c r="C24" s="1142"/>
      <c r="D24" s="1144"/>
      <c r="E24" s="1142"/>
      <c r="F24" s="1143"/>
      <c r="G24" s="1143"/>
      <c r="H24" s="1144"/>
      <c r="I24" s="1142"/>
      <c r="J24" s="1147"/>
      <c r="K24" s="1142"/>
      <c r="L24" s="1147"/>
      <c r="M24" s="1146"/>
      <c r="N24" s="1147"/>
      <c r="O24" s="1142"/>
      <c r="P24" s="1147"/>
      <c r="Q24" s="1142"/>
      <c r="R24" s="1178"/>
    </row>
    <row r="25" spans="1:20" s="181" customFormat="1" ht="17.100000000000001" customHeight="1">
      <c r="A25" s="1139"/>
      <c r="B25" s="1130"/>
      <c r="C25" s="1142"/>
      <c r="D25" s="1144"/>
      <c r="E25" s="1142"/>
      <c r="F25" s="1143"/>
      <c r="G25" s="1143"/>
      <c r="H25" s="1144"/>
      <c r="I25" s="1142"/>
      <c r="J25" s="1147"/>
      <c r="K25" s="1142"/>
      <c r="L25" s="1147"/>
      <c r="M25" s="1146"/>
      <c r="N25" s="1147"/>
      <c r="O25" s="1142"/>
      <c r="P25" s="1147"/>
      <c r="Q25" s="1142"/>
      <c r="R25" s="1178"/>
      <c r="T25" s="613"/>
    </row>
    <row r="26" spans="1:20" s="181" customFormat="1" ht="17.100000000000001" customHeight="1">
      <c r="A26" s="1139"/>
      <c r="B26" s="1130"/>
      <c r="C26" s="1142"/>
      <c r="D26" s="1144"/>
      <c r="E26" s="1142"/>
      <c r="F26" s="1143"/>
      <c r="G26" s="1143"/>
      <c r="H26" s="1144"/>
      <c r="I26" s="1142"/>
      <c r="J26" s="1147"/>
      <c r="K26" s="1142"/>
      <c r="L26" s="1147"/>
      <c r="M26" s="1146"/>
      <c r="N26" s="1147"/>
      <c r="O26" s="1142"/>
      <c r="P26" s="1147"/>
      <c r="Q26" s="1142"/>
      <c r="R26" s="1178"/>
    </row>
    <row r="27" spans="1:20" s="181" customFormat="1" ht="17.100000000000001" customHeight="1">
      <c r="A27" s="1139"/>
      <c r="B27" s="1130"/>
      <c r="C27" s="1142"/>
      <c r="D27" s="1144"/>
      <c r="E27" s="1142"/>
      <c r="F27" s="1143"/>
      <c r="G27" s="1143"/>
      <c r="H27" s="1144"/>
      <c r="I27" s="1142"/>
      <c r="J27" s="1147"/>
      <c r="K27" s="1142"/>
      <c r="L27" s="1147"/>
      <c r="M27" s="1146"/>
      <c r="N27" s="1147"/>
      <c r="O27" s="1142"/>
      <c r="P27" s="1147"/>
      <c r="Q27" s="1142"/>
      <c r="R27" s="1178"/>
    </row>
    <row r="28" spans="1:20" s="181" customFormat="1" ht="17.100000000000001" customHeight="1">
      <c r="A28" s="1139"/>
      <c r="B28" s="1130"/>
      <c r="C28" s="1142"/>
      <c r="D28" s="1144"/>
      <c r="E28" s="1142"/>
      <c r="F28" s="1143"/>
      <c r="G28" s="1143"/>
      <c r="H28" s="1144"/>
      <c r="I28" s="1142"/>
      <c r="J28" s="1147"/>
      <c r="K28" s="1142"/>
      <c r="L28" s="1147"/>
      <c r="M28" s="1146"/>
      <c r="N28" s="1147"/>
      <c r="O28" s="1142"/>
      <c r="P28" s="1147"/>
      <c r="Q28" s="1142"/>
      <c r="R28" s="1178"/>
    </row>
    <row r="29" spans="1:20" s="181" customFormat="1" ht="17.100000000000001" customHeight="1">
      <c r="A29" s="1139"/>
      <c r="B29" s="1130"/>
      <c r="C29" s="1142"/>
      <c r="D29" s="1144"/>
      <c r="E29" s="1142"/>
      <c r="F29" s="1143"/>
      <c r="G29" s="1143"/>
      <c r="H29" s="1144"/>
      <c r="I29" s="1142"/>
      <c r="J29" s="1147"/>
      <c r="K29" s="1142"/>
      <c r="L29" s="1147"/>
      <c r="M29" s="1146"/>
      <c r="N29" s="1147"/>
      <c r="O29" s="1142"/>
      <c r="P29" s="1147"/>
      <c r="Q29" s="1142"/>
      <c r="R29" s="1178"/>
    </row>
    <row r="30" spans="1:20" s="181" customFormat="1" ht="17.100000000000001" customHeight="1">
      <c r="A30" s="1139"/>
      <c r="B30" s="1130"/>
      <c r="C30" s="1142"/>
      <c r="D30" s="1144"/>
      <c r="E30" s="1142"/>
      <c r="F30" s="1143"/>
      <c r="G30" s="1143"/>
      <c r="H30" s="1144"/>
      <c r="I30" s="1142"/>
      <c r="J30" s="1147"/>
      <c r="K30" s="1142"/>
      <c r="L30" s="1147"/>
      <c r="M30" s="1146"/>
      <c r="N30" s="1147"/>
      <c r="O30" s="1142"/>
      <c r="P30" s="1147"/>
      <c r="Q30" s="1142"/>
      <c r="R30" s="1178"/>
    </row>
    <row r="31" spans="1:20" s="181" customFormat="1" ht="17.100000000000001" customHeight="1">
      <c r="A31" s="1139"/>
      <c r="B31" s="1181"/>
      <c r="C31" s="1182"/>
      <c r="D31" s="1144"/>
      <c r="E31" s="1142"/>
      <c r="F31" s="1183"/>
      <c r="G31" s="1143"/>
      <c r="H31" s="1144"/>
      <c r="I31" s="1142"/>
      <c r="J31" s="1147"/>
      <c r="K31" s="1142"/>
      <c r="L31" s="1147"/>
      <c r="M31" s="1146"/>
      <c r="N31" s="1147"/>
      <c r="O31" s="1142"/>
      <c r="P31" s="1147"/>
      <c r="Q31" s="1182"/>
      <c r="R31" s="1184"/>
    </row>
    <row r="32" spans="1:20" s="181" customFormat="1" ht="17.100000000000001" customHeight="1">
      <c r="A32" s="1625" t="s">
        <v>206</v>
      </c>
      <c r="B32" s="1626"/>
      <c r="C32" s="1148">
        <f>SUM(C11:C31)</f>
        <v>1611755.1800000002</v>
      </c>
      <c r="D32" s="1149">
        <f>SUM(D11:D31)</f>
        <v>1.4868886551178502E-2</v>
      </c>
      <c r="E32" s="1148"/>
      <c r="F32" s="1150"/>
      <c r="G32" s="1151">
        <f t="shared" ref="G32:P32" si="16">SUM(G11:G31)</f>
        <v>0</v>
      </c>
      <c r="H32" s="1152">
        <f t="shared" si="16"/>
        <v>0</v>
      </c>
      <c r="I32" s="1148">
        <f>SUM(I11:I31)</f>
        <v>322351.03999999998</v>
      </c>
      <c r="J32" s="1149">
        <f>SUM(J11:J31)</f>
        <v>2.9737773471368049E-3</v>
      </c>
      <c r="K32" s="1148">
        <f t="shared" si="16"/>
        <v>112822.86</v>
      </c>
      <c r="L32" s="1149">
        <f>SUM(L11:L31)</f>
        <v>1.0408220345967773E-3</v>
      </c>
      <c r="M32" s="1153">
        <f t="shared" si="16"/>
        <v>0</v>
      </c>
      <c r="N32" s="1152">
        <f t="shared" si="16"/>
        <v>0</v>
      </c>
      <c r="O32" s="1153">
        <f t="shared" si="16"/>
        <v>0</v>
      </c>
      <c r="P32" s="1152">
        <f t="shared" si="16"/>
        <v>0</v>
      </c>
      <c r="Q32" s="1148">
        <f>SUM(Q11:Q31)</f>
        <v>22856149.210000001</v>
      </c>
      <c r="R32" s="1149">
        <f>SUM(R11:R31)</f>
        <v>0.21085428718789548</v>
      </c>
      <c r="T32" s="1263"/>
    </row>
    <row r="33" spans="1:18" s="181" customFormat="1">
      <c r="A33" s="622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93"/>
      <c r="N33" s="193"/>
      <c r="O33" s="178"/>
      <c r="P33" s="178"/>
      <c r="Q33" s="178"/>
      <c r="R33" s="192"/>
    </row>
    <row r="34" spans="1:18" s="179" customFormat="1">
      <c r="A34" s="624" t="s">
        <v>162</v>
      </c>
      <c r="B34" s="194"/>
      <c r="C34" s="194"/>
      <c r="D34" s="194"/>
      <c r="E34" s="194"/>
      <c r="F34" s="641"/>
      <c r="G34" s="625"/>
      <c r="H34" s="625"/>
      <c r="I34" s="625"/>
      <c r="J34" s="625"/>
      <c r="K34" s="625" t="s">
        <v>396</v>
      </c>
      <c r="L34" s="194"/>
      <c r="M34" s="641"/>
      <c r="N34" s="641"/>
      <c r="O34" s="187"/>
      <c r="P34" s="187"/>
      <c r="Q34" s="194"/>
      <c r="R34" s="195"/>
    </row>
    <row r="35" spans="1:18" s="181" customFormat="1">
      <c r="A35" s="622"/>
      <c r="B35" s="178"/>
      <c r="C35" s="178"/>
      <c r="D35" s="178"/>
      <c r="E35" s="178"/>
      <c r="F35" s="178"/>
      <c r="G35" s="178"/>
      <c r="H35" s="178"/>
      <c r="I35" s="178"/>
      <c r="J35" s="178"/>
      <c r="K35" s="193"/>
      <c r="L35" s="193"/>
      <c r="M35" s="178"/>
      <c r="N35" s="178"/>
      <c r="O35" s="178"/>
      <c r="P35" s="178"/>
      <c r="Q35" s="178"/>
      <c r="R35" s="192"/>
    </row>
    <row r="36" spans="1:18" s="181" customFormat="1">
      <c r="A36" s="622"/>
      <c r="B36" s="178"/>
      <c r="C36" s="178"/>
      <c r="D36" s="178"/>
      <c r="E36" s="178"/>
      <c r="F36" s="178"/>
      <c r="G36" s="178"/>
      <c r="H36" s="178"/>
      <c r="I36" s="178"/>
      <c r="J36" s="178"/>
      <c r="K36" s="193"/>
      <c r="L36" s="193"/>
      <c r="M36" s="178"/>
      <c r="N36" s="178"/>
      <c r="O36" s="178"/>
      <c r="P36" s="178"/>
      <c r="Q36" s="178"/>
      <c r="R36" s="192"/>
    </row>
    <row r="37" spans="1:18" s="181" customFormat="1">
      <c r="A37" s="622"/>
      <c r="B37" s="178"/>
      <c r="C37" s="178"/>
      <c r="D37" s="178"/>
      <c r="E37" s="178"/>
      <c r="F37" s="178"/>
      <c r="G37" s="178"/>
      <c r="H37" s="178"/>
      <c r="I37" s="178"/>
      <c r="J37" s="178"/>
      <c r="K37" s="193"/>
      <c r="L37" s="193"/>
      <c r="M37" s="178"/>
      <c r="N37" s="178"/>
      <c r="O37" s="178"/>
      <c r="P37" s="178"/>
      <c r="Q37" s="178"/>
      <c r="R37" s="192"/>
    </row>
    <row r="38" spans="1:18" s="181" customFormat="1">
      <c r="A38" s="622"/>
      <c r="B38" s="178"/>
      <c r="C38" s="178"/>
      <c r="D38" s="178"/>
      <c r="E38" s="178"/>
      <c r="F38" s="178"/>
      <c r="G38" s="178"/>
      <c r="H38" s="178"/>
      <c r="I38" s="178"/>
      <c r="J38" s="178"/>
      <c r="K38" s="193"/>
      <c r="L38" s="193"/>
      <c r="M38" s="178"/>
      <c r="N38" s="178"/>
      <c r="O38" s="178"/>
      <c r="P38" s="178"/>
      <c r="Q38" s="178"/>
      <c r="R38" s="192"/>
    </row>
    <row r="39" spans="1:18" s="181" customFormat="1">
      <c r="A39" s="622"/>
      <c r="B39" s="178"/>
      <c r="C39" s="178"/>
      <c r="D39" s="178"/>
      <c r="E39" s="178"/>
      <c r="F39" s="178"/>
      <c r="G39" s="178"/>
      <c r="H39" s="178"/>
      <c r="I39" s="178"/>
      <c r="J39" s="178"/>
      <c r="K39" s="193"/>
      <c r="L39" s="193"/>
      <c r="M39" s="178"/>
      <c r="N39" s="178"/>
      <c r="O39" s="178"/>
      <c r="P39" s="178"/>
      <c r="Q39" s="178"/>
      <c r="R39" s="192"/>
    </row>
    <row r="40" spans="1:18" s="181" customFormat="1">
      <c r="A40" s="622"/>
      <c r="B40" s="178"/>
      <c r="C40" s="178"/>
      <c r="D40" s="178"/>
      <c r="E40" s="178"/>
      <c r="F40" s="178"/>
      <c r="G40" s="178"/>
      <c r="H40" s="178"/>
      <c r="I40" s="178"/>
      <c r="J40" s="178"/>
      <c r="K40" s="304"/>
      <c r="L40" s="304"/>
      <c r="M40" s="178"/>
      <c r="N40" s="178"/>
      <c r="O40" s="305"/>
      <c r="P40" s="305"/>
      <c r="Q40" s="178"/>
      <c r="R40" s="192"/>
    </row>
    <row r="41" spans="1:18" s="181" customFormat="1">
      <c r="A41" s="622"/>
      <c r="B41" s="1601" t="str">
        <f>+'Planilla de Avance'!F111</f>
        <v>Ing. Gabriel Daza Chavez</v>
      </c>
      <c r="C41" s="1601"/>
      <c r="D41" s="1601"/>
      <c r="E41" s="1601"/>
      <c r="F41" s="1601"/>
      <c r="G41" s="178"/>
      <c r="H41" s="178"/>
      <c r="I41" s="178"/>
      <c r="J41" s="178"/>
      <c r="K41" s="178"/>
      <c r="L41" s="178"/>
      <c r="M41" s="640"/>
      <c r="N41" s="205" t="str">
        <f>+'Planilla de Avance'!J111</f>
        <v>Ing. Herlan Rene Ramos Estrada</v>
      </c>
      <c r="O41" s="196"/>
      <c r="P41" s="196"/>
      <c r="Q41" s="178"/>
      <c r="R41" s="192"/>
    </row>
    <row r="42" spans="1:18" s="181" customFormat="1">
      <c r="A42" s="622"/>
      <c r="B42" s="1602" t="str">
        <f>+'Planilla de Avance'!F112</f>
        <v>SUPERINTENDENTE DE OBRA</v>
      </c>
      <c r="C42" s="1602"/>
      <c r="D42" s="1602"/>
      <c r="E42" s="1602"/>
      <c r="F42" s="1602"/>
      <c r="G42" s="194"/>
      <c r="H42" s="194"/>
      <c r="I42" s="194"/>
      <c r="J42" s="194"/>
      <c r="K42" s="194"/>
      <c r="L42" s="194"/>
      <c r="M42" s="640"/>
      <c r="N42" s="197" t="str">
        <f>+'Planilla de Avance'!J112</f>
        <v>SUPERVISOR DE OBRA</v>
      </c>
      <c r="O42" s="197"/>
      <c r="P42" s="197"/>
      <c r="Q42" s="178"/>
      <c r="R42" s="192"/>
    </row>
    <row r="43" spans="1:18" s="181" customFormat="1" ht="33.75" customHeight="1">
      <c r="A43" s="1155"/>
      <c r="B43" s="1603" t="str">
        <f>+'Planilla de Avance'!F113</f>
        <v>EMPRESA ESTRATÉGICA BOLIVIANA DE CONSTRUCCIÓN Y CONSERVACIÓN DE INFRAESTRUCTURA CIVIL (EBC)</v>
      </c>
      <c r="C43" s="1603"/>
      <c r="D43" s="1603"/>
      <c r="E43" s="1603"/>
      <c r="F43" s="1603"/>
      <c r="G43" s="204"/>
      <c r="H43" s="204"/>
      <c r="I43" s="204"/>
      <c r="J43" s="204"/>
      <c r="K43" s="204"/>
      <c r="L43" s="204"/>
      <c r="M43" s="198"/>
      <c r="N43" s="1000" t="str">
        <f>+'Planilla de Avance'!J113</f>
        <v>ABC - REGIONAL TARIJA</v>
      </c>
      <c r="O43" s="199"/>
      <c r="P43" s="199"/>
      <c r="Q43" s="198"/>
      <c r="R43" s="200"/>
    </row>
    <row r="44" spans="1:18">
      <c r="C44" s="747"/>
      <c r="D44" s="747"/>
      <c r="E44" s="747"/>
      <c r="F44" s="747"/>
      <c r="G44" s="747"/>
      <c r="R44" s="768"/>
    </row>
    <row r="45" spans="1:18">
      <c r="G45" s="748"/>
    </row>
    <row r="46" spans="1:18">
      <c r="C46" s="183"/>
      <c r="D46" s="183"/>
      <c r="E46" s="183"/>
      <c r="F46" s="183"/>
      <c r="G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</row>
    <row r="47" spans="1:18">
      <c r="J47" s="780"/>
    </row>
    <row r="55" spans="3:18"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</row>
    <row r="56" spans="3:18"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4"/>
      <c r="R56" s="184"/>
    </row>
    <row r="57" spans="3:18"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</row>
  </sheetData>
  <mergeCells count="20">
    <mergeCell ref="B41:F41"/>
    <mergeCell ref="B42:F42"/>
    <mergeCell ref="B43:F43"/>
    <mergeCell ref="A1:C1"/>
    <mergeCell ref="E8:H8"/>
    <mergeCell ref="C8:D9"/>
    <mergeCell ref="G9:H9"/>
    <mergeCell ref="A6:D6"/>
    <mergeCell ref="E3:N4"/>
    <mergeCell ref="E1:N2"/>
    <mergeCell ref="A32:B32"/>
    <mergeCell ref="A8:A9"/>
    <mergeCell ref="B8:B9"/>
    <mergeCell ref="E5:N6"/>
    <mergeCell ref="I8:J9"/>
    <mergeCell ref="O6:R6"/>
    <mergeCell ref="Q8:R9"/>
    <mergeCell ref="K8:L9"/>
    <mergeCell ref="M8:N9"/>
    <mergeCell ref="O8:P9"/>
  </mergeCells>
  <pageMargins left="0.39370078740157483" right="0.23622047244094491" top="0.78740157480314965" bottom="0.39370078740157483" header="0.31496062992125984" footer="0.31496062992125984"/>
  <pageSetup scale="70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.</vt:lpstr>
      <vt:lpstr>Datos</vt:lpstr>
      <vt:lpstr>I</vt:lpstr>
      <vt:lpstr>C</vt:lpstr>
      <vt:lpstr>S</vt:lpstr>
      <vt:lpstr>H.Crtl</vt:lpstr>
      <vt:lpstr>Certificado</vt:lpstr>
      <vt:lpstr>Cant. Ejec,</vt:lpstr>
      <vt:lpstr>Avance Financiero</vt:lpstr>
      <vt:lpstr>Anticipo</vt:lpstr>
      <vt:lpstr>Retencion</vt:lpstr>
      <vt:lpstr>Multas</vt:lpstr>
      <vt:lpstr>Planilla de Avance</vt:lpstr>
      <vt:lpstr>Personal</vt:lpstr>
      <vt:lpstr>CRON.DESEMBOLSOS</vt:lpstr>
      <vt:lpstr>POLIZAS</vt:lpstr>
      <vt:lpstr>ww</vt:lpstr>
      <vt:lpstr>1</vt:lpstr>
      <vt:lpstr>5</vt:lpstr>
      <vt:lpstr>74</vt:lpstr>
      <vt:lpstr>79</vt:lpstr>
      <vt:lpstr>'1'!Área_de_impresión</vt:lpstr>
      <vt:lpstr>'5'!Área_de_impresión</vt:lpstr>
      <vt:lpstr>'74'!Área_de_impresión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CRON.DESEMBOLSOS!Área_de_impresión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POLIZAS!Área_de_impresión</vt:lpstr>
      <vt:lpstr>Retencion!Área_de_impresión</vt:lpstr>
      <vt:lpstr>S!Área_de_impresión</vt:lpstr>
      <vt:lpstr>ww!Área_de_impresión</vt:lpstr>
      <vt:lpstr>'Cant. Ejec,'!Títulos_a_imprimir</vt:lpstr>
      <vt:lpstr>'Planilla de Avance'!Títulos_a_imprimir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DELL</cp:lastModifiedBy>
  <cp:lastPrinted>2021-03-05T15:50:05Z</cp:lastPrinted>
  <dcterms:created xsi:type="dcterms:W3CDTF">2009-12-04T02:53:26Z</dcterms:created>
  <dcterms:modified xsi:type="dcterms:W3CDTF">2021-03-23T20:40:06Z</dcterms:modified>
</cp:coreProperties>
</file>