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00.- DOCUMENTOS PROCESADOS\PLANILLAS\No11 SEPTIEMBRE 2021\1.- Certificado de Pago Nº11\"/>
    </mc:Choice>
  </mc:AlternateContent>
  <xr:revisionPtr revIDLastSave="0" documentId="13_ncr:1_{E1C5DA23-6E2C-455C-9B94-AEE41BF2BEBD}" xr6:coauthVersionLast="47" xr6:coauthVersionMax="47" xr10:uidLastSave="{00000000-0000-0000-0000-000000000000}"/>
  <bookViews>
    <workbookView xWindow="0" yWindow="780" windowWidth="28800" windowHeight="11400" tabRatio="843" firstSheet="6" activeTab="12" xr2:uid="{00000000-000D-0000-FFFF-FFFF00000000}"/>
  </bookViews>
  <sheets>
    <sheet name="." sheetId="388" state="hidden" r:id="rId1"/>
    <sheet name="Datos" sheetId="429" state="hidden" r:id="rId2"/>
    <sheet name="I" sheetId="439" r:id="rId3"/>
    <sheet name="C" sheetId="437" r:id="rId4"/>
    <sheet name="S" sheetId="440" r:id="rId5"/>
    <sheet name="H.Crtl" sheetId="438" r:id="rId6"/>
    <sheet name="Certificado" sheetId="462" r:id="rId7"/>
    <sheet name="Avance Financiero" sheetId="36" r:id="rId8"/>
    <sheet name="Anticipo" sheetId="37" r:id="rId9"/>
    <sheet name="Retencion" sheetId="430" r:id="rId10"/>
    <sheet name="Multas" sheetId="38" r:id="rId11"/>
    <sheet name="Cant. Ejec," sheetId="454" state="hidden" r:id="rId12"/>
    <sheet name="Planilla de Avance" sheetId="455" r:id="rId13"/>
    <sheet name="Personal" sheetId="418" r:id="rId14"/>
    <sheet name="CRON.DES." sheetId="421" r:id="rId15"/>
    <sheet name="POLIZAS" sheetId="206" r:id="rId16"/>
    <sheet name="1" sheetId="33" state="hidden" r:id="rId17"/>
    <sheet name="5" sheetId="446" state="hidden" r:id="rId18"/>
    <sheet name="11a" sheetId="457" r:id="rId19"/>
    <sheet name="11b" sheetId="464" r:id="rId20"/>
    <sheet name="11c" sheetId="465" r:id="rId21"/>
    <sheet name="11d" sheetId="458" r:id="rId22"/>
    <sheet name="11e" sheetId="466" state="hidden" r:id="rId23"/>
    <sheet name="11f" sheetId="467" r:id="rId24"/>
    <sheet name="57a" sheetId="469" r:id="rId25"/>
    <sheet name="74" sheetId="453" r:id="rId26"/>
    <sheet name="75" sheetId="459" r:id="rId27"/>
    <sheet name="76" sheetId="460" state="hidden" r:id="rId28"/>
    <sheet name="77" sheetId="461" state="hidden" r:id="rId29"/>
    <sheet name="78" sheetId="456" r:id="rId30"/>
    <sheet name="79" sheetId="450" r:id="rId31"/>
    <sheet name="Planilla de Avance (3)" sheetId="470" state="hidden" r:id="rId32"/>
    <sheet name="Hoja2" sheetId="471" state="hidden" r:id="rId33"/>
    <sheet name="Planilla de Avance (2)" sheetId="468" state="hidden" r:id="rId34"/>
  </sheets>
  <externalReferences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</externalReferences>
  <definedNames>
    <definedName name="\A">#N/A</definedName>
    <definedName name="_" localSheetId="18" hidden="1">#REF!</definedName>
    <definedName name="_" localSheetId="19" hidden="1">#REF!</definedName>
    <definedName name="_" localSheetId="20" hidden="1">#REF!</definedName>
    <definedName name="_" localSheetId="21" hidden="1">#REF!</definedName>
    <definedName name="_" localSheetId="22" hidden="1">#REF!</definedName>
    <definedName name="_" localSheetId="23" hidden="1">#REF!</definedName>
    <definedName name="_" localSheetId="24" hidden="1">#REF!</definedName>
    <definedName name="_" localSheetId="25" hidden="1">#REF!</definedName>
    <definedName name="_" localSheetId="26" hidden="1">#REF!</definedName>
    <definedName name="_" localSheetId="27" hidden="1">#REF!</definedName>
    <definedName name="_" localSheetId="28" hidden="1">#REF!</definedName>
    <definedName name="_" localSheetId="29" hidden="1">#REF!</definedName>
    <definedName name="_" localSheetId="11" hidden="1">#REF!</definedName>
    <definedName name="_" localSheetId="6" hidden="1">#REF!</definedName>
    <definedName name="_" localSheetId="5" hidden="1">#REF!</definedName>
    <definedName name="_" localSheetId="2" hidden="1">#REF!</definedName>
    <definedName name="_" localSheetId="12" hidden="1">#REF!</definedName>
    <definedName name="_" localSheetId="33" hidden="1">#REF!</definedName>
    <definedName name="_" localSheetId="31" hidden="1">#REF!</definedName>
    <definedName name="_" localSheetId="4" hidden="1">#REF!</definedName>
    <definedName name="_" hidden="1">#REF!</definedName>
    <definedName name="_1" localSheetId="18" hidden="1">'[1]Flujo de Caja Consorcio'!#REF!</definedName>
    <definedName name="_1" localSheetId="19" hidden="1">'[1]Flujo de Caja Consorcio'!#REF!</definedName>
    <definedName name="_1" localSheetId="20" hidden="1">'[1]Flujo de Caja Consorcio'!#REF!</definedName>
    <definedName name="_1" localSheetId="21" hidden="1">'[1]Flujo de Caja Consorcio'!#REF!</definedName>
    <definedName name="_1" localSheetId="22" hidden="1">'[1]Flujo de Caja Consorcio'!#REF!</definedName>
    <definedName name="_1" localSheetId="23" hidden="1">'[1]Flujo de Caja Consorcio'!#REF!</definedName>
    <definedName name="_1" localSheetId="24" hidden="1">'[1]Flujo de Caja Consorcio'!#REF!</definedName>
    <definedName name="_1" localSheetId="25" hidden="1">'[1]Flujo de Caja Consorcio'!#REF!</definedName>
    <definedName name="_1" localSheetId="26" hidden="1">'[1]Flujo de Caja Consorcio'!#REF!</definedName>
    <definedName name="_1" localSheetId="27" hidden="1">'[1]Flujo de Caja Consorcio'!#REF!</definedName>
    <definedName name="_1" localSheetId="28" hidden="1">'[1]Flujo de Caja Consorcio'!#REF!</definedName>
    <definedName name="_1" localSheetId="29" hidden="1">'[1]Flujo de Caja Consorcio'!#REF!</definedName>
    <definedName name="_1" localSheetId="11" hidden="1">'[1]Flujo de Caja Consorcio'!#REF!</definedName>
    <definedName name="_1" localSheetId="6" hidden="1">'[1]Flujo de Caja Consorcio'!#REF!</definedName>
    <definedName name="_1" localSheetId="5" hidden="1">'[1]Flujo de Caja Consorcio'!#REF!</definedName>
    <definedName name="_1" localSheetId="2" hidden="1">'[1]Flujo de Caja Consorcio'!#REF!</definedName>
    <definedName name="_1" localSheetId="12" hidden="1">'[1]Flujo de Caja Consorcio'!#REF!</definedName>
    <definedName name="_1" localSheetId="33" hidden="1">'[1]Flujo de Caja Consorcio'!#REF!</definedName>
    <definedName name="_1" localSheetId="31" hidden="1">'[1]Flujo de Caja Consorcio'!#REF!</definedName>
    <definedName name="_1" localSheetId="4" hidden="1">'[1]Flujo de Caja Consorcio'!#REF!</definedName>
    <definedName name="_1" hidden="1">'[1]Flujo de Caja Consorcio'!#REF!</definedName>
    <definedName name="_2" localSheetId="18" hidden="1">'[1]Flujo de Caja Consorcio'!#REF!</definedName>
    <definedName name="_2" localSheetId="19" hidden="1">'[1]Flujo de Caja Consorcio'!#REF!</definedName>
    <definedName name="_2" localSheetId="20" hidden="1">'[1]Flujo de Caja Consorcio'!#REF!</definedName>
    <definedName name="_2" localSheetId="21" hidden="1">'[1]Flujo de Caja Consorcio'!#REF!</definedName>
    <definedName name="_2" localSheetId="22" hidden="1">'[1]Flujo de Caja Consorcio'!#REF!</definedName>
    <definedName name="_2" localSheetId="23" hidden="1">'[1]Flujo de Caja Consorcio'!#REF!</definedName>
    <definedName name="_2" localSheetId="24" hidden="1">'[1]Flujo de Caja Consorcio'!#REF!</definedName>
    <definedName name="_2" localSheetId="25" hidden="1">'[1]Flujo de Caja Consorcio'!#REF!</definedName>
    <definedName name="_2" localSheetId="26" hidden="1">'[1]Flujo de Caja Consorcio'!#REF!</definedName>
    <definedName name="_2" localSheetId="27" hidden="1">'[1]Flujo de Caja Consorcio'!#REF!</definedName>
    <definedName name="_2" localSheetId="28" hidden="1">'[1]Flujo de Caja Consorcio'!#REF!</definedName>
    <definedName name="_2" localSheetId="29" hidden="1">'[1]Flujo de Caja Consorcio'!#REF!</definedName>
    <definedName name="_2" localSheetId="11" hidden="1">'[1]Flujo de Caja Consorcio'!#REF!</definedName>
    <definedName name="_2" localSheetId="6" hidden="1">'[1]Flujo de Caja Consorcio'!#REF!</definedName>
    <definedName name="_2" localSheetId="5" hidden="1">'[1]Flujo de Caja Consorcio'!#REF!</definedName>
    <definedName name="_2" localSheetId="2" hidden="1">'[1]Flujo de Caja Consorcio'!#REF!</definedName>
    <definedName name="_2" localSheetId="12" hidden="1">'[1]Flujo de Caja Consorcio'!#REF!</definedName>
    <definedName name="_2" localSheetId="33" hidden="1">'[1]Flujo de Caja Consorcio'!#REF!</definedName>
    <definedName name="_2" localSheetId="31" hidden="1">'[1]Flujo de Caja Consorcio'!#REF!</definedName>
    <definedName name="_2" localSheetId="4" hidden="1">'[1]Flujo de Caja Consorcio'!#REF!</definedName>
    <definedName name="_2" hidden="1">'[1]Flujo de Caja Consorcio'!#REF!</definedName>
    <definedName name="_2Excel_BuiltIn_Print_Area_7_1" localSheetId="18">[2]SUBBASE!#REF!</definedName>
    <definedName name="_2Excel_BuiltIn_Print_Area_7_1" localSheetId="19">[2]SUBBASE!#REF!</definedName>
    <definedName name="_2Excel_BuiltIn_Print_Area_7_1" localSheetId="20">[2]SUBBASE!#REF!</definedName>
    <definedName name="_2Excel_BuiltIn_Print_Area_7_1" localSheetId="21">[2]SUBBASE!#REF!</definedName>
    <definedName name="_2Excel_BuiltIn_Print_Area_7_1" localSheetId="22">[2]SUBBASE!#REF!</definedName>
    <definedName name="_2Excel_BuiltIn_Print_Area_7_1" localSheetId="23">[2]SUBBASE!#REF!</definedName>
    <definedName name="_2Excel_BuiltIn_Print_Area_7_1" localSheetId="24">[2]SUBBASE!#REF!</definedName>
    <definedName name="_2Excel_BuiltIn_Print_Area_7_1" localSheetId="25">[2]SUBBASE!#REF!</definedName>
    <definedName name="_2Excel_BuiltIn_Print_Area_7_1" localSheetId="26">[2]SUBBASE!#REF!</definedName>
    <definedName name="_2Excel_BuiltIn_Print_Area_7_1" localSheetId="27">[2]SUBBASE!#REF!</definedName>
    <definedName name="_2Excel_BuiltIn_Print_Area_7_1" localSheetId="28">[2]SUBBASE!#REF!</definedName>
    <definedName name="_2Excel_BuiltIn_Print_Area_7_1" localSheetId="29">[2]SUBBASE!#REF!</definedName>
    <definedName name="_2Excel_BuiltIn_Print_Area_7_1" localSheetId="11">[2]SUBBASE!#REF!</definedName>
    <definedName name="_2Excel_BuiltIn_Print_Area_7_1" localSheetId="6">[2]SUBBASE!#REF!</definedName>
    <definedName name="_2Excel_BuiltIn_Print_Area_7_1" localSheetId="5">[2]SUBBASE!#REF!</definedName>
    <definedName name="_2Excel_BuiltIn_Print_Area_7_1" localSheetId="2">[2]SUBBASE!#REF!</definedName>
    <definedName name="_2Excel_BuiltIn_Print_Area_7_1" localSheetId="12">[2]SUBBASE!#REF!</definedName>
    <definedName name="_2Excel_BuiltIn_Print_Area_7_1" localSheetId="33">[2]SUBBASE!#REF!</definedName>
    <definedName name="_2Excel_BuiltIn_Print_Area_7_1" localSheetId="31">[2]SUBBASE!#REF!</definedName>
    <definedName name="_2Excel_BuiltIn_Print_Area_7_1" localSheetId="4">[2]SUBBASE!#REF!</definedName>
    <definedName name="_2Excel_BuiltIn_Print_Area_7_1">[2]SUBBASE!#REF!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localSheetId="21" hidden="1">#REF!</definedName>
    <definedName name="_Fill" localSheetId="22" hidden="1">#REF!</definedName>
    <definedName name="_Fill" localSheetId="23" hidden="1">#REF!</definedName>
    <definedName name="_Fill" localSheetId="24" hidden="1">#REF!</definedName>
    <definedName name="_Fill" localSheetId="25" hidden="1">#REF!</definedName>
    <definedName name="_Fill" localSheetId="26" hidden="1">#REF!</definedName>
    <definedName name="_Fill" localSheetId="27" hidden="1">#REF!</definedName>
    <definedName name="_Fill" localSheetId="28" hidden="1">#REF!</definedName>
    <definedName name="_Fill" localSheetId="29" hidden="1">#REF!</definedName>
    <definedName name="_Fill" localSheetId="3" hidden="1">#REF!</definedName>
    <definedName name="_Fill" localSheetId="11" hidden="1">#REF!</definedName>
    <definedName name="_Fill" localSheetId="6" hidden="1">#REF!</definedName>
    <definedName name="_Fill" localSheetId="5" hidden="1">#REF!</definedName>
    <definedName name="_Fill" localSheetId="2" hidden="1">#REF!</definedName>
    <definedName name="_Fill" localSheetId="10" hidden="1">#REF!</definedName>
    <definedName name="_Fill" localSheetId="12" hidden="1">#REF!</definedName>
    <definedName name="_Fill" localSheetId="33" hidden="1">#REF!</definedName>
    <definedName name="_Fill" localSheetId="31" hidden="1">#REF!</definedName>
    <definedName name="_Fill" localSheetId="4" hidden="1">#REF!</definedName>
    <definedName name="_Fill" hidden="1">#REF!</definedName>
    <definedName name="_xlnm._FilterDatabase" localSheetId="6" hidden="1">Certificado!$A$14:$K$51</definedName>
    <definedName name="_xlnm._FilterDatabase" localSheetId="12" hidden="1">'Planilla de Avance'!$A$9:$AJ$115</definedName>
    <definedName name="_xlnm._FilterDatabase" localSheetId="33" hidden="1">'Planilla de Avance (2)'!$A$9:$AJ$115</definedName>
    <definedName name="_xlnm._FilterDatabase" localSheetId="31" hidden="1">'Planilla de Avance (3)'!$A$8:$Z$113</definedName>
    <definedName name="_HMA1" localSheetId="18" hidden="1">'[1]Flujo de Caja Consorcio'!#REF!</definedName>
    <definedName name="_HMA1" localSheetId="19" hidden="1">'[1]Flujo de Caja Consorcio'!#REF!</definedName>
    <definedName name="_HMA1" localSheetId="20" hidden="1">'[1]Flujo de Caja Consorcio'!#REF!</definedName>
    <definedName name="_HMA1" localSheetId="21" hidden="1">'[1]Flujo de Caja Consorcio'!#REF!</definedName>
    <definedName name="_HMA1" localSheetId="22" hidden="1">'[1]Flujo de Caja Consorcio'!#REF!</definedName>
    <definedName name="_HMA1" localSheetId="23" hidden="1">'[1]Flujo de Caja Consorcio'!#REF!</definedName>
    <definedName name="_HMA1" localSheetId="24" hidden="1">'[1]Flujo de Caja Consorcio'!#REF!</definedName>
    <definedName name="_HMA1" localSheetId="25" hidden="1">'[1]Flujo de Caja Consorcio'!#REF!</definedName>
    <definedName name="_HMA1" localSheetId="26" hidden="1">'[1]Flujo de Caja Consorcio'!#REF!</definedName>
    <definedName name="_HMA1" localSheetId="27" hidden="1">'[1]Flujo de Caja Consorcio'!#REF!</definedName>
    <definedName name="_HMA1" localSheetId="28" hidden="1">'[1]Flujo de Caja Consorcio'!#REF!</definedName>
    <definedName name="_HMA1" localSheetId="29" hidden="1">'[1]Flujo de Caja Consorcio'!#REF!</definedName>
    <definedName name="_HMA1" localSheetId="11" hidden="1">'[1]Flujo de Caja Consorcio'!#REF!</definedName>
    <definedName name="_HMA1" localSheetId="6" hidden="1">'[1]Flujo de Caja Consorcio'!#REF!</definedName>
    <definedName name="_HMA1" localSheetId="5" hidden="1">'[1]Flujo de Caja Consorcio'!#REF!</definedName>
    <definedName name="_HMA1" localSheetId="2" hidden="1">'[1]Flujo de Caja Consorcio'!#REF!</definedName>
    <definedName name="_HMA1" localSheetId="12" hidden="1">'[1]Flujo de Caja Consorcio'!#REF!</definedName>
    <definedName name="_HMA1" localSheetId="33" hidden="1">'[1]Flujo de Caja Consorcio'!#REF!</definedName>
    <definedName name="_HMA1" localSheetId="31" hidden="1">'[1]Flujo de Caja Consorcio'!#REF!</definedName>
    <definedName name="_HMA1" localSheetId="4" hidden="1">'[1]Flujo de Caja Consorcio'!#REF!</definedName>
    <definedName name="_HMA1" hidden="1">'[1]Flujo de Caja Consorcio'!#REF!</definedName>
    <definedName name="_i" localSheetId="18" hidden="1">'[1]Flujo de Caja Consorcio'!#REF!</definedName>
    <definedName name="_i" localSheetId="19" hidden="1">'[1]Flujo de Caja Consorcio'!#REF!</definedName>
    <definedName name="_i" localSheetId="20" hidden="1">'[1]Flujo de Caja Consorcio'!#REF!</definedName>
    <definedName name="_i" localSheetId="21" hidden="1">'[1]Flujo de Caja Consorcio'!#REF!</definedName>
    <definedName name="_i" localSheetId="22" hidden="1">'[1]Flujo de Caja Consorcio'!#REF!</definedName>
    <definedName name="_i" localSheetId="23" hidden="1">'[1]Flujo de Caja Consorcio'!#REF!</definedName>
    <definedName name="_i" localSheetId="24" hidden="1">'[1]Flujo de Caja Consorcio'!#REF!</definedName>
    <definedName name="_i" localSheetId="25" hidden="1">'[1]Flujo de Caja Consorcio'!#REF!</definedName>
    <definedName name="_i" localSheetId="26" hidden="1">'[1]Flujo de Caja Consorcio'!#REF!</definedName>
    <definedName name="_i" localSheetId="27" hidden="1">'[1]Flujo de Caja Consorcio'!#REF!</definedName>
    <definedName name="_i" localSheetId="28" hidden="1">'[1]Flujo de Caja Consorcio'!#REF!</definedName>
    <definedName name="_i" localSheetId="29" hidden="1">'[1]Flujo de Caja Consorcio'!#REF!</definedName>
    <definedName name="_i" localSheetId="11" hidden="1">'[1]Flujo de Caja Consorcio'!#REF!</definedName>
    <definedName name="_i" localSheetId="6" hidden="1">'[1]Flujo de Caja Consorcio'!#REF!</definedName>
    <definedName name="_i" localSheetId="5" hidden="1">'[1]Flujo de Caja Consorcio'!#REF!</definedName>
    <definedName name="_i" localSheetId="2" hidden="1">'[1]Flujo de Caja Consorcio'!#REF!</definedName>
    <definedName name="_i" localSheetId="12" hidden="1">'[1]Flujo de Caja Consorcio'!#REF!</definedName>
    <definedName name="_i" localSheetId="33" hidden="1">'[1]Flujo de Caja Consorcio'!#REF!</definedName>
    <definedName name="_i" localSheetId="31" hidden="1">'[1]Flujo de Caja Consorcio'!#REF!</definedName>
    <definedName name="_i" localSheetId="4" hidden="1">'[1]Flujo de Caja Consorcio'!#REF!</definedName>
    <definedName name="_i" hidden="1">'[1]Flujo de Caja Consorcio'!#REF!</definedName>
    <definedName name="_Key1" localSheetId="18" hidden="1">'[3]Flujo de Caja Consorcio'!#REF!</definedName>
    <definedName name="_Key1" localSheetId="19" hidden="1">'[3]Flujo de Caja Consorcio'!#REF!</definedName>
    <definedName name="_Key1" localSheetId="20" hidden="1">'[3]Flujo de Caja Consorcio'!#REF!</definedName>
    <definedName name="_Key1" localSheetId="21" hidden="1">'[3]Flujo de Caja Consorcio'!#REF!</definedName>
    <definedName name="_Key1" localSheetId="22" hidden="1">'[3]Flujo de Caja Consorcio'!#REF!</definedName>
    <definedName name="_Key1" localSheetId="23" hidden="1">'[3]Flujo de Caja Consorcio'!#REF!</definedName>
    <definedName name="_Key1" localSheetId="24" hidden="1">'[3]Flujo de Caja Consorcio'!#REF!</definedName>
    <definedName name="_Key1" localSheetId="25" hidden="1">'[3]Flujo de Caja Consorcio'!#REF!</definedName>
    <definedName name="_Key1" localSheetId="26" hidden="1">'[3]Flujo de Caja Consorcio'!#REF!</definedName>
    <definedName name="_Key1" localSheetId="27" hidden="1">'[3]Flujo de Caja Consorcio'!#REF!</definedName>
    <definedName name="_Key1" localSheetId="28" hidden="1">'[3]Flujo de Caja Consorcio'!#REF!</definedName>
    <definedName name="_Key1" localSheetId="29" hidden="1">'[3]Flujo de Caja Consorcio'!#REF!</definedName>
    <definedName name="_Key1" localSheetId="3" hidden="1">'[1]Flujo de Caja Consorcio'!#REF!</definedName>
    <definedName name="_Key1" localSheetId="11" hidden="1">'[3]Flujo de Caja Consorcio'!#REF!</definedName>
    <definedName name="_Key1" localSheetId="6" hidden="1">'[3]Flujo de Caja Consorcio'!#REF!</definedName>
    <definedName name="_Key1" localSheetId="5" hidden="1">'[1]Flujo de Caja Consorcio'!#REF!</definedName>
    <definedName name="_Key1" localSheetId="2" hidden="1">'[3]Flujo de Caja Consorcio'!#REF!</definedName>
    <definedName name="_Key1" localSheetId="12" hidden="1">'[3]Flujo de Caja Consorcio'!#REF!</definedName>
    <definedName name="_Key1" localSheetId="33" hidden="1">'[3]Flujo de Caja Consorcio'!#REF!</definedName>
    <definedName name="_Key1" localSheetId="31" hidden="1">'[3]Flujo de Caja Consorcio'!#REF!</definedName>
    <definedName name="_Key1" localSheetId="4" hidden="1">'[1]Flujo de Caja Consorcio'!#REF!</definedName>
    <definedName name="_Key1" hidden="1">'[3]Flujo de Caja Consorcio'!#REF!</definedName>
    <definedName name="_key2" localSheetId="18" hidden="1">'[1]Flujo de Caja Consorcio'!#REF!</definedName>
    <definedName name="_key2" localSheetId="19" hidden="1">'[1]Flujo de Caja Consorcio'!#REF!</definedName>
    <definedName name="_key2" localSheetId="20" hidden="1">'[1]Flujo de Caja Consorcio'!#REF!</definedName>
    <definedName name="_key2" localSheetId="21" hidden="1">'[1]Flujo de Caja Consorcio'!#REF!</definedName>
    <definedName name="_key2" localSheetId="22" hidden="1">'[1]Flujo de Caja Consorcio'!#REF!</definedName>
    <definedName name="_key2" localSheetId="23" hidden="1">'[1]Flujo de Caja Consorcio'!#REF!</definedName>
    <definedName name="_key2" localSheetId="24" hidden="1">'[1]Flujo de Caja Consorcio'!#REF!</definedName>
    <definedName name="_key2" localSheetId="25" hidden="1">'[1]Flujo de Caja Consorcio'!#REF!</definedName>
    <definedName name="_key2" localSheetId="26" hidden="1">'[1]Flujo de Caja Consorcio'!#REF!</definedName>
    <definedName name="_key2" localSheetId="27" hidden="1">'[1]Flujo de Caja Consorcio'!#REF!</definedName>
    <definedName name="_key2" localSheetId="28" hidden="1">'[1]Flujo de Caja Consorcio'!#REF!</definedName>
    <definedName name="_key2" localSheetId="29" hidden="1">'[1]Flujo de Caja Consorcio'!#REF!</definedName>
    <definedName name="_key2" localSheetId="11" hidden="1">'[1]Flujo de Caja Consorcio'!#REF!</definedName>
    <definedName name="_key2" localSheetId="6" hidden="1">'[1]Flujo de Caja Consorcio'!#REF!</definedName>
    <definedName name="_key2" localSheetId="5" hidden="1">'[1]Flujo de Caja Consorcio'!#REF!</definedName>
    <definedName name="_key2" localSheetId="2" hidden="1">'[1]Flujo de Caja Consorcio'!#REF!</definedName>
    <definedName name="_key2" localSheetId="12" hidden="1">'[1]Flujo de Caja Consorcio'!#REF!</definedName>
    <definedName name="_key2" localSheetId="33" hidden="1">'[1]Flujo de Caja Consorcio'!#REF!</definedName>
    <definedName name="_key2" localSheetId="31" hidden="1">'[1]Flujo de Caja Consorcio'!#REF!</definedName>
    <definedName name="_key2" localSheetId="4" hidden="1">'[1]Flujo de Caja Consorcio'!#REF!</definedName>
    <definedName name="_key2" hidden="1">'[1]Flujo de Caja Consorcio'!#REF!</definedName>
    <definedName name="_m" localSheetId="18" hidden="1">'[1]Flujo de Caja Consorcio'!#REF!</definedName>
    <definedName name="_m" localSheetId="19" hidden="1">'[1]Flujo de Caja Consorcio'!#REF!</definedName>
    <definedName name="_m" localSheetId="20" hidden="1">'[1]Flujo de Caja Consorcio'!#REF!</definedName>
    <definedName name="_m" localSheetId="21" hidden="1">'[1]Flujo de Caja Consorcio'!#REF!</definedName>
    <definedName name="_m" localSheetId="22" hidden="1">'[1]Flujo de Caja Consorcio'!#REF!</definedName>
    <definedName name="_m" localSheetId="23" hidden="1">'[1]Flujo de Caja Consorcio'!#REF!</definedName>
    <definedName name="_m" localSheetId="24" hidden="1">'[1]Flujo de Caja Consorcio'!#REF!</definedName>
    <definedName name="_m" localSheetId="25" hidden="1">'[1]Flujo de Caja Consorcio'!#REF!</definedName>
    <definedName name="_m" localSheetId="26" hidden="1">'[1]Flujo de Caja Consorcio'!#REF!</definedName>
    <definedName name="_m" localSheetId="27" hidden="1">'[1]Flujo de Caja Consorcio'!#REF!</definedName>
    <definedName name="_m" localSheetId="28" hidden="1">'[1]Flujo de Caja Consorcio'!#REF!</definedName>
    <definedName name="_m" localSheetId="29" hidden="1">'[1]Flujo de Caja Consorcio'!#REF!</definedName>
    <definedName name="_m" localSheetId="11" hidden="1">'[1]Flujo de Caja Consorcio'!#REF!</definedName>
    <definedName name="_m" localSheetId="6" hidden="1">'[1]Flujo de Caja Consorcio'!#REF!</definedName>
    <definedName name="_m" localSheetId="5" hidden="1">'[1]Flujo de Caja Consorcio'!#REF!</definedName>
    <definedName name="_m" localSheetId="2" hidden="1">'[1]Flujo de Caja Consorcio'!#REF!</definedName>
    <definedName name="_m" localSheetId="12" hidden="1">'[1]Flujo de Caja Consorcio'!#REF!</definedName>
    <definedName name="_m" localSheetId="33" hidden="1">'[1]Flujo de Caja Consorcio'!#REF!</definedName>
    <definedName name="_m" localSheetId="31" hidden="1">'[1]Flujo de Caja Consorcio'!#REF!</definedName>
    <definedName name="_m" localSheetId="4" hidden="1">'[1]Flujo de Caja Consorcio'!#REF!</definedName>
    <definedName name="_m" hidden="1">'[1]Flujo de Caja Consorcio'!#REF!</definedName>
    <definedName name="_o" localSheetId="18" hidden="1">'[1]Flujo de Caja Consorcio'!#REF!</definedName>
    <definedName name="_o" localSheetId="19" hidden="1">'[1]Flujo de Caja Consorcio'!#REF!</definedName>
    <definedName name="_o" localSheetId="20" hidden="1">'[1]Flujo de Caja Consorcio'!#REF!</definedName>
    <definedName name="_o" localSheetId="21" hidden="1">'[1]Flujo de Caja Consorcio'!#REF!</definedName>
    <definedName name="_o" localSheetId="22" hidden="1">'[1]Flujo de Caja Consorcio'!#REF!</definedName>
    <definedName name="_o" localSheetId="23" hidden="1">'[1]Flujo de Caja Consorcio'!#REF!</definedName>
    <definedName name="_o" localSheetId="24" hidden="1">'[1]Flujo de Caja Consorcio'!#REF!</definedName>
    <definedName name="_o" localSheetId="25" hidden="1">'[1]Flujo de Caja Consorcio'!#REF!</definedName>
    <definedName name="_o" localSheetId="26" hidden="1">'[1]Flujo de Caja Consorcio'!#REF!</definedName>
    <definedName name="_o" localSheetId="27" hidden="1">'[1]Flujo de Caja Consorcio'!#REF!</definedName>
    <definedName name="_o" localSheetId="28" hidden="1">'[1]Flujo de Caja Consorcio'!#REF!</definedName>
    <definedName name="_o" localSheetId="29" hidden="1">'[1]Flujo de Caja Consorcio'!#REF!</definedName>
    <definedName name="_o" localSheetId="11" hidden="1">'[1]Flujo de Caja Consorcio'!#REF!</definedName>
    <definedName name="_o" localSheetId="6" hidden="1">'[1]Flujo de Caja Consorcio'!#REF!</definedName>
    <definedName name="_o" localSheetId="5" hidden="1">'[1]Flujo de Caja Consorcio'!#REF!</definedName>
    <definedName name="_o" localSheetId="2" hidden="1">'[1]Flujo de Caja Consorcio'!#REF!</definedName>
    <definedName name="_o" localSheetId="12" hidden="1">'[1]Flujo de Caja Consorcio'!#REF!</definedName>
    <definedName name="_o" localSheetId="33" hidden="1">'[1]Flujo de Caja Consorcio'!#REF!</definedName>
    <definedName name="_o" localSheetId="31" hidden="1">'[1]Flujo de Caja Consorcio'!#REF!</definedName>
    <definedName name="_o" localSheetId="4" hidden="1">'[1]Flujo de Caja Consorcio'!#REF!</definedName>
    <definedName name="_o" hidden="1">'[1]Flujo de Caja Consorcio'!#REF!</definedName>
    <definedName name="_Order1" hidden="1">255</definedName>
    <definedName name="_Order2" hidden="1">255</definedName>
    <definedName name="_p" localSheetId="18" hidden="1">'[1]Flujo de Caja Consorcio'!#REF!</definedName>
    <definedName name="_p" localSheetId="19" hidden="1">'[1]Flujo de Caja Consorcio'!#REF!</definedName>
    <definedName name="_p" localSheetId="20" hidden="1">'[1]Flujo de Caja Consorcio'!#REF!</definedName>
    <definedName name="_p" localSheetId="21" hidden="1">'[1]Flujo de Caja Consorcio'!#REF!</definedName>
    <definedName name="_p" localSheetId="22" hidden="1">'[1]Flujo de Caja Consorcio'!#REF!</definedName>
    <definedName name="_p" localSheetId="23" hidden="1">'[1]Flujo de Caja Consorcio'!#REF!</definedName>
    <definedName name="_p" localSheetId="24" hidden="1">'[1]Flujo de Caja Consorcio'!#REF!</definedName>
    <definedName name="_p" localSheetId="25" hidden="1">'[1]Flujo de Caja Consorcio'!#REF!</definedName>
    <definedName name="_p" localSheetId="26" hidden="1">'[1]Flujo de Caja Consorcio'!#REF!</definedName>
    <definedName name="_p" localSheetId="27" hidden="1">'[1]Flujo de Caja Consorcio'!#REF!</definedName>
    <definedName name="_p" localSheetId="28" hidden="1">'[1]Flujo de Caja Consorcio'!#REF!</definedName>
    <definedName name="_p" localSheetId="29" hidden="1">'[1]Flujo de Caja Consorcio'!#REF!</definedName>
    <definedName name="_p" localSheetId="11" hidden="1">'[1]Flujo de Caja Consorcio'!#REF!</definedName>
    <definedName name="_p" localSheetId="6" hidden="1">'[1]Flujo de Caja Consorcio'!#REF!</definedName>
    <definedName name="_p" localSheetId="5" hidden="1">'[1]Flujo de Caja Consorcio'!#REF!</definedName>
    <definedName name="_p" localSheetId="2" hidden="1">'[1]Flujo de Caja Consorcio'!#REF!</definedName>
    <definedName name="_p" localSheetId="12" hidden="1">'[1]Flujo de Caja Consorcio'!#REF!</definedName>
    <definedName name="_p" localSheetId="33" hidden="1">'[1]Flujo de Caja Consorcio'!#REF!</definedName>
    <definedName name="_p" localSheetId="31" hidden="1">'[1]Flujo de Caja Consorcio'!#REF!</definedName>
    <definedName name="_p" localSheetId="4" hidden="1">'[1]Flujo de Caja Consorcio'!#REF!</definedName>
    <definedName name="_p" hidden="1">'[1]Flujo de Caja Consorcio'!#REF!</definedName>
    <definedName name="_po" localSheetId="18" hidden="1">'[1]Flujo de Caja Consorcio'!#REF!</definedName>
    <definedName name="_po" localSheetId="19" hidden="1">'[1]Flujo de Caja Consorcio'!#REF!</definedName>
    <definedName name="_po" localSheetId="20" hidden="1">'[1]Flujo de Caja Consorcio'!#REF!</definedName>
    <definedName name="_po" localSheetId="21" hidden="1">'[1]Flujo de Caja Consorcio'!#REF!</definedName>
    <definedName name="_po" localSheetId="22" hidden="1">'[1]Flujo de Caja Consorcio'!#REF!</definedName>
    <definedName name="_po" localSheetId="23" hidden="1">'[1]Flujo de Caja Consorcio'!#REF!</definedName>
    <definedName name="_po" localSheetId="24" hidden="1">'[1]Flujo de Caja Consorcio'!#REF!</definedName>
    <definedName name="_po" localSheetId="25" hidden="1">'[1]Flujo de Caja Consorcio'!#REF!</definedName>
    <definedName name="_po" localSheetId="26" hidden="1">'[1]Flujo de Caja Consorcio'!#REF!</definedName>
    <definedName name="_po" localSheetId="27" hidden="1">'[1]Flujo de Caja Consorcio'!#REF!</definedName>
    <definedName name="_po" localSheetId="28" hidden="1">'[1]Flujo de Caja Consorcio'!#REF!</definedName>
    <definedName name="_po" localSheetId="29" hidden="1">'[1]Flujo de Caja Consorcio'!#REF!</definedName>
    <definedName name="_po" localSheetId="11" hidden="1">'[1]Flujo de Caja Consorcio'!#REF!</definedName>
    <definedName name="_po" localSheetId="6" hidden="1">'[1]Flujo de Caja Consorcio'!#REF!</definedName>
    <definedName name="_po" localSheetId="5" hidden="1">'[1]Flujo de Caja Consorcio'!#REF!</definedName>
    <definedName name="_po" localSheetId="2" hidden="1">'[1]Flujo de Caja Consorcio'!#REF!</definedName>
    <definedName name="_po" localSheetId="12" hidden="1">'[1]Flujo de Caja Consorcio'!#REF!</definedName>
    <definedName name="_po" localSheetId="33" hidden="1">'[1]Flujo de Caja Consorcio'!#REF!</definedName>
    <definedName name="_po" localSheetId="31" hidden="1">'[1]Flujo de Caja Consorcio'!#REF!</definedName>
    <definedName name="_po" localSheetId="4" hidden="1">'[1]Flujo de Caja Consorcio'!#REF!</definedName>
    <definedName name="_po" hidden="1">'[1]Flujo de Caja Consorcio'!#REF!</definedName>
    <definedName name="_sh1" localSheetId="18">#REF!</definedName>
    <definedName name="_sh1" localSheetId="19">#REF!</definedName>
    <definedName name="_sh1" localSheetId="20">#REF!</definedName>
    <definedName name="_sh1" localSheetId="21">#REF!</definedName>
    <definedName name="_sh1" localSheetId="22">#REF!</definedName>
    <definedName name="_sh1" localSheetId="23">#REF!</definedName>
    <definedName name="_sh1" localSheetId="24">#REF!</definedName>
    <definedName name="_sh1" localSheetId="25">#REF!</definedName>
    <definedName name="_sh1" localSheetId="26">#REF!</definedName>
    <definedName name="_sh1" localSheetId="27">#REF!</definedName>
    <definedName name="_sh1" localSheetId="28">#REF!</definedName>
    <definedName name="_sh1" localSheetId="29">#REF!</definedName>
    <definedName name="_sh1" localSheetId="3">#REF!</definedName>
    <definedName name="_sh1" localSheetId="11">#REF!</definedName>
    <definedName name="_sh1" localSheetId="6">#REF!</definedName>
    <definedName name="_sh1" localSheetId="5">#REF!</definedName>
    <definedName name="_sh1" localSheetId="2">#REF!</definedName>
    <definedName name="_sh1" localSheetId="12">#REF!</definedName>
    <definedName name="_sh1" localSheetId="33">#REF!</definedName>
    <definedName name="_sh1" localSheetId="31">#REF!</definedName>
    <definedName name="_sh1" localSheetId="4">#REF!</definedName>
    <definedName name="_sh1">#REF!</definedName>
    <definedName name="_sh2" localSheetId="18">#REF!</definedName>
    <definedName name="_sh2" localSheetId="19">#REF!</definedName>
    <definedName name="_sh2" localSheetId="20">#REF!</definedName>
    <definedName name="_sh2" localSheetId="21">#REF!</definedName>
    <definedName name="_sh2" localSheetId="22">#REF!</definedName>
    <definedName name="_sh2" localSheetId="23">#REF!</definedName>
    <definedName name="_sh2" localSheetId="24">#REF!</definedName>
    <definedName name="_sh2" localSheetId="25">#REF!</definedName>
    <definedName name="_sh2" localSheetId="26">#REF!</definedName>
    <definedName name="_sh2" localSheetId="27">#REF!</definedName>
    <definedName name="_sh2" localSheetId="28">#REF!</definedName>
    <definedName name="_sh2" localSheetId="29">#REF!</definedName>
    <definedName name="_sh2" localSheetId="3">#REF!</definedName>
    <definedName name="_sh2" localSheetId="11">#REF!</definedName>
    <definedName name="_sh2" localSheetId="6">#REF!</definedName>
    <definedName name="_sh2" localSheetId="5">#REF!</definedName>
    <definedName name="_sh2" localSheetId="2">#REF!</definedName>
    <definedName name="_sh2" localSheetId="12">#REF!</definedName>
    <definedName name="_sh2" localSheetId="33">#REF!</definedName>
    <definedName name="_sh2" localSheetId="31">#REF!</definedName>
    <definedName name="_sh2" localSheetId="4">#REF!</definedName>
    <definedName name="_sh2">#REF!</definedName>
    <definedName name="_Sort" localSheetId="18" hidden="1">'[3]Flujo de Caja Consorcio'!#REF!</definedName>
    <definedName name="_Sort" localSheetId="19" hidden="1">'[3]Flujo de Caja Consorcio'!#REF!</definedName>
    <definedName name="_Sort" localSheetId="20" hidden="1">'[3]Flujo de Caja Consorcio'!#REF!</definedName>
    <definedName name="_Sort" localSheetId="21" hidden="1">'[3]Flujo de Caja Consorcio'!#REF!</definedName>
    <definedName name="_Sort" localSheetId="22" hidden="1">'[3]Flujo de Caja Consorcio'!#REF!</definedName>
    <definedName name="_Sort" localSheetId="23" hidden="1">'[3]Flujo de Caja Consorcio'!#REF!</definedName>
    <definedName name="_Sort" localSheetId="24" hidden="1">'[3]Flujo de Caja Consorcio'!#REF!</definedName>
    <definedName name="_Sort" localSheetId="25" hidden="1">'[3]Flujo de Caja Consorcio'!#REF!</definedName>
    <definedName name="_Sort" localSheetId="26" hidden="1">'[3]Flujo de Caja Consorcio'!#REF!</definedName>
    <definedName name="_Sort" localSheetId="27" hidden="1">'[3]Flujo de Caja Consorcio'!#REF!</definedName>
    <definedName name="_Sort" localSheetId="28" hidden="1">'[3]Flujo de Caja Consorcio'!#REF!</definedName>
    <definedName name="_Sort" localSheetId="29" hidden="1">'[3]Flujo de Caja Consorcio'!#REF!</definedName>
    <definedName name="_Sort" localSheetId="3" hidden="1">'[1]Flujo de Caja Consorcio'!#REF!</definedName>
    <definedName name="_Sort" localSheetId="11" hidden="1">'[3]Flujo de Caja Consorcio'!#REF!</definedName>
    <definedName name="_Sort" localSheetId="6" hidden="1">'[3]Flujo de Caja Consorcio'!#REF!</definedName>
    <definedName name="_Sort" localSheetId="5" hidden="1">'[1]Flujo de Caja Consorcio'!#REF!</definedName>
    <definedName name="_Sort" localSheetId="2" hidden="1">'[3]Flujo de Caja Consorcio'!#REF!</definedName>
    <definedName name="_Sort" localSheetId="12" hidden="1">'[3]Flujo de Caja Consorcio'!#REF!</definedName>
    <definedName name="_Sort" localSheetId="33" hidden="1">'[3]Flujo de Caja Consorcio'!#REF!</definedName>
    <definedName name="_Sort" localSheetId="31" hidden="1">'[3]Flujo de Caja Consorcio'!#REF!</definedName>
    <definedName name="_Sort" localSheetId="4" hidden="1">'[1]Flujo de Caja Consorcio'!#REF!</definedName>
    <definedName name="_Sort" hidden="1">'[3]Flujo de Caja Consorcio'!#REF!</definedName>
    <definedName name="_ss1" localSheetId="18">#REF!</definedName>
    <definedName name="_ss1" localSheetId="19">#REF!</definedName>
    <definedName name="_ss1" localSheetId="20">#REF!</definedName>
    <definedName name="_ss1" localSheetId="21">#REF!</definedName>
    <definedName name="_ss1" localSheetId="22">#REF!</definedName>
    <definedName name="_ss1" localSheetId="23">#REF!</definedName>
    <definedName name="_ss1" localSheetId="24">#REF!</definedName>
    <definedName name="_ss1" localSheetId="25">#REF!</definedName>
    <definedName name="_ss1" localSheetId="26">#REF!</definedName>
    <definedName name="_ss1" localSheetId="27">#REF!</definedName>
    <definedName name="_ss1" localSheetId="28">#REF!</definedName>
    <definedName name="_ss1" localSheetId="29">#REF!</definedName>
    <definedName name="_ss1" localSheetId="3">#REF!</definedName>
    <definedName name="_ss1" localSheetId="11">#REF!</definedName>
    <definedName name="_ss1" localSheetId="6">#REF!</definedName>
    <definedName name="_ss1" localSheetId="5">#REF!</definedName>
    <definedName name="_ss1" localSheetId="2">#REF!</definedName>
    <definedName name="_ss1" localSheetId="12">#REF!</definedName>
    <definedName name="_ss1" localSheetId="33">#REF!</definedName>
    <definedName name="_ss1" localSheetId="31">#REF!</definedName>
    <definedName name="_ss1" localSheetId="4">#REF!</definedName>
    <definedName name="_ss1">#REF!</definedName>
    <definedName name="_ss2" localSheetId="18">#REF!</definedName>
    <definedName name="_ss2" localSheetId="19">#REF!</definedName>
    <definedName name="_ss2" localSheetId="20">#REF!</definedName>
    <definedName name="_ss2" localSheetId="21">#REF!</definedName>
    <definedName name="_ss2" localSheetId="22">#REF!</definedName>
    <definedName name="_ss2" localSheetId="23">#REF!</definedName>
    <definedName name="_ss2" localSheetId="24">#REF!</definedName>
    <definedName name="_ss2" localSheetId="25">#REF!</definedName>
    <definedName name="_ss2" localSheetId="26">#REF!</definedName>
    <definedName name="_ss2" localSheetId="27">#REF!</definedName>
    <definedName name="_ss2" localSheetId="28">#REF!</definedName>
    <definedName name="_ss2" localSheetId="29">#REF!</definedName>
    <definedName name="_ss2" localSheetId="3">#REF!</definedName>
    <definedName name="_ss2" localSheetId="11">#REF!</definedName>
    <definedName name="_ss2" localSheetId="6">#REF!</definedName>
    <definedName name="_ss2" localSheetId="5">#REF!</definedName>
    <definedName name="_ss2" localSheetId="2">#REF!</definedName>
    <definedName name="_ss2" localSheetId="12">#REF!</definedName>
    <definedName name="_ss2" localSheetId="33">#REF!</definedName>
    <definedName name="_ss2" localSheetId="31">#REF!</definedName>
    <definedName name="_ss2" localSheetId="4">#REF!</definedName>
    <definedName name="_ss2">#REF!</definedName>
    <definedName name="_SSS" localSheetId="18">#REF!</definedName>
    <definedName name="_SSS" localSheetId="19">#REF!</definedName>
    <definedName name="_SSS" localSheetId="20">#REF!</definedName>
    <definedName name="_SSS" localSheetId="21">#REF!</definedName>
    <definedName name="_SSS" localSheetId="22">#REF!</definedName>
    <definedName name="_SSS" localSheetId="23">#REF!</definedName>
    <definedName name="_SSS" localSheetId="24">#REF!</definedName>
    <definedName name="_SSS" localSheetId="25">#REF!</definedName>
    <definedName name="_SSS" localSheetId="26">#REF!</definedName>
    <definedName name="_SSS" localSheetId="27">#REF!</definedName>
    <definedName name="_SSS" localSheetId="28">#REF!</definedName>
    <definedName name="_SSS" localSheetId="29">#REF!</definedName>
    <definedName name="_SSS" localSheetId="3">#REF!</definedName>
    <definedName name="_SSS" localSheetId="11">#REF!</definedName>
    <definedName name="_SSS" localSheetId="6">#REF!</definedName>
    <definedName name="_SSS" localSheetId="5">#REF!</definedName>
    <definedName name="_SSS" localSheetId="2">#REF!</definedName>
    <definedName name="_SSS" localSheetId="12">#REF!</definedName>
    <definedName name="_SSS" localSheetId="33">#REF!</definedName>
    <definedName name="_SSS" localSheetId="31">#REF!</definedName>
    <definedName name="_SSS" localSheetId="4">#REF!</definedName>
    <definedName name="_SSS">#REF!</definedName>
    <definedName name="_TIT1">[4]DEFINICION!$B$12</definedName>
    <definedName name="_TIT2">[4]DEFINICION!$B$13</definedName>
    <definedName name="A" localSheetId="3">'[1]BASES DE DATOS'!$A$8:$E$215</definedName>
    <definedName name="A" localSheetId="5">'[1]BASES DE DATOS'!$A$8:$E$215</definedName>
    <definedName name="A" localSheetId="4">'[1]BASES DE DATOS'!$A$8:$E$215</definedName>
    <definedName name="A">'[3]BASES DE DATOS'!$A$8:$E$215</definedName>
    <definedName name="A_2" localSheetId="18">'[3]BASES DE DATOS'!#REF!</definedName>
    <definedName name="A_2" localSheetId="19">'[3]BASES DE DATOS'!#REF!</definedName>
    <definedName name="A_2" localSheetId="20">'[3]BASES DE DATOS'!#REF!</definedName>
    <definedName name="A_2" localSheetId="21">'[3]BASES DE DATOS'!#REF!</definedName>
    <definedName name="A_2" localSheetId="22">'[3]BASES DE DATOS'!#REF!</definedName>
    <definedName name="A_2" localSheetId="23">'[3]BASES DE DATOS'!#REF!</definedName>
    <definedName name="A_2" localSheetId="24">'[3]BASES DE DATOS'!#REF!</definedName>
    <definedName name="A_2" localSheetId="25">'[3]BASES DE DATOS'!#REF!</definedName>
    <definedName name="A_2" localSheetId="26">'[3]BASES DE DATOS'!#REF!</definedName>
    <definedName name="A_2" localSheetId="27">'[3]BASES DE DATOS'!#REF!</definedName>
    <definedName name="A_2" localSheetId="28">'[3]BASES DE DATOS'!#REF!</definedName>
    <definedName name="A_2" localSheetId="29">'[3]BASES DE DATOS'!#REF!</definedName>
    <definedName name="A_2" localSheetId="3">'[1]BASES DE DATOS'!#REF!</definedName>
    <definedName name="A_2" localSheetId="11">'[3]BASES DE DATOS'!#REF!</definedName>
    <definedName name="A_2" localSheetId="6">'[3]BASES DE DATOS'!#REF!</definedName>
    <definedName name="A_2" localSheetId="5">'[1]BASES DE DATOS'!#REF!</definedName>
    <definedName name="A_2" localSheetId="2">'[3]BASES DE DATOS'!#REF!</definedName>
    <definedName name="A_2" localSheetId="12">'[3]BASES DE DATOS'!#REF!</definedName>
    <definedName name="A_2" localSheetId="33">'[3]BASES DE DATOS'!#REF!</definedName>
    <definedName name="A_2" localSheetId="31">'[3]BASES DE DATOS'!#REF!</definedName>
    <definedName name="A_2" localSheetId="4">'[1]BASES DE DATOS'!#REF!</definedName>
    <definedName name="A_2">'[3]BASES DE DATOS'!#REF!</definedName>
    <definedName name="A_3" localSheetId="18">'[1]BASES DE DATOS'!#REF!</definedName>
    <definedName name="A_3" localSheetId="19">'[1]BASES DE DATOS'!#REF!</definedName>
    <definedName name="A_3" localSheetId="20">'[1]BASES DE DATOS'!#REF!</definedName>
    <definedName name="A_3" localSheetId="21">'[1]BASES DE DATOS'!#REF!</definedName>
    <definedName name="A_3" localSheetId="22">'[1]BASES DE DATOS'!#REF!</definedName>
    <definedName name="A_3" localSheetId="23">'[1]BASES DE DATOS'!#REF!</definedName>
    <definedName name="A_3" localSheetId="24">'[1]BASES DE DATOS'!#REF!</definedName>
    <definedName name="A_3" localSheetId="25">'[1]BASES DE DATOS'!#REF!</definedName>
    <definedName name="A_3" localSheetId="26">'[1]BASES DE DATOS'!#REF!</definedName>
    <definedName name="A_3" localSheetId="27">'[1]BASES DE DATOS'!#REF!</definedName>
    <definedName name="A_3" localSheetId="28">'[1]BASES DE DATOS'!#REF!</definedName>
    <definedName name="A_3" localSheetId="29">'[1]BASES DE DATOS'!#REF!</definedName>
    <definedName name="A_3" localSheetId="11">'[1]BASES DE DATOS'!#REF!</definedName>
    <definedName name="A_3" localSheetId="6">'[1]BASES DE DATOS'!#REF!</definedName>
    <definedName name="A_3" localSheetId="2">'[1]BASES DE DATOS'!#REF!</definedName>
    <definedName name="A_3" localSheetId="12">'[1]BASES DE DATOS'!#REF!</definedName>
    <definedName name="A_3" localSheetId="33">'[1]BASES DE DATOS'!#REF!</definedName>
    <definedName name="A_3" localSheetId="31">'[1]BASES DE DATOS'!#REF!</definedName>
    <definedName name="A_3" localSheetId="4">'[1]BASES DE DATOS'!#REF!</definedName>
    <definedName name="A_3">'[1]BASES DE DATOS'!#REF!</definedName>
    <definedName name="aa" localSheetId="18">#REF!</definedName>
    <definedName name="aa" localSheetId="19">#REF!</definedName>
    <definedName name="aa" localSheetId="20">#REF!</definedName>
    <definedName name="aa" localSheetId="21">#REF!</definedName>
    <definedName name="aa" localSheetId="22">#REF!</definedName>
    <definedName name="aa" localSheetId="23">#REF!</definedName>
    <definedName name="aa" localSheetId="24">#REF!</definedName>
    <definedName name="aa" localSheetId="25">#REF!</definedName>
    <definedName name="aa" localSheetId="26">#REF!</definedName>
    <definedName name="aa" localSheetId="27">#REF!</definedName>
    <definedName name="aa" localSheetId="28">#REF!</definedName>
    <definedName name="aa" localSheetId="29">#REF!</definedName>
    <definedName name="aa" localSheetId="11" hidden="1">{"'Hoja1 (13)'!$A$6:$F$53"}</definedName>
    <definedName name="aa" localSheetId="6" hidden="1">{"'Hoja1 (13)'!$A$6:$F$53"}</definedName>
    <definedName name="aa" localSheetId="5">#REF!</definedName>
    <definedName name="aa" localSheetId="2">#REF!</definedName>
    <definedName name="aa" localSheetId="12" hidden="1">{"'Hoja1 (13)'!$A$6:$F$53"}</definedName>
    <definedName name="aa" localSheetId="33" hidden="1">{"'Hoja1 (13)'!$A$6:$F$53"}</definedName>
    <definedName name="aa" localSheetId="31" hidden="1">{"'Hoja1 (13)'!$A$6:$F$53"}</definedName>
    <definedName name="aa" localSheetId="4">#REF!</definedName>
    <definedName name="aa">#REF!</definedName>
    <definedName name="aaa" localSheetId="18">#REF!</definedName>
    <definedName name="aaa" localSheetId="19">#REF!</definedName>
    <definedName name="aaa" localSheetId="20">#REF!</definedName>
    <definedName name="aaa" localSheetId="21">#REF!</definedName>
    <definedName name="aaa" localSheetId="22">#REF!</definedName>
    <definedName name="aaa" localSheetId="23">#REF!</definedName>
    <definedName name="aaa" localSheetId="24">#REF!</definedName>
    <definedName name="aaa" localSheetId="25">#REF!</definedName>
    <definedName name="aaa" localSheetId="26">#REF!</definedName>
    <definedName name="aaa" localSheetId="27">#REF!</definedName>
    <definedName name="aaa" localSheetId="28">#REF!</definedName>
    <definedName name="aaa" localSheetId="29">#REF!</definedName>
    <definedName name="aaa" localSheetId="3">#REF!</definedName>
    <definedName name="aaa" localSheetId="11">#REF!</definedName>
    <definedName name="aaa" localSheetId="6">#REF!</definedName>
    <definedName name="aaa" localSheetId="5" hidden="1">#REF!</definedName>
    <definedName name="aaa" localSheetId="2">#REF!</definedName>
    <definedName name="aaa" localSheetId="12">#REF!</definedName>
    <definedName name="aaa" localSheetId="33">#REF!</definedName>
    <definedName name="aaa" localSheetId="31">#REF!</definedName>
    <definedName name="aaa" localSheetId="4">#REF!</definedName>
    <definedName name="aaa">#REF!</definedName>
    <definedName name="AAAA" localSheetId="18">'[5]ESTACADO DEL EJE'!#REF!</definedName>
    <definedName name="AAAA" localSheetId="19">'[5]ESTACADO DEL EJE'!#REF!</definedName>
    <definedName name="AAAA" localSheetId="20">'[5]ESTACADO DEL EJE'!#REF!</definedName>
    <definedName name="AAAA" localSheetId="21">'[5]ESTACADO DEL EJE'!#REF!</definedName>
    <definedName name="AAAA" localSheetId="22">'[5]ESTACADO DEL EJE'!#REF!</definedName>
    <definedName name="AAAA" localSheetId="23">'[5]ESTACADO DEL EJE'!#REF!</definedName>
    <definedName name="AAAA" localSheetId="24">'[5]ESTACADO DEL EJE'!#REF!</definedName>
    <definedName name="AAAA" localSheetId="25">'[5]ESTACADO DEL EJE'!#REF!</definedName>
    <definedName name="AAAA" localSheetId="26">'[5]ESTACADO DEL EJE'!#REF!</definedName>
    <definedName name="AAAA" localSheetId="27">'[5]ESTACADO DEL EJE'!#REF!</definedName>
    <definedName name="AAAA" localSheetId="28">'[5]ESTACADO DEL EJE'!#REF!</definedName>
    <definedName name="AAAA" localSheetId="29">'[5]ESTACADO DEL EJE'!#REF!</definedName>
    <definedName name="AAAA" localSheetId="11">'[5]ESTACADO DEL EJE'!#REF!</definedName>
    <definedName name="AAAA" localSheetId="6">'[5]ESTACADO DEL EJE'!#REF!</definedName>
    <definedName name="AAAA" localSheetId="5">'[5]ESTACADO DEL EJE'!#REF!</definedName>
    <definedName name="AAAA" localSheetId="2">'[5]ESTACADO DEL EJE'!#REF!</definedName>
    <definedName name="AAAA" localSheetId="12">'[5]ESTACADO DEL EJE'!#REF!</definedName>
    <definedName name="AAAA" localSheetId="33">'[5]ESTACADO DEL EJE'!#REF!</definedName>
    <definedName name="AAAA" localSheetId="31">'[5]ESTACADO DEL EJE'!#REF!</definedName>
    <definedName name="AAAA" localSheetId="4">'[5]ESTACADO DEL EJE'!#REF!</definedName>
    <definedName name="AAAA">'[5]ESTACADO DEL EJE'!#REF!</definedName>
    <definedName name="aaaaaaaaa" localSheetId="18">'[3]Flujo de Caja Consorcio'!#REF!</definedName>
    <definedName name="aaaaaaaaa" localSheetId="19">'[3]Flujo de Caja Consorcio'!#REF!</definedName>
    <definedName name="aaaaaaaaa" localSheetId="20">'[3]Flujo de Caja Consorcio'!#REF!</definedName>
    <definedName name="aaaaaaaaa" localSheetId="21">'[3]Flujo de Caja Consorcio'!#REF!</definedName>
    <definedName name="aaaaaaaaa" localSheetId="22">'[3]Flujo de Caja Consorcio'!#REF!</definedName>
    <definedName name="aaaaaaaaa" localSheetId="23">'[3]Flujo de Caja Consorcio'!#REF!</definedName>
    <definedName name="aaaaaaaaa" localSheetId="24">'[3]Flujo de Caja Consorcio'!#REF!</definedName>
    <definedName name="aaaaaaaaa" localSheetId="25">'[3]Flujo de Caja Consorcio'!#REF!</definedName>
    <definedName name="aaaaaaaaa" localSheetId="26">'[3]Flujo de Caja Consorcio'!#REF!</definedName>
    <definedName name="aaaaaaaaa" localSheetId="27">'[3]Flujo de Caja Consorcio'!#REF!</definedName>
    <definedName name="aaaaaaaaa" localSheetId="28">'[3]Flujo de Caja Consorcio'!#REF!</definedName>
    <definedName name="aaaaaaaaa" localSheetId="29">'[3]Flujo de Caja Consorcio'!#REF!</definedName>
    <definedName name="aaaaaaaaa" localSheetId="3">'[3]Flujo de Caja Consorcio'!#REF!</definedName>
    <definedName name="aaaaaaaaa" localSheetId="11">'[3]Flujo de Caja Consorcio'!#REF!</definedName>
    <definedName name="aaaaaaaaa" localSheetId="6">'[3]Flujo de Caja Consorcio'!#REF!</definedName>
    <definedName name="aaaaaaaaa" localSheetId="2">'[3]Flujo de Caja Consorcio'!#REF!</definedName>
    <definedName name="aaaaaaaaa" localSheetId="12">'[3]Flujo de Caja Consorcio'!#REF!</definedName>
    <definedName name="aaaaaaaaa" localSheetId="33">'[3]Flujo de Caja Consorcio'!#REF!</definedName>
    <definedName name="aaaaaaaaa" localSheetId="31">'[3]Flujo de Caja Consorcio'!#REF!</definedName>
    <definedName name="aaaaaaaaa" localSheetId="4">'[3]Flujo de Caja Consorcio'!#REF!</definedName>
    <definedName name="aaaaaaaaa">'[3]Flujo de Caja Consorcio'!#REF!</definedName>
    <definedName name="aaaaaaaaaaaaaawq" localSheetId="18">#REF!</definedName>
    <definedName name="aaaaaaaaaaaaaawq" localSheetId="19">#REF!</definedName>
    <definedName name="aaaaaaaaaaaaaawq" localSheetId="20">#REF!</definedName>
    <definedName name="aaaaaaaaaaaaaawq" localSheetId="21">#REF!</definedName>
    <definedName name="aaaaaaaaaaaaaawq" localSheetId="22">#REF!</definedName>
    <definedName name="aaaaaaaaaaaaaawq" localSheetId="23">#REF!</definedName>
    <definedName name="aaaaaaaaaaaaaawq" localSheetId="24">#REF!</definedName>
    <definedName name="aaaaaaaaaaaaaawq" localSheetId="25">#REF!</definedName>
    <definedName name="aaaaaaaaaaaaaawq" localSheetId="26">#REF!</definedName>
    <definedName name="aaaaaaaaaaaaaawq" localSheetId="27">#REF!</definedName>
    <definedName name="aaaaaaaaaaaaaawq" localSheetId="28">#REF!</definedName>
    <definedName name="aaaaaaaaaaaaaawq" localSheetId="29">#REF!</definedName>
    <definedName name="aaaaaaaaaaaaaawq" localSheetId="3">#REF!</definedName>
    <definedName name="aaaaaaaaaaaaaawq" localSheetId="11">#REF!</definedName>
    <definedName name="aaaaaaaaaaaaaawq" localSheetId="6">#REF!</definedName>
    <definedName name="aaaaaaaaaaaaaawq" localSheetId="2">#REF!</definedName>
    <definedName name="aaaaaaaaaaaaaawq" localSheetId="12">#REF!</definedName>
    <definedName name="aaaaaaaaaaaaaawq" localSheetId="33">#REF!</definedName>
    <definedName name="aaaaaaaaaaaaaawq" localSheetId="31">#REF!</definedName>
    <definedName name="aaaaaaaaaaaaaawq" localSheetId="4">#REF!</definedName>
    <definedName name="aaaaaaaaaaaaaawq">#REF!</definedName>
    <definedName name="ABCD" localSheetId="18">#REF!</definedName>
    <definedName name="ABCD" localSheetId="19">#REF!</definedName>
    <definedName name="ABCD" localSheetId="20">#REF!</definedName>
    <definedName name="ABCD" localSheetId="21">#REF!</definedName>
    <definedName name="ABCD" localSheetId="22">#REF!</definedName>
    <definedName name="ABCD" localSheetId="23">#REF!</definedName>
    <definedName name="ABCD" localSheetId="24">#REF!</definedName>
    <definedName name="ABCD" localSheetId="25">#REF!</definedName>
    <definedName name="ABCD" localSheetId="26">#REF!</definedName>
    <definedName name="ABCD" localSheetId="27">#REF!</definedName>
    <definedName name="ABCD" localSheetId="28">#REF!</definedName>
    <definedName name="ABCD" localSheetId="29">#REF!</definedName>
    <definedName name="ABCD" localSheetId="11">#REF!</definedName>
    <definedName name="ABCD" localSheetId="6">#REF!</definedName>
    <definedName name="ABCD" localSheetId="5">#REF!</definedName>
    <definedName name="ABCD" localSheetId="2">#REF!</definedName>
    <definedName name="ABCD" localSheetId="12">#REF!</definedName>
    <definedName name="ABCD" localSheetId="33">#REF!</definedName>
    <definedName name="ABCD" localSheetId="31">#REF!</definedName>
    <definedName name="ABCD" localSheetId="4">#REF!</definedName>
    <definedName name="ABCD">#REF!</definedName>
    <definedName name="ac" localSheetId="18">#REF!</definedName>
    <definedName name="ac" localSheetId="19">#REF!</definedName>
    <definedName name="ac" localSheetId="20">#REF!</definedName>
    <definedName name="ac" localSheetId="21">#REF!</definedName>
    <definedName name="ac" localSheetId="22">#REF!</definedName>
    <definedName name="ac" localSheetId="23">#REF!</definedName>
    <definedName name="ac" localSheetId="24">#REF!</definedName>
    <definedName name="ac" localSheetId="25">#REF!</definedName>
    <definedName name="ac" localSheetId="26">#REF!</definedName>
    <definedName name="ac" localSheetId="27">#REF!</definedName>
    <definedName name="ac" localSheetId="28">#REF!</definedName>
    <definedName name="ac" localSheetId="29">#REF!</definedName>
    <definedName name="ac" localSheetId="3">#REF!</definedName>
    <definedName name="ac" localSheetId="11">#REF!</definedName>
    <definedName name="ac" localSheetId="6">#REF!</definedName>
    <definedName name="ac" localSheetId="5">#REF!</definedName>
    <definedName name="ac" localSheetId="2">#REF!</definedName>
    <definedName name="ac" localSheetId="12">#REF!</definedName>
    <definedName name="ac" localSheetId="33">#REF!</definedName>
    <definedName name="ac" localSheetId="31">#REF!</definedName>
    <definedName name="ac" localSheetId="4">#REF!</definedName>
    <definedName name="ac">#REF!</definedName>
    <definedName name="agbinderp" localSheetId="5">[6]analisis!$M$12</definedName>
    <definedName name="agbinderp">[7]analisis!$M$12</definedName>
    <definedName name="agp" localSheetId="5">[6]analisis!$I$12</definedName>
    <definedName name="agp">[7]analisis!$I$12</definedName>
    <definedName name="ah" localSheetId="18">#REF!</definedName>
    <definedName name="ah" localSheetId="19">#REF!</definedName>
    <definedName name="ah" localSheetId="20">#REF!</definedName>
    <definedName name="ah" localSheetId="21">#REF!</definedName>
    <definedName name="ah" localSheetId="22">#REF!</definedName>
    <definedName name="ah" localSheetId="23">#REF!</definedName>
    <definedName name="ah" localSheetId="24">#REF!</definedName>
    <definedName name="ah" localSheetId="25">#REF!</definedName>
    <definedName name="ah" localSheetId="26">#REF!</definedName>
    <definedName name="ah" localSheetId="27">#REF!</definedName>
    <definedName name="ah" localSheetId="28">#REF!</definedName>
    <definedName name="ah" localSheetId="29">#REF!</definedName>
    <definedName name="ah" localSheetId="3">#REF!</definedName>
    <definedName name="ah" localSheetId="11">#REF!</definedName>
    <definedName name="ah" localSheetId="6">#REF!</definedName>
    <definedName name="ah" localSheetId="5">#REF!</definedName>
    <definedName name="ah" localSheetId="2">#REF!</definedName>
    <definedName name="ah" localSheetId="12">#REF!</definedName>
    <definedName name="ah" localSheetId="33">#REF!</definedName>
    <definedName name="ah" localSheetId="31">#REF!</definedName>
    <definedName name="ah" localSheetId="4">#REF!</definedName>
    <definedName name="ah">#REF!</definedName>
    <definedName name="alambrep" localSheetId="5">[6]analisis!$M$16</definedName>
    <definedName name="alambrep">[7]analisis!$M$16</definedName>
    <definedName name="albp" localSheetId="5">[6]analisis!$P$5</definedName>
    <definedName name="albp">[7]analisis!$P$5</definedName>
    <definedName name="alcan48" localSheetId="5">[6]analisis!$K$19</definedName>
    <definedName name="alcan48">[7]analisis!$K$19</definedName>
    <definedName name="alcan48p" localSheetId="5">[6]analisis!$M$19</definedName>
    <definedName name="alcan48p">[7]analisis!$M$19</definedName>
    <definedName name="alcan60" localSheetId="5">[6]analisis!$K$20</definedName>
    <definedName name="alcan60">[7]analisis!$K$20</definedName>
    <definedName name="alcan60p" localSheetId="5">[6]analisis!$M$20</definedName>
    <definedName name="alcan60p">[7]analisis!$M$20</definedName>
    <definedName name="ALIM" localSheetId="18" hidden="1">'[3]Flujo de Caja Consorcio'!#REF!</definedName>
    <definedName name="ALIM" localSheetId="19" hidden="1">'[3]Flujo de Caja Consorcio'!#REF!</definedName>
    <definedName name="ALIM" localSheetId="20" hidden="1">'[3]Flujo de Caja Consorcio'!#REF!</definedName>
    <definedName name="ALIM" localSheetId="21" hidden="1">'[3]Flujo de Caja Consorcio'!#REF!</definedName>
    <definedName name="ALIM" localSheetId="22" hidden="1">'[3]Flujo de Caja Consorcio'!#REF!</definedName>
    <definedName name="ALIM" localSheetId="23" hidden="1">'[3]Flujo de Caja Consorcio'!#REF!</definedName>
    <definedName name="ALIM" localSheetId="24" hidden="1">'[3]Flujo de Caja Consorcio'!#REF!</definedName>
    <definedName name="ALIM" localSheetId="25" hidden="1">'[3]Flujo de Caja Consorcio'!#REF!</definedName>
    <definedName name="ALIM" localSheetId="26" hidden="1">'[3]Flujo de Caja Consorcio'!#REF!</definedName>
    <definedName name="ALIM" localSheetId="27" hidden="1">'[3]Flujo de Caja Consorcio'!#REF!</definedName>
    <definedName name="ALIM" localSheetId="28" hidden="1">'[3]Flujo de Caja Consorcio'!#REF!</definedName>
    <definedName name="ALIM" localSheetId="29" hidden="1">'[3]Flujo de Caja Consorcio'!#REF!</definedName>
    <definedName name="ALIM" localSheetId="3" hidden="1">'[1]Flujo de Caja Consorcio'!#REF!</definedName>
    <definedName name="ALIM" localSheetId="11" hidden="1">'[3]Flujo de Caja Consorcio'!#REF!</definedName>
    <definedName name="ALIM" localSheetId="6" hidden="1">'[3]Flujo de Caja Consorcio'!#REF!</definedName>
    <definedName name="ALIM" localSheetId="5" hidden="1">'[1]Flujo de Caja Consorcio'!#REF!</definedName>
    <definedName name="ALIM" localSheetId="2" hidden="1">'[3]Flujo de Caja Consorcio'!#REF!</definedName>
    <definedName name="ALIM" localSheetId="12" hidden="1">'[3]Flujo de Caja Consorcio'!#REF!</definedName>
    <definedName name="ALIM" localSheetId="33" hidden="1">'[3]Flujo de Caja Consorcio'!#REF!</definedName>
    <definedName name="ALIM" localSheetId="31" hidden="1">'[3]Flujo de Caja Consorcio'!#REF!</definedName>
    <definedName name="ALIM" localSheetId="4" hidden="1">'[1]Flujo de Caja Consorcio'!#REF!</definedName>
    <definedName name="ALIM" hidden="1">'[3]Flujo de Caja Consorcio'!#REF!</definedName>
    <definedName name="Alq">#N/A</definedName>
    <definedName name="Alqui" localSheetId="18">#REF!</definedName>
    <definedName name="Alqui" localSheetId="19">#REF!</definedName>
    <definedName name="Alqui" localSheetId="20">#REF!</definedName>
    <definedName name="Alqui" localSheetId="21">#REF!</definedName>
    <definedName name="Alqui" localSheetId="22">#REF!</definedName>
    <definedName name="Alqui" localSheetId="23">#REF!</definedName>
    <definedName name="Alqui" localSheetId="24">#REF!</definedName>
    <definedName name="Alqui" localSheetId="25">#REF!</definedName>
    <definedName name="Alqui" localSheetId="26">#REF!</definedName>
    <definedName name="Alqui" localSheetId="27">#REF!</definedName>
    <definedName name="Alqui" localSheetId="28">#REF!</definedName>
    <definedName name="Alqui" localSheetId="29">#REF!</definedName>
    <definedName name="Alqui" localSheetId="11">#REF!</definedName>
    <definedName name="Alqui" localSheetId="6">#REF!</definedName>
    <definedName name="Alqui" localSheetId="5">#REF!</definedName>
    <definedName name="Alqui" localSheetId="2">#REF!</definedName>
    <definedName name="Alqui" localSheetId="10">#REF!</definedName>
    <definedName name="Alqui" localSheetId="12">#REF!</definedName>
    <definedName name="Alqui" localSheetId="33">#REF!</definedName>
    <definedName name="Alqui" localSheetId="31">#REF!</definedName>
    <definedName name="Alqui" localSheetId="4">#REF!</definedName>
    <definedName name="Alqui">#REF!</definedName>
    <definedName name="ANTI" localSheetId="18">'[3]C.D. INSUMOS'!#REF!</definedName>
    <definedName name="ANTI" localSheetId="19">'[3]C.D. INSUMOS'!#REF!</definedName>
    <definedName name="ANTI" localSheetId="20">'[3]C.D. INSUMOS'!#REF!</definedName>
    <definedName name="ANTI" localSheetId="21">'[3]C.D. INSUMOS'!#REF!</definedName>
    <definedName name="ANTI" localSheetId="22">'[3]C.D. INSUMOS'!#REF!</definedName>
    <definedName name="ANTI" localSheetId="23">'[3]C.D. INSUMOS'!#REF!</definedName>
    <definedName name="ANTI" localSheetId="24">'[3]C.D. INSUMOS'!#REF!</definedName>
    <definedName name="ANTI" localSheetId="25">'[3]C.D. INSUMOS'!#REF!</definedName>
    <definedName name="ANTI" localSheetId="26">'[3]C.D. INSUMOS'!#REF!</definedName>
    <definedName name="ANTI" localSheetId="27">'[3]C.D. INSUMOS'!#REF!</definedName>
    <definedName name="ANTI" localSheetId="28">'[3]C.D. INSUMOS'!#REF!</definedName>
    <definedName name="ANTI" localSheetId="29">'[3]C.D. INSUMOS'!#REF!</definedName>
    <definedName name="ANTI" localSheetId="3">'[1]C.D. INSUMOS'!#REF!</definedName>
    <definedName name="ANTI" localSheetId="11">'[3]C.D. INSUMOS'!#REF!</definedName>
    <definedName name="ANTI" localSheetId="6">'[3]C.D. INSUMOS'!#REF!</definedName>
    <definedName name="ANTI" localSheetId="5">'[1]C.D. INSUMOS'!#REF!</definedName>
    <definedName name="ANTI" localSheetId="2">'[3]C.D. INSUMOS'!#REF!</definedName>
    <definedName name="ANTI" localSheetId="12">'[3]C.D. INSUMOS'!#REF!</definedName>
    <definedName name="ANTI" localSheetId="33">'[3]C.D. INSUMOS'!#REF!</definedName>
    <definedName name="ANTI" localSheetId="31">'[3]C.D. INSUMOS'!#REF!</definedName>
    <definedName name="ANTI" localSheetId="4">'[1]C.D. INSUMOS'!#REF!</definedName>
    <definedName name="ANTI">'[3]C.D. INSUMOS'!#REF!</definedName>
    <definedName name="ANTICIPO" localSheetId="18">'[3]C.D. INSUMOS'!#REF!</definedName>
    <definedName name="ANTICIPO" localSheetId="19">'[3]C.D. INSUMOS'!#REF!</definedName>
    <definedName name="ANTICIPO" localSheetId="20">'[3]C.D. INSUMOS'!#REF!</definedName>
    <definedName name="ANTICIPO" localSheetId="21">'[3]C.D. INSUMOS'!#REF!</definedName>
    <definedName name="ANTICIPO" localSheetId="22">'[3]C.D. INSUMOS'!#REF!</definedName>
    <definedName name="ANTICIPO" localSheetId="23">'[3]C.D. INSUMOS'!#REF!</definedName>
    <definedName name="ANTICIPO" localSheetId="24">'[3]C.D. INSUMOS'!#REF!</definedName>
    <definedName name="ANTICIPO" localSheetId="25">'[3]C.D. INSUMOS'!#REF!</definedName>
    <definedName name="ANTICIPO" localSheetId="26">'[3]C.D. INSUMOS'!#REF!</definedName>
    <definedName name="ANTICIPO" localSheetId="27">'[3]C.D. INSUMOS'!#REF!</definedName>
    <definedName name="ANTICIPO" localSheetId="28">'[3]C.D. INSUMOS'!#REF!</definedName>
    <definedName name="ANTICIPO" localSheetId="29">'[3]C.D. INSUMOS'!#REF!</definedName>
    <definedName name="ANTICIPO" localSheetId="3">'[1]C.D. INSUMOS'!#REF!</definedName>
    <definedName name="ANTICIPO" localSheetId="11">'[3]C.D. INSUMOS'!#REF!</definedName>
    <definedName name="ANTICIPO" localSheetId="6">'[3]C.D. INSUMOS'!#REF!</definedName>
    <definedName name="ANTICIPO" localSheetId="5">'[1]C.D. INSUMOS'!#REF!</definedName>
    <definedName name="ANTICIPO" localSheetId="2">'[3]C.D. INSUMOS'!#REF!</definedName>
    <definedName name="ANTICIPO" localSheetId="12">'[3]C.D. INSUMOS'!#REF!</definedName>
    <definedName name="ANTICIPO" localSheetId="33">'[3]C.D. INSUMOS'!#REF!</definedName>
    <definedName name="ANTICIPO" localSheetId="31">'[3]C.D. INSUMOS'!#REF!</definedName>
    <definedName name="ANTICIPO" localSheetId="4">'[1]C.D. INSUMOS'!#REF!</definedName>
    <definedName name="ANTICIPO">'[3]C.D. INSUMOS'!#REF!</definedName>
    <definedName name="_xlnm.Extract" localSheetId="18">#REF!</definedName>
    <definedName name="_xlnm.Extract" localSheetId="19">#REF!</definedName>
    <definedName name="_xlnm.Extract" localSheetId="20">#REF!</definedName>
    <definedName name="_xlnm.Extract" localSheetId="21">#REF!</definedName>
    <definedName name="_xlnm.Extract" localSheetId="22">#REF!</definedName>
    <definedName name="_xlnm.Extract" localSheetId="23">#REF!</definedName>
    <definedName name="_xlnm.Extract" localSheetId="24">#REF!</definedName>
    <definedName name="_xlnm.Extract" localSheetId="25">#REF!</definedName>
    <definedName name="_xlnm.Extract" localSheetId="26">#REF!</definedName>
    <definedName name="_xlnm.Extract" localSheetId="27">#REF!</definedName>
    <definedName name="_xlnm.Extract" localSheetId="28">#REF!</definedName>
    <definedName name="_xlnm.Extract" localSheetId="29">#REF!</definedName>
    <definedName name="_xlnm.Extract" localSheetId="11">#REF!</definedName>
    <definedName name="_xlnm.Extract" localSheetId="6">#REF!</definedName>
    <definedName name="_xlnm.Extract" localSheetId="14">#REF!</definedName>
    <definedName name="_xlnm.Extract" localSheetId="2">#REF!</definedName>
    <definedName name="_xlnm.Extract" localSheetId="10">#REF!</definedName>
    <definedName name="_xlnm.Extract" localSheetId="12">#REF!</definedName>
    <definedName name="_xlnm.Extract" localSheetId="33">#REF!</definedName>
    <definedName name="_xlnm.Extract" localSheetId="31">#REF!</definedName>
    <definedName name="_xlnm.Extract" localSheetId="15">#REF!</definedName>
    <definedName name="_xlnm.Extract" localSheetId="9">#REF!</definedName>
    <definedName name="_xlnm.Extract" localSheetId="4">#REF!</definedName>
    <definedName name="_xlnm.Extract">#REF!</definedName>
    <definedName name="_xlnm.Print_Area" localSheetId="16">'1'!$B$1:$I$57</definedName>
    <definedName name="_xlnm.Print_Area" localSheetId="18">'11a'!$B$1:$I$61</definedName>
    <definedName name="_xlnm.Print_Area" localSheetId="19">'11b'!$B$1:$I$59</definedName>
    <definedName name="_xlnm.Print_Area" localSheetId="20">'11c'!$B$1:$I$59</definedName>
    <definedName name="_xlnm.Print_Area" localSheetId="21">'11d'!$B$1:$I$56</definedName>
    <definedName name="_xlnm.Print_Area" localSheetId="22">'11e'!$B$1:$I$58</definedName>
    <definedName name="_xlnm.Print_Area" localSheetId="23">'11f'!$B$1:$I$59</definedName>
    <definedName name="_xlnm.Print_Area" localSheetId="17">'5'!$B$1:$I$60</definedName>
    <definedName name="_xlnm.Print_Area" localSheetId="24">'57a'!$B$1:$I$58</definedName>
    <definedName name="_xlnm.Print_Area" localSheetId="25">'74'!$B$1:$I$61</definedName>
    <definedName name="_xlnm.Print_Area" localSheetId="26">'75'!$B$1:$I$61</definedName>
    <definedName name="_xlnm.Print_Area" localSheetId="27">'76'!$B$1:$I$60</definedName>
    <definedName name="_xlnm.Print_Area" localSheetId="28">'77'!$B$1:$I$60</definedName>
    <definedName name="_xlnm.Print_Area" localSheetId="29">'78'!$B$1:$I$61</definedName>
    <definedName name="_xlnm.Print_Area" localSheetId="30">'79'!$B$1:$I$61</definedName>
    <definedName name="_xlnm.Print_Area" localSheetId="8">Anticipo!$B$2:$J$57</definedName>
    <definedName name="_xlnm.Print_Area" localSheetId="7">'Avance Financiero'!$A$1:$R$42</definedName>
    <definedName name="_xlnm.Print_Area" localSheetId="3">'C'!$A$1:$N$46</definedName>
    <definedName name="_xlnm.Print_Area" localSheetId="11">'Cant. Ejec,'!$E$2:$U$112</definedName>
    <definedName name="_xlnm.Print_Area" localSheetId="6">Certificado!$A$1:$K$53</definedName>
    <definedName name="_xlnm.Print_Area" localSheetId="14">'CRON.DES.'!$C$1:$O$123</definedName>
    <definedName name="_xlnm.Print_Area" localSheetId="5">H.Crtl!$A$1:$H$39</definedName>
    <definedName name="_xlnm.Print_Area" localSheetId="2">I!$A$2:$J$34</definedName>
    <definedName name="_xlnm.Print_Area" localSheetId="10">Multas!$B$2:$H$48</definedName>
    <definedName name="_xlnm.Print_Area" localSheetId="13">Personal!$A$1:$G$27</definedName>
    <definedName name="_xlnm.Print_Area" localSheetId="12">'Planilla de Avance'!$A$2:$X$130</definedName>
    <definedName name="_xlnm.Print_Area" localSheetId="33">'Planilla de Avance (2)'!$E$1:$X$114</definedName>
    <definedName name="_xlnm.Print_Area" localSheetId="31">'Planilla de Avance (3)'!$A$2:$Y$113</definedName>
    <definedName name="_xlnm.Print_Area" localSheetId="15">POLIZAS!$B$2:$K$32</definedName>
    <definedName name="_xlnm.Print_Area" localSheetId="9">Retencion!$B$2:$J$51</definedName>
    <definedName name="_xlnm.Print_Area" localSheetId="4">S!$A$1:$N$1496</definedName>
    <definedName name="arep" localSheetId="5">[6]analisis!$M$7</definedName>
    <definedName name="arep">[7]analisis!$M$7</definedName>
    <definedName name="as" localSheetId="18" hidden="1">'[3]Flujo de Caja Consorcio'!#REF!</definedName>
    <definedName name="as" localSheetId="19" hidden="1">'[3]Flujo de Caja Consorcio'!#REF!</definedName>
    <definedName name="as" localSheetId="20" hidden="1">'[3]Flujo de Caja Consorcio'!#REF!</definedName>
    <definedName name="as" localSheetId="21" hidden="1">'[3]Flujo de Caja Consorcio'!#REF!</definedName>
    <definedName name="as" localSheetId="22" hidden="1">'[3]Flujo de Caja Consorcio'!#REF!</definedName>
    <definedName name="as" localSheetId="23" hidden="1">'[3]Flujo de Caja Consorcio'!#REF!</definedName>
    <definedName name="as" localSheetId="24" hidden="1">'[3]Flujo de Caja Consorcio'!#REF!</definedName>
    <definedName name="as" localSheetId="25" hidden="1">'[3]Flujo de Caja Consorcio'!#REF!</definedName>
    <definedName name="as" localSheetId="26" hidden="1">'[3]Flujo de Caja Consorcio'!#REF!</definedName>
    <definedName name="as" localSheetId="27" hidden="1">'[3]Flujo de Caja Consorcio'!#REF!</definedName>
    <definedName name="as" localSheetId="28" hidden="1">'[3]Flujo de Caja Consorcio'!#REF!</definedName>
    <definedName name="as" localSheetId="29" hidden="1">'[3]Flujo de Caja Consorcio'!#REF!</definedName>
    <definedName name="as" localSheetId="3" hidden="1">'[3]Flujo de Caja Consorcio'!#REF!</definedName>
    <definedName name="as" localSheetId="11" hidden="1">'[3]Flujo de Caja Consorcio'!#REF!</definedName>
    <definedName name="as" localSheetId="6" hidden="1">'[3]Flujo de Caja Consorcio'!#REF!</definedName>
    <definedName name="as" localSheetId="2" hidden="1">'[3]Flujo de Caja Consorcio'!#REF!</definedName>
    <definedName name="as" localSheetId="12" hidden="1">'[3]Flujo de Caja Consorcio'!#REF!</definedName>
    <definedName name="as" localSheetId="33" hidden="1">'[3]Flujo de Caja Consorcio'!#REF!</definedName>
    <definedName name="as" localSheetId="31" hidden="1">'[3]Flujo de Caja Consorcio'!#REF!</definedName>
    <definedName name="as" localSheetId="4" hidden="1">'[3]Flujo de Caja Consorcio'!#REF!</definedName>
    <definedName name="as" hidden="1">'[3]Flujo de Caja Consorcio'!#REF!</definedName>
    <definedName name="asfaljuntasp" localSheetId="5">[6]analisis!$M$17</definedName>
    <definedName name="asfaljuntasp">[7]analisis!$M$17</definedName>
    <definedName name="asfaltop" localSheetId="5">[6]analisis!$M$2</definedName>
    <definedName name="asfaltop">[7]analisis!$M$2</definedName>
    <definedName name="Ass" localSheetId="18">'[1]BASES DE DATOS'!#REF!</definedName>
    <definedName name="Ass" localSheetId="19">'[1]BASES DE DATOS'!#REF!</definedName>
    <definedName name="Ass" localSheetId="20">'[1]BASES DE DATOS'!#REF!</definedName>
    <definedName name="Ass" localSheetId="21">'[1]BASES DE DATOS'!#REF!</definedName>
    <definedName name="Ass" localSheetId="22">'[1]BASES DE DATOS'!#REF!</definedName>
    <definedName name="Ass" localSheetId="23">'[1]BASES DE DATOS'!#REF!</definedName>
    <definedName name="Ass" localSheetId="24">'[1]BASES DE DATOS'!#REF!</definedName>
    <definedName name="Ass" localSheetId="25">'[1]BASES DE DATOS'!#REF!</definedName>
    <definedName name="Ass" localSheetId="26">'[1]BASES DE DATOS'!#REF!</definedName>
    <definedName name="Ass" localSheetId="27">'[1]BASES DE DATOS'!#REF!</definedName>
    <definedName name="Ass" localSheetId="28">'[1]BASES DE DATOS'!#REF!</definedName>
    <definedName name="Ass" localSheetId="29">'[1]BASES DE DATOS'!#REF!</definedName>
    <definedName name="Ass" localSheetId="11">'[1]BASES DE DATOS'!#REF!</definedName>
    <definedName name="Ass" localSheetId="6">'[1]BASES DE DATOS'!#REF!</definedName>
    <definedName name="Ass" localSheetId="2">'[1]BASES DE DATOS'!#REF!</definedName>
    <definedName name="Ass" localSheetId="12">'[1]BASES DE DATOS'!#REF!</definedName>
    <definedName name="Ass" localSheetId="33">'[1]BASES DE DATOS'!#REF!</definedName>
    <definedName name="Ass" localSheetId="31">'[1]BASES DE DATOS'!#REF!</definedName>
    <definedName name="Ass" localSheetId="4">'[1]BASES DE DATOS'!#REF!</definedName>
    <definedName name="Ass">'[1]BASES DE DATOS'!#REF!</definedName>
    <definedName name="ayucop" localSheetId="5">[6]analisis!$P$4</definedName>
    <definedName name="ayucop">[7]analisis!$P$4</definedName>
    <definedName name="AYUDANTE">'[1]BASES DE DATOS'!$B$9:$B$198</definedName>
    <definedName name="B" localSheetId="18" hidden="1">#REF!</definedName>
    <definedName name="B" localSheetId="19" hidden="1">#REF!</definedName>
    <definedName name="B" localSheetId="20" hidden="1">#REF!</definedName>
    <definedName name="B" localSheetId="21" hidden="1">#REF!</definedName>
    <definedName name="B" localSheetId="22" hidden="1">#REF!</definedName>
    <definedName name="B" localSheetId="23" hidden="1">#REF!</definedName>
    <definedName name="B" localSheetId="24" hidden="1">#REF!</definedName>
    <definedName name="B" localSheetId="25" hidden="1">#REF!</definedName>
    <definedName name="B" localSheetId="26" hidden="1">#REF!</definedName>
    <definedName name="B" localSheetId="27" hidden="1">#REF!</definedName>
    <definedName name="B" localSheetId="28" hidden="1">#REF!</definedName>
    <definedName name="B" localSheetId="29" hidden="1">#REF!</definedName>
    <definedName name="B" localSheetId="11" hidden="1">#REF!</definedName>
    <definedName name="B" localSheetId="6" hidden="1">#REF!</definedName>
    <definedName name="B" localSheetId="5" hidden="1">#REF!</definedName>
    <definedName name="B" localSheetId="2" hidden="1">#REF!</definedName>
    <definedName name="B" localSheetId="12" hidden="1">#REF!</definedName>
    <definedName name="B" localSheetId="33" hidden="1">#REF!</definedName>
    <definedName name="B" localSheetId="31" hidden="1">#REF!</definedName>
    <definedName name="B" localSheetId="4" hidden="1">#REF!</definedName>
    <definedName name="B" hidden="1">#REF!</definedName>
    <definedName name="_xlnm.Database" localSheetId="18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 localSheetId="22">#REF!</definedName>
    <definedName name="_xlnm.Database" localSheetId="23">#REF!</definedName>
    <definedName name="_xlnm.Database" localSheetId="24">#REF!</definedName>
    <definedName name="_xlnm.Database" localSheetId="25">#REF!</definedName>
    <definedName name="_xlnm.Database" localSheetId="26">#REF!</definedName>
    <definedName name="_xlnm.Database" localSheetId="27">#REF!</definedName>
    <definedName name="_xlnm.Database" localSheetId="28">#REF!</definedName>
    <definedName name="_xlnm.Database" localSheetId="29">#REF!</definedName>
    <definedName name="_xlnm.Database" localSheetId="3">#REF!</definedName>
    <definedName name="_xlnm.Database" localSheetId="11">#REF!</definedName>
    <definedName name="_xlnm.Database" localSheetId="6">#REF!</definedName>
    <definedName name="_xlnm.Database" localSheetId="5">#REF!</definedName>
    <definedName name="_xlnm.Database" localSheetId="2">#REF!</definedName>
    <definedName name="_xlnm.Database" localSheetId="12">#REF!</definedName>
    <definedName name="_xlnm.Database" localSheetId="33">#REF!</definedName>
    <definedName name="_xlnm.Database" localSheetId="31">#REF!</definedName>
    <definedName name="_xlnm.Database" localSheetId="4">#REF!</definedName>
    <definedName name="_xlnm.Database">#REF!</definedName>
    <definedName name="BBB" localSheetId="18">'[8]ESTACADO DEL EJE'!#REF!</definedName>
    <definedName name="BBB" localSheetId="19">'[8]ESTACADO DEL EJE'!#REF!</definedName>
    <definedName name="BBB" localSheetId="20">'[8]ESTACADO DEL EJE'!#REF!</definedName>
    <definedName name="BBB" localSheetId="21">'[8]ESTACADO DEL EJE'!#REF!</definedName>
    <definedName name="BBB" localSheetId="22">'[8]ESTACADO DEL EJE'!#REF!</definedName>
    <definedName name="BBB" localSheetId="23">'[8]ESTACADO DEL EJE'!#REF!</definedName>
    <definedName name="BBB" localSheetId="24">'[8]ESTACADO DEL EJE'!#REF!</definedName>
    <definedName name="BBB" localSheetId="25">'[8]ESTACADO DEL EJE'!#REF!</definedName>
    <definedName name="BBB" localSheetId="26">'[8]ESTACADO DEL EJE'!#REF!</definedName>
    <definedName name="BBB" localSheetId="27">'[8]ESTACADO DEL EJE'!#REF!</definedName>
    <definedName name="BBB" localSheetId="28">'[8]ESTACADO DEL EJE'!#REF!</definedName>
    <definedName name="BBB" localSheetId="29">'[8]ESTACADO DEL EJE'!#REF!</definedName>
    <definedName name="BBB" localSheetId="11">'[8]ESTACADO DEL EJE'!#REF!</definedName>
    <definedName name="BBB" localSheetId="6">'[8]ESTACADO DEL EJE'!#REF!</definedName>
    <definedName name="BBB" localSheetId="5">'[8]ESTACADO DEL EJE'!#REF!</definedName>
    <definedName name="BBB" localSheetId="2">'[8]ESTACADO DEL EJE'!#REF!</definedName>
    <definedName name="BBB" localSheetId="12">'[8]ESTACADO DEL EJE'!#REF!</definedName>
    <definedName name="BBB" localSheetId="33">'[8]ESTACADO DEL EJE'!#REF!</definedName>
    <definedName name="BBB" localSheetId="31">'[8]ESTACADO DEL EJE'!#REF!</definedName>
    <definedName name="BBB" localSheetId="4">'[8]ESTACADO DEL EJE'!#REF!</definedName>
    <definedName name="BBB">'[8]ESTACADO DEL EJE'!#REF!</definedName>
    <definedName name="bbbbbbbbbbbbbb" localSheetId="18">#REF!</definedName>
    <definedName name="bbbbbbbbbbbbbb" localSheetId="19">#REF!</definedName>
    <definedName name="bbbbbbbbbbbbbb" localSheetId="20">#REF!</definedName>
    <definedName name="bbbbbbbbbbbbbb" localSheetId="21">#REF!</definedName>
    <definedName name="bbbbbbbbbbbbbb" localSheetId="22">#REF!</definedName>
    <definedName name="bbbbbbbbbbbbbb" localSheetId="23">#REF!</definedName>
    <definedName name="bbbbbbbbbbbbbb" localSheetId="24">#REF!</definedName>
    <definedName name="bbbbbbbbbbbbbb" localSheetId="25">#REF!</definedName>
    <definedName name="bbbbbbbbbbbbbb" localSheetId="26">#REF!</definedName>
    <definedName name="bbbbbbbbbbbbbb" localSheetId="27">#REF!</definedName>
    <definedName name="bbbbbbbbbbbbbb" localSheetId="28">#REF!</definedName>
    <definedName name="bbbbbbbbbbbbbb" localSheetId="29">#REF!</definedName>
    <definedName name="bbbbbbbbbbbbbb" localSheetId="11">#REF!</definedName>
    <definedName name="bbbbbbbbbbbbbb" localSheetId="6">#REF!</definedName>
    <definedName name="bbbbbbbbbbbbbb" localSheetId="5">#REF!</definedName>
    <definedName name="bbbbbbbbbbbbbb" localSheetId="2">#REF!</definedName>
    <definedName name="bbbbbbbbbbbbbb" localSheetId="12">#REF!</definedName>
    <definedName name="bbbbbbbbbbbbbb" localSheetId="33">#REF!</definedName>
    <definedName name="bbbbbbbbbbbbbb" localSheetId="31">#REF!</definedName>
    <definedName name="bbbbbbbbbbbbbb" localSheetId="4">#REF!</definedName>
    <definedName name="bbbbbbbbbbbbbb">#REF!</definedName>
    <definedName name="BJK" localSheetId="18" hidden="1">'[1]Flujo de Caja Consorcio'!#REF!</definedName>
    <definedName name="BJK" localSheetId="19" hidden="1">'[1]Flujo de Caja Consorcio'!#REF!</definedName>
    <definedName name="BJK" localSheetId="20" hidden="1">'[1]Flujo de Caja Consorcio'!#REF!</definedName>
    <definedName name="BJK" localSheetId="21" hidden="1">'[1]Flujo de Caja Consorcio'!#REF!</definedName>
    <definedName name="BJK" localSheetId="22" hidden="1">'[1]Flujo de Caja Consorcio'!#REF!</definedName>
    <definedName name="BJK" localSheetId="23" hidden="1">'[1]Flujo de Caja Consorcio'!#REF!</definedName>
    <definedName name="BJK" localSheetId="24" hidden="1">'[1]Flujo de Caja Consorcio'!#REF!</definedName>
    <definedName name="BJK" localSheetId="25" hidden="1">'[1]Flujo de Caja Consorcio'!#REF!</definedName>
    <definedName name="BJK" localSheetId="26" hidden="1">'[1]Flujo de Caja Consorcio'!#REF!</definedName>
    <definedName name="BJK" localSheetId="27" hidden="1">'[1]Flujo de Caja Consorcio'!#REF!</definedName>
    <definedName name="BJK" localSheetId="28" hidden="1">'[1]Flujo de Caja Consorcio'!#REF!</definedName>
    <definedName name="BJK" localSheetId="29" hidden="1">'[1]Flujo de Caja Consorcio'!#REF!</definedName>
    <definedName name="BJK" localSheetId="11" hidden="1">'[1]Flujo de Caja Consorcio'!#REF!</definedName>
    <definedName name="BJK" localSheetId="6" hidden="1">'[1]Flujo de Caja Consorcio'!#REF!</definedName>
    <definedName name="BJK" localSheetId="5" hidden="1">'[1]Flujo de Caja Consorcio'!#REF!</definedName>
    <definedName name="BJK" localSheetId="2" hidden="1">'[1]Flujo de Caja Consorcio'!#REF!</definedName>
    <definedName name="BJK" localSheetId="12" hidden="1">'[1]Flujo de Caja Consorcio'!#REF!</definedName>
    <definedName name="BJK" localSheetId="33" hidden="1">'[1]Flujo de Caja Consorcio'!#REF!</definedName>
    <definedName name="BJK" localSheetId="31" hidden="1">'[1]Flujo de Caja Consorcio'!#REF!</definedName>
    <definedName name="BJK" localSheetId="4" hidden="1">'[1]Flujo de Caja Consorcio'!#REF!</definedName>
    <definedName name="BJK" hidden="1">'[1]Flujo de Caja Consorcio'!#REF!</definedName>
    <definedName name="ca" localSheetId="18" hidden="1">'[1]Flujo de Caja Consorcio'!#REF!</definedName>
    <definedName name="ca" localSheetId="19" hidden="1">'[1]Flujo de Caja Consorcio'!#REF!</definedName>
    <definedName name="ca" localSheetId="20" hidden="1">'[1]Flujo de Caja Consorcio'!#REF!</definedName>
    <definedName name="ca" localSheetId="21" hidden="1">'[1]Flujo de Caja Consorcio'!#REF!</definedName>
    <definedName name="ca" localSheetId="22" hidden="1">'[1]Flujo de Caja Consorcio'!#REF!</definedName>
    <definedName name="ca" localSheetId="23" hidden="1">'[1]Flujo de Caja Consorcio'!#REF!</definedName>
    <definedName name="ca" localSheetId="24" hidden="1">'[1]Flujo de Caja Consorcio'!#REF!</definedName>
    <definedName name="ca" localSheetId="25" hidden="1">'[1]Flujo de Caja Consorcio'!#REF!</definedName>
    <definedName name="ca" localSheetId="26" hidden="1">'[1]Flujo de Caja Consorcio'!#REF!</definedName>
    <definedName name="ca" localSheetId="27" hidden="1">'[1]Flujo de Caja Consorcio'!#REF!</definedName>
    <definedName name="ca" localSheetId="28" hidden="1">'[1]Flujo de Caja Consorcio'!#REF!</definedName>
    <definedName name="ca" localSheetId="29" hidden="1">'[1]Flujo de Caja Consorcio'!#REF!</definedName>
    <definedName name="ca" localSheetId="11" hidden="1">'[1]Flujo de Caja Consorcio'!#REF!</definedName>
    <definedName name="ca" localSheetId="6" hidden="1">'[1]Flujo de Caja Consorcio'!#REF!</definedName>
    <definedName name="ca" localSheetId="2" hidden="1">'[1]Flujo de Caja Consorcio'!#REF!</definedName>
    <definedName name="ca" localSheetId="12" hidden="1">'[1]Flujo de Caja Consorcio'!#REF!</definedName>
    <definedName name="ca" localSheetId="33" hidden="1">'[1]Flujo de Caja Consorcio'!#REF!</definedName>
    <definedName name="ca" localSheetId="31" hidden="1">'[1]Flujo de Caja Consorcio'!#REF!</definedName>
    <definedName name="ca" localSheetId="4" hidden="1">'[1]Flujo de Caja Consorcio'!#REF!</definedName>
    <definedName name="ca" hidden="1">'[1]Flujo de Caja Consorcio'!#REF!</definedName>
    <definedName name="capap" localSheetId="5">[6]analisis!$P$2</definedName>
    <definedName name="capap">[7]analisis!$P$2</definedName>
    <definedName name="cbasep" localSheetId="5">[6]analisis!$M$5</definedName>
    <definedName name="cbasep">[7]analisis!$M$5</definedName>
    <definedName name="cemp" localSheetId="5">[6]analisis!$M$4</definedName>
    <definedName name="cemp">[7]analisis!$M$4</definedName>
    <definedName name="Certificado4" localSheetId="6" hidden="1">{"'Hoja1 (13)'!$A$6:$F$53"}</definedName>
    <definedName name="Certificado4" localSheetId="2" hidden="1">{"'Hoja1 (13)'!$A$6:$F$53"}</definedName>
    <definedName name="Certificado4" localSheetId="15" hidden="1">{"'Hoja1 (13)'!$A$6:$F$53"}</definedName>
    <definedName name="Certificado4" hidden="1">{"'Hoja1 (13)'!$A$6:$F$53"}</definedName>
    <definedName name="CHAPEAU" localSheetId="18">'[1]Flujo de Caja Consorcio'!#REF!</definedName>
    <definedName name="CHAPEAU" localSheetId="19">'[1]Flujo de Caja Consorcio'!#REF!</definedName>
    <definedName name="CHAPEAU" localSheetId="20">'[1]Flujo de Caja Consorcio'!#REF!</definedName>
    <definedName name="CHAPEAU" localSheetId="21">'[1]Flujo de Caja Consorcio'!#REF!</definedName>
    <definedName name="CHAPEAU" localSheetId="22">'[1]Flujo de Caja Consorcio'!#REF!</definedName>
    <definedName name="CHAPEAU" localSheetId="23">'[1]Flujo de Caja Consorcio'!#REF!</definedName>
    <definedName name="CHAPEAU" localSheetId="24">'[1]Flujo de Caja Consorcio'!#REF!</definedName>
    <definedName name="CHAPEAU" localSheetId="25">'[1]Flujo de Caja Consorcio'!#REF!</definedName>
    <definedName name="CHAPEAU" localSheetId="26">'[1]Flujo de Caja Consorcio'!#REF!</definedName>
    <definedName name="CHAPEAU" localSheetId="27">'[1]Flujo de Caja Consorcio'!#REF!</definedName>
    <definedName name="CHAPEAU" localSheetId="28">'[1]Flujo de Caja Consorcio'!#REF!</definedName>
    <definedName name="CHAPEAU" localSheetId="29">'[1]Flujo de Caja Consorcio'!#REF!</definedName>
    <definedName name="CHAPEAU" localSheetId="3">'[1]Flujo de Caja Consorcio'!#REF!</definedName>
    <definedName name="CHAPEAU" localSheetId="11">'[1]Flujo de Caja Consorcio'!#REF!</definedName>
    <definedName name="CHAPEAU" localSheetId="6">'[1]Flujo de Caja Consorcio'!#REF!</definedName>
    <definedName name="CHAPEAU" localSheetId="2">'[1]Flujo de Caja Consorcio'!#REF!</definedName>
    <definedName name="CHAPEAU" localSheetId="12">'[1]Flujo de Caja Consorcio'!#REF!</definedName>
    <definedName name="CHAPEAU" localSheetId="33">'[1]Flujo de Caja Consorcio'!#REF!</definedName>
    <definedName name="CHAPEAU" localSheetId="31">'[1]Flujo de Caja Consorcio'!#REF!</definedName>
    <definedName name="CHAPEAU" localSheetId="4">'[1]Flujo de Caja Consorcio'!#REF!</definedName>
    <definedName name="CHAPEAU">'[1]Flujo de Caja Consorcio'!#REF!</definedName>
    <definedName name="choferp" localSheetId="5">[6]analisis!$P$6</definedName>
    <definedName name="choferp">[7]analisis!$P$6</definedName>
    <definedName name="cip" localSheetId="5">[6]analisis!$I$8</definedName>
    <definedName name="cip">[7]analisis!$I$8</definedName>
    <definedName name="clavosp" localSheetId="5">[6]analisis!$M$14</definedName>
    <definedName name="clavosp">[7]analisis!$M$14</definedName>
    <definedName name="Cll_4N__15_AE_40_San_Eduardo_II_Etapa._Tel_750372._Cúcuta_Colombia." localSheetId="18">#REF!</definedName>
    <definedName name="Cll_4N__15_AE_40_San_Eduardo_II_Etapa._Tel_750372._Cúcuta_Colombia." localSheetId="19">#REF!</definedName>
    <definedName name="Cll_4N__15_AE_40_San_Eduardo_II_Etapa._Tel_750372._Cúcuta_Colombia." localSheetId="20">#REF!</definedName>
    <definedName name="Cll_4N__15_AE_40_San_Eduardo_II_Etapa._Tel_750372._Cúcuta_Colombia." localSheetId="21">#REF!</definedName>
    <definedName name="Cll_4N__15_AE_40_San_Eduardo_II_Etapa._Tel_750372._Cúcuta_Colombia." localSheetId="22">#REF!</definedName>
    <definedName name="Cll_4N__15_AE_40_San_Eduardo_II_Etapa._Tel_750372._Cúcuta_Colombia." localSheetId="23">#REF!</definedName>
    <definedName name="Cll_4N__15_AE_40_San_Eduardo_II_Etapa._Tel_750372._Cúcuta_Colombia." localSheetId="24">#REF!</definedName>
    <definedName name="Cll_4N__15_AE_40_San_Eduardo_II_Etapa._Tel_750372._Cúcuta_Colombia." localSheetId="25">#REF!</definedName>
    <definedName name="Cll_4N__15_AE_40_San_Eduardo_II_Etapa._Tel_750372._Cúcuta_Colombia." localSheetId="26">#REF!</definedName>
    <definedName name="Cll_4N__15_AE_40_San_Eduardo_II_Etapa._Tel_750372._Cúcuta_Colombia." localSheetId="27">#REF!</definedName>
    <definedName name="Cll_4N__15_AE_40_San_Eduardo_II_Etapa._Tel_750372._Cúcuta_Colombia." localSheetId="28">#REF!</definedName>
    <definedName name="Cll_4N__15_AE_40_San_Eduardo_II_Etapa._Tel_750372._Cúcuta_Colombia." localSheetId="29">#REF!</definedName>
    <definedName name="Cll_4N__15_AE_40_San_Eduardo_II_Etapa._Tel_750372._Cúcuta_Colombia." localSheetId="3">#REF!</definedName>
    <definedName name="Cll_4N__15_AE_40_San_Eduardo_II_Etapa._Tel_750372._Cúcuta_Colombia." localSheetId="11">#REF!</definedName>
    <definedName name="Cll_4N__15_AE_40_San_Eduardo_II_Etapa._Tel_750372._Cúcuta_Colombia." localSheetId="6">#REF!</definedName>
    <definedName name="Cll_4N__15_AE_40_San_Eduardo_II_Etapa._Tel_750372._Cúcuta_Colombia." localSheetId="5">#REF!</definedName>
    <definedName name="Cll_4N__15_AE_40_San_Eduardo_II_Etapa._Tel_750372._Cúcuta_Colombia." localSheetId="2">#REF!</definedName>
    <definedName name="Cll_4N__15_AE_40_San_Eduardo_II_Etapa._Tel_750372._Cúcuta_Colombia." localSheetId="10">#REF!</definedName>
    <definedName name="Cll_4N__15_AE_40_San_Eduardo_II_Etapa._Tel_750372._Cúcuta_Colombia." localSheetId="12">#REF!</definedName>
    <definedName name="Cll_4N__15_AE_40_San_Eduardo_II_Etapa._Tel_750372._Cúcuta_Colombia." localSheetId="33">#REF!</definedName>
    <definedName name="Cll_4N__15_AE_40_San_Eduardo_II_Etapa._Tel_750372._Cúcuta_Colombia." localSheetId="31">#REF!</definedName>
    <definedName name="Cll_4N__15_AE_40_San_Eduardo_II_Etapa._Tel_750372._Cúcuta_Colombia." localSheetId="4">#REF!</definedName>
    <definedName name="Cll_4N__15_AE_40_San_Eduardo_II_Etapa._Tel_750372._Cúcuta_Colombia.">#REF!</definedName>
    <definedName name="cnep" localSheetId="5">[6]analisis!$I$7</definedName>
    <definedName name="cnep">[7]analisis!$I$7</definedName>
    <definedName name="ColProg" localSheetId="10">#REF!</definedName>
    <definedName name="columna" localSheetId="18">'[1]Flujo de Caja Consorcio'!#REF!</definedName>
    <definedName name="columna" localSheetId="19">'[1]Flujo de Caja Consorcio'!#REF!</definedName>
    <definedName name="columna" localSheetId="20">'[1]Flujo de Caja Consorcio'!#REF!</definedName>
    <definedName name="columna" localSheetId="21">'[1]Flujo de Caja Consorcio'!#REF!</definedName>
    <definedName name="columna" localSheetId="22">'[1]Flujo de Caja Consorcio'!#REF!</definedName>
    <definedName name="columna" localSheetId="23">'[1]Flujo de Caja Consorcio'!#REF!</definedName>
    <definedName name="columna" localSheetId="24">'[1]Flujo de Caja Consorcio'!#REF!</definedName>
    <definedName name="columna" localSheetId="25">'[1]Flujo de Caja Consorcio'!#REF!</definedName>
    <definedName name="columna" localSheetId="26">'[1]Flujo de Caja Consorcio'!#REF!</definedName>
    <definedName name="columna" localSheetId="27">'[1]Flujo de Caja Consorcio'!#REF!</definedName>
    <definedName name="columna" localSheetId="28">'[1]Flujo de Caja Consorcio'!#REF!</definedName>
    <definedName name="columna" localSheetId="29">'[1]Flujo de Caja Consorcio'!#REF!</definedName>
    <definedName name="columna" localSheetId="3">'[1]Flujo de Caja Consorcio'!#REF!</definedName>
    <definedName name="columna" localSheetId="11">'[1]Flujo de Caja Consorcio'!#REF!</definedName>
    <definedName name="columna" localSheetId="6">'[1]Flujo de Caja Consorcio'!#REF!</definedName>
    <definedName name="columna" localSheetId="2">'[1]Flujo de Caja Consorcio'!#REF!</definedName>
    <definedName name="columna" localSheetId="12">'[1]Flujo de Caja Consorcio'!#REF!</definedName>
    <definedName name="columna" localSheetId="33">'[1]Flujo de Caja Consorcio'!#REF!</definedName>
    <definedName name="columna" localSheetId="31">'[1]Flujo de Caja Consorcio'!#REF!</definedName>
    <definedName name="columna" localSheetId="4">'[1]Flujo de Caja Consorcio'!#REF!</definedName>
    <definedName name="columna">'[1]Flujo de Caja Consorcio'!#REF!</definedName>
    <definedName name="COMIENZO" localSheetId="18">'[8]ESTACADO DEL EJE'!#REF!</definedName>
    <definedName name="COMIENZO" localSheetId="19">'[8]ESTACADO DEL EJE'!#REF!</definedName>
    <definedName name="COMIENZO" localSheetId="20">'[8]ESTACADO DEL EJE'!#REF!</definedName>
    <definedName name="COMIENZO" localSheetId="21">'[8]ESTACADO DEL EJE'!#REF!</definedName>
    <definedName name="COMIENZO" localSheetId="22">'[8]ESTACADO DEL EJE'!#REF!</definedName>
    <definedName name="COMIENZO" localSheetId="23">'[8]ESTACADO DEL EJE'!#REF!</definedName>
    <definedName name="COMIENZO" localSheetId="24">'[8]ESTACADO DEL EJE'!#REF!</definedName>
    <definedName name="COMIENZO" localSheetId="25">'[8]ESTACADO DEL EJE'!#REF!</definedName>
    <definedName name="COMIENZO" localSheetId="26">'[8]ESTACADO DEL EJE'!#REF!</definedName>
    <definedName name="COMIENZO" localSheetId="27">'[8]ESTACADO DEL EJE'!#REF!</definedName>
    <definedName name="COMIENZO" localSheetId="28">'[8]ESTACADO DEL EJE'!#REF!</definedName>
    <definedName name="COMIENZO" localSheetId="29">'[8]ESTACADO DEL EJE'!#REF!</definedName>
    <definedName name="COMIENZO" localSheetId="11">'[8]ESTACADO DEL EJE'!#REF!</definedName>
    <definedName name="COMIENZO" localSheetId="6">'[8]ESTACADO DEL EJE'!#REF!</definedName>
    <definedName name="COMIENZO" localSheetId="2">'[8]ESTACADO DEL EJE'!#REF!</definedName>
    <definedName name="COMIENZO" localSheetId="12">'[8]ESTACADO DEL EJE'!#REF!</definedName>
    <definedName name="COMIENZO" localSheetId="33">'[8]ESTACADO DEL EJE'!#REF!</definedName>
    <definedName name="COMIENZO" localSheetId="31">'[8]ESTACADO DEL EJE'!#REF!</definedName>
    <definedName name="COMIENZO" localSheetId="4">'[8]ESTACADO DEL EJE'!#REF!</definedName>
    <definedName name="COMIENZO">'[8]ESTACADO DEL EJE'!#REF!</definedName>
    <definedName name="compresorap" localSheetId="5">[6]analisis!$I$4</definedName>
    <definedName name="compresorap">[7]analisis!$I$4</definedName>
    <definedName name="COSTO_DIRECTO" localSheetId="18">'[1]Flujo de Caja Consorcio'!#REF!</definedName>
    <definedName name="COSTO_DIRECTO" localSheetId="19">'[1]Flujo de Caja Consorcio'!#REF!</definedName>
    <definedName name="COSTO_DIRECTO" localSheetId="20">'[1]Flujo de Caja Consorcio'!#REF!</definedName>
    <definedName name="COSTO_DIRECTO" localSheetId="21">'[1]Flujo de Caja Consorcio'!#REF!</definedName>
    <definedName name="COSTO_DIRECTO" localSheetId="22">'[1]Flujo de Caja Consorcio'!#REF!</definedName>
    <definedName name="COSTO_DIRECTO" localSheetId="23">'[1]Flujo de Caja Consorcio'!#REF!</definedName>
    <definedName name="COSTO_DIRECTO" localSheetId="24">'[1]Flujo de Caja Consorcio'!#REF!</definedName>
    <definedName name="COSTO_DIRECTO" localSheetId="25">'[1]Flujo de Caja Consorcio'!#REF!</definedName>
    <definedName name="COSTO_DIRECTO" localSheetId="26">'[1]Flujo de Caja Consorcio'!#REF!</definedName>
    <definedName name="COSTO_DIRECTO" localSheetId="27">'[1]Flujo de Caja Consorcio'!#REF!</definedName>
    <definedName name="COSTO_DIRECTO" localSheetId="28">'[1]Flujo de Caja Consorcio'!#REF!</definedName>
    <definedName name="COSTO_DIRECTO" localSheetId="29">'[1]Flujo de Caja Consorcio'!#REF!</definedName>
    <definedName name="COSTO_DIRECTO" localSheetId="3">'[1]Flujo de Caja Consorcio'!#REF!</definedName>
    <definedName name="COSTO_DIRECTO" localSheetId="11">'[1]Flujo de Caja Consorcio'!#REF!</definedName>
    <definedName name="COSTO_DIRECTO" localSheetId="6">'[1]Flujo de Caja Consorcio'!#REF!</definedName>
    <definedName name="COSTO_DIRECTO" localSheetId="2">'[1]Flujo de Caja Consorcio'!#REF!</definedName>
    <definedName name="COSTO_DIRECTO" localSheetId="12">'[1]Flujo de Caja Consorcio'!#REF!</definedName>
    <definedName name="COSTO_DIRECTO" localSheetId="33">'[1]Flujo de Caja Consorcio'!#REF!</definedName>
    <definedName name="COSTO_DIRECTO" localSheetId="31">'[1]Flujo de Caja Consorcio'!#REF!</definedName>
    <definedName name="COSTO_DIRECTO" localSheetId="4">'[1]Flujo de Caja Consorcio'!#REF!</definedName>
    <definedName name="COSTO_DIRECTO">'[1]Flujo de Caja Consorcio'!#REF!</definedName>
    <definedName name="COSTO_INDIRECTO" localSheetId="18">'[1]Flujo de Caja Consorcio'!#REF!</definedName>
    <definedName name="COSTO_INDIRECTO" localSheetId="19">'[1]Flujo de Caja Consorcio'!#REF!</definedName>
    <definedName name="COSTO_INDIRECTO" localSheetId="20">'[1]Flujo de Caja Consorcio'!#REF!</definedName>
    <definedName name="COSTO_INDIRECTO" localSheetId="21">'[1]Flujo de Caja Consorcio'!#REF!</definedName>
    <definedName name="COSTO_INDIRECTO" localSheetId="22">'[1]Flujo de Caja Consorcio'!#REF!</definedName>
    <definedName name="COSTO_INDIRECTO" localSheetId="23">'[1]Flujo de Caja Consorcio'!#REF!</definedName>
    <definedName name="COSTO_INDIRECTO" localSheetId="24">'[1]Flujo de Caja Consorcio'!#REF!</definedName>
    <definedName name="COSTO_INDIRECTO" localSheetId="25">'[1]Flujo de Caja Consorcio'!#REF!</definedName>
    <definedName name="COSTO_INDIRECTO" localSheetId="26">'[1]Flujo de Caja Consorcio'!#REF!</definedName>
    <definedName name="COSTO_INDIRECTO" localSheetId="27">'[1]Flujo de Caja Consorcio'!#REF!</definedName>
    <definedName name="COSTO_INDIRECTO" localSheetId="28">'[1]Flujo de Caja Consorcio'!#REF!</definedName>
    <definedName name="COSTO_INDIRECTO" localSheetId="29">'[1]Flujo de Caja Consorcio'!#REF!</definedName>
    <definedName name="COSTO_INDIRECTO" localSheetId="3">'[1]Flujo de Caja Consorcio'!#REF!</definedName>
    <definedName name="COSTO_INDIRECTO" localSheetId="11">'[1]Flujo de Caja Consorcio'!#REF!</definedName>
    <definedName name="COSTO_INDIRECTO" localSheetId="6">'[1]Flujo de Caja Consorcio'!#REF!</definedName>
    <definedName name="COSTO_INDIRECTO" localSheetId="2">'[1]Flujo de Caja Consorcio'!#REF!</definedName>
    <definedName name="COSTO_INDIRECTO" localSheetId="12">'[1]Flujo de Caja Consorcio'!#REF!</definedName>
    <definedName name="COSTO_INDIRECTO" localSheetId="33">'[1]Flujo de Caja Consorcio'!#REF!</definedName>
    <definedName name="COSTO_INDIRECTO" localSheetId="31">'[1]Flujo de Caja Consorcio'!#REF!</definedName>
    <definedName name="COSTO_INDIRECTO" localSheetId="4">'[1]Flujo de Caja Consorcio'!#REF!</definedName>
    <definedName name="COSTO_INDIRECTO">'[1]Flujo de Caja Consorcio'!#REF!</definedName>
    <definedName name="cplacap" localSheetId="5">[6]analisis!$I$14</definedName>
    <definedName name="cplacap">[7]analisis!$I$14</definedName>
    <definedName name="CrDesOC7" localSheetId="6" hidden="1">{"'Hoja1 (13)'!$A$6:$F$53"}</definedName>
    <definedName name="CrDesOC7" localSheetId="5" hidden="1">{"'Hoja1 (13)'!$A$6:$F$53"}</definedName>
    <definedName name="CrDesOC7" localSheetId="2" hidden="1">{"'Hoja1 (13)'!$A$6:$F$53"}</definedName>
    <definedName name="CrDesOC7" hidden="1">{"'Hoja1 (13)'!$A$6:$F$53"}</definedName>
    <definedName name="cvp" localSheetId="5">[6]analisis!$I$13</definedName>
    <definedName name="cvp">[7]analisis!$I$13</definedName>
    <definedName name="d" localSheetId="18" hidden="1">'[9]Flujo de Caja Consorcio'!#REF!</definedName>
    <definedName name="d" localSheetId="19" hidden="1">'[9]Flujo de Caja Consorcio'!#REF!</definedName>
    <definedName name="d" localSheetId="20" hidden="1">'[9]Flujo de Caja Consorcio'!#REF!</definedName>
    <definedName name="d" localSheetId="21" hidden="1">'[9]Flujo de Caja Consorcio'!#REF!</definedName>
    <definedName name="d" localSheetId="22" hidden="1">'[9]Flujo de Caja Consorcio'!#REF!</definedName>
    <definedName name="d" localSheetId="23" hidden="1">'[9]Flujo de Caja Consorcio'!#REF!</definedName>
    <definedName name="d" localSheetId="24" hidden="1">'[9]Flujo de Caja Consorcio'!#REF!</definedName>
    <definedName name="d" localSheetId="25" hidden="1">'[9]Flujo de Caja Consorcio'!#REF!</definedName>
    <definedName name="d" localSheetId="26" hidden="1">'[9]Flujo de Caja Consorcio'!#REF!</definedName>
    <definedName name="d" localSheetId="27" hidden="1">'[9]Flujo de Caja Consorcio'!#REF!</definedName>
    <definedName name="d" localSheetId="28" hidden="1">'[9]Flujo de Caja Consorcio'!#REF!</definedName>
    <definedName name="d" localSheetId="29" hidden="1">'[9]Flujo de Caja Consorcio'!#REF!</definedName>
    <definedName name="d" localSheetId="3" hidden="1">'[10]Flujo de Caja Consorcio'!#REF!</definedName>
    <definedName name="d" localSheetId="11" hidden="1">'[9]Flujo de Caja Consorcio'!#REF!</definedName>
    <definedName name="d" localSheetId="6" hidden="1">'[9]Flujo de Caja Consorcio'!#REF!</definedName>
    <definedName name="d" localSheetId="2" hidden="1">'[9]Flujo de Caja Consorcio'!#REF!</definedName>
    <definedName name="d" localSheetId="10" hidden="1">'[11]Flujo de Caja Consorcio'!#REF!</definedName>
    <definedName name="d" localSheetId="12" hidden="1">'[9]Flujo de Caja Consorcio'!#REF!</definedName>
    <definedName name="d" localSheetId="33" hidden="1">'[9]Flujo de Caja Consorcio'!#REF!</definedName>
    <definedName name="d" localSheetId="31" hidden="1">'[9]Flujo de Caja Consorcio'!#REF!</definedName>
    <definedName name="d" localSheetId="4" hidden="1">'[10]Flujo de Caja Consorcio'!#REF!</definedName>
    <definedName name="d" hidden="1">'[9]Flujo de Caja Consorcio'!#REF!</definedName>
    <definedName name="D_APU">[12]DEFINICIONES!$B$16</definedName>
    <definedName name="DARIPAVA_SOFTWARE_INC" localSheetId="18">#REF!</definedName>
    <definedName name="DARIPAVA_SOFTWARE_INC" localSheetId="19">#REF!</definedName>
    <definedName name="DARIPAVA_SOFTWARE_INC" localSheetId="20">#REF!</definedName>
    <definedName name="DARIPAVA_SOFTWARE_INC" localSheetId="21">#REF!</definedName>
    <definedName name="DARIPAVA_SOFTWARE_INC" localSheetId="22">#REF!</definedName>
    <definedName name="DARIPAVA_SOFTWARE_INC" localSheetId="23">#REF!</definedName>
    <definedName name="DARIPAVA_SOFTWARE_INC" localSheetId="24">#REF!</definedName>
    <definedName name="DARIPAVA_SOFTWARE_INC" localSheetId="25">#REF!</definedName>
    <definedName name="DARIPAVA_SOFTWARE_INC" localSheetId="26">#REF!</definedName>
    <definedName name="DARIPAVA_SOFTWARE_INC" localSheetId="27">#REF!</definedName>
    <definedName name="DARIPAVA_SOFTWARE_INC" localSheetId="28">#REF!</definedName>
    <definedName name="DARIPAVA_SOFTWARE_INC" localSheetId="29">#REF!</definedName>
    <definedName name="DARIPAVA_SOFTWARE_INC" localSheetId="3">#REF!</definedName>
    <definedName name="DARIPAVA_SOFTWARE_INC" localSheetId="11">#REF!</definedName>
    <definedName name="DARIPAVA_SOFTWARE_INC" localSheetId="6">#REF!</definedName>
    <definedName name="DARIPAVA_SOFTWARE_INC" localSheetId="5">#REF!</definedName>
    <definedName name="DARIPAVA_SOFTWARE_INC" localSheetId="2">#REF!</definedName>
    <definedName name="DARIPAVA_SOFTWARE_INC" localSheetId="10">#REF!</definedName>
    <definedName name="DARIPAVA_SOFTWARE_INC" localSheetId="12">#REF!</definedName>
    <definedName name="DARIPAVA_SOFTWARE_INC" localSheetId="33">#REF!</definedName>
    <definedName name="DARIPAVA_SOFTWARE_INC" localSheetId="31">#REF!</definedName>
    <definedName name="DARIPAVA_SOFTWARE_INC" localSheetId="4">#REF!</definedName>
    <definedName name="DARIPAVA_SOFTWARE_INC">#REF!</definedName>
    <definedName name="dd" localSheetId="6" hidden="1">{"'Hoja1 (13)'!$A$6:$F$53"}</definedName>
    <definedName name="dd" localSheetId="2" hidden="1">{"'Hoja1 (13)'!$A$6:$F$53"}</definedName>
    <definedName name="dd" localSheetId="15" hidden="1">{"'Hoja1 (13)'!$A$6:$F$53"}</definedName>
    <definedName name="dd" hidden="1">{"'Hoja1 (13)'!$A$6:$F$53"}</definedName>
    <definedName name="DDD" localSheetId="18" hidden="1">#REF!</definedName>
    <definedName name="DDD" localSheetId="19" hidden="1">#REF!</definedName>
    <definedName name="DDD" localSheetId="20" hidden="1">#REF!</definedName>
    <definedName name="DDD" localSheetId="21" hidden="1">#REF!</definedName>
    <definedName name="DDD" localSheetId="22" hidden="1">#REF!</definedName>
    <definedName name="DDD" localSheetId="23" hidden="1">#REF!</definedName>
    <definedName name="DDD" localSheetId="24" hidden="1">#REF!</definedName>
    <definedName name="DDD" localSheetId="25" hidden="1">#REF!</definedName>
    <definedName name="DDD" localSheetId="26" hidden="1">#REF!</definedName>
    <definedName name="DDD" localSheetId="27" hidden="1">#REF!</definedName>
    <definedName name="DDD" localSheetId="28" hidden="1">#REF!</definedName>
    <definedName name="DDD" localSheetId="29" hidden="1">#REF!</definedName>
    <definedName name="DDD" localSheetId="11" hidden="1">#REF!</definedName>
    <definedName name="DDD" localSheetId="6" hidden="1">#REF!</definedName>
    <definedName name="DDD" localSheetId="5" hidden="1">#REF!</definedName>
    <definedName name="DDD" localSheetId="2" hidden="1">#REF!</definedName>
    <definedName name="DDD" localSheetId="12" hidden="1">#REF!</definedName>
    <definedName name="DDD" localSheetId="33" hidden="1">#REF!</definedName>
    <definedName name="DDD" localSheetId="31" hidden="1">#REF!</definedName>
    <definedName name="DDD" localSheetId="4" hidden="1">#REF!</definedName>
    <definedName name="DDD" hidden="1">#REF!</definedName>
    <definedName name="ddddd" localSheetId="18">'[8]ESTACADO DEL EJE'!#REF!</definedName>
    <definedName name="ddddd" localSheetId="19">'[8]ESTACADO DEL EJE'!#REF!</definedName>
    <definedName name="ddddd" localSheetId="20">'[8]ESTACADO DEL EJE'!#REF!</definedName>
    <definedName name="ddddd" localSheetId="21">'[8]ESTACADO DEL EJE'!#REF!</definedName>
    <definedName name="ddddd" localSheetId="22">'[8]ESTACADO DEL EJE'!#REF!</definedName>
    <definedName name="ddddd" localSheetId="23">'[8]ESTACADO DEL EJE'!#REF!</definedName>
    <definedName name="ddddd" localSheetId="24">'[8]ESTACADO DEL EJE'!#REF!</definedName>
    <definedName name="ddddd" localSheetId="25">'[8]ESTACADO DEL EJE'!#REF!</definedName>
    <definedName name="ddddd" localSheetId="26">'[8]ESTACADO DEL EJE'!#REF!</definedName>
    <definedName name="ddddd" localSheetId="27">'[8]ESTACADO DEL EJE'!#REF!</definedName>
    <definedName name="ddddd" localSheetId="28">'[8]ESTACADO DEL EJE'!#REF!</definedName>
    <definedName name="ddddd" localSheetId="29">'[8]ESTACADO DEL EJE'!#REF!</definedName>
    <definedName name="ddddd" localSheetId="11">'[8]ESTACADO DEL EJE'!#REF!</definedName>
    <definedName name="ddddd" localSheetId="6">'[8]ESTACADO DEL EJE'!#REF!</definedName>
    <definedName name="ddddd" localSheetId="5">'[8]ESTACADO DEL EJE'!#REF!</definedName>
    <definedName name="ddddd" localSheetId="2">'[8]ESTACADO DEL EJE'!#REF!</definedName>
    <definedName name="ddddd" localSheetId="12">'[8]ESTACADO DEL EJE'!#REF!</definedName>
    <definedName name="ddddd" localSheetId="33">'[8]ESTACADO DEL EJE'!#REF!</definedName>
    <definedName name="ddddd" localSheetId="31">'[8]ESTACADO DEL EJE'!#REF!</definedName>
    <definedName name="ddddd" localSheetId="4">'[8]ESTACADO DEL EJE'!#REF!</definedName>
    <definedName name="ddddd">'[8]ESTACADO DEL EJE'!#REF!</definedName>
    <definedName name="ddsa" localSheetId="10" hidden="1">#REF!</definedName>
    <definedName name="derretidorp" localSheetId="5">[6]analisis!$I$15</definedName>
    <definedName name="derretidorp">[7]analisis!$I$15</definedName>
    <definedName name="DEWDWD" localSheetId="18">'[1]Flujo de Caja Consorcio'!#REF!</definedName>
    <definedName name="DEWDWD" localSheetId="19">'[1]Flujo de Caja Consorcio'!#REF!</definedName>
    <definedName name="DEWDWD" localSheetId="20">'[1]Flujo de Caja Consorcio'!#REF!</definedName>
    <definedName name="DEWDWD" localSheetId="21">'[1]Flujo de Caja Consorcio'!#REF!</definedName>
    <definedName name="DEWDWD" localSheetId="22">'[1]Flujo de Caja Consorcio'!#REF!</definedName>
    <definedName name="DEWDWD" localSheetId="23">'[1]Flujo de Caja Consorcio'!#REF!</definedName>
    <definedName name="DEWDWD" localSheetId="24">'[1]Flujo de Caja Consorcio'!#REF!</definedName>
    <definedName name="DEWDWD" localSheetId="25">'[1]Flujo de Caja Consorcio'!#REF!</definedName>
    <definedName name="DEWDWD" localSheetId="26">'[1]Flujo de Caja Consorcio'!#REF!</definedName>
    <definedName name="DEWDWD" localSheetId="27">'[1]Flujo de Caja Consorcio'!#REF!</definedName>
    <definedName name="DEWDWD" localSheetId="28">'[1]Flujo de Caja Consorcio'!#REF!</definedName>
    <definedName name="DEWDWD" localSheetId="29">'[1]Flujo de Caja Consorcio'!#REF!</definedName>
    <definedName name="DEWDWD" localSheetId="11">'[1]Flujo de Caja Consorcio'!#REF!</definedName>
    <definedName name="DEWDWD" localSheetId="6">'[1]Flujo de Caja Consorcio'!#REF!</definedName>
    <definedName name="DEWDWD" localSheetId="2">'[1]Flujo de Caja Consorcio'!#REF!</definedName>
    <definedName name="DEWDWD" localSheetId="12">'[1]Flujo de Caja Consorcio'!#REF!</definedName>
    <definedName name="DEWDWD" localSheetId="33">'[1]Flujo de Caja Consorcio'!#REF!</definedName>
    <definedName name="DEWDWD" localSheetId="31">'[1]Flujo de Caja Consorcio'!#REF!</definedName>
    <definedName name="DEWDWD" localSheetId="4">'[1]Flujo de Caja Consorcio'!#REF!</definedName>
    <definedName name="DEWDWD">'[1]Flujo de Caja Consorcio'!#REF!</definedName>
    <definedName name="DILMAR" localSheetId="18">#REF!</definedName>
    <definedName name="DILMAR" localSheetId="19">#REF!</definedName>
    <definedName name="DILMAR" localSheetId="20">#REF!</definedName>
    <definedName name="DILMAR" localSheetId="21">#REF!</definedName>
    <definedName name="DILMAR" localSheetId="22">#REF!</definedName>
    <definedName name="DILMAR" localSheetId="23">#REF!</definedName>
    <definedName name="DILMAR" localSheetId="24">#REF!</definedName>
    <definedName name="DILMAR" localSheetId="25">#REF!</definedName>
    <definedName name="DILMAR" localSheetId="26">#REF!</definedName>
    <definedName name="DILMAR" localSheetId="27">#REF!</definedName>
    <definedName name="DILMAR" localSheetId="28">#REF!</definedName>
    <definedName name="DILMAR" localSheetId="29">#REF!</definedName>
    <definedName name="DILMAR" localSheetId="11">#REF!</definedName>
    <definedName name="DILMAR" localSheetId="6">#REF!</definedName>
    <definedName name="DILMAR" localSheetId="5">#REF!</definedName>
    <definedName name="DILMAR" localSheetId="2">#REF!</definedName>
    <definedName name="DILMAR" localSheetId="12">#REF!</definedName>
    <definedName name="DILMAR" localSheetId="33">#REF!</definedName>
    <definedName name="DILMAR" localSheetId="31">#REF!</definedName>
    <definedName name="DILMAR" localSheetId="4">#REF!</definedName>
    <definedName name="DILMAR">#REF!</definedName>
    <definedName name="DOLAR" localSheetId="18">'[3]Flujo de Caja Consorcio'!#REF!</definedName>
    <definedName name="DOLAR" localSheetId="19">'[3]Flujo de Caja Consorcio'!#REF!</definedName>
    <definedName name="DOLAR" localSheetId="20">'[3]Flujo de Caja Consorcio'!#REF!</definedName>
    <definedName name="DOLAR" localSheetId="21">'[3]Flujo de Caja Consorcio'!#REF!</definedName>
    <definedName name="DOLAR" localSheetId="22">'[3]Flujo de Caja Consorcio'!#REF!</definedName>
    <definedName name="DOLAR" localSheetId="23">'[3]Flujo de Caja Consorcio'!#REF!</definedName>
    <definedName name="DOLAR" localSheetId="24">'[3]Flujo de Caja Consorcio'!#REF!</definedName>
    <definedName name="DOLAR" localSheetId="25">'[3]Flujo de Caja Consorcio'!#REF!</definedName>
    <definedName name="DOLAR" localSheetId="26">'[3]Flujo de Caja Consorcio'!#REF!</definedName>
    <definedName name="DOLAR" localSheetId="27">'[3]Flujo de Caja Consorcio'!#REF!</definedName>
    <definedName name="DOLAR" localSheetId="28">'[3]Flujo de Caja Consorcio'!#REF!</definedName>
    <definedName name="DOLAR" localSheetId="29">'[3]Flujo de Caja Consorcio'!#REF!</definedName>
    <definedName name="DOLAR" localSheetId="3">'[1]Flujo de Caja Consorcio'!#REF!</definedName>
    <definedName name="DOLAR" localSheetId="11">'[3]Flujo de Caja Consorcio'!#REF!</definedName>
    <definedName name="DOLAR" localSheetId="6">'[3]Flujo de Caja Consorcio'!#REF!</definedName>
    <definedName name="DOLAR" localSheetId="5">'[1]Flujo de Caja Consorcio'!#REF!</definedName>
    <definedName name="DOLAR" localSheetId="2">'[3]Flujo de Caja Consorcio'!#REF!</definedName>
    <definedName name="DOLAR" localSheetId="12">'[3]Flujo de Caja Consorcio'!#REF!</definedName>
    <definedName name="DOLAR" localSheetId="33">'[3]Flujo de Caja Consorcio'!#REF!</definedName>
    <definedName name="DOLAR" localSheetId="31">'[3]Flujo de Caja Consorcio'!#REF!</definedName>
    <definedName name="DOLAR" localSheetId="4">'[1]Flujo de Caja Consorcio'!#REF!</definedName>
    <definedName name="DOLAR">'[3]Flujo de Caja Consorcio'!#REF!</definedName>
    <definedName name="dscd" localSheetId="18">'[1]Flujo de Caja Consorcio'!#REF!</definedName>
    <definedName name="dscd" localSheetId="19">'[1]Flujo de Caja Consorcio'!#REF!</definedName>
    <definedName name="dscd" localSheetId="20">'[1]Flujo de Caja Consorcio'!#REF!</definedName>
    <definedName name="dscd" localSheetId="21">'[1]Flujo de Caja Consorcio'!#REF!</definedName>
    <definedName name="dscd" localSheetId="22">'[1]Flujo de Caja Consorcio'!#REF!</definedName>
    <definedName name="dscd" localSheetId="23">'[1]Flujo de Caja Consorcio'!#REF!</definedName>
    <definedName name="dscd" localSheetId="24">'[1]Flujo de Caja Consorcio'!#REF!</definedName>
    <definedName name="dscd" localSheetId="25">'[1]Flujo de Caja Consorcio'!#REF!</definedName>
    <definedName name="dscd" localSheetId="26">'[1]Flujo de Caja Consorcio'!#REF!</definedName>
    <definedName name="dscd" localSheetId="27">'[1]Flujo de Caja Consorcio'!#REF!</definedName>
    <definedName name="dscd" localSheetId="28">'[1]Flujo de Caja Consorcio'!#REF!</definedName>
    <definedName name="dscd" localSheetId="29">'[1]Flujo de Caja Consorcio'!#REF!</definedName>
    <definedName name="dscd" localSheetId="11">'[1]Flujo de Caja Consorcio'!#REF!</definedName>
    <definedName name="dscd" localSheetId="6">'[1]Flujo de Caja Consorcio'!#REF!</definedName>
    <definedName name="dscd" localSheetId="2">'[1]Flujo de Caja Consorcio'!#REF!</definedName>
    <definedName name="dscd" localSheetId="12">'[1]Flujo de Caja Consorcio'!#REF!</definedName>
    <definedName name="dscd" localSheetId="33">'[1]Flujo de Caja Consorcio'!#REF!</definedName>
    <definedName name="dscd" localSheetId="31">'[1]Flujo de Caja Consorcio'!#REF!</definedName>
    <definedName name="dscd" localSheetId="4">'[1]Flujo de Caja Consorcio'!#REF!</definedName>
    <definedName name="dscd">'[1]Flujo de Caja Consorcio'!#REF!</definedName>
    <definedName name="dsdf" localSheetId="18" hidden="1">'[3]Flujo de Caja Consorcio'!#REF!</definedName>
    <definedName name="dsdf" localSheetId="19" hidden="1">'[3]Flujo de Caja Consorcio'!#REF!</definedName>
    <definedName name="dsdf" localSheetId="20" hidden="1">'[3]Flujo de Caja Consorcio'!#REF!</definedName>
    <definedName name="dsdf" localSheetId="21" hidden="1">'[3]Flujo de Caja Consorcio'!#REF!</definedName>
    <definedName name="dsdf" localSheetId="22" hidden="1">'[3]Flujo de Caja Consorcio'!#REF!</definedName>
    <definedName name="dsdf" localSheetId="23" hidden="1">'[3]Flujo de Caja Consorcio'!#REF!</definedName>
    <definedName name="dsdf" localSheetId="24" hidden="1">'[3]Flujo de Caja Consorcio'!#REF!</definedName>
    <definedName name="dsdf" localSheetId="25" hidden="1">'[3]Flujo de Caja Consorcio'!#REF!</definedName>
    <definedName name="dsdf" localSheetId="26" hidden="1">'[3]Flujo de Caja Consorcio'!#REF!</definedName>
    <definedName name="dsdf" localSheetId="27" hidden="1">'[3]Flujo de Caja Consorcio'!#REF!</definedName>
    <definedName name="dsdf" localSheetId="28" hidden="1">'[3]Flujo de Caja Consorcio'!#REF!</definedName>
    <definedName name="dsdf" localSheetId="29" hidden="1">'[3]Flujo de Caja Consorcio'!#REF!</definedName>
    <definedName name="dsdf" localSheetId="3" hidden="1">'[1]Flujo de Caja Consorcio'!#REF!</definedName>
    <definedName name="dsdf" localSheetId="11" hidden="1">'[3]Flujo de Caja Consorcio'!#REF!</definedName>
    <definedName name="dsdf" localSheetId="6" hidden="1">'[3]Flujo de Caja Consorcio'!#REF!</definedName>
    <definedName name="dsdf" localSheetId="5" hidden="1">'[1]Flujo de Caja Consorcio'!#REF!</definedName>
    <definedName name="dsdf" localSheetId="2" hidden="1">'[3]Flujo de Caja Consorcio'!#REF!</definedName>
    <definedName name="dsdf" localSheetId="12" hidden="1">'[3]Flujo de Caja Consorcio'!#REF!</definedName>
    <definedName name="dsdf" localSheetId="33" hidden="1">'[3]Flujo de Caja Consorcio'!#REF!</definedName>
    <definedName name="dsdf" localSheetId="31" hidden="1">'[3]Flujo de Caja Consorcio'!#REF!</definedName>
    <definedName name="dsdf" localSheetId="4" hidden="1">'[1]Flujo de Caja Consorcio'!#REF!</definedName>
    <definedName name="dsdf" hidden="1">'[3]Flujo de Caja Consorcio'!#REF!</definedName>
    <definedName name="ERT" localSheetId="18">'[3]Flujo de Caja Consorcio'!#REF!</definedName>
    <definedName name="ERT" localSheetId="19">'[3]Flujo de Caja Consorcio'!#REF!</definedName>
    <definedName name="ERT" localSheetId="20">'[3]Flujo de Caja Consorcio'!#REF!</definedName>
    <definedName name="ERT" localSheetId="21">'[3]Flujo de Caja Consorcio'!#REF!</definedName>
    <definedName name="ERT" localSheetId="22">'[3]Flujo de Caja Consorcio'!#REF!</definedName>
    <definedName name="ERT" localSheetId="23">'[3]Flujo de Caja Consorcio'!#REF!</definedName>
    <definedName name="ERT" localSheetId="24">'[3]Flujo de Caja Consorcio'!#REF!</definedName>
    <definedName name="ERT" localSheetId="25">'[3]Flujo de Caja Consorcio'!#REF!</definedName>
    <definedName name="ERT" localSheetId="26">'[3]Flujo de Caja Consorcio'!#REF!</definedName>
    <definedName name="ERT" localSheetId="27">'[3]Flujo de Caja Consorcio'!#REF!</definedName>
    <definedName name="ERT" localSheetId="28">'[3]Flujo de Caja Consorcio'!#REF!</definedName>
    <definedName name="ERT" localSheetId="29">'[3]Flujo de Caja Consorcio'!#REF!</definedName>
    <definedName name="ERT" localSheetId="3">'[1]Flujo de Caja Consorcio'!#REF!</definedName>
    <definedName name="ERT" localSheetId="11">'[3]Flujo de Caja Consorcio'!#REF!</definedName>
    <definedName name="ERT" localSheetId="6">'[3]Flujo de Caja Consorcio'!#REF!</definedName>
    <definedName name="ERT" localSheetId="5">'[1]Flujo de Caja Consorcio'!#REF!</definedName>
    <definedName name="ERT" localSheetId="2">'[3]Flujo de Caja Consorcio'!#REF!</definedName>
    <definedName name="ERT" localSheetId="12">'[3]Flujo de Caja Consorcio'!#REF!</definedName>
    <definedName name="ERT" localSheetId="33">'[3]Flujo de Caja Consorcio'!#REF!</definedName>
    <definedName name="ERT" localSheetId="31">'[3]Flujo de Caja Consorcio'!#REF!</definedName>
    <definedName name="ERT" localSheetId="4">'[1]Flujo de Caja Consorcio'!#REF!</definedName>
    <definedName name="ERT">'[3]Flujo de Caja Consorcio'!#REF!</definedName>
    <definedName name="exc" localSheetId="5">[6]analisis!$H$19</definedName>
    <definedName name="exc">[7]analisis!$H$19</definedName>
    <definedName name="excavacion" localSheetId="18" hidden="1">'[1]Flujo de Caja Consorcio'!#REF!</definedName>
    <definedName name="excavacion" localSheetId="19" hidden="1">'[1]Flujo de Caja Consorcio'!#REF!</definedName>
    <definedName name="excavacion" localSheetId="20" hidden="1">'[1]Flujo de Caja Consorcio'!#REF!</definedName>
    <definedName name="excavacion" localSheetId="21" hidden="1">'[1]Flujo de Caja Consorcio'!#REF!</definedName>
    <definedName name="excavacion" localSheetId="22" hidden="1">'[1]Flujo de Caja Consorcio'!#REF!</definedName>
    <definedName name="excavacion" localSheetId="23" hidden="1">'[1]Flujo de Caja Consorcio'!#REF!</definedName>
    <definedName name="excavacion" localSheetId="24" hidden="1">'[1]Flujo de Caja Consorcio'!#REF!</definedName>
    <definedName name="excavacion" localSheetId="25" hidden="1">'[1]Flujo de Caja Consorcio'!#REF!</definedName>
    <definedName name="excavacion" localSheetId="26" hidden="1">'[1]Flujo de Caja Consorcio'!#REF!</definedName>
    <definedName name="excavacion" localSheetId="27" hidden="1">'[1]Flujo de Caja Consorcio'!#REF!</definedName>
    <definedName name="excavacion" localSheetId="28" hidden="1">'[1]Flujo de Caja Consorcio'!#REF!</definedName>
    <definedName name="excavacion" localSheetId="29" hidden="1">'[1]Flujo de Caja Consorcio'!#REF!</definedName>
    <definedName name="excavacion" localSheetId="11" hidden="1">'[1]Flujo de Caja Consorcio'!#REF!</definedName>
    <definedName name="excavacion" localSheetId="6" hidden="1">'[1]Flujo de Caja Consorcio'!#REF!</definedName>
    <definedName name="excavacion" localSheetId="2" hidden="1">'[1]Flujo de Caja Consorcio'!#REF!</definedName>
    <definedName name="excavacion" localSheetId="12" hidden="1">'[1]Flujo de Caja Consorcio'!#REF!</definedName>
    <definedName name="excavacion" localSheetId="33" hidden="1">'[1]Flujo de Caja Consorcio'!#REF!</definedName>
    <definedName name="excavacion" localSheetId="31" hidden="1">'[1]Flujo de Caja Consorcio'!#REF!</definedName>
    <definedName name="excavacion" localSheetId="4" hidden="1">'[1]Flujo de Caja Consorcio'!#REF!</definedName>
    <definedName name="excavacion" hidden="1">'[1]Flujo de Caja Consorcio'!#REF!</definedName>
    <definedName name="Excel_BuiltIn_Print_Area_1" localSheetId="18">#REF!</definedName>
    <definedName name="Excel_BuiltIn_Print_Area_1" localSheetId="19">#REF!</definedName>
    <definedName name="Excel_BuiltIn_Print_Area_1" localSheetId="20">#REF!</definedName>
    <definedName name="Excel_BuiltIn_Print_Area_1" localSheetId="21">#REF!</definedName>
    <definedName name="Excel_BuiltIn_Print_Area_1" localSheetId="22">#REF!</definedName>
    <definedName name="Excel_BuiltIn_Print_Area_1" localSheetId="23">#REF!</definedName>
    <definedName name="Excel_BuiltIn_Print_Area_1" localSheetId="24">#REF!</definedName>
    <definedName name="Excel_BuiltIn_Print_Area_1" localSheetId="25">#REF!</definedName>
    <definedName name="Excel_BuiltIn_Print_Area_1" localSheetId="26">#REF!</definedName>
    <definedName name="Excel_BuiltIn_Print_Area_1" localSheetId="27">#REF!</definedName>
    <definedName name="Excel_BuiltIn_Print_Area_1" localSheetId="28">#REF!</definedName>
    <definedName name="Excel_BuiltIn_Print_Area_1" localSheetId="29">#REF!</definedName>
    <definedName name="Excel_BuiltIn_Print_Area_1" localSheetId="11">#REF!</definedName>
    <definedName name="Excel_BuiltIn_Print_Area_1" localSheetId="6">#REF!</definedName>
    <definedName name="Excel_BuiltIn_Print_Area_1" localSheetId="5">#REF!</definedName>
    <definedName name="Excel_BuiltIn_Print_Area_1" localSheetId="2">#REF!</definedName>
    <definedName name="Excel_BuiltIn_Print_Area_1" localSheetId="12">#REF!</definedName>
    <definedName name="Excel_BuiltIn_Print_Area_1" localSheetId="33">#REF!</definedName>
    <definedName name="Excel_BuiltIn_Print_Area_1" localSheetId="31">#REF!</definedName>
    <definedName name="Excel_BuiltIn_Print_Area_1" localSheetId="4">#REF!</definedName>
    <definedName name="Excel_BuiltIn_Print_Area_1">#REF!</definedName>
    <definedName name="Excel_BuiltIn_Print_Titles_1" localSheetId="18">#REF!</definedName>
    <definedName name="Excel_BuiltIn_Print_Titles_1" localSheetId="19">#REF!</definedName>
    <definedName name="Excel_BuiltIn_Print_Titles_1" localSheetId="20">#REF!</definedName>
    <definedName name="Excel_BuiltIn_Print_Titles_1" localSheetId="21">#REF!</definedName>
    <definedName name="Excel_BuiltIn_Print_Titles_1" localSheetId="22">#REF!</definedName>
    <definedName name="Excel_BuiltIn_Print_Titles_1" localSheetId="23">#REF!</definedName>
    <definedName name="Excel_BuiltIn_Print_Titles_1" localSheetId="24">#REF!</definedName>
    <definedName name="Excel_BuiltIn_Print_Titles_1" localSheetId="25">#REF!</definedName>
    <definedName name="Excel_BuiltIn_Print_Titles_1" localSheetId="26">#REF!</definedName>
    <definedName name="Excel_BuiltIn_Print_Titles_1" localSheetId="27">#REF!</definedName>
    <definedName name="Excel_BuiltIn_Print_Titles_1" localSheetId="28">#REF!</definedName>
    <definedName name="Excel_BuiltIn_Print_Titles_1" localSheetId="29">#REF!</definedName>
    <definedName name="Excel_BuiltIn_Print_Titles_1" localSheetId="11">#REF!</definedName>
    <definedName name="Excel_BuiltIn_Print_Titles_1" localSheetId="6">#REF!</definedName>
    <definedName name="Excel_BuiltIn_Print_Titles_1" localSheetId="5">#REF!</definedName>
    <definedName name="Excel_BuiltIn_Print_Titles_1" localSheetId="2">#REF!</definedName>
    <definedName name="Excel_BuiltIn_Print_Titles_1" localSheetId="12">#REF!</definedName>
    <definedName name="Excel_BuiltIn_Print_Titles_1" localSheetId="33">#REF!</definedName>
    <definedName name="Excel_BuiltIn_Print_Titles_1" localSheetId="31">#REF!</definedName>
    <definedName name="Excel_BuiltIn_Print_Titles_1" localSheetId="4">#REF!</definedName>
    <definedName name="Excel_BuiltIn_Print_Titles_1">#REF!</definedName>
    <definedName name="Excel_BuiltIn_Print_Titles_7" localSheetId="18">[2]SUBBASE!#REF!</definedName>
    <definedName name="Excel_BuiltIn_Print_Titles_7" localSheetId="19">[2]SUBBASE!#REF!</definedName>
    <definedName name="Excel_BuiltIn_Print_Titles_7" localSheetId="20">[2]SUBBASE!#REF!</definedName>
    <definedName name="Excel_BuiltIn_Print_Titles_7" localSheetId="21">[2]SUBBASE!#REF!</definedName>
    <definedName name="Excel_BuiltIn_Print_Titles_7" localSheetId="22">[2]SUBBASE!#REF!</definedName>
    <definedName name="Excel_BuiltIn_Print_Titles_7" localSheetId="23">[2]SUBBASE!#REF!</definedName>
    <definedName name="Excel_BuiltIn_Print_Titles_7" localSheetId="24">[2]SUBBASE!#REF!</definedName>
    <definedName name="Excel_BuiltIn_Print_Titles_7" localSheetId="25">[2]SUBBASE!#REF!</definedName>
    <definedName name="Excel_BuiltIn_Print_Titles_7" localSheetId="26">[2]SUBBASE!#REF!</definedName>
    <definedName name="Excel_BuiltIn_Print_Titles_7" localSheetId="27">[2]SUBBASE!#REF!</definedName>
    <definedName name="Excel_BuiltIn_Print_Titles_7" localSheetId="28">[2]SUBBASE!#REF!</definedName>
    <definedName name="Excel_BuiltIn_Print_Titles_7" localSheetId="29">[2]SUBBASE!#REF!</definedName>
    <definedName name="Excel_BuiltIn_Print_Titles_7" localSheetId="11">[2]SUBBASE!#REF!</definedName>
    <definedName name="Excel_BuiltIn_Print_Titles_7" localSheetId="6">[2]SUBBASE!#REF!</definedName>
    <definedName name="Excel_BuiltIn_Print_Titles_7" localSheetId="5">[2]SUBBASE!#REF!</definedName>
    <definedName name="Excel_BuiltIn_Print_Titles_7" localSheetId="2">[2]SUBBASE!#REF!</definedName>
    <definedName name="Excel_BuiltIn_Print_Titles_7" localSheetId="12">[2]SUBBASE!#REF!</definedName>
    <definedName name="Excel_BuiltIn_Print_Titles_7" localSheetId="33">[2]SUBBASE!#REF!</definedName>
    <definedName name="Excel_BuiltIn_Print_Titles_7" localSheetId="31">[2]SUBBASE!#REF!</definedName>
    <definedName name="Excel_BuiltIn_Print_Titles_7" localSheetId="4">[2]SUBBASE!#REF!</definedName>
    <definedName name="Excel_BuiltIn_Print_Titles_7">[2]SUBBASE!#REF!</definedName>
    <definedName name="excp" localSheetId="5">[6]analisis!$I$19</definedName>
    <definedName name="excp">[7]analisis!$I$19</definedName>
    <definedName name="EXPOSICION" localSheetId="18">'[3]C.D. INSUMOS'!#REF!</definedName>
    <definedName name="EXPOSICION" localSheetId="19">'[3]C.D. INSUMOS'!#REF!</definedName>
    <definedName name="EXPOSICION" localSheetId="20">'[3]C.D. INSUMOS'!#REF!</definedName>
    <definedName name="EXPOSICION" localSheetId="21">'[3]C.D. INSUMOS'!#REF!</definedName>
    <definedName name="EXPOSICION" localSheetId="22">'[3]C.D. INSUMOS'!#REF!</definedName>
    <definedName name="EXPOSICION" localSheetId="23">'[3]C.D. INSUMOS'!#REF!</definedName>
    <definedName name="EXPOSICION" localSheetId="24">'[3]C.D. INSUMOS'!#REF!</definedName>
    <definedName name="EXPOSICION" localSheetId="25">'[3]C.D. INSUMOS'!#REF!</definedName>
    <definedName name="EXPOSICION" localSheetId="26">'[3]C.D. INSUMOS'!#REF!</definedName>
    <definedName name="EXPOSICION" localSheetId="27">'[3]C.D. INSUMOS'!#REF!</definedName>
    <definedName name="EXPOSICION" localSheetId="28">'[3]C.D. INSUMOS'!#REF!</definedName>
    <definedName name="EXPOSICION" localSheetId="29">'[3]C.D. INSUMOS'!#REF!</definedName>
    <definedName name="EXPOSICION" localSheetId="3">'[1]C.D. INSUMOS'!#REF!</definedName>
    <definedName name="EXPOSICION" localSheetId="11">'[3]C.D. INSUMOS'!#REF!</definedName>
    <definedName name="EXPOSICION" localSheetId="6">'[3]C.D. INSUMOS'!#REF!</definedName>
    <definedName name="EXPOSICION" localSheetId="5">'[1]C.D. INSUMOS'!#REF!</definedName>
    <definedName name="EXPOSICION" localSheetId="2">'[3]C.D. INSUMOS'!#REF!</definedName>
    <definedName name="EXPOSICION" localSheetId="12">'[3]C.D. INSUMOS'!#REF!</definedName>
    <definedName name="EXPOSICION" localSheetId="33">'[3]C.D. INSUMOS'!#REF!</definedName>
    <definedName name="EXPOSICION" localSheetId="31">'[3]C.D. INSUMOS'!#REF!</definedName>
    <definedName name="EXPOSICION" localSheetId="4">'[1]C.D. INSUMOS'!#REF!</definedName>
    <definedName name="EXPOSICION">'[3]C.D. INSUMOS'!#REF!</definedName>
    <definedName name="fce" localSheetId="18">#REF!</definedName>
    <definedName name="fce" localSheetId="19">#REF!</definedName>
    <definedName name="fce" localSheetId="20">#REF!</definedName>
    <definedName name="fce" localSheetId="21">#REF!</definedName>
    <definedName name="fce" localSheetId="22">#REF!</definedName>
    <definedName name="fce" localSheetId="23">#REF!</definedName>
    <definedName name="fce" localSheetId="24">#REF!</definedName>
    <definedName name="fce" localSheetId="25">#REF!</definedName>
    <definedName name="fce" localSheetId="26">#REF!</definedName>
    <definedName name="fce" localSheetId="27">#REF!</definedName>
    <definedName name="fce" localSheetId="28">#REF!</definedName>
    <definedName name="fce" localSheetId="29">#REF!</definedName>
    <definedName name="fce" localSheetId="3">#REF!</definedName>
    <definedName name="fce" localSheetId="11">#REF!</definedName>
    <definedName name="fce" localSheetId="6">#REF!</definedName>
    <definedName name="fce" localSheetId="5">#REF!</definedName>
    <definedName name="fce" localSheetId="2">#REF!</definedName>
    <definedName name="fce" localSheetId="12">#REF!</definedName>
    <definedName name="fce" localSheetId="33">#REF!</definedName>
    <definedName name="fce" localSheetId="31">#REF!</definedName>
    <definedName name="fce" localSheetId="4">#REF!</definedName>
    <definedName name="fce">#REF!</definedName>
    <definedName name="Fecha" localSheetId="10">#REF!</definedName>
    <definedName name="ferna" localSheetId="18">'[8]ESTACADO DEL EJE'!#REF!</definedName>
    <definedName name="ferna" localSheetId="19">'[8]ESTACADO DEL EJE'!#REF!</definedName>
    <definedName name="ferna" localSheetId="20">'[8]ESTACADO DEL EJE'!#REF!</definedName>
    <definedName name="ferna" localSheetId="21">'[8]ESTACADO DEL EJE'!#REF!</definedName>
    <definedName name="ferna" localSheetId="22">'[8]ESTACADO DEL EJE'!#REF!</definedName>
    <definedName name="ferna" localSheetId="23">'[8]ESTACADO DEL EJE'!#REF!</definedName>
    <definedName name="ferna" localSheetId="24">'[8]ESTACADO DEL EJE'!#REF!</definedName>
    <definedName name="ferna" localSheetId="25">'[8]ESTACADO DEL EJE'!#REF!</definedName>
    <definedName name="ferna" localSheetId="26">'[8]ESTACADO DEL EJE'!#REF!</definedName>
    <definedName name="ferna" localSheetId="27">'[8]ESTACADO DEL EJE'!#REF!</definedName>
    <definedName name="ferna" localSheetId="28">'[8]ESTACADO DEL EJE'!#REF!</definedName>
    <definedName name="ferna" localSheetId="29">'[8]ESTACADO DEL EJE'!#REF!</definedName>
    <definedName name="ferna" localSheetId="11">'[8]ESTACADO DEL EJE'!#REF!</definedName>
    <definedName name="ferna" localSheetId="6">'[8]ESTACADO DEL EJE'!#REF!</definedName>
    <definedName name="ferna" localSheetId="5">'[8]ESTACADO DEL EJE'!#REF!</definedName>
    <definedName name="ferna" localSheetId="2">'[8]ESTACADO DEL EJE'!#REF!</definedName>
    <definedName name="ferna" localSheetId="12">'[8]ESTACADO DEL EJE'!#REF!</definedName>
    <definedName name="ferna" localSheetId="33">'[8]ESTACADO DEL EJE'!#REF!</definedName>
    <definedName name="ferna" localSheetId="31">'[8]ESTACADO DEL EJE'!#REF!</definedName>
    <definedName name="ferna" localSheetId="4">'[8]ESTACADO DEL EJE'!#REF!</definedName>
    <definedName name="ferna">'[8]ESTACADO DEL EJE'!#REF!</definedName>
    <definedName name="FF" localSheetId="3">'[1]C.D. INSUMOS'!$H$2</definedName>
    <definedName name="FF" localSheetId="5">'[1]C.D. INSUMOS'!$H$2</definedName>
    <definedName name="FF" localSheetId="4">'[1]C.D. INSUMOS'!$H$2</definedName>
    <definedName name="FF">'[3]C.D. INSUMOS'!$H$2</definedName>
    <definedName name="FG" localSheetId="18">#REF!</definedName>
    <definedName name="FG" localSheetId="19">#REF!</definedName>
    <definedName name="FG" localSheetId="20">#REF!</definedName>
    <definedName name="FG" localSheetId="21">#REF!</definedName>
    <definedName name="FG" localSheetId="22">#REF!</definedName>
    <definedName name="FG" localSheetId="23">#REF!</definedName>
    <definedName name="FG" localSheetId="24">#REF!</definedName>
    <definedName name="FG" localSheetId="25">#REF!</definedName>
    <definedName name="FG" localSheetId="26">#REF!</definedName>
    <definedName name="FG" localSheetId="27">#REF!</definedName>
    <definedName name="FG" localSheetId="28">#REF!</definedName>
    <definedName name="FG" localSheetId="29">#REF!</definedName>
    <definedName name="FG" localSheetId="11">#REF!</definedName>
    <definedName name="FG" localSheetId="6">#REF!</definedName>
    <definedName name="FG" localSheetId="5">#REF!</definedName>
    <definedName name="FG" localSheetId="2">#REF!</definedName>
    <definedName name="FG" localSheetId="12">#REF!</definedName>
    <definedName name="FG" localSheetId="33">#REF!</definedName>
    <definedName name="FG" localSheetId="31">#REF!</definedName>
    <definedName name="FG" localSheetId="4">#REF!</definedName>
    <definedName name="FG">#REF!</definedName>
    <definedName name="FGE" localSheetId="18" hidden="1">'[1]Flujo de Caja Consorcio'!#REF!</definedName>
    <definedName name="FGE" localSheetId="19" hidden="1">'[1]Flujo de Caja Consorcio'!#REF!</definedName>
    <definedName name="FGE" localSheetId="20" hidden="1">'[1]Flujo de Caja Consorcio'!#REF!</definedName>
    <definedName name="FGE" localSheetId="21" hidden="1">'[1]Flujo de Caja Consorcio'!#REF!</definedName>
    <definedName name="FGE" localSheetId="22" hidden="1">'[1]Flujo de Caja Consorcio'!#REF!</definedName>
    <definedName name="FGE" localSheetId="23" hidden="1">'[1]Flujo de Caja Consorcio'!#REF!</definedName>
    <definedName name="FGE" localSheetId="24" hidden="1">'[1]Flujo de Caja Consorcio'!#REF!</definedName>
    <definedName name="FGE" localSheetId="25" hidden="1">'[1]Flujo de Caja Consorcio'!#REF!</definedName>
    <definedName name="FGE" localSheetId="26" hidden="1">'[1]Flujo de Caja Consorcio'!#REF!</definedName>
    <definedName name="FGE" localSheetId="27" hidden="1">'[1]Flujo de Caja Consorcio'!#REF!</definedName>
    <definedName name="FGE" localSheetId="28" hidden="1">'[1]Flujo de Caja Consorcio'!#REF!</definedName>
    <definedName name="FGE" localSheetId="29" hidden="1">'[1]Flujo de Caja Consorcio'!#REF!</definedName>
    <definedName name="FGE" localSheetId="11" hidden="1">'[1]Flujo de Caja Consorcio'!#REF!</definedName>
    <definedName name="FGE" localSheetId="6" hidden="1">'[1]Flujo de Caja Consorcio'!#REF!</definedName>
    <definedName name="FGE" localSheetId="5" hidden="1">'[1]Flujo de Caja Consorcio'!#REF!</definedName>
    <definedName name="FGE" localSheetId="2" hidden="1">'[1]Flujo de Caja Consorcio'!#REF!</definedName>
    <definedName name="FGE" localSheetId="12" hidden="1">'[1]Flujo de Caja Consorcio'!#REF!</definedName>
    <definedName name="FGE" localSheetId="33" hidden="1">'[1]Flujo de Caja Consorcio'!#REF!</definedName>
    <definedName name="FGE" localSheetId="31" hidden="1">'[1]Flujo de Caja Consorcio'!#REF!</definedName>
    <definedName name="FGE" localSheetId="4" hidden="1">'[1]Flujo de Caja Consorcio'!#REF!</definedName>
    <definedName name="FGE" hidden="1">'[1]Flujo de Caja Consorcio'!#REF!</definedName>
    <definedName name="fierrop" localSheetId="5">[6]analisis!$M$15</definedName>
    <definedName name="fierrop">[7]analisis!$M$15</definedName>
    <definedName name="FINAL" localSheetId="18">'[8]ESTACADO DEL EJE'!#REF!</definedName>
    <definedName name="FINAL" localSheetId="19">'[8]ESTACADO DEL EJE'!#REF!</definedName>
    <definedName name="FINAL" localSheetId="20">'[8]ESTACADO DEL EJE'!#REF!</definedName>
    <definedName name="FINAL" localSheetId="21">'[8]ESTACADO DEL EJE'!#REF!</definedName>
    <definedName name="FINAL" localSheetId="22">'[8]ESTACADO DEL EJE'!#REF!</definedName>
    <definedName name="FINAL" localSheetId="23">'[8]ESTACADO DEL EJE'!#REF!</definedName>
    <definedName name="FINAL" localSheetId="24">'[8]ESTACADO DEL EJE'!#REF!</definedName>
    <definedName name="FINAL" localSheetId="25">'[8]ESTACADO DEL EJE'!#REF!</definedName>
    <definedName name="FINAL" localSheetId="26">'[8]ESTACADO DEL EJE'!#REF!</definedName>
    <definedName name="FINAL" localSheetId="27">'[8]ESTACADO DEL EJE'!#REF!</definedName>
    <definedName name="FINAL" localSheetId="28">'[8]ESTACADO DEL EJE'!#REF!</definedName>
    <definedName name="FINAL" localSheetId="29">'[8]ESTACADO DEL EJE'!#REF!</definedName>
    <definedName name="FINAL" localSheetId="11">'[8]ESTACADO DEL EJE'!#REF!</definedName>
    <definedName name="FINAL" localSheetId="6">'[8]ESTACADO DEL EJE'!#REF!</definedName>
    <definedName name="FINAL" localSheetId="2">'[8]ESTACADO DEL EJE'!#REF!</definedName>
    <definedName name="FINAL" localSheetId="12">'[8]ESTACADO DEL EJE'!#REF!</definedName>
    <definedName name="FINAL" localSheetId="33">'[8]ESTACADO DEL EJE'!#REF!</definedName>
    <definedName name="FINAL" localSheetId="31">'[8]ESTACADO DEL EJE'!#REF!</definedName>
    <definedName name="FINAL" localSheetId="4">'[8]ESTACADO DEL EJE'!#REF!</definedName>
    <definedName name="FINAL">'[8]ESTACADO DEL EJE'!#REF!</definedName>
    <definedName name="finop" localSheetId="5">[6]analisis!$M$9</definedName>
    <definedName name="finop">[7]analisis!$M$9</definedName>
    <definedName name="FREDDDY" localSheetId="18">'[1]Flujo de Caja Consorcio'!#REF!</definedName>
    <definedName name="FREDDDY" localSheetId="19">'[1]Flujo de Caja Consorcio'!#REF!</definedName>
    <definedName name="FREDDDY" localSheetId="20">'[1]Flujo de Caja Consorcio'!#REF!</definedName>
    <definedName name="FREDDDY" localSheetId="21">'[1]Flujo de Caja Consorcio'!#REF!</definedName>
    <definedName name="FREDDDY" localSheetId="22">'[1]Flujo de Caja Consorcio'!#REF!</definedName>
    <definedName name="FREDDDY" localSheetId="23">'[1]Flujo de Caja Consorcio'!#REF!</definedName>
    <definedName name="FREDDDY" localSheetId="24">'[1]Flujo de Caja Consorcio'!#REF!</definedName>
    <definedName name="FREDDDY" localSheetId="25">'[1]Flujo de Caja Consorcio'!#REF!</definedName>
    <definedName name="FREDDDY" localSheetId="26">'[1]Flujo de Caja Consorcio'!#REF!</definedName>
    <definedName name="FREDDDY" localSheetId="27">'[1]Flujo de Caja Consorcio'!#REF!</definedName>
    <definedName name="FREDDDY" localSheetId="28">'[1]Flujo de Caja Consorcio'!#REF!</definedName>
    <definedName name="FREDDDY" localSheetId="29">'[1]Flujo de Caja Consorcio'!#REF!</definedName>
    <definedName name="FREDDDY" localSheetId="11">'[1]Flujo de Caja Consorcio'!#REF!</definedName>
    <definedName name="FREDDDY" localSheetId="6">'[1]Flujo de Caja Consorcio'!#REF!</definedName>
    <definedName name="FREDDDY" localSheetId="2">'[1]Flujo de Caja Consorcio'!#REF!</definedName>
    <definedName name="FREDDDY" localSheetId="12">'[1]Flujo de Caja Consorcio'!#REF!</definedName>
    <definedName name="FREDDDY" localSheetId="33">'[1]Flujo de Caja Consorcio'!#REF!</definedName>
    <definedName name="FREDDDY" localSheetId="31">'[1]Flujo de Caja Consorcio'!#REF!</definedName>
    <definedName name="FREDDDY" localSheetId="4">'[1]Flujo de Caja Consorcio'!#REF!</definedName>
    <definedName name="FREDDDY">'[1]Flujo de Caja Consorcio'!#REF!</definedName>
    <definedName name="FREDDY" localSheetId="18">'[1]C.D. INSUMOS'!#REF!</definedName>
    <definedName name="FREDDY" localSheetId="19">'[1]C.D. INSUMOS'!#REF!</definedName>
    <definedName name="FREDDY" localSheetId="20">'[1]C.D. INSUMOS'!#REF!</definedName>
    <definedName name="FREDDY" localSheetId="21">'[1]C.D. INSUMOS'!#REF!</definedName>
    <definedName name="FREDDY" localSheetId="22">'[1]C.D. INSUMOS'!#REF!</definedName>
    <definedName name="FREDDY" localSheetId="23">'[1]C.D. INSUMOS'!#REF!</definedName>
    <definedName name="FREDDY" localSheetId="24">'[1]C.D. INSUMOS'!#REF!</definedName>
    <definedName name="FREDDY" localSheetId="25">'[1]C.D. INSUMOS'!#REF!</definedName>
    <definedName name="FREDDY" localSheetId="26">'[1]C.D. INSUMOS'!#REF!</definedName>
    <definedName name="FREDDY" localSheetId="27">'[1]C.D. INSUMOS'!#REF!</definedName>
    <definedName name="FREDDY" localSheetId="28">'[1]C.D. INSUMOS'!#REF!</definedName>
    <definedName name="FREDDY" localSheetId="29">'[1]C.D. INSUMOS'!#REF!</definedName>
    <definedName name="FREDDY" localSheetId="11">'[1]C.D. INSUMOS'!#REF!</definedName>
    <definedName name="FREDDY" localSheetId="6">'[1]C.D. INSUMOS'!#REF!</definedName>
    <definedName name="FREDDY" localSheetId="2">'[1]C.D. INSUMOS'!#REF!</definedName>
    <definedName name="FREDDY" localSheetId="12">'[1]C.D. INSUMOS'!#REF!</definedName>
    <definedName name="FREDDY" localSheetId="33">'[1]C.D. INSUMOS'!#REF!</definedName>
    <definedName name="FREDDY" localSheetId="31">'[1]C.D. INSUMOS'!#REF!</definedName>
    <definedName name="FREDDY" localSheetId="4">'[1]C.D. INSUMOS'!#REF!</definedName>
    <definedName name="FREDDY">'[1]C.D. INSUMOS'!#REF!</definedName>
    <definedName name="G_G">[13]DEFINICIONES!$B$3</definedName>
    <definedName name="ga" localSheetId="5">[14]OT!$D$108</definedName>
    <definedName name="ga">[15]OT!$D$108</definedName>
    <definedName name="Gar">#N/A</definedName>
    <definedName name="Garantia" localSheetId="18">#REF!</definedName>
    <definedName name="Garantia" localSheetId="19">#REF!</definedName>
    <definedName name="Garantia" localSheetId="20">#REF!</definedName>
    <definedName name="Garantia" localSheetId="21">#REF!</definedName>
    <definedName name="Garantia" localSheetId="22">#REF!</definedName>
    <definedName name="Garantia" localSheetId="23">#REF!</definedName>
    <definedName name="Garantia" localSheetId="24">#REF!</definedName>
    <definedName name="Garantia" localSheetId="25">#REF!</definedName>
    <definedName name="Garantia" localSheetId="26">#REF!</definedName>
    <definedName name="Garantia" localSheetId="27">#REF!</definedName>
    <definedName name="Garantia" localSheetId="28">#REF!</definedName>
    <definedName name="Garantia" localSheetId="29">#REF!</definedName>
    <definedName name="Garantia" localSheetId="11">#REF!</definedName>
    <definedName name="Garantia" localSheetId="6">#REF!</definedName>
    <definedName name="Garantia" localSheetId="5">#REF!</definedName>
    <definedName name="Garantia" localSheetId="2">#REF!</definedName>
    <definedName name="Garantia" localSheetId="10">#REF!</definedName>
    <definedName name="Garantia" localSheetId="12">#REF!</definedName>
    <definedName name="Garantia" localSheetId="33">#REF!</definedName>
    <definedName name="Garantia" localSheetId="31">#REF!</definedName>
    <definedName name="Garantia" localSheetId="4">#REF!</definedName>
    <definedName name="Garantia">#REF!</definedName>
    <definedName name="gavionp" localSheetId="5">[6]analisis!$M$18</definedName>
    <definedName name="gavionp">[7]analisis!$M$18</definedName>
    <definedName name="Generación_de_análisis_de_precios_Unitarios." localSheetId="18">#REF!</definedName>
    <definedName name="Generación_de_análisis_de_precios_Unitarios." localSheetId="19">#REF!</definedName>
    <definedName name="Generación_de_análisis_de_precios_Unitarios." localSheetId="20">#REF!</definedName>
    <definedName name="Generación_de_análisis_de_precios_Unitarios." localSheetId="21">#REF!</definedName>
    <definedName name="Generación_de_análisis_de_precios_Unitarios." localSheetId="22">#REF!</definedName>
    <definedName name="Generación_de_análisis_de_precios_Unitarios." localSheetId="23">#REF!</definedName>
    <definedName name="Generación_de_análisis_de_precios_Unitarios." localSheetId="24">#REF!</definedName>
    <definedName name="Generación_de_análisis_de_precios_Unitarios." localSheetId="25">#REF!</definedName>
    <definedName name="Generación_de_análisis_de_precios_Unitarios." localSheetId="26">#REF!</definedName>
    <definedName name="Generación_de_análisis_de_precios_Unitarios." localSheetId="27">#REF!</definedName>
    <definedName name="Generación_de_análisis_de_precios_Unitarios." localSheetId="28">#REF!</definedName>
    <definedName name="Generación_de_análisis_de_precios_Unitarios." localSheetId="29">#REF!</definedName>
    <definedName name="Generación_de_análisis_de_precios_Unitarios." localSheetId="3">#REF!</definedName>
    <definedName name="Generación_de_análisis_de_precios_Unitarios." localSheetId="11">#REF!</definedName>
    <definedName name="Generación_de_análisis_de_precios_Unitarios." localSheetId="6">#REF!</definedName>
    <definedName name="Generación_de_análisis_de_precios_Unitarios." localSheetId="5">#REF!</definedName>
    <definedName name="Generación_de_análisis_de_precios_Unitarios." localSheetId="2">#REF!</definedName>
    <definedName name="Generación_de_análisis_de_precios_Unitarios." localSheetId="10">#REF!</definedName>
    <definedName name="Generación_de_análisis_de_precios_Unitarios." localSheetId="12">#REF!</definedName>
    <definedName name="Generación_de_análisis_de_precios_Unitarios." localSheetId="33">#REF!</definedName>
    <definedName name="Generación_de_análisis_de_precios_Unitarios." localSheetId="31">#REF!</definedName>
    <definedName name="Generación_de_análisis_de_precios_Unitarios." localSheetId="4">#REF!</definedName>
    <definedName name="Generación_de_análisis_de_precios_Unitarios.">#REF!</definedName>
    <definedName name="GFG" localSheetId="18">'[3]C.D. INSUMOS'!#REF!</definedName>
    <definedName name="GFG" localSheetId="19">'[3]C.D. INSUMOS'!#REF!</definedName>
    <definedName name="GFG" localSheetId="20">'[3]C.D. INSUMOS'!#REF!</definedName>
    <definedName name="GFG" localSheetId="21">'[3]C.D. INSUMOS'!#REF!</definedName>
    <definedName name="GFG" localSheetId="22">'[3]C.D. INSUMOS'!#REF!</definedName>
    <definedName name="GFG" localSheetId="23">'[3]C.D. INSUMOS'!#REF!</definedName>
    <definedName name="GFG" localSheetId="24">'[3]C.D. INSUMOS'!#REF!</definedName>
    <definedName name="GFG" localSheetId="25">'[3]C.D. INSUMOS'!#REF!</definedName>
    <definedName name="GFG" localSheetId="26">'[3]C.D. INSUMOS'!#REF!</definedName>
    <definedName name="GFG" localSheetId="27">'[3]C.D. INSUMOS'!#REF!</definedName>
    <definedName name="GFG" localSheetId="28">'[3]C.D. INSUMOS'!#REF!</definedName>
    <definedName name="GFG" localSheetId="29">'[3]C.D. INSUMOS'!#REF!</definedName>
    <definedName name="GFG" localSheetId="3">'[1]C.D. INSUMOS'!#REF!</definedName>
    <definedName name="GFG" localSheetId="11">'[3]C.D. INSUMOS'!#REF!</definedName>
    <definedName name="GFG" localSheetId="6">'[3]C.D. INSUMOS'!#REF!</definedName>
    <definedName name="GFG" localSheetId="5">'[1]C.D. INSUMOS'!#REF!</definedName>
    <definedName name="GFG" localSheetId="2">'[3]C.D. INSUMOS'!#REF!</definedName>
    <definedName name="GFG" localSheetId="12">'[3]C.D. INSUMOS'!#REF!</definedName>
    <definedName name="GFG" localSheetId="33">'[3]C.D. INSUMOS'!#REF!</definedName>
    <definedName name="GFG" localSheetId="31">'[3]C.D. INSUMOS'!#REF!</definedName>
    <definedName name="GFG" localSheetId="4">'[1]C.D. INSUMOS'!#REF!</definedName>
    <definedName name="GFG">'[3]C.D. INSUMOS'!#REF!</definedName>
    <definedName name="GG" localSheetId="18">'[3]Flujo de Caja Consorcio'!#REF!</definedName>
    <definedName name="GG" localSheetId="19">'[3]Flujo de Caja Consorcio'!#REF!</definedName>
    <definedName name="GG" localSheetId="20">'[3]Flujo de Caja Consorcio'!#REF!</definedName>
    <definedName name="GG" localSheetId="21">'[3]Flujo de Caja Consorcio'!#REF!</definedName>
    <definedName name="GG" localSheetId="22">'[3]Flujo de Caja Consorcio'!#REF!</definedName>
    <definedName name="GG" localSheetId="23">'[3]Flujo de Caja Consorcio'!#REF!</definedName>
    <definedName name="GG" localSheetId="24">'[3]Flujo de Caja Consorcio'!#REF!</definedName>
    <definedName name="GG" localSheetId="25">'[3]Flujo de Caja Consorcio'!#REF!</definedName>
    <definedName name="GG" localSheetId="26">'[3]Flujo de Caja Consorcio'!#REF!</definedName>
    <definedName name="GG" localSheetId="27">'[3]Flujo de Caja Consorcio'!#REF!</definedName>
    <definedName name="GG" localSheetId="28">'[3]Flujo de Caja Consorcio'!#REF!</definedName>
    <definedName name="GG" localSheetId="29">'[3]Flujo de Caja Consorcio'!#REF!</definedName>
    <definedName name="GG" localSheetId="3">'[1]Flujo de Caja Consorcio'!#REF!</definedName>
    <definedName name="GG" localSheetId="11">'[3]Flujo de Caja Consorcio'!#REF!</definedName>
    <definedName name="GG" localSheetId="6">'[3]Flujo de Caja Consorcio'!#REF!</definedName>
    <definedName name="GG" localSheetId="5">'[1]Flujo de Caja Consorcio'!#REF!</definedName>
    <definedName name="GG" localSheetId="2">'[3]Flujo de Caja Consorcio'!#REF!</definedName>
    <definedName name="GG" localSheetId="12">'[3]Flujo de Caja Consorcio'!#REF!</definedName>
    <definedName name="GG" localSheetId="33">'[3]Flujo de Caja Consorcio'!#REF!</definedName>
    <definedName name="GG" localSheetId="31">'[3]Flujo de Caja Consorcio'!#REF!</definedName>
    <definedName name="GG" localSheetId="4">'[1]Flujo de Caja Consorcio'!#REF!</definedName>
    <definedName name="GG">'[3]Flujo de Caja Consorcio'!#REF!</definedName>
    <definedName name="gggereteey" localSheetId="18">#REF!</definedName>
    <definedName name="gggereteey" localSheetId="19">#REF!</definedName>
    <definedName name="gggereteey" localSheetId="20">#REF!</definedName>
    <definedName name="gggereteey" localSheetId="21">#REF!</definedName>
    <definedName name="gggereteey" localSheetId="22">#REF!</definedName>
    <definedName name="gggereteey" localSheetId="23">#REF!</definedName>
    <definedName name="gggereteey" localSheetId="24">#REF!</definedName>
    <definedName name="gggereteey" localSheetId="25">#REF!</definedName>
    <definedName name="gggereteey" localSheetId="26">#REF!</definedName>
    <definedName name="gggereteey" localSheetId="27">#REF!</definedName>
    <definedName name="gggereteey" localSheetId="28">#REF!</definedName>
    <definedName name="gggereteey" localSheetId="29">#REF!</definedName>
    <definedName name="gggereteey" localSheetId="11">#REF!</definedName>
    <definedName name="gggereteey" localSheetId="6">#REF!</definedName>
    <definedName name="gggereteey" localSheetId="5">#REF!</definedName>
    <definedName name="gggereteey" localSheetId="2">#REF!</definedName>
    <definedName name="gggereteey" localSheetId="12">#REF!</definedName>
    <definedName name="gggereteey" localSheetId="33">#REF!</definedName>
    <definedName name="gggereteey" localSheetId="31">#REF!</definedName>
    <definedName name="gggereteey" localSheetId="4">#REF!</definedName>
    <definedName name="gggereteey">#REF!</definedName>
    <definedName name="_xlnm.Recorder" localSheetId="18">#REF!</definedName>
    <definedName name="_xlnm.Recorder" localSheetId="19">#REF!</definedName>
    <definedName name="_xlnm.Recorder" localSheetId="20">#REF!</definedName>
    <definedName name="_xlnm.Recorder" localSheetId="21">#REF!</definedName>
    <definedName name="_xlnm.Recorder" localSheetId="22">#REF!</definedName>
    <definedName name="_xlnm.Recorder" localSheetId="23">#REF!</definedName>
    <definedName name="_xlnm.Recorder" localSheetId="24">#REF!</definedName>
    <definedName name="_xlnm.Recorder" localSheetId="25">#REF!</definedName>
    <definedName name="_xlnm.Recorder" localSheetId="26">#REF!</definedName>
    <definedName name="_xlnm.Recorder" localSheetId="27">#REF!</definedName>
    <definedName name="_xlnm.Recorder" localSheetId="28">#REF!</definedName>
    <definedName name="_xlnm.Recorder" localSheetId="29">#REF!</definedName>
    <definedName name="_xlnm.Recorder" localSheetId="3">#REF!</definedName>
    <definedName name="_xlnm.Recorder" localSheetId="11">#REF!</definedName>
    <definedName name="_xlnm.Recorder" localSheetId="6">#REF!</definedName>
    <definedName name="_xlnm.Recorder" localSheetId="14">#REF!</definedName>
    <definedName name="_xlnm.Recorder" localSheetId="2">#REF!</definedName>
    <definedName name="_xlnm.Recorder" localSheetId="10">#REF!</definedName>
    <definedName name="_xlnm.Recorder" localSheetId="12">#REF!</definedName>
    <definedName name="_xlnm.Recorder" localSheetId="33">#REF!</definedName>
    <definedName name="_xlnm.Recorder" localSheetId="31">#REF!</definedName>
    <definedName name="_xlnm.Recorder" localSheetId="15">#REF!</definedName>
    <definedName name="_xlnm.Recorder" localSheetId="9">#REF!</definedName>
    <definedName name="_xlnm.Recorder" localSheetId="4">#REF!</definedName>
    <definedName name="_xlnm.Recorder">#REF!</definedName>
    <definedName name="Gral">#N/A</definedName>
    <definedName name="gruesop" localSheetId="5">[6]analisis!$M$8</definedName>
    <definedName name="gruesop">[7]analisis!$M$8</definedName>
    <definedName name="gshgdhgsgdu" localSheetId="18">#REF!</definedName>
    <definedName name="gshgdhgsgdu" localSheetId="19">#REF!</definedName>
    <definedName name="gshgdhgsgdu" localSheetId="20">#REF!</definedName>
    <definedName name="gshgdhgsgdu" localSheetId="21">#REF!</definedName>
    <definedName name="gshgdhgsgdu" localSheetId="22">#REF!</definedName>
    <definedName name="gshgdhgsgdu" localSheetId="23">#REF!</definedName>
    <definedName name="gshgdhgsgdu" localSheetId="24">#REF!</definedName>
    <definedName name="gshgdhgsgdu" localSheetId="25">#REF!</definedName>
    <definedName name="gshgdhgsgdu" localSheetId="26">#REF!</definedName>
    <definedName name="gshgdhgsgdu" localSheetId="27">#REF!</definedName>
    <definedName name="gshgdhgsgdu" localSheetId="28">#REF!</definedName>
    <definedName name="gshgdhgsgdu" localSheetId="29">#REF!</definedName>
    <definedName name="gshgdhgsgdu" localSheetId="11">#REF!</definedName>
    <definedName name="gshgdhgsgdu" localSheetId="6">#REF!</definedName>
    <definedName name="gshgdhgsgdu" localSheetId="5">#REF!</definedName>
    <definedName name="gshgdhgsgdu" localSheetId="2">#REF!</definedName>
    <definedName name="gshgdhgsgdu" localSheetId="12">#REF!</definedName>
    <definedName name="gshgdhgsgdu" localSheetId="33">#REF!</definedName>
    <definedName name="gshgdhgsgdu" localSheetId="31">#REF!</definedName>
    <definedName name="gshgdhgsgdu" localSheetId="4">#REF!</definedName>
    <definedName name="gshgdhgsgdu">#REF!</definedName>
    <definedName name="GVarios" localSheetId="18">#REF!</definedName>
    <definedName name="GVarios" localSheetId="19">#REF!</definedName>
    <definedName name="GVarios" localSheetId="20">#REF!</definedName>
    <definedName name="GVarios" localSheetId="21">#REF!</definedName>
    <definedName name="GVarios" localSheetId="22">#REF!</definedName>
    <definedName name="GVarios" localSheetId="23">#REF!</definedName>
    <definedName name="GVarios" localSheetId="24">#REF!</definedName>
    <definedName name="GVarios" localSheetId="25">#REF!</definedName>
    <definedName name="GVarios" localSheetId="26">#REF!</definedName>
    <definedName name="GVarios" localSheetId="27">#REF!</definedName>
    <definedName name="GVarios" localSheetId="28">#REF!</definedName>
    <definedName name="GVarios" localSheetId="29">#REF!</definedName>
    <definedName name="GVarios" localSheetId="11">#REF!</definedName>
    <definedName name="GVarios" localSheetId="6">#REF!</definedName>
    <definedName name="GVarios" localSheetId="5">#REF!</definedName>
    <definedName name="GVarios" localSheetId="2">#REF!</definedName>
    <definedName name="GVarios" localSheetId="10">#REF!</definedName>
    <definedName name="GVarios" localSheetId="12">#REF!</definedName>
    <definedName name="GVarios" localSheetId="33">#REF!</definedName>
    <definedName name="GVarios" localSheetId="31">#REF!</definedName>
    <definedName name="GVarios" localSheetId="4">#REF!</definedName>
    <definedName name="GVarios">#REF!</definedName>
    <definedName name="H1_APU">[13]DEFINICIONES!$B$14</definedName>
    <definedName name="HOJA5000" localSheetId="18">#REF!</definedName>
    <definedName name="HOJA5000" localSheetId="19">#REF!</definedName>
    <definedName name="HOJA5000" localSheetId="20">#REF!</definedName>
    <definedName name="HOJA5000" localSheetId="21">#REF!</definedName>
    <definedName name="HOJA5000" localSheetId="22">#REF!</definedName>
    <definedName name="HOJA5000" localSheetId="23">#REF!</definedName>
    <definedName name="HOJA5000" localSheetId="24">#REF!</definedName>
    <definedName name="HOJA5000" localSheetId="25">#REF!</definedName>
    <definedName name="HOJA5000" localSheetId="26">#REF!</definedName>
    <definedName name="HOJA5000" localSheetId="27">#REF!</definedName>
    <definedName name="HOJA5000" localSheetId="28">#REF!</definedName>
    <definedName name="HOJA5000" localSheetId="29">#REF!</definedName>
    <definedName name="HOJA5000" localSheetId="11">#REF!</definedName>
    <definedName name="HOJA5000" localSheetId="6">#REF!</definedName>
    <definedName name="HOJA5000" localSheetId="5">#REF!</definedName>
    <definedName name="HOJA5000" localSheetId="2">#REF!</definedName>
    <definedName name="HOJA5000" localSheetId="12">#REF!</definedName>
    <definedName name="HOJA5000" localSheetId="33">#REF!</definedName>
    <definedName name="HOJA5000" localSheetId="31">#REF!</definedName>
    <definedName name="HOJA5000" localSheetId="4">#REF!</definedName>
    <definedName name="HOJA5000">#REF!</definedName>
    <definedName name="HR" localSheetId="3">'[1]BASES DE DATOS'!$C$9:$C$198</definedName>
    <definedName name="HR" localSheetId="5">'[1]BASES DE DATOS'!$C$9:$C$198</definedName>
    <definedName name="HR" localSheetId="4">'[1]BASES DE DATOS'!$C$9:$C$198</definedName>
    <definedName name="HR">'[3]BASES DE DATOS'!$C$9:$C$198</definedName>
    <definedName name="HTML_CodePage" hidden="1">1252</definedName>
    <definedName name="HTML_Control" localSheetId="11" hidden="1">{"'Hoja1 (13)'!$A$6:$F$53"}</definedName>
    <definedName name="HTML_Control" localSheetId="6" hidden="1">{"'Hoja1 (13)'!$A$6:$F$53"}</definedName>
    <definedName name="HTML_Control" localSheetId="5" hidden="1">{"'Hoja1 (13)'!$A$6:$F$53"}</definedName>
    <definedName name="HTML_Control" localSheetId="2" hidden="1">{"'Hoja1 (13)'!$A$6:$F$53"}</definedName>
    <definedName name="HTML_Control" localSheetId="12" hidden="1">{"'Hoja1 (13)'!$A$6:$F$53"}</definedName>
    <definedName name="HTML_Control" localSheetId="33" hidden="1">{"'Hoja1 (13)'!$A$6:$F$53"}</definedName>
    <definedName name="HTML_Control" localSheetId="31" hidden="1">{"'Hoja1 (13)'!$A$6:$F$53"}</definedName>
    <definedName name="HTML_Control" hidden="1">{"'Hoja1 (13)'!$A$6:$F$53"}</definedName>
    <definedName name="HTML_Description" hidden="1">""</definedName>
    <definedName name="HTML_Email" hidden="1">""</definedName>
    <definedName name="HTML_Header" hidden="1">"Hoja1 (13)"</definedName>
    <definedName name="HTML_LastUpdate" hidden="1">"18/01/99"</definedName>
    <definedName name="HTML_LineAfter" hidden="1">FALSE</definedName>
    <definedName name="HTML_LineBefore" hidden="1">FALSE</definedName>
    <definedName name="HTML_Name" hidden="1">"Sistemas Inteligentes"</definedName>
    <definedName name="HTML_OBDlg2" hidden="1">TRUE</definedName>
    <definedName name="HTML_OBDlg4" hidden="1">TRUE</definedName>
    <definedName name="HTML_OS" hidden="1">0</definedName>
    <definedName name="HTML_PathFile" hidden="1">"d:\Mis documentos\HTML.htm"</definedName>
    <definedName name="HTML_Title" hidden="1">"items"</definedName>
    <definedName name="IJ" localSheetId="18">'[1]C.D. INSUMOS'!#REF!</definedName>
    <definedName name="IJ" localSheetId="19">'[1]C.D. INSUMOS'!#REF!</definedName>
    <definedName name="IJ" localSheetId="20">'[1]C.D. INSUMOS'!#REF!</definedName>
    <definedName name="IJ" localSheetId="21">'[1]C.D. INSUMOS'!#REF!</definedName>
    <definedName name="IJ" localSheetId="22">'[1]C.D. INSUMOS'!#REF!</definedName>
    <definedName name="IJ" localSheetId="23">'[1]C.D. INSUMOS'!#REF!</definedName>
    <definedName name="IJ" localSheetId="24">'[1]C.D. INSUMOS'!#REF!</definedName>
    <definedName name="IJ" localSheetId="25">'[1]C.D. INSUMOS'!#REF!</definedName>
    <definedName name="IJ" localSheetId="26">'[1]C.D. INSUMOS'!#REF!</definedName>
    <definedName name="IJ" localSheetId="27">'[1]C.D. INSUMOS'!#REF!</definedName>
    <definedName name="IJ" localSheetId="28">'[1]C.D. INSUMOS'!#REF!</definedName>
    <definedName name="IJ" localSheetId="29">'[1]C.D. INSUMOS'!#REF!</definedName>
    <definedName name="IJ" localSheetId="3">'[1]C.D. INSUMOS'!#REF!</definedName>
    <definedName name="IJ" localSheetId="11">'[1]C.D. INSUMOS'!#REF!</definedName>
    <definedName name="IJ" localSheetId="6">'[1]C.D. INSUMOS'!#REF!</definedName>
    <definedName name="IJ" localSheetId="2">'[1]C.D. INSUMOS'!#REF!</definedName>
    <definedName name="IJ" localSheetId="12">'[1]C.D. INSUMOS'!#REF!</definedName>
    <definedName name="IJ" localSheetId="33">'[1]C.D. INSUMOS'!#REF!</definedName>
    <definedName name="IJ" localSheetId="31">'[1]C.D. INSUMOS'!#REF!</definedName>
    <definedName name="IJ" localSheetId="4">'[1]C.D. INSUMOS'!#REF!</definedName>
    <definedName name="IJ">'[1]C.D. INSUMOS'!#REF!</definedName>
    <definedName name="Imp" localSheetId="10">#REF!</definedName>
    <definedName name="IMP">[13]DEFINICIONES!$B$5</definedName>
    <definedName name="impacto" localSheetId="18">#REF!</definedName>
    <definedName name="impacto" localSheetId="19">#REF!</definedName>
    <definedName name="impacto" localSheetId="20">#REF!</definedName>
    <definedName name="impacto" localSheetId="21">#REF!</definedName>
    <definedName name="impacto" localSheetId="22">#REF!</definedName>
    <definedName name="impacto" localSheetId="23">#REF!</definedName>
    <definedName name="impacto" localSheetId="24">#REF!</definedName>
    <definedName name="impacto" localSheetId="25">#REF!</definedName>
    <definedName name="impacto" localSheetId="26">#REF!</definedName>
    <definedName name="impacto" localSheetId="27">#REF!</definedName>
    <definedName name="impacto" localSheetId="28">#REF!</definedName>
    <definedName name="impacto" localSheetId="29">#REF!</definedName>
    <definedName name="impacto" localSheetId="3">'[1]Flujo de Caja Consorcio'!#REF!</definedName>
    <definedName name="impacto" localSheetId="11">#REF!</definedName>
    <definedName name="impacto" localSheetId="6">#REF!</definedName>
    <definedName name="impacto" localSheetId="5">#REF!</definedName>
    <definedName name="impacto" localSheetId="2">#REF!</definedName>
    <definedName name="impacto" localSheetId="12">#REF!</definedName>
    <definedName name="impacto" localSheetId="33">#REF!</definedName>
    <definedName name="impacto" localSheetId="31">#REF!</definedName>
    <definedName name="impacto" localSheetId="4">'[1]Flujo de Caja Consorcio'!#REF!</definedName>
    <definedName name="impacto">#REF!</definedName>
    <definedName name="Impuesto" localSheetId="18">#REF!</definedName>
    <definedName name="Impuesto" localSheetId="19">#REF!</definedName>
    <definedName name="Impuesto" localSheetId="20">#REF!</definedName>
    <definedName name="Impuesto" localSheetId="21">#REF!</definedName>
    <definedName name="Impuesto" localSheetId="22">#REF!</definedName>
    <definedName name="Impuesto" localSheetId="23">#REF!</definedName>
    <definedName name="Impuesto" localSheetId="24">#REF!</definedName>
    <definedName name="Impuesto" localSheetId="25">#REF!</definedName>
    <definedName name="Impuesto" localSheetId="26">#REF!</definedName>
    <definedName name="Impuesto" localSheetId="27">#REF!</definedName>
    <definedName name="Impuesto" localSheetId="28">#REF!</definedName>
    <definedName name="Impuesto" localSheetId="29">#REF!</definedName>
    <definedName name="Impuesto" localSheetId="11">#REF!</definedName>
    <definedName name="Impuesto" localSheetId="6">#REF!</definedName>
    <definedName name="Impuesto" localSheetId="5">#REF!</definedName>
    <definedName name="Impuesto" localSheetId="2">#REF!</definedName>
    <definedName name="Impuesto" localSheetId="10">#REF!</definedName>
    <definedName name="Impuesto" localSheetId="12">#REF!</definedName>
    <definedName name="Impuesto" localSheetId="33">#REF!</definedName>
    <definedName name="Impuesto" localSheetId="31">#REF!</definedName>
    <definedName name="Impuesto" localSheetId="4">#REF!</definedName>
    <definedName name="Impuesto">#REF!</definedName>
    <definedName name="INICIO" localSheetId="18">'[8]ESTACADO DEL EJE'!#REF!</definedName>
    <definedName name="INICIO" localSheetId="19">'[8]ESTACADO DEL EJE'!#REF!</definedName>
    <definedName name="INICIO" localSheetId="20">'[8]ESTACADO DEL EJE'!#REF!</definedName>
    <definedName name="INICIO" localSheetId="21">'[8]ESTACADO DEL EJE'!#REF!</definedName>
    <definedName name="INICIO" localSheetId="22">'[8]ESTACADO DEL EJE'!#REF!</definedName>
    <definedName name="INICIO" localSheetId="23">'[8]ESTACADO DEL EJE'!#REF!</definedName>
    <definedName name="INICIO" localSheetId="24">'[8]ESTACADO DEL EJE'!#REF!</definedName>
    <definedName name="INICIO" localSheetId="25">'[8]ESTACADO DEL EJE'!#REF!</definedName>
    <definedName name="INICIO" localSheetId="26">'[8]ESTACADO DEL EJE'!#REF!</definedName>
    <definedName name="INICIO" localSheetId="27">'[8]ESTACADO DEL EJE'!#REF!</definedName>
    <definedName name="INICIO" localSheetId="28">'[8]ESTACADO DEL EJE'!#REF!</definedName>
    <definedName name="INICIO" localSheetId="29">'[8]ESTACADO DEL EJE'!#REF!</definedName>
    <definedName name="INICIO" localSheetId="11">'[8]ESTACADO DEL EJE'!#REF!</definedName>
    <definedName name="INICIO" localSheetId="6">'[8]ESTACADO DEL EJE'!#REF!</definedName>
    <definedName name="INICIO" localSheetId="5">'[8]ESTACADO DEL EJE'!#REF!</definedName>
    <definedName name="INICIO" localSheetId="2">'[8]ESTACADO DEL EJE'!#REF!</definedName>
    <definedName name="INICIO" localSheetId="12">'[8]ESTACADO DEL EJE'!#REF!</definedName>
    <definedName name="INICIO" localSheetId="33">'[8]ESTACADO DEL EJE'!#REF!</definedName>
    <definedName name="INICIO" localSheetId="31">'[8]ESTACADO DEL EJE'!#REF!</definedName>
    <definedName name="INICIO" localSheetId="4">'[8]ESTACADO DEL EJE'!#REF!</definedName>
    <definedName name="INICIO">'[8]ESTACADO DEL EJE'!#REF!</definedName>
    <definedName name="INTERESES" localSheetId="18">'[3]C.D. INSUMOS'!#REF!</definedName>
    <definedName name="INTERESES" localSheetId="19">'[3]C.D. INSUMOS'!#REF!</definedName>
    <definedName name="INTERESES" localSheetId="20">'[3]C.D. INSUMOS'!#REF!</definedName>
    <definedName name="INTERESES" localSheetId="21">'[3]C.D. INSUMOS'!#REF!</definedName>
    <definedName name="INTERESES" localSheetId="22">'[3]C.D. INSUMOS'!#REF!</definedName>
    <definedName name="INTERESES" localSheetId="23">'[3]C.D. INSUMOS'!#REF!</definedName>
    <definedName name="INTERESES" localSheetId="24">'[3]C.D. INSUMOS'!#REF!</definedName>
    <definedName name="INTERESES" localSheetId="25">'[3]C.D. INSUMOS'!#REF!</definedName>
    <definedName name="INTERESES" localSheetId="26">'[3]C.D. INSUMOS'!#REF!</definedName>
    <definedName name="INTERESES" localSheetId="27">'[3]C.D. INSUMOS'!#REF!</definedName>
    <definedName name="INTERESES" localSheetId="28">'[3]C.D. INSUMOS'!#REF!</definedName>
    <definedName name="INTERESES" localSheetId="29">'[3]C.D. INSUMOS'!#REF!</definedName>
    <definedName name="INTERESES" localSheetId="3">'[1]C.D. INSUMOS'!#REF!</definedName>
    <definedName name="INTERESES" localSheetId="11">'[3]C.D. INSUMOS'!#REF!</definedName>
    <definedName name="INTERESES" localSheetId="6">'[3]C.D. INSUMOS'!#REF!</definedName>
    <definedName name="INTERESES" localSheetId="5">'[1]C.D. INSUMOS'!#REF!</definedName>
    <definedName name="INTERESES" localSheetId="2">'[3]C.D. INSUMOS'!#REF!</definedName>
    <definedName name="INTERESES" localSheetId="12">'[3]C.D. INSUMOS'!#REF!</definedName>
    <definedName name="INTERESES" localSheetId="33">'[3]C.D. INSUMOS'!#REF!</definedName>
    <definedName name="INTERESES" localSheetId="31">'[3]C.D. INSUMOS'!#REF!</definedName>
    <definedName name="INTERESES" localSheetId="4">'[1]C.D. INSUMOS'!#REF!</definedName>
    <definedName name="INTERESES">'[3]C.D. INSUMOS'!#REF!</definedName>
    <definedName name="IVA" localSheetId="18">'[3]Flujo de Caja Consorcio'!#REF!</definedName>
    <definedName name="IVA" localSheetId="19">'[3]Flujo de Caja Consorcio'!#REF!</definedName>
    <definedName name="IVA" localSheetId="20">'[3]Flujo de Caja Consorcio'!#REF!</definedName>
    <definedName name="IVA" localSheetId="21">'[3]Flujo de Caja Consorcio'!#REF!</definedName>
    <definedName name="IVA" localSheetId="22">'[3]Flujo de Caja Consorcio'!#REF!</definedName>
    <definedName name="IVA" localSheetId="23">'[3]Flujo de Caja Consorcio'!#REF!</definedName>
    <definedName name="IVA" localSheetId="24">'[3]Flujo de Caja Consorcio'!#REF!</definedName>
    <definedName name="IVA" localSheetId="25">'[3]Flujo de Caja Consorcio'!#REF!</definedName>
    <definedName name="IVA" localSheetId="26">'[3]Flujo de Caja Consorcio'!#REF!</definedName>
    <definedName name="IVA" localSheetId="27">'[3]Flujo de Caja Consorcio'!#REF!</definedName>
    <definedName name="IVA" localSheetId="28">'[3]Flujo de Caja Consorcio'!#REF!</definedName>
    <definedName name="IVA" localSheetId="29">'[3]Flujo de Caja Consorcio'!#REF!</definedName>
    <definedName name="IVA" localSheetId="3">'[1]Flujo de Caja Consorcio'!#REF!</definedName>
    <definedName name="IVA" localSheetId="11">'[3]Flujo de Caja Consorcio'!#REF!</definedName>
    <definedName name="IVA" localSheetId="6">'[3]Flujo de Caja Consorcio'!#REF!</definedName>
    <definedName name="IVA" localSheetId="5">'[1]Flujo de Caja Consorcio'!#REF!</definedName>
    <definedName name="IVA" localSheetId="2">'[3]Flujo de Caja Consorcio'!#REF!</definedName>
    <definedName name="IVA" localSheetId="12">'[3]Flujo de Caja Consorcio'!#REF!</definedName>
    <definedName name="IVA" localSheetId="33">'[3]Flujo de Caja Consorcio'!#REF!</definedName>
    <definedName name="IVA" localSheetId="31">'[3]Flujo de Caja Consorcio'!#REF!</definedName>
    <definedName name="IVA" localSheetId="4">'[1]Flujo de Caja Consorcio'!#REF!</definedName>
    <definedName name="IVA">'[3]Flujo de Caja Consorcio'!#REF!</definedName>
    <definedName name="J" localSheetId="18">#REF!</definedName>
    <definedName name="J" localSheetId="19">#REF!</definedName>
    <definedName name="J" localSheetId="20">#REF!</definedName>
    <definedName name="J" localSheetId="21">#REF!</definedName>
    <definedName name="J" localSheetId="22">#REF!</definedName>
    <definedName name="J" localSheetId="23">#REF!</definedName>
    <definedName name="J" localSheetId="24">#REF!</definedName>
    <definedName name="J" localSheetId="25">#REF!</definedName>
    <definedName name="J" localSheetId="26">#REF!</definedName>
    <definedName name="J" localSheetId="27">#REF!</definedName>
    <definedName name="J" localSheetId="28">#REF!</definedName>
    <definedName name="J" localSheetId="29">#REF!</definedName>
    <definedName name="J" localSheetId="11">#REF!</definedName>
    <definedName name="J" localSheetId="6">#REF!</definedName>
    <definedName name="J" localSheetId="5">#REF!</definedName>
    <definedName name="J" localSheetId="2">#REF!</definedName>
    <definedName name="J" localSheetId="12">#REF!</definedName>
    <definedName name="J" localSheetId="33">#REF!</definedName>
    <definedName name="J" localSheetId="31">#REF!</definedName>
    <definedName name="J" localSheetId="4">#REF!</definedName>
    <definedName name="J">#REF!</definedName>
    <definedName name="JKHGKJG" localSheetId="18">#REF!</definedName>
    <definedName name="JKHGKJG" localSheetId="19">#REF!</definedName>
    <definedName name="JKHGKJG" localSheetId="20">#REF!</definedName>
    <definedName name="JKHGKJG" localSheetId="21">#REF!</definedName>
    <definedName name="JKHGKJG" localSheetId="22">#REF!</definedName>
    <definedName name="JKHGKJG" localSheetId="23">#REF!</definedName>
    <definedName name="JKHGKJG" localSheetId="24">#REF!</definedName>
    <definedName name="JKHGKJG" localSheetId="25">#REF!</definedName>
    <definedName name="JKHGKJG" localSheetId="26">#REF!</definedName>
    <definedName name="JKHGKJG" localSheetId="27">#REF!</definedName>
    <definedName name="JKHGKJG" localSheetId="28">#REF!</definedName>
    <definedName name="JKHGKJG" localSheetId="29">#REF!</definedName>
    <definedName name="JKHGKJG" localSheetId="11">#REF!</definedName>
    <definedName name="JKHGKJG" localSheetId="6">#REF!</definedName>
    <definedName name="JKHGKJG" localSheetId="5">#REF!</definedName>
    <definedName name="JKHGKJG" localSheetId="2">#REF!</definedName>
    <definedName name="JKHGKJG" localSheetId="10">#REF!</definedName>
    <definedName name="JKHGKJG" localSheetId="12">#REF!</definedName>
    <definedName name="JKHGKJG" localSheetId="33">#REF!</definedName>
    <definedName name="JKHGKJG" localSheetId="31">#REF!</definedName>
    <definedName name="JKHGKJG" localSheetId="4">#REF!</definedName>
    <definedName name="JKHGKJG">#REF!</definedName>
    <definedName name="JUAN" localSheetId="18">'[1]C.D. INSUMOS'!#REF!</definedName>
    <definedName name="JUAN" localSheetId="19">'[1]C.D. INSUMOS'!#REF!</definedName>
    <definedName name="JUAN" localSheetId="20">'[1]C.D. INSUMOS'!#REF!</definedName>
    <definedName name="JUAN" localSheetId="21">'[1]C.D. INSUMOS'!#REF!</definedName>
    <definedName name="JUAN" localSheetId="22">'[1]C.D. INSUMOS'!#REF!</definedName>
    <definedName name="JUAN" localSheetId="23">'[1]C.D. INSUMOS'!#REF!</definedName>
    <definedName name="JUAN" localSheetId="24">'[1]C.D. INSUMOS'!#REF!</definedName>
    <definedName name="JUAN" localSheetId="25">'[1]C.D. INSUMOS'!#REF!</definedName>
    <definedName name="JUAN" localSheetId="26">'[1]C.D. INSUMOS'!#REF!</definedName>
    <definedName name="JUAN" localSheetId="27">'[1]C.D. INSUMOS'!#REF!</definedName>
    <definedName name="JUAN" localSheetId="28">'[1]C.D. INSUMOS'!#REF!</definedName>
    <definedName name="JUAN" localSheetId="29">'[1]C.D. INSUMOS'!#REF!</definedName>
    <definedName name="JUAN" localSheetId="11">'[1]C.D. INSUMOS'!#REF!</definedName>
    <definedName name="JUAN" localSheetId="6">'[1]C.D. INSUMOS'!#REF!</definedName>
    <definedName name="JUAN" localSheetId="5">'[1]C.D. INSUMOS'!#REF!</definedName>
    <definedName name="JUAN" localSheetId="2">'[1]C.D. INSUMOS'!#REF!</definedName>
    <definedName name="JUAN" localSheetId="12">'[1]C.D. INSUMOS'!#REF!</definedName>
    <definedName name="JUAN" localSheetId="33">'[1]C.D. INSUMOS'!#REF!</definedName>
    <definedName name="JUAN" localSheetId="31">'[1]C.D. INSUMOS'!#REF!</definedName>
    <definedName name="JUAN" localSheetId="4">'[1]C.D. INSUMOS'!#REF!</definedName>
    <definedName name="JUAN">'[1]C.D. INSUMOS'!#REF!</definedName>
    <definedName name="kerp" localSheetId="5">[6]analisis!$M$3</definedName>
    <definedName name="kerp">[7]analisis!$M$3</definedName>
    <definedName name="L" localSheetId="18" hidden="1">'[3]Flujo de Caja Consorcio'!#REF!</definedName>
    <definedName name="L" localSheetId="19" hidden="1">'[3]Flujo de Caja Consorcio'!#REF!</definedName>
    <definedName name="L" localSheetId="20" hidden="1">'[3]Flujo de Caja Consorcio'!#REF!</definedName>
    <definedName name="L" localSheetId="21" hidden="1">'[3]Flujo de Caja Consorcio'!#REF!</definedName>
    <definedName name="L" localSheetId="22" hidden="1">'[3]Flujo de Caja Consorcio'!#REF!</definedName>
    <definedName name="L" localSheetId="23" hidden="1">'[3]Flujo de Caja Consorcio'!#REF!</definedName>
    <definedName name="L" localSheetId="24" hidden="1">'[3]Flujo de Caja Consorcio'!#REF!</definedName>
    <definedName name="L" localSheetId="25" hidden="1">'[3]Flujo de Caja Consorcio'!#REF!</definedName>
    <definedName name="L" localSheetId="26" hidden="1">'[3]Flujo de Caja Consorcio'!#REF!</definedName>
    <definedName name="L" localSheetId="27" hidden="1">'[3]Flujo de Caja Consorcio'!#REF!</definedName>
    <definedName name="L" localSheetId="28" hidden="1">'[3]Flujo de Caja Consorcio'!#REF!</definedName>
    <definedName name="L" localSheetId="29" hidden="1">'[3]Flujo de Caja Consorcio'!#REF!</definedName>
    <definedName name="L" localSheetId="3" hidden="1">'[1]Flujo de Caja Consorcio'!#REF!</definedName>
    <definedName name="L" localSheetId="11" hidden="1">'[3]Flujo de Caja Consorcio'!#REF!</definedName>
    <definedName name="L" localSheetId="6" hidden="1">'[3]Flujo de Caja Consorcio'!#REF!</definedName>
    <definedName name="L" localSheetId="5" hidden="1">'[1]Flujo de Caja Consorcio'!#REF!</definedName>
    <definedName name="L" localSheetId="2" hidden="1">'[3]Flujo de Caja Consorcio'!#REF!</definedName>
    <definedName name="L" localSheetId="12" hidden="1">'[3]Flujo de Caja Consorcio'!#REF!</definedName>
    <definedName name="L" localSheetId="33" hidden="1">'[3]Flujo de Caja Consorcio'!#REF!</definedName>
    <definedName name="L" localSheetId="31" hidden="1">'[3]Flujo de Caja Consorcio'!#REF!</definedName>
    <definedName name="L" localSheetId="4" hidden="1">'[1]Flujo de Caja Consorcio'!#REF!</definedName>
    <definedName name="L" hidden="1">'[3]Flujo de Caja Consorcio'!#REF!</definedName>
    <definedName name="Lg">"Grupo 141"</definedName>
    <definedName name="LL" localSheetId="18">'[3]C.D. INSUMOS'!#REF!</definedName>
    <definedName name="LL" localSheetId="19">'[3]C.D. INSUMOS'!#REF!</definedName>
    <definedName name="LL" localSheetId="20">'[3]C.D. INSUMOS'!#REF!</definedName>
    <definedName name="LL" localSheetId="21">'[3]C.D. INSUMOS'!#REF!</definedName>
    <definedName name="LL" localSheetId="22">'[3]C.D. INSUMOS'!#REF!</definedName>
    <definedName name="LL" localSheetId="23">'[3]C.D. INSUMOS'!#REF!</definedName>
    <definedName name="LL" localSheetId="24">'[3]C.D. INSUMOS'!#REF!</definedName>
    <definedName name="LL" localSheetId="25">'[3]C.D. INSUMOS'!#REF!</definedName>
    <definedName name="LL" localSheetId="26">'[3]C.D. INSUMOS'!#REF!</definedName>
    <definedName name="LL" localSheetId="27">'[3]C.D. INSUMOS'!#REF!</definedName>
    <definedName name="LL" localSheetId="28">'[3]C.D. INSUMOS'!#REF!</definedName>
    <definedName name="LL" localSheetId="29">'[3]C.D. INSUMOS'!#REF!</definedName>
    <definedName name="LL" localSheetId="3">'[1]C.D. INSUMOS'!#REF!</definedName>
    <definedName name="LL" localSheetId="11">'[3]C.D. INSUMOS'!#REF!</definedName>
    <definedName name="LL" localSheetId="6">'[3]C.D. INSUMOS'!#REF!</definedName>
    <definedName name="LL" localSheetId="5">'[1]C.D. INSUMOS'!#REF!</definedName>
    <definedName name="LL" localSheetId="2">'[3]C.D. INSUMOS'!#REF!</definedName>
    <definedName name="LL" localSheetId="12">'[3]C.D. INSUMOS'!#REF!</definedName>
    <definedName name="LL" localSheetId="33">'[3]C.D. INSUMOS'!#REF!</definedName>
    <definedName name="LL" localSheetId="31">'[3]C.D. INSUMOS'!#REF!</definedName>
    <definedName name="LL" localSheetId="4">'[1]C.D. INSUMOS'!#REF!</definedName>
    <definedName name="LL">'[3]C.D. INSUMOS'!#REF!</definedName>
    <definedName name="Lv" localSheetId="18">#REF!</definedName>
    <definedName name="Lv" localSheetId="19">#REF!</definedName>
    <definedName name="Lv" localSheetId="20">#REF!</definedName>
    <definedName name="Lv" localSheetId="21">#REF!</definedName>
    <definedName name="Lv" localSheetId="22">#REF!</definedName>
    <definedName name="Lv" localSheetId="23">#REF!</definedName>
    <definedName name="Lv" localSheetId="24">#REF!</definedName>
    <definedName name="Lv" localSheetId="25">#REF!</definedName>
    <definedName name="Lv" localSheetId="26">#REF!</definedName>
    <definedName name="Lv" localSheetId="27">#REF!</definedName>
    <definedName name="Lv" localSheetId="28">#REF!</definedName>
    <definedName name="Lv" localSheetId="29">#REF!</definedName>
    <definedName name="Lv" localSheetId="3">#REF!</definedName>
    <definedName name="Lv" localSheetId="11">#REF!</definedName>
    <definedName name="Lv" localSheetId="6">#REF!</definedName>
    <definedName name="Lv" localSheetId="5">#REF!</definedName>
    <definedName name="Lv" localSheetId="2">#REF!</definedName>
    <definedName name="Lv" localSheetId="12">#REF!</definedName>
    <definedName name="Lv" localSheetId="33">#REF!</definedName>
    <definedName name="Lv" localSheetId="31">#REF!</definedName>
    <definedName name="Lv" localSheetId="4">#REF!</definedName>
    <definedName name="Lv">#REF!</definedName>
    <definedName name="M" localSheetId="18">#REF!</definedName>
    <definedName name="M" localSheetId="19">#REF!</definedName>
    <definedName name="M" localSheetId="20">#REF!</definedName>
    <definedName name="M" localSheetId="21">#REF!</definedName>
    <definedName name="M" localSheetId="22">#REF!</definedName>
    <definedName name="M" localSheetId="23">#REF!</definedName>
    <definedName name="M" localSheetId="24">#REF!</definedName>
    <definedName name="M" localSheetId="25">#REF!</definedName>
    <definedName name="M" localSheetId="26">#REF!</definedName>
    <definedName name="M" localSheetId="27">#REF!</definedName>
    <definedName name="M" localSheetId="28">#REF!</definedName>
    <definedName name="M" localSheetId="29">#REF!</definedName>
    <definedName name="M" localSheetId="11">#REF!</definedName>
    <definedName name="M" localSheetId="6">#REF!</definedName>
    <definedName name="M" localSheetId="5">#REF!</definedName>
    <definedName name="M" localSheetId="2">#REF!</definedName>
    <definedName name="M" localSheetId="12">#REF!</definedName>
    <definedName name="M" localSheetId="33">#REF!</definedName>
    <definedName name="M" localSheetId="31">#REF!</definedName>
    <definedName name="M" localSheetId="4">#REF!</definedName>
    <definedName name="M">#REF!</definedName>
    <definedName name="madp" localSheetId="5">[6]analisis!$M$10</definedName>
    <definedName name="madp">[7]analisis!$M$10</definedName>
    <definedName name="material" localSheetId="18" hidden="1">'[1]Flujo de Caja Consorcio'!#REF!</definedName>
    <definedName name="material" localSheetId="19" hidden="1">'[1]Flujo de Caja Consorcio'!#REF!</definedName>
    <definedName name="material" localSheetId="20" hidden="1">'[1]Flujo de Caja Consorcio'!#REF!</definedName>
    <definedName name="material" localSheetId="21" hidden="1">'[1]Flujo de Caja Consorcio'!#REF!</definedName>
    <definedName name="material" localSheetId="22" hidden="1">'[1]Flujo de Caja Consorcio'!#REF!</definedName>
    <definedName name="material" localSheetId="23" hidden="1">'[1]Flujo de Caja Consorcio'!#REF!</definedName>
    <definedName name="material" localSheetId="24" hidden="1">'[1]Flujo de Caja Consorcio'!#REF!</definedName>
    <definedName name="material" localSheetId="25" hidden="1">'[1]Flujo de Caja Consorcio'!#REF!</definedName>
    <definedName name="material" localSheetId="26" hidden="1">'[1]Flujo de Caja Consorcio'!#REF!</definedName>
    <definedName name="material" localSheetId="27" hidden="1">'[1]Flujo de Caja Consorcio'!#REF!</definedName>
    <definedName name="material" localSheetId="28" hidden="1">'[1]Flujo de Caja Consorcio'!#REF!</definedName>
    <definedName name="material" localSheetId="29" hidden="1">'[1]Flujo de Caja Consorcio'!#REF!</definedName>
    <definedName name="material" localSheetId="11" hidden="1">'[1]Flujo de Caja Consorcio'!#REF!</definedName>
    <definedName name="material" localSheetId="6" hidden="1">'[1]Flujo de Caja Consorcio'!#REF!</definedName>
    <definedName name="material" localSheetId="2" hidden="1">'[1]Flujo de Caja Consorcio'!#REF!</definedName>
    <definedName name="material" localSheetId="12" hidden="1">'[1]Flujo de Caja Consorcio'!#REF!</definedName>
    <definedName name="material" localSheetId="33" hidden="1">'[1]Flujo de Caja Consorcio'!#REF!</definedName>
    <definedName name="material" localSheetId="31" hidden="1">'[1]Flujo de Caja Consorcio'!#REF!</definedName>
    <definedName name="material" localSheetId="4" hidden="1">'[1]Flujo de Caja Consorcio'!#REF!</definedName>
    <definedName name="material" hidden="1">'[1]Flujo de Caja Consorcio'!#REF!</definedName>
    <definedName name="mbvcgj" localSheetId="18" hidden="1">'[1]Flujo de Caja Consorcio'!#REF!</definedName>
    <definedName name="mbvcgj" localSheetId="19" hidden="1">'[1]Flujo de Caja Consorcio'!#REF!</definedName>
    <definedName name="mbvcgj" localSheetId="20" hidden="1">'[1]Flujo de Caja Consorcio'!#REF!</definedName>
    <definedName name="mbvcgj" localSheetId="21" hidden="1">'[1]Flujo de Caja Consorcio'!#REF!</definedName>
    <definedName name="mbvcgj" localSheetId="22" hidden="1">'[1]Flujo de Caja Consorcio'!#REF!</definedName>
    <definedName name="mbvcgj" localSheetId="23" hidden="1">'[1]Flujo de Caja Consorcio'!#REF!</definedName>
    <definedName name="mbvcgj" localSheetId="24" hidden="1">'[1]Flujo de Caja Consorcio'!#REF!</definedName>
    <definedName name="mbvcgj" localSheetId="25" hidden="1">'[1]Flujo de Caja Consorcio'!#REF!</definedName>
    <definedName name="mbvcgj" localSheetId="26" hidden="1">'[1]Flujo de Caja Consorcio'!#REF!</definedName>
    <definedName name="mbvcgj" localSheetId="27" hidden="1">'[1]Flujo de Caja Consorcio'!#REF!</definedName>
    <definedName name="mbvcgj" localSheetId="28" hidden="1">'[1]Flujo de Caja Consorcio'!#REF!</definedName>
    <definedName name="mbvcgj" localSheetId="29" hidden="1">'[1]Flujo de Caja Consorcio'!#REF!</definedName>
    <definedName name="mbvcgj" localSheetId="11" hidden="1">'[1]Flujo de Caja Consorcio'!#REF!</definedName>
    <definedName name="mbvcgj" localSheetId="6" hidden="1">'[1]Flujo de Caja Consorcio'!#REF!</definedName>
    <definedName name="mbvcgj" localSheetId="2" hidden="1">'[1]Flujo de Caja Consorcio'!#REF!</definedName>
    <definedName name="mbvcgj" localSheetId="12" hidden="1">'[1]Flujo de Caja Consorcio'!#REF!</definedName>
    <definedName name="mbvcgj" localSheetId="33" hidden="1">'[1]Flujo de Caja Consorcio'!#REF!</definedName>
    <definedName name="mbvcgj" localSheetId="31" hidden="1">'[1]Flujo de Caja Consorcio'!#REF!</definedName>
    <definedName name="mbvcgj" localSheetId="4" hidden="1">'[1]Flujo de Caja Consorcio'!#REF!</definedName>
    <definedName name="mbvcgj" hidden="1">'[1]Flujo de Caja Consorcio'!#REF!</definedName>
    <definedName name="MES" localSheetId="18">#REF!</definedName>
    <definedName name="MES" localSheetId="19">#REF!</definedName>
    <definedName name="MES" localSheetId="20">#REF!</definedName>
    <definedName name="MES" localSheetId="21">#REF!</definedName>
    <definedName name="MES" localSheetId="22">#REF!</definedName>
    <definedName name="MES" localSheetId="23">#REF!</definedName>
    <definedName name="MES" localSheetId="24">#REF!</definedName>
    <definedName name="MES" localSheetId="25">#REF!</definedName>
    <definedName name="MES" localSheetId="26">#REF!</definedName>
    <definedName name="MES" localSheetId="27">#REF!</definedName>
    <definedName name="MES" localSheetId="28">#REF!</definedName>
    <definedName name="MES" localSheetId="29">#REF!</definedName>
    <definedName name="MES" localSheetId="11">#REF!</definedName>
    <definedName name="MES" localSheetId="6">#REF!</definedName>
    <definedName name="MES" localSheetId="5">#REF!</definedName>
    <definedName name="MES" localSheetId="2">#REF!</definedName>
    <definedName name="MES" localSheetId="12">#REF!</definedName>
    <definedName name="MES" localSheetId="33">#REF!</definedName>
    <definedName name="MES" localSheetId="31">#REF!</definedName>
    <definedName name="MES" localSheetId="4">#REF!</definedName>
    <definedName name="MES">#REF!</definedName>
    <definedName name="mezclap" localSheetId="5">[6]analisis!$I$16</definedName>
    <definedName name="mezclap">[7]analisis!$I$16</definedName>
    <definedName name="Misc">#N/A</definedName>
    <definedName name="Miscel" localSheetId="18">#REF!</definedName>
    <definedName name="Miscel" localSheetId="19">#REF!</definedName>
    <definedName name="Miscel" localSheetId="20">#REF!</definedName>
    <definedName name="Miscel" localSheetId="21">#REF!</definedName>
    <definedName name="Miscel" localSheetId="22">#REF!</definedName>
    <definedName name="Miscel" localSheetId="23">#REF!</definedName>
    <definedName name="Miscel" localSheetId="24">#REF!</definedName>
    <definedName name="Miscel" localSheetId="25">#REF!</definedName>
    <definedName name="Miscel" localSheetId="26">#REF!</definedName>
    <definedName name="Miscel" localSheetId="27">#REF!</definedName>
    <definedName name="Miscel" localSheetId="28">#REF!</definedName>
    <definedName name="Miscel" localSheetId="29">#REF!</definedName>
    <definedName name="Miscel" localSheetId="11">#REF!</definedName>
    <definedName name="Miscel" localSheetId="6">#REF!</definedName>
    <definedName name="Miscel" localSheetId="5">#REF!</definedName>
    <definedName name="Miscel" localSheetId="2">#REF!</definedName>
    <definedName name="Miscel" localSheetId="10">#REF!</definedName>
    <definedName name="Miscel" localSheetId="12">#REF!</definedName>
    <definedName name="Miscel" localSheetId="33">#REF!</definedName>
    <definedName name="Miscel" localSheetId="31">#REF!</definedName>
    <definedName name="Miscel" localSheetId="4">#REF!</definedName>
    <definedName name="Miscel">#REF!</definedName>
    <definedName name="MONEDA" localSheetId="3">[4]DEFINICION!$B$15</definedName>
    <definedName name="MONEDA" localSheetId="5">[4]DEFINICION!$B$15</definedName>
    <definedName name="MONEDA" localSheetId="2">[4]DEFINICION!$B$15</definedName>
    <definedName name="MONEDA" localSheetId="4">[4]DEFINICION!$B$15</definedName>
    <definedName name="MONEDA">'[16]PARAMETROS GENERALES'!$C$1</definedName>
    <definedName name="moneda1">[4]DEFINICION!$C$15</definedName>
    <definedName name="mtp" localSheetId="5">[6]analisis!$I$2</definedName>
    <definedName name="mtp">[7]analisis!$I$2</definedName>
    <definedName name="N0" localSheetId="18">'[1]C.D. INSUMOS'!#REF!</definedName>
    <definedName name="N0" localSheetId="19">'[1]C.D. INSUMOS'!#REF!</definedName>
    <definedName name="N0" localSheetId="20">'[1]C.D. INSUMOS'!#REF!</definedName>
    <definedName name="N0" localSheetId="21">'[1]C.D. INSUMOS'!#REF!</definedName>
    <definedName name="N0" localSheetId="22">'[1]C.D. INSUMOS'!#REF!</definedName>
    <definedName name="N0" localSheetId="23">'[1]C.D. INSUMOS'!#REF!</definedName>
    <definedName name="N0" localSheetId="24">'[1]C.D. INSUMOS'!#REF!</definedName>
    <definedName name="N0" localSheetId="25">'[1]C.D. INSUMOS'!#REF!</definedName>
    <definedName name="N0" localSheetId="26">'[1]C.D. INSUMOS'!#REF!</definedName>
    <definedName name="N0" localSheetId="27">'[1]C.D. INSUMOS'!#REF!</definedName>
    <definedName name="N0" localSheetId="28">'[1]C.D. INSUMOS'!#REF!</definedName>
    <definedName name="N0" localSheetId="29">'[1]C.D. INSUMOS'!#REF!</definedName>
    <definedName name="N0" localSheetId="11">'[1]C.D. INSUMOS'!#REF!</definedName>
    <definedName name="N0" localSheetId="6">'[1]C.D. INSUMOS'!#REF!</definedName>
    <definedName name="N0" localSheetId="2">'[1]C.D. INSUMOS'!#REF!</definedName>
    <definedName name="N0" localSheetId="12">'[1]C.D. INSUMOS'!#REF!</definedName>
    <definedName name="N0" localSheetId="33">'[1]C.D. INSUMOS'!#REF!</definedName>
    <definedName name="N0" localSheetId="31">'[1]C.D. INSUMOS'!#REF!</definedName>
    <definedName name="N0" localSheetId="4">'[1]C.D. INSUMOS'!#REF!</definedName>
    <definedName name="N0">'[1]C.D. INSUMOS'!#REF!</definedName>
    <definedName name="NN" localSheetId="18" hidden="1">'[1]Flujo de Caja Consorcio'!#REF!</definedName>
    <definedName name="NN" localSheetId="19" hidden="1">'[1]Flujo de Caja Consorcio'!#REF!</definedName>
    <definedName name="NN" localSheetId="20" hidden="1">'[1]Flujo de Caja Consorcio'!#REF!</definedName>
    <definedName name="NN" localSheetId="21" hidden="1">'[1]Flujo de Caja Consorcio'!#REF!</definedName>
    <definedName name="NN" localSheetId="22" hidden="1">'[1]Flujo de Caja Consorcio'!#REF!</definedName>
    <definedName name="NN" localSheetId="23" hidden="1">'[1]Flujo de Caja Consorcio'!#REF!</definedName>
    <definedName name="NN" localSheetId="24" hidden="1">'[1]Flujo de Caja Consorcio'!#REF!</definedName>
    <definedName name="NN" localSheetId="25" hidden="1">'[1]Flujo de Caja Consorcio'!#REF!</definedName>
    <definedName name="NN" localSheetId="26" hidden="1">'[1]Flujo de Caja Consorcio'!#REF!</definedName>
    <definedName name="NN" localSheetId="27" hidden="1">'[1]Flujo de Caja Consorcio'!#REF!</definedName>
    <definedName name="NN" localSheetId="28" hidden="1">'[1]Flujo de Caja Consorcio'!#REF!</definedName>
    <definedName name="NN" localSheetId="29" hidden="1">'[1]Flujo de Caja Consorcio'!#REF!</definedName>
    <definedName name="NN" localSheetId="11" hidden="1">'[1]Flujo de Caja Consorcio'!#REF!</definedName>
    <definedName name="NN" localSheetId="6" hidden="1">'[1]Flujo de Caja Consorcio'!#REF!</definedName>
    <definedName name="NN" localSheetId="2" hidden="1">'[1]Flujo de Caja Consorcio'!#REF!</definedName>
    <definedName name="NN" localSheetId="12" hidden="1">'[1]Flujo de Caja Consorcio'!#REF!</definedName>
    <definedName name="NN" localSheetId="33" hidden="1">'[1]Flujo de Caja Consorcio'!#REF!</definedName>
    <definedName name="NN" localSheetId="31" hidden="1">'[1]Flujo de Caja Consorcio'!#REF!</definedName>
    <definedName name="NN" localSheetId="4" hidden="1">'[1]Flujo de Caja Consorcio'!#REF!</definedName>
    <definedName name="NN" hidden="1">'[1]Flujo de Caja Consorcio'!#REF!</definedName>
    <definedName name="NOMBRE" localSheetId="18">#REF!</definedName>
    <definedName name="NOMBRE" localSheetId="19">#REF!</definedName>
    <definedName name="NOMBRE" localSheetId="20">#REF!</definedName>
    <definedName name="NOMBRE" localSheetId="21">#REF!</definedName>
    <definedName name="NOMBRE" localSheetId="22">#REF!</definedName>
    <definedName name="NOMBRE" localSheetId="23">#REF!</definedName>
    <definedName name="NOMBRE" localSheetId="24">#REF!</definedName>
    <definedName name="NOMBRE" localSheetId="25">#REF!</definedName>
    <definedName name="NOMBRE" localSheetId="26">#REF!</definedName>
    <definedName name="NOMBRE" localSheetId="27">#REF!</definedName>
    <definedName name="NOMBRE" localSheetId="28">#REF!</definedName>
    <definedName name="NOMBRE" localSheetId="29">#REF!</definedName>
    <definedName name="NOMBRE" localSheetId="11">#REF!</definedName>
    <definedName name="NOMBRE" localSheetId="6">#REF!</definedName>
    <definedName name="NOMBRE" localSheetId="5">#REF!</definedName>
    <definedName name="NOMBRE" localSheetId="2">#REF!</definedName>
    <definedName name="NOMBRE" localSheetId="10">#REF!</definedName>
    <definedName name="NOMBRE" localSheetId="12">#REF!</definedName>
    <definedName name="NOMBRE" localSheetId="33">#REF!</definedName>
    <definedName name="NOMBRE" localSheetId="31">#REF!</definedName>
    <definedName name="NOMBRE" localSheetId="4">#REF!</definedName>
    <definedName name="NOMBRE">#REF!</definedName>
    <definedName name="NUMERO" localSheetId="18">#REF!</definedName>
    <definedName name="NUMERO" localSheetId="19">#REF!</definedName>
    <definedName name="NUMERO" localSheetId="20">#REF!</definedName>
    <definedName name="NUMERO" localSheetId="21">#REF!</definedName>
    <definedName name="NUMERO" localSheetId="22">#REF!</definedName>
    <definedName name="NUMERO" localSheetId="23">#REF!</definedName>
    <definedName name="NUMERO" localSheetId="24">#REF!</definedName>
    <definedName name="NUMERO" localSheetId="25">#REF!</definedName>
    <definedName name="NUMERO" localSheetId="26">#REF!</definedName>
    <definedName name="NUMERO" localSheetId="27">#REF!</definedName>
    <definedName name="NUMERO" localSheetId="28">#REF!</definedName>
    <definedName name="NUMERO" localSheetId="29">#REF!</definedName>
    <definedName name="NUMERO" localSheetId="11">#REF!</definedName>
    <definedName name="NUMERO" localSheetId="6">#REF!</definedName>
    <definedName name="NUMERO" localSheetId="5">#REF!</definedName>
    <definedName name="NUMERO" localSheetId="2">#REF!</definedName>
    <definedName name="NUMERO" localSheetId="12">#REF!</definedName>
    <definedName name="NUMERO" localSheetId="33">#REF!</definedName>
    <definedName name="NUMERO" localSheetId="31">#REF!</definedName>
    <definedName name="NUMERO" localSheetId="4">#REF!</definedName>
    <definedName name="NUMERO">#REF!</definedName>
    <definedName name="O" localSheetId="18" hidden="1">'[9]Flujo de Caja Consorcio'!#REF!</definedName>
    <definedName name="O" localSheetId="19" hidden="1">'[9]Flujo de Caja Consorcio'!#REF!</definedName>
    <definedName name="O" localSheetId="20" hidden="1">'[9]Flujo de Caja Consorcio'!#REF!</definedName>
    <definedName name="O" localSheetId="21" hidden="1">'[9]Flujo de Caja Consorcio'!#REF!</definedName>
    <definedName name="O" localSheetId="22" hidden="1">'[9]Flujo de Caja Consorcio'!#REF!</definedName>
    <definedName name="O" localSheetId="23" hidden="1">'[9]Flujo de Caja Consorcio'!#REF!</definedName>
    <definedName name="O" localSheetId="24" hidden="1">'[9]Flujo de Caja Consorcio'!#REF!</definedName>
    <definedName name="O" localSheetId="25" hidden="1">'[9]Flujo de Caja Consorcio'!#REF!</definedName>
    <definedName name="O" localSheetId="26" hidden="1">'[9]Flujo de Caja Consorcio'!#REF!</definedName>
    <definedName name="O" localSheetId="27" hidden="1">'[9]Flujo de Caja Consorcio'!#REF!</definedName>
    <definedName name="O" localSheetId="28" hidden="1">'[9]Flujo de Caja Consorcio'!#REF!</definedName>
    <definedName name="O" localSheetId="29" hidden="1">'[9]Flujo de Caja Consorcio'!#REF!</definedName>
    <definedName name="O" localSheetId="3" hidden="1">'[10]Flujo de Caja Consorcio'!#REF!</definedName>
    <definedName name="O" localSheetId="11" hidden="1">'[9]Flujo de Caja Consorcio'!#REF!</definedName>
    <definedName name="O" localSheetId="6" hidden="1">'[9]Flujo de Caja Consorcio'!#REF!</definedName>
    <definedName name="O" localSheetId="5" hidden="1">'[10]Flujo de Caja Consorcio'!#REF!</definedName>
    <definedName name="O" localSheetId="2" hidden="1">'[9]Flujo de Caja Consorcio'!#REF!</definedName>
    <definedName name="O" localSheetId="10" hidden="1">'[17]Flujo de Caja Consorcio'!#REF!</definedName>
    <definedName name="O" localSheetId="12" hidden="1">'[9]Flujo de Caja Consorcio'!#REF!</definedName>
    <definedName name="O" localSheetId="33" hidden="1">'[9]Flujo de Caja Consorcio'!#REF!</definedName>
    <definedName name="O" localSheetId="31" hidden="1">'[9]Flujo de Caja Consorcio'!#REF!</definedName>
    <definedName name="O" localSheetId="4" hidden="1">'[10]Flujo de Caja Consorcio'!#REF!</definedName>
    <definedName name="O" hidden="1">'[9]Flujo de Caja Consorcio'!#REF!</definedName>
    <definedName name="opap" localSheetId="5">[6]analisis!$P$3</definedName>
    <definedName name="opap">[7]analisis!$P$3</definedName>
    <definedName name="ORDEN" localSheetId="18">#REF!</definedName>
    <definedName name="ORDEN" localSheetId="19">#REF!</definedName>
    <definedName name="ORDEN" localSheetId="20">#REF!</definedName>
    <definedName name="ORDEN" localSheetId="21">#REF!</definedName>
    <definedName name="ORDEN" localSheetId="22">#REF!</definedName>
    <definedName name="ORDEN" localSheetId="23">#REF!</definedName>
    <definedName name="ORDEN" localSheetId="24">#REF!</definedName>
    <definedName name="ORDEN" localSheetId="25">#REF!</definedName>
    <definedName name="ORDEN" localSheetId="26">#REF!</definedName>
    <definedName name="ORDEN" localSheetId="27">#REF!</definedName>
    <definedName name="ORDEN" localSheetId="28">#REF!</definedName>
    <definedName name="ORDEN" localSheetId="29">#REF!</definedName>
    <definedName name="ORDEN" localSheetId="3">#REF!</definedName>
    <definedName name="ORDEN" localSheetId="11">#REF!</definedName>
    <definedName name="ORDEN" localSheetId="6">#REF!</definedName>
    <definedName name="ORDEN" localSheetId="5">#REF!</definedName>
    <definedName name="ORDEN" localSheetId="2">#REF!</definedName>
    <definedName name="ORDEN" localSheetId="12">#REF!</definedName>
    <definedName name="ORDEN" localSheetId="33">#REF!</definedName>
    <definedName name="ORDEN" localSheetId="31">#REF!</definedName>
    <definedName name="ORDEN" localSheetId="4">#REF!</definedName>
    <definedName name="ORDEN">#REF!</definedName>
    <definedName name="p" localSheetId="18" hidden="1">'[1]Flujo de Caja Consorcio'!#REF!</definedName>
    <definedName name="p" localSheetId="19" hidden="1">'[1]Flujo de Caja Consorcio'!#REF!</definedName>
    <definedName name="p" localSheetId="20" hidden="1">'[1]Flujo de Caja Consorcio'!#REF!</definedName>
    <definedName name="p" localSheetId="21" hidden="1">'[1]Flujo de Caja Consorcio'!#REF!</definedName>
    <definedName name="p" localSheetId="22" hidden="1">'[1]Flujo de Caja Consorcio'!#REF!</definedName>
    <definedName name="p" localSheetId="23" hidden="1">'[1]Flujo de Caja Consorcio'!#REF!</definedName>
    <definedName name="p" localSheetId="24" hidden="1">'[1]Flujo de Caja Consorcio'!#REF!</definedName>
    <definedName name="p" localSheetId="25" hidden="1">'[1]Flujo de Caja Consorcio'!#REF!</definedName>
    <definedName name="p" localSheetId="26" hidden="1">'[1]Flujo de Caja Consorcio'!#REF!</definedName>
    <definedName name="p" localSheetId="27" hidden="1">'[1]Flujo de Caja Consorcio'!#REF!</definedName>
    <definedName name="p" localSheetId="28" hidden="1">'[1]Flujo de Caja Consorcio'!#REF!</definedName>
    <definedName name="p" localSheetId="29" hidden="1">'[1]Flujo de Caja Consorcio'!#REF!</definedName>
    <definedName name="p" localSheetId="11" hidden="1">'[1]Flujo de Caja Consorcio'!#REF!</definedName>
    <definedName name="p" localSheetId="6" hidden="1">'[1]Flujo de Caja Consorcio'!#REF!</definedName>
    <definedName name="p" localSheetId="5" hidden="1">'[1]Flujo de Caja Consorcio'!#REF!</definedName>
    <definedName name="p" localSheetId="2" hidden="1">'[1]Flujo de Caja Consorcio'!#REF!</definedName>
    <definedName name="p" localSheetId="12" hidden="1">'[1]Flujo de Caja Consorcio'!#REF!</definedName>
    <definedName name="p" localSheetId="33" hidden="1">'[1]Flujo de Caja Consorcio'!#REF!</definedName>
    <definedName name="p" localSheetId="31" hidden="1">'[1]Flujo de Caja Consorcio'!#REF!</definedName>
    <definedName name="p" localSheetId="4" hidden="1">'[1]Flujo de Caja Consorcio'!#REF!</definedName>
    <definedName name="p" hidden="1">'[1]Flujo de Caja Consorcio'!#REF!</definedName>
    <definedName name="Pas">#N/A</definedName>
    <definedName name="Pasaje" localSheetId="18">#REF!</definedName>
    <definedName name="Pasaje" localSheetId="19">#REF!</definedName>
    <definedName name="Pasaje" localSheetId="20">#REF!</definedName>
    <definedName name="Pasaje" localSheetId="21">#REF!</definedName>
    <definedName name="Pasaje" localSheetId="22">#REF!</definedName>
    <definedName name="Pasaje" localSheetId="23">#REF!</definedName>
    <definedName name="Pasaje" localSheetId="24">#REF!</definedName>
    <definedName name="Pasaje" localSheetId="25">#REF!</definedName>
    <definedName name="Pasaje" localSheetId="26">#REF!</definedName>
    <definedName name="Pasaje" localSheetId="27">#REF!</definedName>
    <definedName name="Pasaje" localSheetId="28">#REF!</definedName>
    <definedName name="Pasaje" localSheetId="29">#REF!</definedName>
    <definedName name="Pasaje" localSheetId="11">#REF!</definedName>
    <definedName name="Pasaje" localSheetId="6">#REF!</definedName>
    <definedName name="Pasaje" localSheetId="5">#REF!</definedName>
    <definedName name="Pasaje" localSheetId="2">#REF!</definedName>
    <definedName name="Pasaje" localSheetId="10">#REF!</definedName>
    <definedName name="Pasaje" localSheetId="12">#REF!</definedName>
    <definedName name="Pasaje" localSheetId="33">#REF!</definedName>
    <definedName name="Pasaje" localSheetId="31">#REF!</definedName>
    <definedName name="Pasaje" localSheetId="4">#REF!</definedName>
    <definedName name="Pasaje">#REF!</definedName>
    <definedName name="pf" localSheetId="18">'[3]C.D. INSUMOS'!#REF!</definedName>
    <definedName name="pf" localSheetId="19">'[3]C.D. INSUMOS'!#REF!</definedName>
    <definedName name="pf" localSheetId="20">'[3]C.D. INSUMOS'!#REF!</definedName>
    <definedName name="pf" localSheetId="21">'[3]C.D. INSUMOS'!#REF!</definedName>
    <definedName name="pf" localSheetId="22">'[3]C.D. INSUMOS'!#REF!</definedName>
    <definedName name="pf" localSheetId="23">'[3]C.D. INSUMOS'!#REF!</definedName>
    <definedName name="pf" localSheetId="24">'[3]C.D. INSUMOS'!#REF!</definedName>
    <definedName name="pf" localSheetId="25">'[3]C.D. INSUMOS'!#REF!</definedName>
    <definedName name="pf" localSheetId="26">'[3]C.D. INSUMOS'!#REF!</definedName>
    <definedName name="pf" localSheetId="27">'[3]C.D. INSUMOS'!#REF!</definedName>
    <definedName name="pf" localSheetId="28">'[3]C.D. INSUMOS'!#REF!</definedName>
    <definedName name="pf" localSheetId="29">'[3]C.D. INSUMOS'!#REF!</definedName>
    <definedName name="pf" localSheetId="3">'[1]C.D. INSUMOS'!#REF!</definedName>
    <definedName name="pf" localSheetId="11">'[3]C.D. INSUMOS'!#REF!</definedName>
    <definedName name="pf" localSheetId="6">'[3]C.D. INSUMOS'!#REF!</definedName>
    <definedName name="pf" localSheetId="5">'[1]C.D. INSUMOS'!#REF!</definedName>
    <definedName name="pf" localSheetId="2">'[3]C.D. INSUMOS'!#REF!</definedName>
    <definedName name="pf" localSheetId="12">'[3]C.D. INSUMOS'!#REF!</definedName>
    <definedName name="pf" localSheetId="33">'[3]C.D. INSUMOS'!#REF!</definedName>
    <definedName name="pf" localSheetId="31">'[3]C.D. INSUMOS'!#REF!</definedName>
    <definedName name="pf" localSheetId="4">'[1]C.D. INSUMOS'!#REF!</definedName>
    <definedName name="pf">'[3]C.D. INSUMOS'!#REF!</definedName>
    <definedName name="piedrap" localSheetId="5">[6]analisis!$M$13</definedName>
    <definedName name="piedrap">[7]analisis!$M$13</definedName>
    <definedName name="planasfp" localSheetId="5">[6]analisis!$I$10</definedName>
    <definedName name="planasfp">[7]analisis!$I$10</definedName>
    <definedName name="plazo" localSheetId="18">'[3]C.D. INSUMOS'!#REF!</definedName>
    <definedName name="plazo" localSheetId="19">'[3]C.D. INSUMOS'!#REF!</definedName>
    <definedName name="plazo" localSheetId="20">'[3]C.D. INSUMOS'!#REF!</definedName>
    <definedName name="plazo" localSheetId="21">'[3]C.D. INSUMOS'!#REF!</definedName>
    <definedName name="plazo" localSheetId="22">'[3]C.D. INSUMOS'!#REF!</definedName>
    <definedName name="plazo" localSheetId="23">'[3]C.D. INSUMOS'!#REF!</definedName>
    <definedName name="plazo" localSheetId="24">'[3]C.D. INSUMOS'!#REF!</definedName>
    <definedName name="plazo" localSheetId="25">'[3]C.D. INSUMOS'!#REF!</definedName>
    <definedName name="plazo" localSheetId="26">'[3]C.D. INSUMOS'!#REF!</definedName>
    <definedName name="plazo" localSheetId="27">'[3]C.D. INSUMOS'!#REF!</definedName>
    <definedName name="plazo" localSheetId="28">'[3]C.D. INSUMOS'!#REF!</definedName>
    <definedName name="plazo" localSheetId="29">'[3]C.D. INSUMOS'!#REF!</definedName>
    <definedName name="plazo" localSheetId="3">'[1]C.D. INSUMOS'!#REF!</definedName>
    <definedName name="plazo" localSheetId="11">'[3]C.D. INSUMOS'!#REF!</definedName>
    <definedName name="plazo" localSheetId="6">'[3]C.D. INSUMOS'!#REF!</definedName>
    <definedName name="plazo" localSheetId="5">'[1]C.D. INSUMOS'!#REF!</definedName>
    <definedName name="plazo" localSheetId="2">'[3]C.D. INSUMOS'!#REF!</definedName>
    <definedName name="plazo" localSheetId="12">'[3]C.D. INSUMOS'!#REF!</definedName>
    <definedName name="plazo" localSheetId="33">'[3]C.D. INSUMOS'!#REF!</definedName>
    <definedName name="plazo" localSheetId="31">'[3]C.D. INSUMOS'!#REF!</definedName>
    <definedName name="plazo" localSheetId="4">'[1]C.D. INSUMOS'!#REF!</definedName>
    <definedName name="plazo">'[3]C.D. INSUMOS'!#REF!</definedName>
    <definedName name="plp" localSheetId="5">[6]analisis!$I$11</definedName>
    <definedName name="plp">[7]analisis!$I$11</definedName>
    <definedName name="PNac">#N/A</definedName>
    <definedName name="PRECIO" localSheetId="18">'[3]Flujo de Caja Consorcio'!#REF!</definedName>
    <definedName name="PRECIO" localSheetId="19">'[3]Flujo de Caja Consorcio'!#REF!</definedName>
    <definedName name="PRECIO" localSheetId="20">'[3]Flujo de Caja Consorcio'!#REF!</definedName>
    <definedName name="PRECIO" localSheetId="21">'[3]Flujo de Caja Consorcio'!#REF!</definedName>
    <definedName name="PRECIO" localSheetId="22">'[3]Flujo de Caja Consorcio'!#REF!</definedName>
    <definedName name="PRECIO" localSheetId="23">'[3]Flujo de Caja Consorcio'!#REF!</definedName>
    <definedName name="PRECIO" localSheetId="24">'[3]Flujo de Caja Consorcio'!#REF!</definedName>
    <definedName name="PRECIO" localSheetId="25">'[3]Flujo de Caja Consorcio'!#REF!</definedName>
    <definedName name="PRECIO" localSheetId="26">'[3]Flujo de Caja Consorcio'!#REF!</definedName>
    <definedName name="PRECIO" localSheetId="27">'[3]Flujo de Caja Consorcio'!#REF!</definedName>
    <definedName name="PRECIO" localSheetId="28">'[3]Flujo de Caja Consorcio'!#REF!</definedName>
    <definedName name="PRECIO" localSheetId="29">'[3]Flujo de Caja Consorcio'!#REF!</definedName>
    <definedName name="PRECIO" localSheetId="3">'[1]Flujo de Caja Consorcio'!#REF!</definedName>
    <definedName name="PRECIO" localSheetId="11">'[3]Flujo de Caja Consorcio'!#REF!</definedName>
    <definedName name="PRECIO" localSheetId="6">'[3]Flujo de Caja Consorcio'!#REF!</definedName>
    <definedName name="PRECIO" localSheetId="5">'[1]Flujo de Caja Consorcio'!#REF!</definedName>
    <definedName name="PRECIO" localSheetId="2">'[3]Flujo de Caja Consorcio'!#REF!</definedName>
    <definedName name="PRECIO" localSheetId="12">'[3]Flujo de Caja Consorcio'!#REF!</definedName>
    <definedName name="PRECIO" localSheetId="33">'[3]Flujo de Caja Consorcio'!#REF!</definedName>
    <definedName name="PRECIO" localSheetId="31">'[3]Flujo de Caja Consorcio'!#REF!</definedName>
    <definedName name="PRECIO" localSheetId="4">'[1]Flujo de Caja Consorcio'!#REF!</definedName>
    <definedName name="PRECIO">'[3]Flujo de Caja Consorcio'!#REF!</definedName>
    <definedName name="Print_Area_MI" localSheetId="18">#REF!</definedName>
    <definedName name="Print_Area_MI" localSheetId="19">#REF!</definedName>
    <definedName name="Print_Area_MI" localSheetId="20">#REF!</definedName>
    <definedName name="Print_Area_MI" localSheetId="21">#REF!</definedName>
    <definedName name="Print_Area_MI" localSheetId="22">#REF!</definedName>
    <definedName name="Print_Area_MI" localSheetId="23">#REF!</definedName>
    <definedName name="Print_Area_MI" localSheetId="24">#REF!</definedName>
    <definedName name="Print_Area_MI" localSheetId="25">#REF!</definedName>
    <definedName name="Print_Area_MI" localSheetId="26">#REF!</definedName>
    <definedName name="Print_Area_MI" localSheetId="27">#REF!</definedName>
    <definedName name="Print_Area_MI" localSheetId="28">#REF!</definedName>
    <definedName name="Print_Area_MI" localSheetId="29">#REF!</definedName>
    <definedName name="Print_Area_MI" localSheetId="3">#REF!</definedName>
    <definedName name="Print_Area_MI" localSheetId="11">#REF!</definedName>
    <definedName name="Print_Area_MI" localSheetId="6">#REF!</definedName>
    <definedName name="Print_Area_MI" localSheetId="2">#REF!</definedName>
    <definedName name="Print_Area_MI" localSheetId="12">#REF!</definedName>
    <definedName name="Print_Area_MI" localSheetId="33">#REF!</definedName>
    <definedName name="Print_Area_MI" localSheetId="31">#REF!</definedName>
    <definedName name="Print_Area_MI" localSheetId="4">#REF!</definedName>
    <definedName name="Print_Area_MI">#REF!</definedName>
    <definedName name="Prot" localSheetId="18">#REF!</definedName>
    <definedName name="Prot" localSheetId="19">#REF!</definedName>
    <definedName name="Prot" localSheetId="20">#REF!</definedName>
    <definedName name="Prot" localSheetId="21">#REF!</definedName>
    <definedName name="Prot" localSheetId="22">#REF!</definedName>
    <definedName name="Prot" localSheetId="23">#REF!</definedName>
    <definedName name="Prot" localSheetId="24">#REF!</definedName>
    <definedName name="Prot" localSheetId="25">#REF!</definedName>
    <definedName name="Prot" localSheetId="26">#REF!</definedName>
    <definedName name="Prot" localSheetId="27">#REF!</definedName>
    <definedName name="Prot" localSheetId="28">#REF!</definedName>
    <definedName name="Prot" localSheetId="29">#REF!</definedName>
    <definedName name="Prot" localSheetId="11">#REF!</definedName>
    <definedName name="Prot" localSheetId="6">#REF!</definedName>
    <definedName name="Prot" localSheetId="5">#REF!</definedName>
    <definedName name="Prot" localSheetId="2">#REF!</definedName>
    <definedName name="Prot" localSheetId="10">#REF!</definedName>
    <definedName name="Prot" localSheetId="12">#REF!</definedName>
    <definedName name="Prot" localSheetId="33">#REF!</definedName>
    <definedName name="Prot" localSheetId="31">#REF!</definedName>
    <definedName name="Prot" localSheetId="4">#REF!</definedName>
    <definedName name="Prot">#REF!</definedName>
    <definedName name="PRUEVA" localSheetId="18">'[1]Flujo de Caja Consorcio'!#REF!</definedName>
    <definedName name="PRUEVA" localSheetId="19">'[1]Flujo de Caja Consorcio'!#REF!</definedName>
    <definedName name="PRUEVA" localSheetId="20">'[1]Flujo de Caja Consorcio'!#REF!</definedName>
    <definedName name="PRUEVA" localSheetId="21">'[1]Flujo de Caja Consorcio'!#REF!</definedName>
    <definedName name="PRUEVA" localSheetId="22">'[1]Flujo de Caja Consorcio'!#REF!</definedName>
    <definedName name="PRUEVA" localSheetId="23">'[1]Flujo de Caja Consorcio'!#REF!</definedName>
    <definedName name="PRUEVA" localSheetId="24">'[1]Flujo de Caja Consorcio'!#REF!</definedName>
    <definedName name="PRUEVA" localSheetId="25">'[1]Flujo de Caja Consorcio'!#REF!</definedName>
    <definedName name="PRUEVA" localSheetId="26">'[1]Flujo de Caja Consorcio'!#REF!</definedName>
    <definedName name="PRUEVA" localSheetId="27">'[1]Flujo de Caja Consorcio'!#REF!</definedName>
    <definedName name="PRUEVA" localSheetId="28">'[1]Flujo de Caja Consorcio'!#REF!</definedName>
    <definedName name="PRUEVA" localSheetId="29">'[1]Flujo de Caja Consorcio'!#REF!</definedName>
    <definedName name="PRUEVA" localSheetId="11">'[1]Flujo de Caja Consorcio'!#REF!</definedName>
    <definedName name="PRUEVA" localSheetId="6">'[1]Flujo de Caja Consorcio'!#REF!</definedName>
    <definedName name="PRUEVA" localSheetId="5">'[1]Flujo de Caja Consorcio'!#REF!</definedName>
    <definedName name="PRUEVA" localSheetId="2">'[1]Flujo de Caja Consorcio'!#REF!</definedName>
    <definedName name="PRUEVA" localSheetId="12">'[1]Flujo de Caja Consorcio'!#REF!</definedName>
    <definedName name="PRUEVA" localSheetId="33">'[1]Flujo de Caja Consorcio'!#REF!</definedName>
    <definedName name="PRUEVA" localSheetId="31">'[1]Flujo de Caja Consorcio'!#REF!</definedName>
    <definedName name="PRUEVA" localSheetId="4">'[1]Flujo de Caja Consorcio'!#REF!</definedName>
    <definedName name="PRUEVA">'[1]Flujo de Caja Consorcio'!#REF!</definedName>
    <definedName name="Q" localSheetId="18">#REF!</definedName>
    <definedName name="Q" localSheetId="19">#REF!</definedName>
    <definedName name="Q" localSheetId="20">#REF!</definedName>
    <definedName name="Q" localSheetId="21">#REF!</definedName>
    <definedName name="Q" localSheetId="22">#REF!</definedName>
    <definedName name="Q" localSheetId="23">#REF!</definedName>
    <definedName name="Q" localSheetId="24">#REF!</definedName>
    <definedName name="Q" localSheetId="25">#REF!</definedName>
    <definedName name="Q" localSheetId="26">#REF!</definedName>
    <definedName name="Q" localSheetId="27">#REF!</definedName>
    <definedName name="Q" localSheetId="28">#REF!</definedName>
    <definedName name="Q" localSheetId="29">#REF!</definedName>
    <definedName name="Q" localSheetId="3">#REF!</definedName>
    <definedName name="Q" localSheetId="11">#REF!</definedName>
    <definedName name="Q" localSheetId="6">#REF!</definedName>
    <definedName name="Q" localSheetId="2">#REF!</definedName>
    <definedName name="Q" localSheetId="12">#REF!</definedName>
    <definedName name="Q" localSheetId="33">#REF!</definedName>
    <definedName name="Q" localSheetId="31">#REF!</definedName>
    <definedName name="Q" localSheetId="4">#REF!</definedName>
    <definedName name="Q">#REF!</definedName>
    <definedName name="re" localSheetId="5">[14]OT!$D$106</definedName>
    <definedName name="re">[15]OT!$D$106</definedName>
    <definedName name="red" localSheetId="18" hidden="1">'[1]Flujo de Caja Consorcio'!#REF!</definedName>
    <definedName name="red" localSheetId="19" hidden="1">'[1]Flujo de Caja Consorcio'!#REF!</definedName>
    <definedName name="red" localSheetId="20" hidden="1">'[1]Flujo de Caja Consorcio'!#REF!</definedName>
    <definedName name="red" localSheetId="21" hidden="1">'[1]Flujo de Caja Consorcio'!#REF!</definedName>
    <definedName name="red" localSheetId="22" hidden="1">'[1]Flujo de Caja Consorcio'!#REF!</definedName>
    <definedName name="red" localSheetId="23" hidden="1">'[1]Flujo de Caja Consorcio'!#REF!</definedName>
    <definedName name="red" localSheetId="24" hidden="1">'[1]Flujo de Caja Consorcio'!#REF!</definedName>
    <definedName name="red" localSheetId="25" hidden="1">'[1]Flujo de Caja Consorcio'!#REF!</definedName>
    <definedName name="red" localSheetId="26" hidden="1">'[1]Flujo de Caja Consorcio'!#REF!</definedName>
    <definedName name="red" localSheetId="27" hidden="1">'[1]Flujo de Caja Consorcio'!#REF!</definedName>
    <definedName name="red" localSheetId="28" hidden="1">'[1]Flujo de Caja Consorcio'!#REF!</definedName>
    <definedName name="red" localSheetId="29" hidden="1">'[1]Flujo de Caja Consorcio'!#REF!</definedName>
    <definedName name="red" localSheetId="11" hidden="1">'[1]Flujo de Caja Consorcio'!#REF!</definedName>
    <definedName name="red" localSheetId="6" hidden="1">'[1]Flujo de Caja Consorcio'!#REF!</definedName>
    <definedName name="red" localSheetId="2" hidden="1">'[1]Flujo de Caja Consorcio'!#REF!</definedName>
    <definedName name="red" localSheetId="12" hidden="1">'[1]Flujo de Caja Consorcio'!#REF!</definedName>
    <definedName name="red" localSheetId="33" hidden="1">'[1]Flujo de Caja Consorcio'!#REF!</definedName>
    <definedName name="red" localSheetId="31" hidden="1">'[1]Flujo de Caja Consorcio'!#REF!</definedName>
    <definedName name="red" localSheetId="4" hidden="1">'[1]Flujo de Caja Consorcio'!#REF!</definedName>
    <definedName name="red" hidden="1">'[1]Flujo de Caja Consorcio'!#REF!</definedName>
    <definedName name="REPRESENTANTE">[4]DEFINICION!$B$17</definedName>
    <definedName name="RES" localSheetId="18">'[1]C.D. INSUMOS'!#REF!</definedName>
    <definedName name="RES" localSheetId="19">'[1]C.D. INSUMOS'!#REF!</definedName>
    <definedName name="RES" localSheetId="20">'[1]C.D. INSUMOS'!#REF!</definedName>
    <definedName name="RES" localSheetId="21">'[1]C.D. INSUMOS'!#REF!</definedName>
    <definedName name="RES" localSheetId="22">'[1]C.D. INSUMOS'!#REF!</definedName>
    <definedName name="RES" localSheetId="23">'[1]C.D. INSUMOS'!#REF!</definedName>
    <definedName name="RES" localSheetId="24">'[1]C.D. INSUMOS'!#REF!</definedName>
    <definedName name="RES" localSheetId="25">'[1]C.D. INSUMOS'!#REF!</definedName>
    <definedName name="RES" localSheetId="26">'[1]C.D. INSUMOS'!#REF!</definedName>
    <definedName name="RES" localSheetId="27">'[1]C.D. INSUMOS'!#REF!</definedName>
    <definedName name="RES" localSheetId="28">'[1]C.D. INSUMOS'!#REF!</definedName>
    <definedName name="RES" localSheetId="29">'[1]C.D. INSUMOS'!#REF!</definedName>
    <definedName name="RES" localSheetId="11">'[1]C.D. INSUMOS'!#REF!</definedName>
    <definedName name="RES" localSheetId="6">'[1]C.D. INSUMOS'!#REF!</definedName>
    <definedName name="RES" localSheetId="2">'[1]C.D. INSUMOS'!#REF!</definedName>
    <definedName name="RES" localSheetId="12">'[1]C.D. INSUMOS'!#REF!</definedName>
    <definedName name="RES" localSheetId="33">'[1]C.D. INSUMOS'!#REF!</definedName>
    <definedName name="RES" localSheetId="31">'[1]C.D. INSUMOS'!#REF!</definedName>
    <definedName name="RES" localSheetId="4">'[1]C.D. INSUMOS'!#REF!</definedName>
    <definedName name="RES">'[1]C.D. INSUMOS'!#REF!</definedName>
    <definedName name="RET" localSheetId="18" hidden="1">'[3]Flujo de Caja Consorcio'!#REF!</definedName>
    <definedName name="RET" localSheetId="19" hidden="1">'[3]Flujo de Caja Consorcio'!#REF!</definedName>
    <definedName name="RET" localSheetId="20" hidden="1">'[3]Flujo de Caja Consorcio'!#REF!</definedName>
    <definedName name="RET" localSheetId="21" hidden="1">'[3]Flujo de Caja Consorcio'!#REF!</definedName>
    <definedName name="RET" localSheetId="22" hidden="1">'[3]Flujo de Caja Consorcio'!#REF!</definedName>
    <definedName name="RET" localSheetId="23" hidden="1">'[3]Flujo de Caja Consorcio'!#REF!</definedName>
    <definedName name="RET" localSheetId="24" hidden="1">'[3]Flujo de Caja Consorcio'!#REF!</definedName>
    <definedName name="RET" localSheetId="25" hidden="1">'[3]Flujo de Caja Consorcio'!#REF!</definedName>
    <definedName name="RET" localSheetId="26" hidden="1">'[3]Flujo de Caja Consorcio'!#REF!</definedName>
    <definedName name="RET" localSheetId="27" hidden="1">'[3]Flujo de Caja Consorcio'!#REF!</definedName>
    <definedName name="RET" localSheetId="28" hidden="1">'[3]Flujo de Caja Consorcio'!#REF!</definedName>
    <definedName name="RET" localSheetId="29" hidden="1">'[3]Flujo de Caja Consorcio'!#REF!</definedName>
    <definedName name="RET" localSheetId="3" hidden="1">'[1]Flujo de Caja Consorcio'!#REF!</definedName>
    <definedName name="RET" localSheetId="11" hidden="1">'[3]Flujo de Caja Consorcio'!#REF!</definedName>
    <definedName name="RET" localSheetId="6" hidden="1">'[3]Flujo de Caja Consorcio'!#REF!</definedName>
    <definedName name="RET" localSheetId="5" hidden="1">'[1]Flujo de Caja Consorcio'!#REF!</definedName>
    <definedName name="RET" localSheetId="2" hidden="1">'[3]Flujo de Caja Consorcio'!#REF!</definedName>
    <definedName name="RET" localSheetId="12" hidden="1">'[3]Flujo de Caja Consorcio'!#REF!</definedName>
    <definedName name="RET" localSheetId="33" hidden="1">'[3]Flujo de Caja Consorcio'!#REF!</definedName>
    <definedName name="RET" localSheetId="31" hidden="1">'[3]Flujo de Caja Consorcio'!#REF!</definedName>
    <definedName name="RET" localSheetId="4" hidden="1">'[1]Flujo de Caja Consorcio'!#REF!</definedName>
    <definedName name="RET" hidden="1">'[3]Flujo de Caja Consorcio'!#REF!</definedName>
    <definedName name="ripp" localSheetId="5">[6]analisis!$M$6</definedName>
    <definedName name="ripp">[7]analisis!$M$6</definedName>
    <definedName name="RL" localSheetId="18">'[1]C.D. INSUMOS'!#REF!</definedName>
    <definedName name="RL" localSheetId="19">'[1]C.D. INSUMOS'!#REF!</definedName>
    <definedName name="RL" localSheetId="20">'[1]C.D. INSUMOS'!#REF!</definedName>
    <definedName name="RL" localSheetId="21">'[1]C.D. INSUMOS'!#REF!</definedName>
    <definedName name="RL" localSheetId="22">'[1]C.D. INSUMOS'!#REF!</definedName>
    <definedName name="RL" localSheetId="23">'[1]C.D. INSUMOS'!#REF!</definedName>
    <definedName name="RL" localSheetId="24">'[1]C.D. INSUMOS'!#REF!</definedName>
    <definedName name="RL" localSheetId="25">'[1]C.D. INSUMOS'!#REF!</definedName>
    <definedName name="RL" localSheetId="26">'[1]C.D. INSUMOS'!#REF!</definedName>
    <definedName name="RL" localSheetId="27">'[1]C.D. INSUMOS'!#REF!</definedName>
    <definedName name="RL" localSheetId="28">'[1]C.D. INSUMOS'!#REF!</definedName>
    <definedName name="RL" localSheetId="29">'[1]C.D. INSUMOS'!#REF!</definedName>
    <definedName name="RL" localSheetId="11">'[1]C.D. INSUMOS'!#REF!</definedName>
    <definedName name="RL" localSheetId="6">'[1]C.D. INSUMOS'!#REF!</definedName>
    <definedName name="RL" localSheetId="2">'[1]C.D. INSUMOS'!#REF!</definedName>
    <definedName name="RL" localSheetId="12">'[1]C.D. INSUMOS'!#REF!</definedName>
    <definedName name="RL" localSheetId="33">'[1]C.D. INSUMOS'!#REF!</definedName>
    <definedName name="RL" localSheetId="31">'[1]C.D. INSUMOS'!#REF!</definedName>
    <definedName name="RL" localSheetId="4">'[1]C.D. INSUMOS'!#REF!</definedName>
    <definedName name="RL">'[1]C.D. INSUMOS'!#REF!</definedName>
    <definedName name="rompepavip" localSheetId="5">[6]analisis!$I$5</definedName>
    <definedName name="rompepavip">[7]analisis!$I$5</definedName>
    <definedName name="RTW" localSheetId="18" hidden="1">'[3]Flujo de Caja Consorcio'!#REF!</definedName>
    <definedName name="RTW" localSheetId="19" hidden="1">'[3]Flujo de Caja Consorcio'!#REF!</definedName>
    <definedName name="RTW" localSheetId="20" hidden="1">'[3]Flujo de Caja Consorcio'!#REF!</definedName>
    <definedName name="RTW" localSheetId="21" hidden="1">'[3]Flujo de Caja Consorcio'!#REF!</definedName>
    <definedName name="RTW" localSheetId="22" hidden="1">'[3]Flujo de Caja Consorcio'!#REF!</definedName>
    <definedName name="RTW" localSheetId="23" hidden="1">'[3]Flujo de Caja Consorcio'!#REF!</definedName>
    <definedName name="RTW" localSheetId="24" hidden="1">'[3]Flujo de Caja Consorcio'!#REF!</definedName>
    <definedName name="RTW" localSheetId="25" hidden="1">'[3]Flujo de Caja Consorcio'!#REF!</definedName>
    <definedName name="RTW" localSheetId="26" hidden="1">'[3]Flujo de Caja Consorcio'!#REF!</definedName>
    <definedName name="RTW" localSheetId="27" hidden="1">'[3]Flujo de Caja Consorcio'!#REF!</definedName>
    <definedName name="RTW" localSheetId="28" hidden="1">'[3]Flujo de Caja Consorcio'!#REF!</definedName>
    <definedName name="RTW" localSheetId="29" hidden="1">'[3]Flujo de Caja Consorcio'!#REF!</definedName>
    <definedName name="RTW" localSheetId="3" hidden="1">'[1]Flujo de Caja Consorcio'!#REF!</definedName>
    <definedName name="RTW" localSheetId="11" hidden="1">'[3]Flujo de Caja Consorcio'!#REF!</definedName>
    <definedName name="RTW" localSheetId="6" hidden="1">'[3]Flujo de Caja Consorcio'!#REF!</definedName>
    <definedName name="RTW" localSheetId="5" hidden="1">'[1]Flujo de Caja Consorcio'!#REF!</definedName>
    <definedName name="RTW" localSheetId="2" hidden="1">'[3]Flujo de Caja Consorcio'!#REF!</definedName>
    <definedName name="RTW" localSheetId="12" hidden="1">'[3]Flujo de Caja Consorcio'!#REF!</definedName>
    <definedName name="RTW" localSheetId="33" hidden="1">'[3]Flujo de Caja Consorcio'!#REF!</definedName>
    <definedName name="RTW" localSheetId="31" hidden="1">'[3]Flujo de Caja Consorcio'!#REF!</definedName>
    <definedName name="RTW" localSheetId="4" hidden="1">'[1]Flujo de Caja Consorcio'!#REF!</definedName>
    <definedName name="RTW" hidden="1">'[3]Flujo de Caja Consorcio'!#REF!</definedName>
    <definedName name="S" localSheetId="18" hidden="1">#REF!</definedName>
    <definedName name="S" localSheetId="19" hidden="1">#REF!</definedName>
    <definedName name="S" localSheetId="20" hidden="1">#REF!</definedName>
    <definedName name="S" localSheetId="21" hidden="1">#REF!</definedName>
    <definedName name="S" localSheetId="22" hidden="1">#REF!</definedName>
    <definedName name="S" localSheetId="23" hidden="1">#REF!</definedName>
    <definedName name="S" localSheetId="24" hidden="1">#REF!</definedName>
    <definedName name="S" localSheetId="25" hidden="1">#REF!</definedName>
    <definedName name="S" localSheetId="26" hidden="1">#REF!</definedName>
    <definedName name="S" localSheetId="27" hidden="1">#REF!</definedName>
    <definedName name="S" localSheetId="28" hidden="1">#REF!</definedName>
    <definedName name="S" localSheetId="29" hidden="1">#REF!</definedName>
    <definedName name="S" localSheetId="3" hidden="1">#REF!</definedName>
    <definedName name="S" localSheetId="11" hidden="1">#REF!</definedName>
    <definedName name="S" localSheetId="6" hidden="1">#REF!</definedName>
    <definedName name="S" localSheetId="5" hidden="1">#REF!</definedName>
    <definedName name="S" localSheetId="2" hidden="1">#REF!</definedName>
    <definedName name="s" localSheetId="10" hidden="1">#REF!</definedName>
    <definedName name="S" localSheetId="12" hidden="1">#REF!</definedName>
    <definedName name="S" localSheetId="33" hidden="1">#REF!</definedName>
    <definedName name="S" localSheetId="31" hidden="1">#REF!</definedName>
    <definedName name="S" localSheetId="4" hidden="1">#REF!</definedName>
    <definedName name="S" hidden="1">#REF!</definedName>
    <definedName name="s1c" localSheetId="18">#REF!</definedName>
    <definedName name="s1c" localSheetId="19">#REF!</definedName>
    <definedName name="s1c" localSheetId="20">#REF!</definedName>
    <definedName name="s1c" localSheetId="21">#REF!</definedName>
    <definedName name="s1c" localSheetId="22">#REF!</definedName>
    <definedName name="s1c" localSheetId="23">#REF!</definedName>
    <definedName name="s1c" localSheetId="24">#REF!</definedName>
    <definedName name="s1c" localSheetId="25">#REF!</definedName>
    <definedName name="s1c" localSheetId="26">#REF!</definedName>
    <definedName name="s1c" localSheetId="27">#REF!</definedName>
    <definedName name="s1c" localSheetId="28">#REF!</definedName>
    <definedName name="s1c" localSheetId="29">#REF!</definedName>
    <definedName name="s1c" localSheetId="3">#REF!</definedName>
    <definedName name="s1c" localSheetId="11">#REF!</definedName>
    <definedName name="s1c" localSheetId="6">#REF!</definedName>
    <definedName name="s1c" localSheetId="5">#REF!</definedName>
    <definedName name="s1c" localSheetId="2">#REF!</definedName>
    <definedName name="s1c" localSheetId="12">#REF!</definedName>
    <definedName name="s1c" localSheetId="33">#REF!</definedName>
    <definedName name="s1c" localSheetId="31">#REF!</definedName>
    <definedName name="s1c" localSheetId="4">#REF!</definedName>
    <definedName name="s1c">#REF!</definedName>
    <definedName name="s2c" localSheetId="18">#REF!</definedName>
    <definedName name="s2c" localSheetId="19">#REF!</definedName>
    <definedName name="s2c" localSheetId="20">#REF!</definedName>
    <definedName name="s2c" localSheetId="21">#REF!</definedName>
    <definedName name="s2c" localSheetId="22">#REF!</definedName>
    <definedName name="s2c" localSheetId="23">#REF!</definedName>
    <definedName name="s2c" localSheetId="24">#REF!</definedName>
    <definedName name="s2c" localSheetId="25">#REF!</definedName>
    <definedName name="s2c" localSheetId="26">#REF!</definedName>
    <definedName name="s2c" localSheetId="27">#REF!</definedName>
    <definedName name="s2c" localSheetId="28">#REF!</definedName>
    <definedName name="s2c" localSheetId="29">#REF!</definedName>
    <definedName name="s2c" localSheetId="3">#REF!</definedName>
    <definedName name="s2c" localSheetId="11">#REF!</definedName>
    <definedName name="s2c" localSheetId="6">#REF!</definedName>
    <definedName name="s2c" localSheetId="5">#REF!</definedName>
    <definedName name="s2c" localSheetId="2">#REF!</definedName>
    <definedName name="s2c" localSheetId="12">#REF!</definedName>
    <definedName name="s2c" localSheetId="33">#REF!</definedName>
    <definedName name="s2c" localSheetId="31">#REF!</definedName>
    <definedName name="s2c" localSheetId="4">#REF!</definedName>
    <definedName name="s2c">#REF!</definedName>
    <definedName name="sa" localSheetId="10" hidden="1">#REF!</definedName>
    <definedName name="SADSAD" localSheetId="18">'[18]ESTACADO DEL EJE'!#REF!</definedName>
    <definedName name="SADSAD" localSheetId="19">'[18]ESTACADO DEL EJE'!#REF!</definedName>
    <definedName name="SADSAD" localSheetId="20">'[18]ESTACADO DEL EJE'!#REF!</definedName>
    <definedName name="SADSAD" localSheetId="21">'[18]ESTACADO DEL EJE'!#REF!</definedName>
    <definedName name="SADSAD" localSheetId="22">'[18]ESTACADO DEL EJE'!#REF!</definedName>
    <definedName name="SADSAD" localSheetId="23">'[18]ESTACADO DEL EJE'!#REF!</definedName>
    <definedName name="SADSAD" localSheetId="24">'[18]ESTACADO DEL EJE'!#REF!</definedName>
    <definedName name="SADSAD" localSheetId="25">'[18]ESTACADO DEL EJE'!#REF!</definedName>
    <definedName name="SADSAD" localSheetId="26">'[18]ESTACADO DEL EJE'!#REF!</definedName>
    <definedName name="SADSAD" localSheetId="27">'[18]ESTACADO DEL EJE'!#REF!</definedName>
    <definedName name="SADSAD" localSheetId="28">'[18]ESTACADO DEL EJE'!#REF!</definedName>
    <definedName name="SADSAD" localSheetId="29">'[18]ESTACADO DEL EJE'!#REF!</definedName>
    <definedName name="SADSAD" localSheetId="11">'[18]ESTACADO DEL EJE'!#REF!</definedName>
    <definedName name="SADSAD" localSheetId="6">'[18]ESTACADO DEL EJE'!#REF!</definedName>
    <definedName name="SADSAD" localSheetId="5">'[18]ESTACADO DEL EJE'!#REF!</definedName>
    <definedName name="SADSAD" localSheetId="2">'[18]ESTACADO DEL EJE'!#REF!</definedName>
    <definedName name="SADSAD" localSheetId="12">'[18]ESTACADO DEL EJE'!#REF!</definedName>
    <definedName name="SADSAD" localSheetId="33">'[18]ESTACADO DEL EJE'!#REF!</definedName>
    <definedName name="SADSAD" localSheetId="31">'[18]ESTACADO DEL EJE'!#REF!</definedName>
    <definedName name="SADSAD" localSheetId="4">'[18]ESTACADO DEL EJE'!#REF!</definedName>
    <definedName name="SADSAD">'[18]ESTACADO DEL EJE'!#REF!</definedName>
    <definedName name="sbase" localSheetId="5">[6]analisis!$K$21</definedName>
    <definedName name="sbase">[7]analisis!$K$21</definedName>
    <definedName name="sbasep" localSheetId="5">[6]analisis!$M$21</definedName>
    <definedName name="sbasep">[7]analisis!$M$21</definedName>
    <definedName name="SD" localSheetId="10" hidden="1">#REF!</definedName>
    <definedName name="SDVSD" localSheetId="18" hidden="1">'[1]Flujo de Caja Consorcio'!#REF!</definedName>
    <definedName name="SDVSD" localSheetId="19" hidden="1">'[1]Flujo de Caja Consorcio'!#REF!</definedName>
    <definedName name="SDVSD" localSheetId="20" hidden="1">'[1]Flujo de Caja Consorcio'!#REF!</definedName>
    <definedName name="SDVSD" localSheetId="21" hidden="1">'[1]Flujo de Caja Consorcio'!#REF!</definedName>
    <definedName name="SDVSD" localSheetId="22" hidden="1">'[1]Flujo de Caja Consorcio'!#REF!</definedName>
    <definedName name="SDVSD" localSheetId="23" hidden="1">'[1]Flujo de Caja Consorcio'!#REF!</definedName>
    <definedName name="SDVSD" localSheetId="24" hidden="1">'[1]Flujo de Caja Consorcio'!#REF!</definedName>
    <definedName name="SDVSD" localSheetId="25" hidden="1">'[1]Flujo de Caja Consorcio'!#REF!</definedName>
    <definedName name="SDVSD" localSheetId="26" hidden="1">'[1]Flujo de Caja Consorcio'!#REF!</definedName>
    <definedName name="SDVSD" localSheetId="27" hidden="1">'[1]Flujo de Caja Consorcio'!#REF!</definedName>
    <definedName name="SDVSD" localSheetId="28" hidden="1">'[1]Flujo de Caja Consorcio'!#REF!</definedName>
    <definedName name="SDVSD" localSheetId="29" hidden="1">'[1]Flujo de Caja Consorcio'!#REF!</definedName>
    <definedName name="SDVSD" localSheetId="11" hidden="1">'[1]Flujo de Caja Consorcio'!#REF!</definedName>
    <definedName name="SDVSD" localSheetId="6" hidden="1">'[1]Flujo de Caja Consorcio'!#REF!</definedName>
    <definedName name="SDVSD" localSheetId="2" hidden="1">'[1]Flujo de Caja Consorcio'!#REF!</definedName>
    <definedName name="SDVSD" localSheetId="12" hidden="1">'[1]Flujo de Caja Consorcio'!#REF!</definedName>
    <definedName name="SDVSD" localSheetId="33" hidden="1">'[1]Flujo de Caja Consorcio'!#REF!</definedName>
    <definedName name="SDVSD" localSheetId="31" hidden="1">'[1]Flujo de Caja Consorcio'!#REF!</definedName>
    <definedName name="SDVSD" localSheetId="4" hidden="1">'[1]Flujo de Caja Consorcio'!#REF!</definedName>
    <definedName name="SDVSD" hidden="1">'[1]Flujo de Caja Consorcio'!#REF!</definedName>
    <definedName name="SEC" localSheetId="18" hidden="1">'[1]Flujo de Caja Consorcio'!#REF!</definedName>
    <definedName name="SEC" localSheetId="19" hidden="1">'[1]Flujo de Caja Consorcio'!#REF!</definedName>
    <definedName name="SEC" localSheetId="20" hidden="1">'[1]Flujo de Caja Consorcio'!#REF!</definedName>
    <definedName name="SEC" localSheetId="21" hidden="1">'[1]Flujo de Caja Consorcio'!#REF!</definedName>
    <definedName name="SEC" localSheetId="22" hidden="1">'[1]Flujo de Caja Consorcio'!#REF!</definedName>
    <definedName name="SEC" localSheetId="23" hidden="1">'[1]Flujo de Caja Consorcio'!#REF!</definedName>
    <definedName name="SEC" localSheetId="24" hidden="1">'[1]Flujo de Caja Consorcio'!#REF!</definedName>
    <definedName name="SEC" localSheetId="25" hidden="1">'[1]Flujo de Caja Consorcio'!#REF!</definedName>
    <definedName name="SEC" localSheetId="26" hidden="1">'[1]Flujo de Caja Consorcio'!#REF!</definedName>
    <definedName name="SEC" localSheetId="27" hidden="1">'[1]Flujo de Caja Consorcio'!#REF!</definedName>
    <definedName name="SEC" localSheetId="28" hidden="1">'[1]Flujo de Caja Consorcio'!#REF!</definedName>
    <definedName name="SEC" localSheetId="29" hidden="1">'[1]Flujo de Caja Consorcio'!#REF!</definedName>
    <definedName name="SEC" localSheetId="11" hidden="1">'[1]Flujo de Caja Consorcio'!#REF!</definedName>
    <definedName name="SEC" localSheetId="6" hidden="1">'[1]Flujo de Caja Consorcio'!#REF!</definedName>
    <definedName name="SEC" localSheetId="2" hidden="1">'[1]Flujo de Caja Consorcio'!#REF!</definedName>
    <definedName name="SEC" localSheetId="12" hidden="1">'[1]Flujo de Caja Consorcio'!#REF!</definedName>
    <definedName name="SEC" localSheetId="33" hidden="1">'[1]Flujo de Caja Consorcio'!#REF!</definedName>
    <definedName name="SEC" localSheetId="31" hidden="1">'[1]Flujo de Caja Consorcio'!#REF!</definedName>
    <definedName name="SEC" localSheetId="4" hidden="1">'[1]Flujo de Caja Consorcio'!#REF!</definedName>
    <definedName name="SEC" hidden="1">'[1]Flujo de Caja Consorcio'!#REF!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ol" localSheetId="5">[14]OT!$D$990</definedName>
    <definedName name="sol">[15]OT!$D$990</definedName>
    <definedName name="sss" localSheetId="18" hidden="1">'[1]Flujo de Caja Consorcio'!#REF!</definedName>
    <definedName name="sss" localSheetId="19" hidden="1">'[1]Flujo de Caja Consorcio'!#REF!</definedName>
    <definedName name="sss" localSheetId="20" hidden="1">'[1]Flujo de Caja Consorcio'!#REF!</definedName>
    <definedName name="sss" localSheetId="21" hidden="1">'[1]Flujo de Caja Consorcio'!#REF!</definedName>
    <definedName name="sss" localSheetId="22" hidden="1">'[1]Flujo de Caja Consorcio'!#REF!</definedName>
    <definedName name="sss" localSheetId="23" hidden="1">'[1]Flujo de Caja Consorcio'!#REF!</definedName>
    <definedName name="sss" localSheetId="24" hidden="1">'[1]Flujo de Caja Consorcio'!#REF!</definedName>
    <definedName name="sss" localSheetId="25" hidden="1">'[1]Flujo de Caja Consorcio'!#REF!</definedName>
    <definedName name="sss" localSheetId="26" hidden="1">'[1]Flujo de Caja Consorcio'!#REF!</definedName>
    <definedName name="sss" localSheetId="27" hidden="1">'[1]Flujo de Caja Consorcio'!#REF!</definedName>
    <definedName name="sss" localSheetId="28" hidden="1">'[1]Flujo de Caja Consorcio'!#REF!</definedName>
    <definedName name="sss" localSheetId="29" hidden="1">'[1]Flujo de Caja Consorcio'!#REF!</definedName>
    <definedName name="sss" localSheetId="11" hidden="1">'[1]Flujo de Caja Consorcio'!#REF!</definedName>
    <definedName name="sss" localSheetId="6" hidden="1">'[1]Flujo de Caja Consorcio'!#REF!</definedName>
    <definedName name="sss" localSheetId="2" hidden="1">'[1]Flujo de Caja Consorcio'!#REF!</definedName>
    <definedName name="sss" localSheetId="12" hidden="1">'[1]Flujo de Caja Consorcio'!#REF!</definedName>
    <definedName name="sss" localSheetId="33" hidden="1">'[1]Flujo de Caja Consorcio'!#REF!</definedName>
    <definedName name="sss" localSheetId="31" hidden="1">'[1]Flujo de Caja Consorcio'!#REF!</definedName>
    <definedName name="sss" localSheetId="4" hidden="1">'[1]Flujo de Caja Consorcio'!#REF!</definedName>
    <definedName name="sss" hidden="1">'[1]Flujo de Caja Consorcio'!#REF!</definedName>
    <definedName name="sssssssssssss" localSheetId="18" hidden="1">'[1]Flujo de Caja Consorcio'!#REF!</definedName>
    <definedName name="sssssssssssss" localSheetId="19" hidden="1">'[1]Flujo de Caja Consorcio'!#REF!</definedName>
    <definedName name="sssssssssssss" localSheetId="20" hidden="1">'[1]Flujo de Caja Consorcio'!#REF!</definedName>
    <definedName name="sssssssssssss" localSheetId="21" hidden="1">'[1]Flujo de Caja Consorcio'!#REF!</definedName>
    <definedName name="sssssssssssss" localSheetId="22" hidden="1">'[1]Flujo de Caja Consorcio'!#REF!</definedName>
    <definedName name="sssssssssssss" localSheetId="23" hidden="1">'[1]Flujo de Caja Consorcio'!#REF!</definedName>
    <definedName name="sssssssssssss" localSheetId="24" hidden="1">'[1]Flujo de Caja Consorcio'!#REF!</definedName>
    <definedName name="sssssssssssss" localSheetId="25" hidden="1">'[1]Flujo de Caja Consorcio'!#REF!</definedName>
    <definedName name="sssssssssssss" localSheetId="26" hidden="1">'[1]Flujo de Caja Consorcio'!#REF!</definedName>
    <definedName name="sssssssssssss" localSheetId="27" hidden="1">'[1]Flujo de Caja Consorcio'!#REF!</definedName>
    <definedName name="sssssssssssss" localSheetId="28" hidden="1">'[1]Flujo de Caja Consorcio'!#REF!</definedName>
    <definedName name="sssssssssssss" localSheetId="29" hidden="1">'[1]Flujo de Caja Consorcio'!#REF!</definedName>
    <definedName name="sssssssssssss" localSheetId="11" hidden="1">'[1]Flujo de Caja Consorcio'!#REF!</definedName>
    <definedName name="sssssssssssss" localSheetId="6" hidden="1">'[1]Flujo de Caja Consorcio'!#REF!</definedName>
    <definedName name="sssssssssssss" localSheetId="2" hidden="1">'[1]Flujo de Caja Consorcio'!#REF!</definedName>
    <definedName name="sssssssssssss" localSheetId="12" hidden="1">'[1]Flujo de Caja Consorcio'!#REF!</definedName>
    <definedName name="sssssssssssss" localSheetId="33" hidden="1">'[1]Flujo de Caja Consorcio'!#REF!</definedName>
    <definedName name="sssssssssssss" localSheetId="31" hidden="1">'[1]Flujo de Caja Consorcio'!#REF!</definedName>
    <definedName name="sssssssssssss" localSheetId="4" hidden="1">'[1]Flujo de Caja Consorcio'!#REF!</definedName>
    <definedName name="sssssssssssss" hidden="1">'[1]Flujo de Caja Consorcio'!#REF!</definedName>
    <definedName name="Su" localSheetId="18">#REF!</definedName>
    <definedName name="Su" localSheetId="19">#REF!</definedName>
    <definedName name="Su" localSheetId="20">#REF!</definedName>
    <definedName name="Su" localSheetId="21">#REF!</definedName>
    <definedName name="Su" localSheetId="22">#REF!</definedName>
    <definedName name="Su" localSheetId="23">#REF!</definedName>
    <definedName name="Su" localSheetId="24">#REF!</definedName>
    <definedName name="Su" localSheetId="25">#REF!</definedName>
    <definedName name="Su" localSheetId="26">#REF!</definedName>
    <definedName name="Su" localSheetId="27">#REF!</definedName>
    <definedName name="Su" localSheetId="28">#REF!</definedName>
    <definedName name="Su" localSheetId="29">#REF!</definedName>
    <definedName name="Su" localSheetId="11">#REF!</definedName>
    <definedName name="Su" localSheetId="6">#REF!</definedName>
    <definedName name="Su" localSheetId="14">#REF!</definedName>
    <definedName name="Su" localSheetId="2">#REF!</definedName>
    <definedName name="Su" localSheetId="10">#REF!</definedName>
    <definedName name="Su" localSheetId="12">#REF!</definedName>
    <definedName name="Su" localSheetId="33">#REF!</definedName>
    <definedName name="Su" localSheetId="31">#REF!</definedName>
    <definedName name="Su" localSheetId="15">#REF!</definedName>
    <definedName name="Su" localSheetId="9">#REF!</definedName>
    <definedName name="Su" localSheetId="4">#REF!</definedName>
    <definedName name="Su">#REF!</definedName>
    <definedName name="Sueldo" localSheetId="18">#REF!</definedName>
    <definedName name="Sueldo" localSheetId="19">#REF!</definedName>
    <definedName name="Sueldo" localSheetId="20">#REF!</definedName>
    <definedName name="Sueldo" localSheetId="21">#REF!</definedName>
    <definedName name="Sueldo" localSheetId="22">#REF!</definedName>
    <definedName name="Sueldo" localSheetId="23">#REF!</definedName>
    <definedName name="Sueldo" localSheetId="24">#REF!</definedName>
    <definedName name="Sueldo" localSheetId="25">#REF!</definedName>
    <definedName name="Sueldo" localSheetId="26">#REF!</definedName>
    <definedName name="Sueldo" localSheetId="27">#REF!</definedName>
    <definedName name="Sueldo" localSheetId="28">#REF!</definedName>
    <definedName name="Sueldo" localSheetId="29">#REF!</definedName>
    <definedName name="Sueldo" localSheetId="11">#REF!</definedName>
    <definedName name="Sueldo" localSheetId="6">#REF!</definedName>
    <definedName name="Sueldo" localSheetId="5">#REF!</definedName>
    <definedName name="Sueldo" localSheetId="2">#REF!</definedName>
    <definedName name="Sueldo" localSheetId="10">#REF!</definedName>
    <definedName name="Sueldo" localSheetId="12">#REF!</definedName>
    <definedName name="Sueldo" localSheetId="33">#REF!</definedName>
    <definedName name="Sueldo" localSheetId="31">#REF!</definedName>
    <definedName name="Sueldo" localSheetId="4">#REF!</definedName>
    <definedName name="Sueldo">#REF!</definedName>
    <definedName name="SueldoApoyo" localSheetId="18">#REF!</definedName>
    <definedName name="SueldoApoyo" localSheetId="19">#REF!</definedName>
    <definedName name="SueldoApoyo" localSheetId="20">#REF!</definedName>
    <definedName name="SueldoApoyo" localSheetId="21">#REF!</definedName>
    <definedName name="SueldoApoyo" localSheetId="22">#REF!</definedName>
    <definedName name="SueldoApoyo" localSheetId="23">#REF!</definedName>
    <definedName name="SueldoApoyo" localSheetId="24">#REF!</definedName>
    <definedName name="SueldoApoyo" localSheetId="25">#REF!</definedName>
    <definedName name="SueldoApoyo" localSheetId="26">#REF!</definedName>
    <definedName name="SueldoApoyo" localSheetId="27">#REF!</definedName>
    <definedName name="SueldoApoyo" localSheetId="28">#REF!</definedName>
    <definedName name="SueldoApoyo" localSheetId="29">#REF!</definedName>
    <definedName name="SueldoApoyo" localSheetId="11">#REF!</definedName>
    <definedName name="SueldoApoyo" localSheetId="6">#REF!</definedName>
    <definedName name="SueldoApoyo" localSheetId="5">#REF!</definedName>
    <definedName name="SueldoApoyo" localSheetId="2">#REF!</definedName>
    <definedName name="SueldoApoyo" localSheetId="10">#REF!</definedName>
    <definedName name="SueldoApoyo" localSheetId="12">#REF!</definedName>
    <definedName name="SueldoApoyo" localSheetId="33">#REF!</definedName>
    <definedName name="SueldoApoyo" localSheetId="31">#REF!</definedName>
    <definedName name="SueldoApoyo" localSheetId="4">#REF!</definedName>
    <definedName name="SueldoApoyo">#REF!</definedName>
    <definedName name="SueldoInt" localSheetId="18">#REF!</definedName>
    <definedName name="SueldoInt" localSheetId="19">#REF!</definedName>
    <definedName name="SueldoInt" localSheetId="20">#REF!</definedName>
    <definedName name="SueldoInt" localSheetId="21">#REF!</definedName>
    <definedName name="SueldoInt" localSheetId="22">#REF!</definedName>
    <definedName name="SueldoInt" localSheetId="23">#REF!</definedName>
    <definedName name="SueldoInt" localSheetId="24">#REF!</definedName>
    <definedName name="SueldoInt" localSheetId="25">#REF!</definedName>
    <definedName name="SueldoInt" localSheetId="26">#REF!</definedName>
    <definedName name="SueldoInt" localSheetId="27">#REF!</definedName>
    <definedName name="SueldoInt" localSheetId="28">#REF!</definedName>
    <definedName name="SueldoInt" localSheetId="29">#REF!</definedName>
    <definedName name="SueldoInt" localSheetId="11">#REF!</definedName>
    <definedName name="SueldoInt" localSheetId="6">#REF!</definedName>
    <definedName name="SueldoInt" localSheetId="5">#REF!</definedName>
    <definedName name="SueldoInt" localSheetId="2">#REF!</definedName>
    <definedName name="SueldoInt" localSheetId="10">#REF!</definedName>
    <definedName name="SueldoInt" localSheetId="12">#REF!</definedName>
    <definedName name="SueldoInt" localSheetId="33">#REF!</definedName>
    <definedName name="SueldoInt" localSheetId="31">#REF!</definedName>
    <definedName name="SueldoInt" localSheetId="4">#REF!</definedName>
    <definedName name="SueldoInt">#REF!</definedName>
    <definedName name="SueldoPE" localSheetId="18">[19]PERSONAL!#REF!</definedName>
    <definedName name="SueldoPE" localSheetId="19">[19]PERSONAL!#REF!</definedName>
    <definedName name="SueldoPE" localSheetId="20">[19]PERSONAL!#REF!</definedName>
    <definedName name="SueldoPE" localSheetId="21">[19]PERSONAL!#REF!</definedName>
    <definedName name="SueldoPE" localSheetId="22">[19]PERSONAL!#REF!</definedName>
    <definedName name="SueldoPE" localSheetId="23">[19]PERSONAL!#REF!</definedName>
    <definedName name="SueldoPE" localSheetId="24">[19]PERSONAL!#REF!</definedName>
    <definedName name="SueldoPE" localSheetId="25">[19]PERSONAL!#REF!</definedName>
    <definedName name="SueldoPE" localSheetId="26">[19]PERSONAL!#REF!</definedName>
    <definedName name="SueldoPE" localSheetId="27">[19]PERSONAL!#REF!</definedName>
    <definedName name="SueldoPE" localSheetId="28">[19]PERSONAL!#REF!</definedName>
    <definedName name="SueldoPE" localSheetId="29">[19]PERSONAL!#REF!</definedName>
    <definedName name="SueldoPE" localSheetId="11">[19]PERSONAL!#REF!</definedName>
    <definedName name="SueldoPE" localSheetId="6">[19]PERSONAL!#REF!</definedName>
    <definedName name="SueldoPE" localSheetId="5">[19]PERSONAL!#REF!</definedName>
    <definedName name="SueldoPE" localSheetId="2">[19]PERSONAL!#REF!</definedName>
    <definedName name="SueldoPE" localSheetId="10">[20]PERSONAL!#REF!</definedName>
    <definedName name="SueldoPE" localSheetId="12">[19]PERSONAL!#REF!</definedName>
    <definedName name="SueldoPE" localSheetId="33">[19]PERSONAL!#REF!</definedName>
    <definedName name="SueldoPE" localSheetId="31">[19]PERSONAL!#REF!</definedName>
    <definedName name="SueldoPE" localSheetId="4">[19]PERSONAL!#REF!</definedName>
    <definedName name="SueldoPE">[19]PERSONAL!#REF!</definedName>
    <definedName name="Sueldos" localSheetId="18">#REF!</definedName>
    <definedName name="Sueldos" localSheetId="19">#REF!</definedName>
    <definedName name="Sueldos" localSheetId="20">#REF!</definedName>
    <definedName name="Sueldos" localSheetId="21">#REF!</definedName>
    <definedName name="Sueldos" localSheetId="22">#REF!</definedName>
    <definedName name="Sueldos" localSheetId="23">#REF!</definedName>
    <definedName name="Sueldos" localSheetId="24">#REF!</definedName>
    <definedName name="Sueldos" localSheetId="25">#REF!</definedName>
    <definedName name="Sueldos" localSheetId="26">#REF!</definedName>
    <definedName name="Sueldos" localSheetId="27">#REF!</definedName>
    <definedName name="Sueldos" localSheetId="28">#REF!</definedName>
    <definedName name="Sueldos" localSheetId="29">#REF!</definedName>
    <definedName name="Sueldos" localSheetId="11">#REF!</definedName>
    <definedName name="Sueldos" localSheetId="6">#REF!</definedName>
    <definedName name="Sueldos" localSheetId="5">#REF!</definedName>
    <definedName name="Sueldos" localSheetId="2">#REF!</definedName>
    <definedName name="Sueldos" localSheetId="10">#REF!</definedName>
    <definedName name="Sueldos" localSheetId="12">#REF!</definedName>
    <definedName name="Sueldos" localSheetId="33">#REF!</definedName>
    <definedName name="Sueldos" localSheetId="31">#REF!</definedName>
    <definedName name="Sueldos" localSheetId="4">#REF!</definedName>
    <definedName name="Sueldos">#REF!</definedName>
    <definedName name="T_C">[13]DEFINICIONES!$B$6</definedName>
    <definedName name="TAC" localSheetId="18">'[3]Flujo de Caja Consorcio'!#REF!</definedName>
    <definedName name="TAC" localSheetId="19">'[3]Flujo de Caja Consorcio'!#REF!</definedName>
    <definedName name="TAC" localSheetId="20">'[3]Flujo de Caja Consorcio'!#REF!</definedName>
    <definedName name="TAC" localSheetId="21">'[3]Flujo de Caja Consorcio'!#REF!</definedName>
    <definedName name="TAC" localSheetId="22">'[3]Flujo de Caja Consorcio'!#REF!</definedName>
    <definedName name="TAC" localSheetId="23">'[3]Flujo de Caja Consorcio'!#REF!</definedName>
    <definedName name="TAC" localSheetId="24">'[3]Flujo de Caja Consorcio'!#REF!</definedName>
    <definedName name="TAC" localSheetId="25">'[3]Flujo de Caja Consorcio'!#REF!</definedName>
    <definedName name="TAC" localSheetId="26">'[3]Flujo de Caja Consorcio'!#REF!</definedName>
    <definedName name="TAC" localSheetId="27">'[3]Flujo de Caja Consorcio'!#REF!</definedName>
    <definedName name="TAC" localSheetId="28">'[3]Flujo de Caja Consorcio'!#REF!</definedName>
    <definedName name="TAC" localSheetId="29">'[3]Flujo de Caja Consorcio'!#REF!</definedName>
    <definedName name="TAC" localSheetId="3">'[1]Flujo de Caja Consorcio'!#REF!</definedName>
    <definedName name="TAC" localSheetId="11">'[3]Flujo de Caja Consorcio'!#REF!</definedName>
    <definedName name="TAC" localSheetId="6">'[3]Flujo de Caja Consorcio'!#REF!</definedName>
    <definedName name="TAC" localSheetId="5">'[1]Flujo de Caja Consorcio'!#REF!</definedName>
    <definedName name="TAC" localSheetId="2">'[3]Flujo de Caja Consorcio'!#REF!</definedName>
    <definedName name="TAC" localSheetId="12">'[3]Flujo de Caja Consorcio'!#REF!</definedName>
    <definedName name="TAC" localSheetId="33">'[3]Flujo de Caja Consorcio'!#REF!</definedName>
    <definedName name="TAC" localSheetId="31">'[3]Flujo de Caja Consorcio'!#REF!</definedName>
    <definedName name="TAC" localSheetId="4">'[1]Flujo de Caja Consorcio'!#REF!</definedName>
    <definedName name="TAC">'[3]Flujo de Caja Consorcio'!#REF!</definedName>
    <definedName name="tasa_cero" localSheetId="18">'[3]Flujo de Caja Consorcio'!#REF!</definedName>
    <definedName name="tasa_cero" localSheetId="19">'[3]Flujo de Caja Consorcio'!#REF!</definedName>
    <definedName name="tasa_cero" localSheetId="20">'[3]Flujo de Caja Consorcio'!#REF!</definedName>
    <definedName name="tasa_cero" localSheetId="21">'[3]Flujo de Caja Consorcio'!#REF!</definedName>
    <definedName name="tasa_cero" localSheetId="22">'[3]Flujo de Caja Consorcio'!#REF!</definedName>
    <definedName name="tasa_cero" localSheetId="23">'[3]Flujo de Caja Consorcio'!#REF!</definedName>
    <definedName name="tasa_cero" localSheetId="24">'[3]Flujo de Caja Consorcio'!#REF!</definedName>
    <definedName name="tasa_cero" localSheetId="25">'[3]Flujo de Caja Consorcio'!#REF!</definedName>
    <definedName name="tasa_cero" localSheetId="26">'[3]Flujo de Caja Consorcio'!#REF!</definedName>
    <definedName name="tasa_cero" localSheetId="27">'[3]Flujo de Caja Consorcio'!#REF!</definedName>
    <definedName name="tasa_cero" localSheetId="28">'[3]Flujo de Caja Consorcio'!#REF!</definedName>
    <definedName name="tasa_cero" localSheetId="29">'[3]Flujo de Caja Consorcio'!#REF!</definedName>
    <definedName name="tasa_cero" localSheetId="3">'[1]Flujo de Caja Consorcio'!#REF!</definedName>
    <definedName name="tasa_cero" localSheetId="11">'[3]Flujo de Caja Consorcio'!#REF!</definedName>
    <definedName name="tasa_cero" localSheetId="6">'[3]Flujo de Caja Consorcio'!#REF!</definedName>
    <definedName name="tasa_cero" localSheetId="5">'[1]Flujo de Caja Consorcio'!#REF!</definedName>
    <definedName name="tasa_cero" localSheetId="2">'[3]Flujo de Caja Consorcio'!#REF!</definedName>
    <definedName name="tasa_cero" localSheetId="12">'[3]Flujo de Caja Consorcio'!#REF!</definedName>
    <definedName name="tasa_cero" localSheetId="33">'[3]Flujo de Caja Consorcio'!#REF!</definedName>
    <definedName name="tasa_cero" localSheetId="31">'[3]Flujo de Caja Consorcio'!#REF!</definedName>
    <definedName name="tasa_cero" localSheetId="4">'[1]Flujo de Caja Consorcio'!#REF!</definedName>
    <definedName name="tasa_cero">'[3]Flujo de Caja Consorcio'!#REF!</definedName>
    <definedName name="tc" localSheetId="5">'[21]planilla geral'!$A$1</definedName>
    <definedName name="tc" localSheetId="10">#REF!</definedName>
    <definedName name="tc">'[22]planilla geral'!$A$1</definedName>
    <definedName name="terasfp" localSheetId="5">[6]analisis!$I$9</definedName>
    <definedName name="terasfp">[7]analisis!$I$9</definedName>
    <definedName name="TERR3" localSheetId="18" hidden="1">'[1]Flujo de Caja Consorcio'!#REF!</definedName>
    <definedName name="TERR3" localSheetId="19" hidden="1">'[1]Flujo de Caja Consorcio'!#REF!</definedName>
    <definedName name="TERR3" localSheetId="20" hidden="1">'[1]Flujo de Caja Consorcio'!#REF!</definedName>
    <definedName name="TERR3" localSheetId="21" hidden="1">'[1]Flujo de Caja Consorcio'!#REF!</definedName>
    <definedName name="TERR3" localSheetId="22" hidden="1">'[1]Flujo de Caja Consorcio'!#REF!</definedName>
    <definedName name="TERR3" localSheetId="23" hidden="1">'[1]Flujo de Caja Consorcio'!#REF!</definedName>
    <definedName name="TERR3" localSheetId="24" hidden="1">'[1]Flujo de Caja Consorcio'!#REF!</definedName>
    <definedName name="TERR3" localSheetId="25" hidden="1">'[1]Flujo de Caja Consorcio'!#REF!</definedName>
    <definedName name="TERR3" localSheetId="26" hidden="1">'[1]Flujo de Caja Consorcio'!#REF!</definedName>
    <definedName name="TERR3" localSheetId="27" hidden="1">'[1]Flujo de Caja Consorcio'!#REF!</definedName>
    <definedName name="TERR3" localSheetId="28" hidden="1">'[1]Flujo de Caja Consorcio'!#REF!</definedName>
    <definedName name="TERR3" localSheetId="29" hidden="1">'[1]Flujo de Caja Consorcio'!#REF!</definedName>
    <definedName name="TERR3" localSheetId="11" hidden="1">'[1]Flujo de Caja Consorcio'!#REF!</definedName>
    <definedName name="TERR3" localSheetId="6" hidden="1">'[1]Flujo de Caja Consorcio'!#REF!</definedName>
    <definedName name="TERR3" localSheetId="2" hidden="1">'[1]Flujo de Caja Consorcio'!#REF!</definedName>
    <definedName name="TERR3" localSheetId="12" hidden="1">'[1]Flujo de Caja Consorcio'!#REF!</definedName>
    <definedName name="TERR3" localSheetId="33" hidden="1">'[1]Flujo de Caja Consorcio'!#REF!</definedName>
    <definedName name="TERR3" localSheetId="31" hidden="1">'[1]Flujo de Caja Consorcio'!#REF!</definedName>
    <definedName name="TERR3" localSheetId="4" hidden="1">'[1]Flujo de Caja Consorcio'!#REF!</definedName>
    <definedName name="TERR3" hidden="1">'[1]Flujo de Caja Consorcio'!#REF!</definedName>
    <definedName name="Terra">"Imagen 23"</definedName>
    <definedName name="tipo_moneda">[4]DEFINICION!$B$16</definedName>
    <definedName name="_xlnm.Print_Titles" localSheetId="11">'Cant. Ejec,'!$3:$4</definedName>
    <definedName name="_xlnm.Print_Titles" localSheetId="12">'Planilla de Avance'!$2:$8</definedName>
    <definedName name="_xlnm.Print_Titles" localSheetId="33">'Planilla de Avance (2)'!$2:$8</definedName>
    <definedName name="_xlnm.Print_Titles" localSheetId="31">'Planilla de Avance (3)'!$2:$7</definedName>
    <definedName name="TOTAL" localSheetId="3">'[1]Flujo de Caja Consorcio'!$I$3</definedName>
    <definedName name="TOTAL" localSheetId="5">'[1]Flujo de Caja Consorcio'!$I$3</definedName>
    <definedName name="TOTAL" localSheetId="4">'[1]Flujo de Caja Consorcio'!$I$3</definedName>
    <definedName name="TOTAL">'[3]Flujo de Caja Consorcio'!$I$3</definedName>
    <definedName name="TPA" localSheetId="18">'[3]Flujo de Caja Consorcio'!#REF!</definedName>
    <definedName name="TPA" localSheetId="19">'[3]Flujo de Caja Consorcio'!#REF!</definedName>
    <definedName name="TPA" localSheetId="20">'[3]Flujo de Caja Consorcio'!#REF!</definedName>
    <definedName name="TPA" localSheetId="21">'[3]Flujo de Caja Consorcio'!#REF!</definedName>
    <definedName name="TPA" localSheetId="22">'[3]Flujo de Caja Consorcio'!#REF!</definedName>
    <definedName name="TPA" localSheetId="23">'[3]Flujo de Caja Consorcio'!#REF!</definedName>
    <definedName name="TPA" localSheetId="24">'[3]Flujo de Caja Consorcio'!#REF!</definedName>
    <definedName name="TPA" localSheetId="25">'[3]Flujo de Caja Consorcio'!#REF!</definedName>
    <definedName name="TPA" localSheetId="26">'[3]Flujo de Caja Consorcio'!#REF!</definedName>
    <definedName name="TPA" localSheetId="27">'[3]Flujo de Caja Consorcio'!#REF!</definedName>
    <definedName name="TPA" localSheetId="28">'[3]Flujo de Caja Consorcio'!#REF!</definedName>
    <definedName name="TPA" localSheetId="29">'[3]Flujo de Caja Consorcio'!#REF!</definedName>
    <definedName name="TPA" localSheetId="3">'[1]Flujo de Caja Consorcio'!#REF!</definedName>
    <definedName name="TPA" localSheetId="11">'[3]Flujo de Caja Consorcio'!#REF!</definedName>
    <definedName name="TPA" localSheetId="6">'[3]Flujo de Caja Consorcio'!#REF!</definedName>
    <definedName name="TPA" localSheetId="5">'[1]Flujo de Caja Consorcio'!#REF!</definedName>
    <definedName name="TPA" localSheetId="2">'[3]Flujo de Caja Consorcio'!#REF!</definedName>
    <definedName name="TPA" localSheetId="12">'[3]Flujo de Caja Consorcio'!#REF!</definedName>
    <definedName name="TPA" localSheetId="33">'[3]Flujo de Caja Consorcio'!#REF!</definedName>
    <definedName name="TPA" localSheetId="31">'[3]Flujo de Caja Consorcio'!#REF!</definedName>
    <definedName name="TPA" localSheetId="4">'[1]Flujo de Caja Consorcio'!#REF!</definedName>
    <definedName name="TPA">'[3]Flujo de Caja Consorcio'!#REF!</definedName>
    <definedName name="Tramsp" localSheetId="18">#REF!</definedName>
    <definedName name="Tramsp" localSheetId="19">#REF!</definedName>
    <definedName name="Tramsp" localSheetId="20">#REF!</definedName>
    <definedName name="Tramsp" localSheetId="21">#REF!</definedName>
    <definedName name="Tramsp" localSheetId="22">#REF!</definedName>
    <definedName name="Tramsp" localSheetId="23">#REF!</definedName>
    <definedName name="Tramsp" localSheetId="24">#REF!</definedName>
    <definedName name="Tramsp" localSheetId="25">#REF!</definedName>
    <definedName name="Tramsp" localSheetId="26">#REF!</definedName>
    <definedName name="Tramsp" localSheetId="27">#REF!</definedName>
    <definedName name="Tramsp" localSheetId="28">#REF!</definedName>
    <definedName name="Tramsp" localSheetId="29">#REF!</definedName>
    <definedName name="Tramsp" localSheetId="11">#REF!</definedName>
    <definedName name="Tramsp" localSheetId="6">#REF!</definedName>
    <definedName name="Tramsp" localSheetId="5">#REF!</definedName>
    <definedName name="Tramsp" localSheetId="2">#REF!</definedName>
    <definedName name="Tramsp" localSheetId="10">#REF!</definedName>
    <definedName name="Tramsp" localSheetId="12">#REF!</definedName>
    <definedName name="Tramsp" localSheetId="33">#REF!</definedName>
    <definedName name="Tramsp" localSheetId="31">#REF!</definedName>
    <definedName name="Tramsp" localSheetId="4">#REF!</definedName>
    <definedName name="Tramsp">#REF!</definedName>
    <definedName name="Tran">#N/A</definedName>
    <definedName name="Transporte" localSheetId="18">#REF!</definedName>
    <definedName name="Transporte" localSheetId="19">#REF!</definedName>
    <definedName name="Transporte" localSheetId="20">#REF!</definedName>
    <definedName name="Transporte" localSheetId="21">#REF!</definedName>
    <definedName name="Transporte" localSheetId="22">#REF!</definedName>
    <definedName name="Transporte" localSheetId="23">#REF!</definedName>
    <definedName name="Transporte" localSheetId="24">#REF!</definedName>
    <definedName name="Transporte" localSheetId="25">#REF!</definedName>
    <definedName name="Transporte" localSheetId="26">#REF!</definedName>
    <definedName name="Transporte" localSheetId="27">#REF!</definedName>
    <definedName name="Transporte" localSheetId="28">#REF!</definedName>
    <definedName name="Transporte" localSheetId="29">#REF!</definedName>
    <definedName name="Transporte" localSheetId="11">#REF!</definedName>
    <definedName name="Transporte" localSheetId="6">#REF!</definedName>
    <definedName name="Transporte" localSheetId="5">#REF!</definedName>
    <definedName name="Transporte" localSheetId="2">#REF!</definedName>
    <definedName name="Transporte" localSheetId="10">#REF!</definedName>
    <definedName name="Transporte" localSheetId="12">#REF!</definedName>
    <definedName name="Transporte" localSheetId="33">#REF!</definedName>
    <definedName name="Transporte" localSheetId="31">#REF!</definedName>
    <definedName name="Transporte" localSheetId="4">#REF!</definedName>
    <definedName name="Transporte">#REF!</definedName>
    <definedName name="tratamientop" localSheetId="5">[6]analisis!$M$11</definedName>
    <definedName name="tratamientop">[7]analisis!$M$11</definedName>
    <definedName name="trp" localSheetId="5">[6]analisis!$I$3</definedName>
    <definedName name="trp">[7]analisis!$I$3</definedName>
    <definedName name="UT">[12]DEFINICIONES!$B$4</definedName>
    <definedName name="val" localSheetId="18">'[3]C.D. INSUMOS'!#REF!</definedName>
    <definedName name="val" localSheetId="19">'[3]C.D. INSUMOS'!#REF!</definedName>
    <definedName name="val" localSheetId="20">'[3]C.D. INSUMOS'!#REF!</definedName>
    <definedName name="val" localSheetId="21">'[3]C.D. INSUMOS'!#REF!</definedName>
    <definedName name="val" localSheetId="22">'[3]C.D. INSUMOS'!#REF!</definedName>
    <definedName name="val" localSheetId="23">'[3]C.D. INSUMOS'!#REF!</definedName>
    <definedName name="val" localSheetId="24">'[3]C.D. INSUMOS'!#REF!</definedName>
    <definedName name="val" localSheetId="25">'[3]C.D. INSUMOS'!#REF!</definedName>
    <definedName name="val" localSheetId="26">'[3]C.D. INSUMOS'!#REF!</definedName>
    <definedName name="val" localSheetId="27">'[3]C.D. INSUMOS'!#REF!</definedName>
    <definedName name="val" localSheetId="28">'[3]C.D. INSUMOS'!#REF!</definedName>
    <definedName name="val" localSheetId="29">'[3]C.D. INSUMOS'!#REF!</definedName>
    <definedName name="val" localSheetId="3">'[1]C.D. INSUMOS'!#REF!</definedName>
    <definedName name="val" localSheetId="11">'[3]C.D. INSUMOS'!#REF!</definedName>
    <definedName name="val" localSheetId="6">'[3]C.D. INSUMOS'!#REF!</definedName>
    <definedName name="val" localSheetId="5">'[1]C.D. INSUMOS'!#REF!</definedName>
    <definedName name="val" localSheetId="2">'[3]C.D. INSUMOS'!#REF!</definedName>
    <definedName name="val" localSheetId="12">'[3]C.D. INSUMOS'!#REF!</definedName>
    <definedName name="val" localSheetId="33">'[3]C.D. INSUMOS'!#REF!</definedName>
    <definedName name="val" localSheetId="31">'[3]C.D. INSUMOS'!#REF!</definedName>
    <definedName name="val" localSheetId="4">'[1]C.D. INSUMOS'!#REF!</definedName>
    <definedName name="val">'[3]C.D. INSUMOS'!#REF!</definedName>
    <definedName name="Via">#N/A</definedName>
    <definedName name="Viatico" localSheetId="18">#REF!</definedName>
    <definedName name="Viatico" localSheetId="19">#REF!</definedName>
    <definedName name="Viatico" localSheetId="20">#REF!</definedName>
    <definedName name="Viatico" localSheetId="21">#REF!</definedName>
    <definedName name="Viatico" localSheetId="22">#REF!</definedName>
    <definedName name="Viatico" localSheetId="23">#REF!</definedName>
    <definedName name="Viatico" localSheetId="24">#REF!</definedName>
    <definedName name="Viatico" localSheetId="25">#REF!</definedName>
    <definedName name="Viatico" localSheetId="26">#REF!</definedName>
    <definedName name="Viatico" localSheetId="27">#REF!</definedName>
    <definedName name="Viatico" localSheetId="28">#REF!</definedName>
    <definedName name="Viatico" localSheetId="29">#REF!</definedName>
    <definedName name="Viatico" localSheetId="11">#REF!</definedName>
    <definedName name="Viatico" localSheetId="6">#REF!</definedName>
    <definedName name="Viatico" localSheetId="5">#REF!</definedName>
    <definedName name="Viatico" localSheetId="2">#REF!</definedName>
    <definedName name="Viatico" localSheetId="10">#REF!</definedName>
    <definedName name="Viatico" localSheetId="12">#REF!</definedName>
    <definedName name="Viatico" localSheetId="33">#REF!</definedName>
    <definedName name="Viatico" localSheetId="31">#REF!</definedName>
    <definedName name="Viatico" localSheetId="4">#REF!</definedName>
    <definedName name="Viatico">#REF!</definedName>
    <definedName name="vibp" localSheetId="5">[6]analisis!$I$6</definedName>
    <definedName name="vibp">[7]analisis!$I$6</definedName>
    <definedName name="vibrahormigonp" localSheetId="5">[6]analisis!$I$17</definedName>
    <definedName name="vibrahormigonp">[7]analisis!$I$17</definedName>
    <definedName name="W" localSheetId="18">[23]cantidades_enero_2006!#REF!</definedName>
    <definedName name="W" localSheetId="19">[23]cantidades_enero_2006!#REF!</definedName>
    <definedName name="W" localSheetId="20">[23]cantidades_enero_2006!#REF!</definedName>
    <definedName name="W" localSheetId="21">[23]cantidades_enero_2006!#REF!</definedName>
    <definedName name="W" localSheetId="22">[23]cantidades_enero_2006!#REF!</definedName>
    <definedName name="W" localSheetId="23">[23]cantidades_enero_2006!#REF!</definedName>
    <definedName name="W" localSheetId="24">[23]cantidades_enero_2006!#REF!</definedName>
    <definedName name="W" localSheetId="25">[23]cantidades_enero_2006!#REF!</definedName>
    <definedName name="W" localSheetId="26">[23]cantidades_enero_2006!#REF!</definedName>
    <definedName name="W" localSheetId="27">[23]cantidades_enero_2006!#REF!</definedName>
    <definedName name="W" localSheetId="28">[23]cantidades_enero_2006!#REF!</definedName>
    <definedName name="W" localSheetId="29">[23]cantidades_enero_2006!#REF!</definedName>
    <definedName name="W" localSheetId="3">[23]cantidades_enero_2006!#REF!</definedName>
    <definedName name="W" localSheetId="11">[23]cantidades_enero_2006!#REF!</definedName>
    <definedName name="W" localSheetId="6">[23]cantidades_enero_2006!#REF!</definedName>
    <definedName name="W" localSheetId="5">[24]cantidades_AGOSTO_2006!#REF!</definedName>
    <definedName name="W" localSheetId="2">[23]cantidades_enero_2006!#REF!</definedName>
    <definedName name="W" localSheetId="12">[23]cantidades_enero_2006!#REF!</definedName>
    <definedName name="W" localSheetId="33">[23]cantidades_enero_2006!#REF!</definedName>
    <definedName name="W" localSheetId="31">[23]cantidades_enero_2006!#REF!</definedName>
    <definedName name="W" localSheetId="4">[23]cantidades_enero_2006!#REF!</definedName>
    <definedName name="W">[23]cantidades_enero_2006!#REF!</definedName>
    <definedName name="WERT" localSheetId="18">'[3]C.D. INSUMOS'!#REF!</definedName>
    <definedName name="WERT" localSheetId="19">'[3]C.D. INSUMOS'!#REF!</definedName>
    <definedName name="WERT" localSheetId="20">'[3]C.D. INSUMOS'!#REF!</definedName>
    <definedName name="WERT" localSheetId="21">'[3]C.D. INSUMOS'!#REF!</definedName>
    <definedName name="WERT" localSheetId="22">'[3]C.D. INSUMOS'!#REF!</definedName>
    <definedName name="WERT" localSheetId="23">'[3]C.D. INSUMOS'!#REF!</definedName>
    <definedName name="WERT" localSheetId="24">'[3]C.D. INSUMOS'!#REF!</definedName>
    <definedName name="WERT" localSheetId="25">'[3]C.D. INSUMOS'!#REF!</definedName>
    <definedName name="WERT" localSheetId="26">'[3]C.D. INSUMOS'!#REF!</definedName>
    <definedName name="WERT" localSheetId="27">'[3]C.D. INSUMOS'!#REF!</definedName>
    <definedName name="WERT" localSheetId="28">'[3]C.D. INSUMOS'!#REF!</definedName>
    <definedName name="WERT" localSheetId="29">'[3]C.D. INSUMOS'!#REF!</definedName>
    <definedName name="WERT" localSheetId="3">'[1]C.D. INSUMOS'!#REF!</definedName>
    <definedName name="WERT" localSheetId="11">'[3]C.D. INSUMOS'!#REF!</definedName>
    <definedName name="WERT" localSheetId="6">'[3]C.D. INSUMOS'!#REF!</definedName>
    <definedName name="WERT" localSheetId="5">'[1]C.D. INSUMOS'!#REF!</definedName>
    <definedName name="WERT" localSheetId="2">'[3]C.D. INSUMOS'!#REF!</definedName>
    <definedName name="WERT" localSheetId="12">'[3]C.D. INSUMOS'!#REF!</definedName>
    <definedName name="WERT" localSheetId="33">'[3]C.D. INSUMOS'!#REF!</definedName>
    <definedName name="WERT" localSheetId="31">'[3]C.D. INSUMOS'!#REF!</definedName>
    <definedName name="WERT" localSheetId="4">'[1]C.D. INSUMOS'!#REF!</definedName>
    <definedName name="WERT">'[3]C.D. INSUMOS'!#REF!</definedName>
    <definedName name="wsq" localSheetId="18" hidden="1">'[1]Flujo de Caja Consorcio'!#REF!</definedName>
    <definedName name="wsq" localSheetId="19" hidden="1">'[1]Flujo de Caja Consorcio'!#REF!</definedName>
    <definedName name="wsq" localSheetId="20" hidden="1">'[1]Flujo de Caja Consorcio'!#REF!</definedName>
    <definedName name="wsq" localSheetId="21" hidden="1">'[1]Flujo de Caja Consorcio'!#REF!</definedName>
    <definedName name="wsq" localSheetId="22" hidden="1">'[1]Flujo de Caja Consorcio'!#REF!</definedName>
    <definedName name="wsq" localSheetId="23" hidden="1">'[1]Flujo de Caja Consorcio'!#REF!</definedName>
    <definedName name="wsq" localSheetId="24" hidden="1">'[1]Flujo de Caja Consorcio'!#REF!</definedName>
    <definedName name="wsq" localSheetId="25" hidden="1">'[1]Flujo de Caja Consorcio'!#REF!</definedName>
    <definedName name="wsq" localSheetId="26" hidden="1">'[1]Flujo de Caja Consorcio'!#REF!</definedName>
    <definedName name="wsq" localSheetId="27" hidden="1">'[1]Flujo de Caja Consorcio'!#REF!</definedName>
    <definedName name="wsq" localSheetId="28" hidden="1">'[1]Flujo de Caja Consorcio'!#REF!</definedName>
    <definedName name="wsq" localSheetId="29" hidden="1">'[1]Flujo de Caja Consorcio'!#REF!</definedName>
    <definedName name="wsq" localSheetId="11" hidden="1">'[1]Flujo de Caja Consorcio'!#REF!</definedName>
    <definedName name="wsq" localSheetId="6" hidden="1">'[1]Flujo de Caja Consorcio'!#REF!</definedName>
    <definedName name="wsq" localSheetId="2" hidden="1">'[1]Flujo de Caja Consorcio'!#REF!</definedName>
    <definedName name="wsq" localSheetId="12" hidden="1">'[1]Flujo de Caja Consorcio'!#REF!</definedName>
    <definedName name="wsq" localSheetId="33" hidden="1">'[1]Flujo de Caja Consorcio'!#REF!</definedName>
    <definedName name="wsq" localSheetId="31" hidden="1">'[1]Flujo de Caja Consorcio'!#REF!</definedName>
    <definedName name="wsq" localSheetId="4" hidden="1">'[1]Flujo de Caja Consorcio'!#REF!</definedName>
    <definedName name="wsq" hidden="1">'[1]Flujo de Caja Consorcio'!#REF!</definedName>
    <definedName name="xxx" localSheetId="18">#REF!</definedName>
    <definedName name="xxx" localSheetId="19">#REF!</definedName>
    <definedName name="xxx" localSheetId="20">#REF!</definedName>
    <definedName name="xxx" localSheetId="21">#REF!</definedName>
    <definedName name="xxx" localSheetId="22">#REF!</definedName>
    <definedName name="xxx" localSheetId="23">#REF!</definedName>
    <definedName name="xxx" localSheetId="24">#REF!</definedName>
    <definedName name="xxx" localSheetId="25">#REF!</definedName>
    <definedName name="xxx" localSheetId="26">#REF!</definedName>
    <definedName name="xxx" localSheetId="27">#REF!</definedName>
    <definedName name="xxx" localSheetId="28">#REF!</definedName>
    <definedName name="xxx" localSheetId="29">#REF!</definedName>
    <definedName name="XXX" localSheetId="3" hidden="1">#REF!</definedName>
    <definedName name="xxx" localSheetId="11">#REF!</definedName>
    <definedName name="xxx" localSheetId="6">#REF!</definedName>
    <definedName name="xxx" localSheetId="14">#REF!</definedName>
    <definedName name="XXX" localSheetId="2" hidden="1">#REF!</definedName>
    <definedName name="xxx" localSheetId="10">#REF!</definedName>
    <definedName name="xxx" localSheetId="12">#REF!</definedName>
    <definedName name="xxx" localSheetId="33">#REF!</definedName>
    <definedName name="xxx" localSheetId="31">#REF!</definedName>
    <definedName name="xxx" localSheetId="15">#REF!</definedName>
    <definedName name="xxx" localSheetId="9">#REF!</definedName>
    <definedName name="XXX" localSheetId="4" hidden="1">#REF!</definedName>
    <definedName name="xxx">#REF!</definedName>
    <definedName name="YH" localSheetId="18">'[1]C.D. INSUMOS'!#REF!</definedName>
    <definedName name="YH" localSheetId="19">'[1]C.D. INSUMOS'!#REF!</definedName>
    <definedName name="YH" localSheetId="20">'[1]C.D. INSUMOS'!#REF!</definedName>
    <definedName name="YH" localSheetId="21">'[1]C.D. INSUMOS'!#REF!</definedName>
    <definedName name="YH" localSheetId="22">'[1]C.D. INSUMOS'!#REF!</definedName>
    <definedName name="YH" localSheetId="23">'[1]C.D. INSUMOS'!#REF!</definedName>
    <definedName name="YH" localSheetId="24">'[1]C.D. INSUMOS'!#REF!</definedName>
    <definedName name="YH" localSheetId="25">'[1]C.D. INSUMOS'!#REF!</definedName>
    <definedName name="YH" localSheetId="26">'[1]C.D. INSUMOS'!#REF!</definedName>
    <definedName name="YH" localSheetId="27">'[1]C.D. INSUMOS'!#REF!</definedName>
    <definedName name="YH" localSheetId="28">'[1]C.D. INSUMOS'!#REF!</definedName>
    <definedName name="YH" localSheetId="29">'[1]C.D. INSUMOS'!#REF!</definedName>
    <definedName name="YH" localSheetId="11">'[1]C.D. INSUMOS'!#REF!</definedName>
    <definedName name="YH" localSheetId="6">'[1]C.D. INSUMOS'!#REF!</definedName>
    <definedName name="YH" localSheetId="5">'[1]C.D. INSUMOS'!#REF!</definedName>
    <definedName name="YH" localSheetId="2">'[1]C.D. INSUMOS'!#REF!</definedName>
    <definedName name="YH" localSheetId="12">'[1]C.D. INSUMOS'!#REF!</definedName>
    <definedName name="YH" localSheetId="33">'[1]C.D. INSUMOS'!#REF!</definedName>
    <definedName name="YH" localSheetId="31">'[1]C.D. INSUMOS'!#REF!</definedName>
    <definedName name="YH" localSheetId="4">'[1]C.D. INSUMOS'!#REF!</definedName>
    <definedName name="YH">'[1]C.D. INSUMOS'!#REF!</definedName>
    <definedName name="yy" localSheetId="18">#REF!</definedName>
    <definedName name="yy" localSheetId="19">#REF!</definedName>
    <definedName name="yy" localSheetId="20">#REF!</definedName>
    <definedName name="yy" localSheetId="21">#REF!</definedName>
    <definedName name="yy" localSheetId="22">#REF!</definedName>
    <definedName name="yy" localSheetId="23">#REF!</definedName>
    <definedName name="yy" localSheetId="24">#REF!</definedName>
    <definedName name="yy" localSheetId="25">#REF!</definedName>
    <definedName name="yy" localSheetId="26">#REF!</definedName>
    <definedName name="yy" localSheetId="27">#REF!</definedName>
    <definedName name="yy" localSheetId="28">#REF!</definedName>
    <definedName name="yy" localSheetId="29">#REF!</definedName>
    <definedName name="yy" localSheetId="11">#REF!</definedName>
    <definedName name="yy" localSheetId="6">#REF!</definedName>
    <definedName name="yy" localSheetId="14">#REF!</definedName>
    <definedName name="yy" localSheetId="2">#REF!</definedName>
    <definedName name="yy" localSheetId="10">#REF!</definedName>
    <definedName name="yy" localSheetId="12">#REF!</definedName>
    <definedName name="yy" localSheetId="33">#REF!</definedName>
    <definedName name="yy" localSheetId="31">#REF!</definedName>
    <definedName name="yy" localSheetId="15">#REF!</definedName>
    <definedName name="yy" localSheetId="9">#REF!</definedName>
    <definedName name="yy" localSheetId="4">#REF!</definedName>
    <definedName name="yy">#REF!</definedName>
    <definedName name="yyy" localSheetId="18">#REF!</definedName>
    <definedName name="yyy" localSheetId="19">#REF!</definedName>
    <definedName name="yyy" localSheetId="20">#REF!</definedName>
    <definedName name="yyy" localSheetId="21">#REF!</definedName>
    <definedName name="yyy" localSheetId="22">#REF!</definedName>
    <definedName name="yyy" localSheetId="23">#REF!</definedName>
    <definedName name="yyy" localSheetId="24">#REF!</definedName>
    <definedName name="yyy" localSheetId="25">#REF!</definedName>
    <definedName name="yyy" localSheetId="26">#REF!</definedName>
    <definedName name="yyy" localSheetId="27">#REF!</definedName>
    <definedName name="yyy" localSheetId="28">#REF!</definedName>
    <definedName name="yyy" localSheetId="29">#REF!</definedName>
    <definedName name="yyy" localSheetId="11">#REF!</definedName>
    <definedName name="yyy" localSheetId="6">#REF!</definedName>
    <definedName name="yyy" localSheetId="14">#REF!</definedName>
    <definedName name="yyy" localSheetId="2">#REF!</definedName>
    <definedName name="yyy" localSheetId="10">#REF!</definedName>
    <definedName name="yyy" localSheetId="12">#REF!</definedName>
    <definedName name="yyy" localSheetId="33">#REF!</definedName>
    <definedName name="yyy" localSheetId="31">#REF!</definedName>
    <definedName name="yyy" localSheetId="15">#REF!</definedName>
    <definedName name="yyy" localSheetId="9">#REF!</definedName>
    <definedName name="yyy" localSheetId="4">#REF!</definedName>
    <definedName name="yyy">#REF!</definedName>
    <definedName name="yyyy" localSheetId="18">#REF!</definedName>
    <definedName name="yyyy" localSheetId="19">#REF!</definedName>
    <definedName name="yyyy" localSheetId="20">#REF!</definedName>
    <definedName name="yyyy" localSheetId="21">#REF!</definedName>
    <definedName name="yyyy" localSheetId="22">#REF!</definedName>
    <definedName name="yyyy" localSheetId="23">#REF!</definedName>
    <definedName name="yyyy" localSheetId="24">#REF!</definedName>
    <definedName name="yyyy" localSheetId="25">#REF!</definedName>
    <definedName name="yyyy" localSheetId="26">#REF!</definedName>
    <definedName name="yyyy" localSheetId="27">#REF!</definedName>
    <definedName name="yyyy" localSheetId="28">#REF!</definedName>
    <definedName name="yyyy" localSheetId="29">#REF!</definedName>
    <definedName name="yyyy" localSheetId="11">#REF!</definedName>
    <definedName name="yyyy" localSheetId="6">#REF!</definedName>
    <definedName name="yyyy" localSheetId="14">#REF!</definedName>
    <definedName name="yyyy" localSheetId="2">#REF!</definedName>
    <definedName name="yyyy" localSheetId="10">#REF!</definedName>
    <definedName name="yyyy" localSheetId="12">#REF!</definedName>
    <definedName name="yyyy" localSheetId="33">#REF!</definedName>
    <definedName name="yyyy" localSheetId="31">#REF!</definedName>
    <definedName name="yyyy" localSheetId="15">#REF!</definedName>
    <definedName name="yyyy" localSheetId="9">#REF!</definedName>
    <definedName name="yyyy" localSheetId="4">#REF!</definedName>
    <definedName name="yyyy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471" l="1"/>
  <c r="H22" i="471"/>
  <c r="G22" i="471"/>
  <c r="F22" i="471"/>
  <c r="E22" i="471"/>
  <c r="V110" i="470"/>
  <c r="W110" i="470" s="1"/>
  <c r="V109" i="470"/>
  <c r="W109" i="470" s="1"/>
  <c r="V108" i="470"/>
  <c r="W108" i="470" s="1"/>
  <c r="V107" i="470"/>
  <c r="W107" i="470" s="1"/>
  <c r="V106" i="470"/>
  <c r="W106" i="470" s="1"/>
  <c r="V105" i="470"/>
  <c r="W105" i="470" s="1"/>
  <c r="V102" i="470"/>
  <c r="W102" i="470" s="1"/>
  <c r="W103" i="470" s="1"/>
  <c r="V99" i="470"/>
  <c r="W99" i="470" s="1"/>
  <c r="V98" i="470"/>
  <c r="W98" i="470" s="1"/>
  <c r="V97" i="470"/>
  <c r="W97" i="470" s="1"/>
  <c r="V96" i="470"/>
  <c r="W96" i="470" s="1"/>
  <c r="V95" i="470"/>
  <c r="W95" i="470" s="1"/>
  <c r="V94" i="470"/>
  <c r="W94" i="470" s="1"/>
  <c r="V93" i="470"/>
  <c r="W93" i="470" s="1"/>
  <c r="V92" i="470"/>
  <c r="W92" i="470" s="1"/>
  <c r="V91" i="470"/>
  <c r="W91" i="470" s="1"/>
  <c r="V90" i="470"/>
  <c r="W90" i="470" s="1"/>
  <c r="V89" i="470"/>
  <c r="W89" i="470" s="1"/>
  <c r="V88" i="470"/>
  <c r="W88" i="470" s="1"/>
  <c r="V87" i="470"/>
  <c r="W87" i="470" s="1"/>
  <c r="V86" i="470"/>
  <c r="W86" i="470" s="1"/>
  <c r="W85" i="470"/>
  <c r="V85" i="470"/>
  <c r="V84" i="470"/>
  <c r="W84" i="470" s="1"/>
  <c r="V81" i="470"/>
  <c r="W81" i="470" s="1"/>
  <c r="V80" i="470"/>
  <c r="W80" i="470" s="1"/>
  <c r="V79" i="470"/>
  <c r="W79" i="470" s="1"/>
  <c r="V78" i="470"/>
  <c r="W78" i="470" s="1"/>
  <c r="V77" i="470"/>
  <c r="W77" i="470" s="1"/>
  <c r="V76" i="470"/>
  <c r="W76" i="470" s="1"/>
  <c r="V75" i="470"/>
  <c r="W75" i="470" s="1"/>
  <c r="V74" i="470"/>
  <c r="W74" i="470" s="1"/>
  <c r="V73" i="470"/>
  <c r="W73" i="470" s="1"/>
  <c r="V72" i="470"/>
  <c r="W72" i="470" s="1"/>
  <c r="V71" i="470"/>
  <c r="W71" i="470" s="1"/>
  <c r="V70" i="470"/>
  <c r="W70" i="470" s="1"/>
  <c r="V69" i="470"/>
  <c r="W69" i="470" s="1"/>
  <c r="V68" i="470"/>
  <c r="W68" i="470" s="1"/>
  <c r="V67" i="470"/>
  <c r="W67" i="470" s="1"/>
  <c r="V66" i="470"/>
  <c r="W66" i="470" s="1"/>
  <c r="W65" i="470"/>
  <c r="V65" i="470"/>
  <c r="V64" i="470"/>
  <c r="W64" i="470" s="1"/>
  <c r="V63" i="470"/>
  <c r="W63" i="470" s="1"/>
  <c r="V62" i="470"/>
  <c r="W62" i="470" s="1"/>
  <c r="V61" i="470"/>
  <c r="W61" i="470" s="1"/>
  <c r="V60" i="470"/>
  <c r="W60" i="470" s="1"/>
  <c r="V59" i="470"/>
  <c r="W59" i="470" s="1"/>
  <c r="V58" i="470"/>
  <c r="W58" i="470" s="1"/>
  <c r="V57" i="470"/>
  <c r="W57" i="470" s="1"/>
  <c r="V56" i="470"/>
  <c r="W56" i="470" s="1"/>
  <c r="V55" i="470"/>
  <c r="W55" i="470" s="1"/>
  <c r="V54" i="470"/>
  <c r="W54" i="470" s="1"/>
  <c r="V53" i="470"/>
  <c r="W53" i="470" s="1"/>
  <c r="V52" i="470"/>
  <c r="W52" i="470" s="1"/>
  <c r="V51" i="470"/>
  <c r="W51" i="470" s="1"/>
  <c r="V50" i="470"/>
  <c r="W50" i="470" s="1"/>
  <c r="V49" i="470"/>
  <c r="W49" i="470" s="1"/>
  <c r="V48" i="470"/>
  <c r="W48" i="470" s="1"/>
  <c r="W47" i="470"/>
  <c r="V47" i="470"/>
  <c r="V46" i="470"/>
  <c r="W46" i="470" s="1"/>
  <c r="V45" i="470"/>
  <c r="W45" i="470" s="1"/>
  <c r="V44" i="470"/>
  <c r="W44" i="470" s="1"/>
  <c r="V43" i="470"/>
  <c r="W43" i="470" s="1"/>
  <c r="V42" i="470"/>
  <c r="W42" i="470" s="1"/>
  <c r="V41" i="470"/>
  <c r="W41" i="470" s="1"/>
  <c r="V38" i="470"/>
  <c r="W38" i="470" s="1"/>
  <c r="V37" i="470"/>
  <c r="W37" i="470" s="1"/>
  <c r="V36" i="470"/>
  <c r="W36" i="470" s="1"/>
  <c r="V35" i="470"/>
  <c r="W35" i="470" s="1"/>
  <c r="V34" i="470"/>
  <c r="W34" i="470" s="1"/>
  <c r="W33" i="470"/>
  <c r="V33" i="470"/>
  <c r="V30" i="470"/>
  <c r="W30" i="470" s="1"/>
  <c r="V29" i="470"/>
  <c r="W29" i="470" s="1"/>
  <c r="V28" i="470"/>
  <c r="W28" i="470" s="1"/>
  <c r="V27" i="470"/>
  <c r="W27" i="470" s="1"/>
  <c r="V26" i="470"/>
  <c r="W26" i="470" s="1"/>
  <c r="V25" i="470"/>
  <c r="W25" i="470" s="1"/>
  <c r="V24" i="470"/>
  <c r="W24" i="470" s="1"/>
  <c r="V23" i="470"/>
  <c r="W23" i="470" s="1"/>
  <c r="V22" i="470"/>
  <c r="W22" i="470" s="1"/>
  <c r="V21" i="470"/>
  <c r="W21" i="470" s="1"/>
  <c r="W20" i="470"/>
  <c r="V20" i="470"/>
  <c r="V19" i="470"/>
  <c r="W19" i="470" s="1"/>
  <c r="V18" i="470"/>
  <c r="W18" i="470" s="1"/>
  <c r="V17" i="470"/>
  <c r="W17" i="470" s="1"/>
  <c r="V16" i="470"/>
  <c r="W16" i="470" s="1"/>
  <c r="V15" i="470"/>
  <c r="W15" i="470" s="1"/>
  <c r="V12" i="470"/>
  <c r="W12" i="470" s="1"/>
  <c r="V11" i="470"/>
  <c r="V10" i="470"/>
  <c r="W11" i="470"/>
  <c r="W10" i="470"/>
  <c r="V9" i="470"/>
  <c r="W9" i="470" s="1"/>
  <c r="J111" i="470"/>
  <c r="M111" i="470"/>
  <c r="S111" i="470"/>
  <c r="U110" i="470"/>
  <c r="U109" i="470"/>
  <c r="U108" i="470"/>
  <c r="U107" i="470"/>
  <c r="U106" i="470"/>
  <c r="U105" i="470"/>
  <c r="U102" i="470"/>
  <c r="U103" i="470" s="1"/>
  <c r="U99" i="470"/>
  <c r="U98" i="470"/>
  <c r="U97" i="470"/>
  <c r="U96" i="470"/>
  <c r="U95" i="470"/>
  <c r="U94" i="470"/>
  <c r="U93" i="470"/>
  <c r="U92" i="470"/>
  <c r="U91" i="470"/>
  <c r="U90" i="470"/>
  <c r="U89" i="470"/>
  <c r="U88" i="470"/>
  <c r="U87" i="470"/>
  <c r="U86" i="470"/>
  <c r="U85" i="470"/>
  <c r="U84" i="470"/>
  <c r="S82" i="470"/>
  <c r="U81" i="470"/>
  <c r="U80" i="470"/>
  <c r="U79" i="470"/>
  <c r="U78" i="470"/>
  <c r="U77" i="470"/>
  <c r="U76" i="470"/>
  <c r="U75" i="470"/>
  <c r="U74" i="470"/>
  <c r="U73" i="470"/>
  <c r="U72" i="470"/>
  <c r="U71" i="470"/>
  <c r="U70" i="470"/>
  <c r="U69" i="470"/>
  <c r="U68" i="470"/>
  <c r="U67" i="470"/>
  <c r="U66" i="470"/>
  <c r="U65" i="470"/>
  <c r="U64" i="470"/>
  <c r="U63" i="470"/>
  <c r="U62" i="470"/>
  <c r="U61" i="470"/>
  <c r="U60" i="470"/>
  <c r="U59" i="470"/>
  <c r="U58" i="470"/>
  <c r="U57" i="470"/>
  <c r="U56" i="470"/>
  <c r="U55" i="470"/>
  <c r="U54" i="470"/>
  <c r="U53" i="470"/>
  <c r="U52" i="470"/>
  <c r="U51" i="470"/>
  <c r="U50" i="470"/>
  <c r="U49" i="470"/>
  <c r="U48" i="470"/>
  <c r="U47" i="470"/>
  <c r="U46" i="470"/>
  <c r="U45" i="470"/>
  <c r="U44" i="470"/>
  <c r="U43" i="470"/>
  <c r="U42" i="470"/>
  <c r="U41" i="470"/>
  <c r="J31" i="470"/>
  <c r="M31" i="470"/>
  <c r="S31" i="470"/>
  <c r="U30" i="470"/>
  <c r="U29" i="470"/>
  <c r="U28" i="470"/>
  <c r="U27" i="470"/>
  <c r="U26" i="470"/>
  <c r="U25" i="470"/>
  <c r="U24" i="470"/>
  <c r="U23" i="470"/>
  <c r="U22" i="470"/>
  <c r="U21" i="470"/>
  <c r="U20" i="470"/>
  <c r="U19" i="470"/>
  <c r="U18" i="470"/>
  <c r="U17" i="470"/>
  <c r="U16" i="470"/>
  <c r="U15" i="470"/>
  <c r="J13" i="470"/>
  <c r="M13" i="470"/>
  <c r="S13" i="470"/>
  <c r="U10" i="470"/>
  <c r="U11" i="470"/>
  <c r="U12" i="470"/>
  <c r="U9" i="470"/>
  <c r="U82" i="470" l="1"/>
  <c r="U111" i="470"/>
  <c r="U100" i="470"/>
  <c r="U13" i="470"/>
  <c r="U31" i="470"/>
  <c r="AB31" i="470" s="1"/>
  <c r="W39" i="470"/>
  <c r="T113" i="470"/>
  <c r="R113" i="470"/>
  <c r="L113" i="470"/>
  <c r="I113" i="470"/>
  <c r="W111" i="470"/>
  <c r="W100" i="470"/>
  <c r="W82" i="470"/>
  <c r="W31" i="470"/>
  <c r="W13" i="470"/>
  <c r="V113" i="470" l="1"/>
  <c r="O34" i="36"/>
  <c r="O36" i="36" s="1"/>
  <c r="O35" i="36"/>
  <c r="H17" i="206" l="1"/>
  <c r="AZ23" i="454" l="1"/>
  <c r="AZ22" i="454"/>
  <c r="N20" i="462" l="1"/>
  <c r="N19" i="462"/>
  <c r="N22" i="462" s="1"/>
  <c r="O22" i="462"/>
  <c r="N21" i="462"/>
  <c r="P19" i="462"/>
  <c r="O20" i="462" s="1"/>
  <c r="P20" i="462" s="1"/>
  <c r="O21" i="462" s="1"/>
  <c r="P11" i="462"/>
  <c r="O12" i="462" s="1"/>
  <c r="P12" i="462" s="1"/>
  <c r="O13" i="462" s="1"/>
  <c r="P13" i="462" s="1"/>
  <c r="O14" i="462" s="1"/>
  <c r="P14" i="462" s="1"/>
  <c r="O15" i="462" s="1"/>
  <c r="P15" i="462" s="1"/>
  <c r="O16" i="462" s="1"/>
  <c r="P16" i="462" s="1"/>
  <c r="O17" i="462" s="1"/>
  <c r="P17" i="462" s="1"/>
  <c r="P21" i="462" l="1"/>
  <c r="P22" i="462" s="1"/>
  <c r="AW23" i="454" l="1"/>
  <c r="AW24" i="454" s="1"/>
  <c r="H14" i="206" l="1"/>
  <c r="G45" i="458" l="1"/>
  <c r="AW75" i="454"/>
  <c r="A965" i="440" l="1"/>
  <c r="A920" i="440"/>
  <c r="A6" i="438"/>
  <c r="G58" i="469" l="1"/>
  <c r="B58" i="469"/>
  <c r="G57" i="469"/>
  <c r="B57" i="469"/>
  <c r="B11" i="469"/>
  <c r="G11" i="469" s="1"/>
  <c r="H11" i="469" s="1"/>
  <c r="F12" i="469" s="1"/>
  <c r="G10" i="469"/>
  <c r="H10" i="469" s="1"/>
  <c r="I6" i="469"/>
  <c r="E6" i="469"/>
  <c r="E5" i="469"/>
  <c r="T128" i="468" l="1"/>
  <c r="K128" i="468"/>
  <c r="T127" i="468"/>
  <c r="K127" i="468"/>
  <c r="T126" i="468"/>
  <c r="K126" i="468"/>
  <c r="G126" i="468"/>
  <c r="AA123" i="468"/>
  <c r="Y114" i="468"/>
  <c r="Z113" i="468"/>
  <c r="Y113" i="468"/>
  <c r="Y112" i="468"/>
  <c r="M111" i="468"/>
  <c r="L111" i="468"/>
  <c r="J111" i="468"/>
  <c r="M110" i="468"/>
  <c r="L110" i="468"/>
  <c r="J110" i="468"/>
  <c r="M109" i="468"/>
  <c r="L109" i="468"/>
  <c r="J109" i="468"/>
  <c r="M108" i="468"/>
  <c r="L108" i="468"/>
  <c r="J108" i="468"/>
  <c r="M107" i="468"/>
  <c r="L107" i="468"/>
  <c r="J107" i="468"/>
  <c r="M106" i="468"/>
  <c r="L106" i="468"/>
  <c r="J106" i="468"/>
  <c r="D106" i="468"/>
  <c r="D107" i="468" s="1"/>
  <c r="D108" i="468" s="1"/>
  <c r="D109" i="468" s="1"/>
  <c r="D110" i="468" s="1"/>
  <c r="D111" i="468" s="1"/>
  <c r="Z105" i="468"/>
  <c r="Y105" i="468"/>
  <c r="B105" i="468"/>
  <c r="Y104" i="468"/>
  <c r="B104" i="468"/>
  <c r="M103" i="468"/>
  <c r="M104" i="468" s="1"/>
  <c r="L103" i="468"/>
  <c r="J103" i="468"/>
  <c r="J104" i="468" s="1"/>
  <c r="D103" i="468"/>
  <c r="Z102" i="468"/>
  <c r="Y102" i="468"/>
  <c r="B102" i="468"/>
  <c r="AB101" i="468"/>
  <c r="Y101" i="468"/>
  <c r="B101" i="468"/>
  <c r="M100" i="468"/>
  <c r="L100" i="468"/>
  <c r="J100" i="468"/>
  <c r="M99" i="468"/>
  <c r="L99" i="468"/>
  <c r="J99" i="468"/>
  <c r="M98" i="468"/>
  <c r="L98" i="468"/>
  <c r="J98" i="468"/>
  <c r="M97" i="468"/>
  <c r="L97" i="468"/>
  <c r="J97" i="468"/>
  <c r="M96" i="468"/>
  <c r="L96" i="468"/>
  <c r="J96" i="468"/>
  <c r="M95" i="468"/>
  <c r="L95" i="468"/>
  <c r="J95" i="468"/>
  <c r="M94" i="468"/>
  <c r="L94" i="468"/>
  <c r="J94" i="468"/>
  <c r="M93" i="468"/>
  <c r="L93" i="468"/>
  <c r="J93" i="468"/>
  <c r="M92" i="468"/>
  <c r="L92" i="468"/>
  <c r="J92" i="468"/>
  <c r="M91" i="468"/>
  <c r="L91" i="468"/>
  <c r="J91" i="468"/>
  <c r="M90" i="468"/>
  <c r="L90" i="468"/>
  <c r="J90" i="468"/>
  <c r="M89" i="468"/>
  <c r="L89" i="468"/>
  <c r="J89" i="468"/>
  <c r="M88" i="468"/>
  <c r="L88" i="468"/>
  <c r="J88" i="468"/>
  <c r="M87" i="468"/>
  <c r="L87" i="468"/>
  <c r="J87" i="468"/>
  <c r="M86" i="468"/>
  <c r="L86" i="468"/>
  <c r="J86" i="468"/>
  <c r="M85" i="468"/>
  <c r="L85" i="468"/>
  <c r="J85" i="468"/>
  <c r="D85" i="468"/>
  <c r="D86" i="468" s="1"/>
  <c r="D87" i="468" s="1"/>
  <c r="D88" i="468" s="1"/>
  <c r="D89" i="468" s="1"/>
  <c r="D90" i="468" s="1"/>
  <c r="D91" i="468" s="1"/>
  <c r="D92" i="468" s="1"/>
  <c r="D93" i="468" s="1"/>
  <c r="D94" i="468" s="1"/>
  <c r="D95" i="468" s="1"/>
  <c r="D96" i="468" s="1"/>
  <c r="D97" i="468" s="1"/>
  <c r="D98" i="468" s="1"/>
  <c r="D99" i="468" s="1"/>
  <c r="D100" i="468" s="1"/>
  <c r="Z84" i="468"/>
  <c r="Y84" i="468"/>
  <c r="O84" i="468"/>
  <c r="B84" i="468"/>
  <c r="Y83" i="468"/>
  <c r="B83" i="468"/>
  <c r="Q82" i="468"/>
  <c r="M82" i="468"/>
  <c r="V82" i="468" s="1"/>
  <c r="L82" i="468"/>
  <c r="J82" i="468"/>
  <c r="B82" i="468"/>
  <c r="M81" i="468"/>
  <c r="L81" i="468"/>
  <c r="J81" i="468"/>
  <c r="M80" i="468"/>
  <c r="L80" i="468"/>
  <c r="J80" i="468"/>
  <c r="M79" i="468"/>
  <c r="L79" i="468"/>
  <c r="J79" i="468"/>
  <c r="M78" i="468"/>
  <c r="L78" i="468"/>
  <c r="J78" i="468"/>
  <c r="M77" i="468"/>
  <c r="L77" i="468"/>
  <c r="J77" i="468"/>
  <c r="M76" i="468"/>
  <c r="L76" i="468"/>
  <c r="J76" i="468"/>
  <c r="M75" i="468"/>
  <c r="L75" i="468"/>
  <c r="J75" i="468"/>
  <c r="M74" i="468"/>
  <c r="L74" i="468"/>
  <c r="J74" i="468"/>
  <c r="M73" i="468"/>
  <c r="L73" i="468"/>
  <c r="J73" i="468"/>
  <c r="M72" i="468"/>
  <c r="L72" i="468"/>
  <c r="J72" i="468"/>
  <c r="M71" i="468"/>
  <c r="L71" i="468"/>
  <c r="J71" i="468"/>
  <c r="M70" i="468"/>
  <c r="L70" i="468"/>
  <c r="J70" i="468"/>
  <c r="M69" i="468"/>
  <c r="L69" i="468"/>
  <c r="J69" i="468"/>
  <c r="M68" i="468"/>
  <c r="L68" i="468"/>
  <c r="J68" i="468"/>
  <c r="M67" i="468"/>
  <c r="L67" i="468"/>
  <c r="J67" i="468"/>
  <c r="M66" i="468"/>
  <c r="L66" i="468"/>
  <c r="J66" i="468"/>
  <c r="M65" i="468"/>
  <c r="L65" i="468"/>
  <c r="J65" i="468"/>
  <c r="M64" i="468"/>
  <c r="L64" i="468"/>
  <c r="J64" i="468"/>
  <c r="M63" i="468"/>
  <c r="L63" i="468"/>
  <c r="J63" i="468"/>
  <c r="M62" i="468"/>
  <c r="L62" i="468"/>
  <c r="J62" i="468"/>
  <c r="M61" i="468"/>
  <c r="L61" i="468"/>
  <c r="J61" i="468"/>
  <c r="M60" i="468"/>
  <c r="L60" i="468"/>
  <c r="J60" i="468"/>
  <c r="M59" i="468"/>
  <c r="L59" i="468"/>
  <c r="J59" i="468"/>
  <c r="M58" i="468"/>
  <c r="L58" i="468"/>
  <c r="J58" i="468"/>
  <c r="M57" i="468"/>
  <c r="L57" i="468"/>
  <c r="J57" i="468"/>
  <c r="M56" i="468"/>
  <c r="L56" i="468"/>
  <c r="J56" i="468"/>
  <c r="M55" i="468"/>
  <c r="L55" i="468"/>
  <c r="J55" i="468"/>
  <c r="M54" i="468"/>
  <c r="L54" i="468"/>
  <c r="J54" i="468"/>
  <c r="M53" i="468"/>
  <c r="L53" i="468"/>
  <c r="J53" i="468"/>
  <c r="M52" i="468"/>
  <c r="L52" i="468"/>
  <c r="J52" i="468"/>
  <c r="M51" i="468"/>
  <c r="L51" i="468"/>
  <c r="J51" i="468"/>
  <c r="M50" i="468"/>
  <c r="L50" i="468"/>
  <c r="J50" i="468"/>
  <c r="M49" i="468"/>
  <c r="L49" i="468"/>
  <c r="J49" i="468"/>
  <c r="M48" i="468"/>
  <c r="L48" i="468"/>
  <c r="J48" i="468"/>
  <c r="M47" i="468"/>
  <c r="L47" i="468"/>
  <c r="J47" i="468"/>
  <c r="M46" i="468"/>
  <c r="L46" i="468"/>
  <c r="J46" i="468"/>
  <c r="M45" i="468"/>
  <c r="L45" i="468"/>
  <c r="J45" i="468"/>
  <c r="M44" i="468"/>
  <c r="L44" i="468"/>
  <c r="J44" i="468"/>
  <c r="M43" i="468"/>
  <c r="L43" i="468"/>
  <c r="J43" i="468"/>
  <c r="AB42" i="468"/>
  <c r="M42" i="468"/>
  <c r="L42" i="468"/>
  <c r="J42" i="468"/>
  <c r="D42" i="468"/>
  <c r="D43" i="468" s="1"/>
  <c r="D44" i="468" s="1"/>
  <c r="D45" i="468" s="1"/>
  <c r="D46" i="468" s="1"/>
  <c r="D47" i="468" s="1"/>
  <c r="D48" i="468" s="1"/>
  <c r="D49" i="468" s="1"/>
  <c r="D50" i="468" s="1"/>
  <c r="D51" i="468" s="1"/>
  <c r="D52" i="468" s="1"/>
  <c r="D53" i="468" s="1"/>
  <c r="D54" i="468" s="1"/>
  <c r="D55" i="468" s="1"/>
  <c r="D56" i="468" s="1"/>
  <c r="D57" i="468" s="1"/>
  <c r="D58" i="468" s="1"/>
  <c r="D59" i="468" s="1"/>
  <c r="D60" i="468" s="1"/>
  <c r="D61" i="468" s="1"/>
  <c r="D62" i="468" s="1"/>
  <c r="D63" i="468" s="1"/>
  <c r="D64" i="468" s="1"/>
  <c r="D65" i="468" s="1"/>
  <c r="D66" i="468" s="1"/>
  <c r="D67" i="468" s="1"/>
  <c r="D68" i="468" s="1"/>
  <c r="D69" i="468" s="1"/>
  <c r="D70" i="468" s="1"/>
  <c r="D71" i="468" s="1"/>
  <c r="D72" i="468" s="1"/>
  <c r="D73" i="468" s="1"/>
  <c r="D74" i="468" s="1"/>
  <c r="D75" i="468" s="1"/>
  <c r="D76" i="468" s="1"/>
  <c r="D77" i="468" s="1"/>
  <c r="D78" i="468" s="1"/>
  <c r="D79" i="468" s="1"/>
  <c r="D80" i="468" s="1"/>
  <c r="D81" i="468" s="1"/>
  <c r="D82" i="468" s="1"/>
  <c r="AB41" i="468"/>
  <c r="Z41" i="468"/>
  <c r="Y41" i="468"/>
  <c r="B41" i="468"/>
  <c r="AB40" i="468"/>
  <c r="Y40" i="468"/>
  <c r="B40" i="468"/>
  <c r="M39" i="468"/>
  <c r="L39" i="468"/>
  <c r="J39" i="468"/>
  <c r="M38" i="468"/>
  <c r="L38" i="468"/>
  <c r="J38" i="468"/>
  <c r="M37" i="468"/>
  <c r="L37" i="468"/>
  <c r="J37" i="468"/>
  <c r="M36" i="468"/>
  <c r="L36" i="468"/>
  <c r="J36" i="468"/>
  <c r="M35" i="468"/>
  <c r="L35" i="468"/>
  <c r="J35" i="468"/>
  <c r="M34" i="468"/>
  <c r="L34" i="468"/>
  <c r="J34" i="468"/>
  <c r="D34" i="468"/>
  <c r="D35" i="468" s="1"/>
  <c r="D36" i="468" s="1"/>
  <c r="D37" i="468" s="1"/>
  <c r="D38" i="468" s="1"/>
  <c r="D39" i="468" s="1"/>
  <c r="Z33" i="468"/>
  <c r="Y33" i="468"/>
  <c r="B33" i="468"/>
  <c r="AE32" i="468"/>
  <c r="Y32" i="468"/>
  <c r="B32" i="468"/>
  <c r="M31" i="468"/>
  <c r="L31" i="468"/>
  <c r="J31" i="468"/>
  <c r="M30" i="468"/>
  <c r="L30" i="468"/>
  <c r="J30" i="468"/>
  <c r="M29" i="468"/>
  <c r="L29" i="468"/>
  <c r="J29" i="468"/>
  <c r="M28" i="468"/>
  <c r="L28" i="468"/>
  <c r="J28" i="468"/>
  <c r="M27" i="468"/>
  <c r="L27" i="468"/>
  <c r="J27" i="468"/>
  <c r="AA26" i="468"/>
  <c r="AB26" i="468" s="1"/>
  <c r="M26" i="468"/>
  <c r="L26" i="468"/>
  <c r="J26" i="468"/>
  <c r="M25" i="468"/>
  <c r="L25" i="468"/>
  <c r="J25" i="468"/>
  <c r="AJ24" i="468"/>
  <c r="AI24" i="468"/>
  <c r="AH24" i="468"/>
  <c r="M24" i="468"/>
  <c r="L24" i="468"/>
  <c r="J24" i="468"/>
  <c r="M23" i="468"/>
  <c r="L23" i="468"/>
  <c r="J23" i="468"/>
  <c r="M22" i="468"/>
  <c r="L22" i="468"/>
  <c r="J22" i="468"/>
  <c r="M21" i="468"/>
  <c r="L21" i="468"/>
  <c r="J21" i="468"/>
  <c r="M20" i="468"/>
  <c r="L20" i="468"/>
  <c r="J20" i="468"/>
  <c r="M19" i="468"/>
  <c r="L19" i="468"/>
  <c r="J19" i="468"/>
  <c r="X18" i="468"/>
  <c r="M18" i="468"/>
  <c r="L18" i="468"/>
  <c r="J18" i="468"/>
  <c r="X17" i="468"/>
  <c r="M17" i="468"/>
  <c r="L17" i="468"/>
  <c r="J17" i="468"/>
  <c r="M16" i="468"/>
  <c r="L16" i="468"/>
  <c r="J16" i="468"/>
  <c r="D16" i="468"/>
  <c r="D17" i="468" s="1"/>
  <c r="D18" i="468" s="1"/>
  <c r="D19" i="468" s="1"/>
  <c r="D20" i="468" s="1"/>
  <c r="D21" i="468" s="1"/>
  <c r="D22" i="468" s="1"/>
  <c r="D23" i="468" s="1"/>
  <c r="D24" i="468" s="1"/>
  <c r="D25" i="468" s="1"/>
  <c r="D26" i="468" s="1"/>
  <c r="D27" i="468" s="1"/>
  <c r="D28" i="468" s="1"/>
  <c r="D29" i="468" s="1"/>
  <c r="D30" i="468" s="1"/>
  <c r="D31" i="468" s="1"/>
  <c r="Z15" i="468"/>
  <c r="B15" i="468"/>
  <c r="B14" i="468"/>
  <c r="M13" i="468"/>
  <c r="L13" i="468"/>
  <c r="J13" i="468"/>
  <c r="AA12" i="468"/>
  <c r="AA13" i="468" s="1"/>
  <c r="M12" i="468"/>
  <c r="L12" i="468"/>
  <c r="J12" i="468"/>
  <c r="M11" i="468"/>
  <c r="L11" i="468"/>
  <c r="J11" i="468"/>
  <c r="M10" i="468"/>
  <c r="L10" i="468"/>
  <c r="J10" i="468"/>
  <c r="J14" i="468" s="1"/>
  <c r="D10" i="468"/>
  <c r="D11" i="468" s="1"/>
  <c r="D12" i="468" s="1"/>
  <c r="D13" i="468" s="1"/>
  <c r="D14" i="468" s="1"/>
  <c r="G59" i="467"/>
  <c r="B59" i="467"/>
  <c r="G58" i="467"/>
  <c r="B58" i="467"/>
  <c r="L18" i="467"/>
  <c r="B11" i="467"/>
  <c r="G11" i="467" s="1"/>
  <c r="H11" i="467" s="1"/>
  <c r="F12" i="467" s="1"/>
  <c r="G10" i="467"/>
  <c r="H10" i="467" s="1"/>
  <c r="I6" i="467"/>
  <c r="E6" i="467"/>
  <c r="E5" i="467"/>
  <c r="M101" i="468" l="1"/>
  <c r="J112" i="468"/>
  <c r="J40" i="468"/>
  <c r="M83" i="468"/>
  <c r="J32" i="468"/>
  <c r="M112" i="468"/>
  <c r="M32" i="468"/>
  <c r="J101" i="468"/>
  <c r="M40" i="468"/>
  <c r="J83" i="468"/>
  <c r="I114" i="468" s="1"/>
  <c r="J1" i="468" s="1"/>
  <c r="M14" i="468"/>
  <c r="L114" i="468" l="1"/>
  <c r="G58" i="466" l="1"/>
  <c r="B58" i="466"/>
  <c r="G57" i="466"/>
  <c r="B57" i="466"/>
  <c r="L18" i="466"/>
  <c r="B11" i="466"/>
  <c r="G11" i="466" s="1"/>
  <c r="H11" i="466" s="1"/>
  <c r="F12" i="466" s="1"/>
  <c r="G10" i="466"/>
  <c r="H10" i="466" s="1"/>
  <c r="I6" i="466"/>
  <c r="E6" i="466"/>
  <c r="E5" i="466"/>
  <c r="G59" i="465"/>
  <c r="B59" i="465"/>
  <c r="G58" i="465"/>
  <c r="B58" i="465"/>
  <c r="O18" i="465"/>
  <c r="J18" i="465"/>
  <c r="B11" i="465"/>
  <c r="G11" i="465" s="1"/>
  <c r="H11" i="465" s="1"/>
  <c r="F12" i="465" s="1"/>
  <c r="G10" i="465"/>
  <c r="H10" i="465" s="1"/>
  <c r="I6" i="465"/>
  <c r="E6" i="465"/>
  <c r="E5" i="465"/>
  <c r="G59" i="464" l="1"/>
  <c r="B59" i="464"/>
  <c r="G58" i="464"/>
  <c r="B58" i="464"/>
  <c r="O18" i="464"/>
  <c r="J18" i="464"/>
  <c r="B11" i="464"/>
  <c r="G11" i="464" s="1"/>
  <c r="H11" i="464" s="1"/>
  <c r="F12" i="464" s="1"/>
  <c r="G10" i="464"/>
  <c r="H10" i="464" s="1"/>
  <c r="I6" i="464"/>
  <c r="E6" i="464"/>
  <c r="E5" i="464"/>
  <c r="AE32" i="455" l="1"/>
  <c r="AA26" i="455"/>
  <c r="AB26" i="455" s="1"/>
  <c r="AA12" i="455"/>
  <c r="AA13" i="455" s="1"/>
  <c r="AW22" i="454" l="1"/>
  <c r="AX22" i="454" l="1"/>
  <c r="AX23" i="454"/>
  <c r="L18" i="458" l="1"/>
  <c r="H51" i="462"/>
  <c r="L40" i="36"/>
  <c r="E13" i="206"/>
  <c r="E12" i="206"/>
  <c r="H12" i="206"/>
  <c r="J14" i="421"/>
  <c r="J12" i="421"/>
  <c r="D8" i="430"/>
  <c r="D8" i="37"/>
  <c r="J8" i="37" s="1"/>
  <c r="E7" i="36"/>
  <c r="D11" i="36" s="1"/>
  <c r="N11" i="421"/>
  <c r="L11" i="421"/>
  <c r="J27" i="421"/>
  <c r="J26" i="421"/>
  <c r="J25" i="421"/>
  <c r="J24" i="421"/>
  <c r="J23" i="421"/>
  <c r="J22" i="421"/>
  <c r="J20" i="421"/>
  <c r="J19" i="421"/>
  <c r="J18" i="421"/>
  <c r="J17" i="421"/>
  <c r="J16" i="421"/>
  <c r="J15" i="421"/>
  <c r="J13" i="421"/>
  <c r="J8" i="430"/>
  <c r="I11" i="430" s="1"/>
  <c r="AT24" i="454"/>
  <c r="C11" i="462" l="1"/>
  <c r="A25" i="437"/>
  <c r="A24" i="437"/>
  <c r="H16" i="206" l="1"/>
  <c r="G57" i="33"/>
  <c r="G56" i="33"/>
  <c r="B57" i="33"/>
  <c r="B56" i="33"/>
  <c r="G61" i="450"/>
  <c r="B61" i="450"/>
  <c r="G60" i="450"/>
  <c r="B60" i="450"/>
  <c r="G61" i="456"/>
  <c r="B61" i="456"/>
  <c r="G60" i="456"/>
  <c r="B60" i="456"/>
  <c r="G60" i="461"/>
  <c r="B60" i="461"/>
  <c r="G59" i="461"/>
  <c r="B59" i="461"/>
  <c r="G60" i="460"/>
  <c r="B60" i="460"/>
  <c r="G59" i="460"/>
  <c r="B59" i="460"/>
  <c r="G61" i="459"/>
  <c r="B61" i="459"/>
  <c r="G60" i="459"/>
  <c r="B60" i="459"/>
  <c r="G61" i="453"/>
  <c r="B61" i="453"/>
  <c r="G60" i="453"/>
  <c r="B60" i="453"/>
  <c r="G60" i="446"/>
  <c r="G59" i="446"/>
  <c r="B60" i="446"/>
  <c r="B59" i="446"/>
  <c r="M39" i="455"/>
  <c r="M38" i="455"/>
  <c r="M37" i="455"/>
  <c r="M36" i="455"/>
  <c r="M35" i="455"/>
  <c r="M34" i="455"/>
  <c r="J34" i="455"/>
  <c r="L106" i="455"/>
  <c r="O18" i="457" l="1"/>
  <c r="J18" i="457"/>
  <c r="J21" i="421" l="1"/>
  <c r="I11" i="421"/>
  <c r="O11" i="421" s="1"/>
  <c r="E12" i="421"/>
  <c r="E13" i="421" s="1"/>
  <c r="E14" i="421" s="1"/>
  <c r="E15" i="421" s="1"/>
  <c r="E16" i="421" s="1"/>
  <c r="E17" i="421" s="1"/>
  <c r="E18" i="421" s="1"/>
  <c r="E19" i="421" s="1"/>
  <c r="E20" i="421" s="1"/>
  <c r="E21" i="421" s="1"/>
  <c r="E22" i="421" s="1"/>
  <c r="E23" i="421" s="1"/>
  <c r="E24" i="421" s="1"/>
  <c r="E25" i="421" s="1"/>
  <c r="E26" i="421" s="1"/>
  <c r="E27" i="421" s="1"/>
  <c r="M21" i="454" l="1"/>
  <c r="P26" i="468" s="1"/>
  <c r="B26" i="468" l="1"/>
  <c r="Q26" i="468"/>
  <c r="V26" i="468" s="1"/>
  <c r="I41" i="462"/>
  <c r="I40" i="462"/>
  <c r="G41" i="462"/>
  <c r="G40" i="462"/>
  <c r="D52" i="462"/>
  <c r="A52" i="462"/>
  <c r="A51" i="462"/>
  <c r="K21" i="462"/>
  <c r="D13" i="429"/>
  <c r="C8" i="462" l="1"/>
  <c r="C3" i="462"/>
  <c r="G4" i="468" s="1"/>
  <c r="K15" i="462"/>
  <c r="D12" i="462"/>
  <c r="D19" i="462" s="1"/>
  <c r="C30" i="462" l="1"/>
  <c r="O27" i="462"/>
  <c r="O28" i="462"/>
  <c r="D16" i="462"/>
  <c r="D18" i="462"/>
  <c r="F3" i="421"/>
  <c r="C5" i="206"/>
  <c r="G4" i="455"/>
  <c r="D24" i="462"/>
  <c r="G56" i="458"/>
  <c r="B56" i="458"/>
  <c r="G55" i="458"/>
  <c r="B55" i="458"/>
  <c r="G61" i="457"/>
  <c r="G60" i="457"/>
  <c r="B61" i="457"/>
  <c r="B60" i="457"/>
  <c r="D20" i="462" l="1"/>
  <c r="F12" i="418" s="1"/>
  <c r="P28" i="462"/>
  <c r="D30" i="462"/>
  <c r="H15" i="206"/>
  <c r="D7" i="429"/>
  <c r="B27" i="418"/>
  <c r="B26" i="418"/>
  <c r="B25" i="418"/>
  <c r="J31" i="206"/>
  <c r="J30" i="206"/>
  <c r="J29" i="206"/>
  <c r="F31" i="206"/>
  <c r="F30" i="206"/>
  <c r="F29" i="206"/>
  <c r="B30" i="206"/>
  <c r="B29" i="206"/>
  <c r="D39" i="421"/>
  <c r="E38" i="421"/>
  <c r="E37" i="421"/>
  <c r="B48" i="38"/>
  <c r="B47" i="38"/>
  <c r="B46" i="38"/>
  <c r="B51" i="430"/>
  <c r="D50" i="430"/>
  <c r="D49" i="430"/>
  <c r="B55" i="37"/>
  <c r="B53" i="37"/>
  <c r="B42" i="36"/>
  <c r="B41" i="36"/>
  <c r="B54" i="37" s="1"/>
  <c r="B40" i="36"/>
  <c r="B41" i="455"/>
  <c r="B40" i="455"/>
  <c r="A13" i="36"/>
  <c r="A14" i="36" s="1"/>
  <c r="A15" i="36" s="1"/>
  <c r="A16" i="36" s="1"/>
  <c r="A17" i="36" s="1"/>
  <c r="A18" i="36" s="1"/>
  <c r="A19" i="36" s="1"/>
  <c r="B11" i="461"/>
  <c r="G11" i="461" s="1"/>
  <c r="H11" i="461" s="1"/>
  <c r="F12" i="461" s="1"/>
  <c r="G10" i="461"/>
  <c r="H10" i="461" s="1"/>
  <c r="I6" i="461"/>
  <c r="E6" i="461"/>
  <c r="E5" i="461"/>
  <c r="B11" i="460"/>
  <c r="G11" i="460" s="1"/>
  <c r="H11" i="460" s="1"/>
  <c r="F12" i="460" s="1"/>
  <c r="G10" i="460"/>
  <c r="H10" i="460" s="1"/>
  <c r="I6" i="460"/>
  <c r="E6" i="460"/>
  <c r="E5" i="460"/>
  <c r="B11" i="459"/>
  <c r="G11" i="459" s="1"/>
  <c r="H11" i="459" s="1"/>
  <c r="F12" i="459" s="1"/>
  <c r="G10" i="459"/>
  <c r="H10" i="459" s="1"/>
  <c r="I6" i="459"/>
  <c r="E6" i="459"/>
  <c r="E5" i="459"/>
  <c r="B11" i="458"/>
  <c r="G11" i="458" s="1"/>
  <c r="H11" i="458" s="1"/>
  <c r="F12" i="458" s="1"/>
  <c r="G10" i="458"/>
  <c r="H10" i="458" s="1"/>
  <c r="I6" i="458"/>
  <c r="E6" i="458"/>
  <c r="E5" i="458"/>
  <c r="I6" i="457"/>
  <c r="B11" i="457"/>
  <c r="G11" i="457" s="1"/>
  <c r="H11" i="457" s="1"/>
  <c r="F12" i="457" s="1"/>
  <c r="G10" i="457"/>
  <c r="H10" i="457" s="1"/>
  <c r="E6" i="457"/>
  <c r="E5" i="457"/>
  <c r="B11" i="456"/>
  <c r="G11" i="456" s="1"/>
  <c r="G10" i="456"/>
  <c r="H10" i="456" s="1"/>
  <c r="I6" i="456"/>
  <c r="E6" i="456"/>
  <c r="E5" i="456"/>
  <c r="G10" i="33"/>
  <c r="B11" i="33"/>
  <c r="G11" i="33" s="1"/>
  <c r="I6" i="450"/>
  <c r="E6" i="450"/>
  <c r="E5" i="450"/>
  <c r="I6" i="453"/>
  <c r="E6" i="453"/>
  <c r="E5" i="453"/>
  <c r="I6" i="446"/>
  <c r="E6" i="446"/>
  <c r="E5" i="446"/>
  <c r="I6" i="33"/>
  <c r="E6" i="33"/>
  <c r="E5" i="33"/>
  <c r="AQ96" i="454"/>
  <c r="O94" i="454"/>
  <c r="O96" i="454"/>
  <c r="O97" i="454"/>
  <c r="O98" i="454"/>
  <c r="O99" i="454"/>
  <c r="O100" i="454"/>
  <c r="O101" i="454"/>
  <c r="O92" i="454"/>
  <c r="O77" i="454"/>
  <c r="O78" i="454"/>
  <c r="O79" i="454"/>
  <c r="O80" i="454"/>
  <c r="O81" i="454"/>
  <c r="O82" i="454"/>
  <c r="O83" i="454"/>
  <c r="O84" i="454"/>
  <c r="O85" i="454"/>
  <c r="O86" i="454"/>
  <c r="O87" i="454"/>
  <c r="O88" i="454"/>
  <c r="O89" i="454"/>
  <c r="O90" i="454"/>
  <c r="O91" i="454"/>
  <c r="O35" i="454"/>
  <c r="O36" i="454"/>
  <c r="O37" i="454"/>
  <c r="O38" i="454"/>
  <c r="O39" i="454"/>
  <c r="O40" i="454"/>
  <c r="O41" i="454"/>
  <c r="O42" i="454"/>
  <c r="O43" i="454"/>
  <c r="O44" i="454"/>
  <c r="O45" i="454"/>
  <c r="O46" i="454"/>
  <c r="O47" i="454"/>
  <c r="O48" i="454"/>
  <c r="O49" i="454"/>
  <c r="O50" i="454"/>
  <c r="O51" i="454"/>
  <c r="O52" i="454"/>
  <c r="O53" i="454"/>
  <c r="O54" i="454"/>
  <c r="O55" i="454"/>
  <c r="O56" i="454"/>
  <c r="O57" i="454"/>
  <c r="O58" i="454"/>
  <c r="O59" i="454"/>
  <c r="O60" i="454"/>
  <c r="O61" i="454"/>
  <c r="O62" i="454"/>
  <c r="O63" i="454"/>
  <c r="O64" i="454"/>
  <c r="O65" i="454"/>
  <c r="O66" i="454"/>
  <c r="O67" i="454"/>
  <c r="O68" i="454"/>
  <c r="O69" i="454"/>
  <c r="O70" i="454"/>
  <c r="O71" i="454"/>
  <c r="O72" i="454"/>
  <c r="O73" i="454"/>
  <c r="O74" i="454"/>
  <c r="O75" i="454"/>
  <c r="O33" i="454"/>
  <c r="O28" i="454"/>
  <c r="O29" i="454"/>
  <c r="O30" i="454"/>
  <c r="O31" i="454"/>
  <c r="O32" i="454"/>
  <c r="O26" i="454"/>
  <c r="O11" i="454"/>
  <c r="O12" i="454"/>
  <c r="O13" i="454"/>
  <c r="O14" i="454"/>
  <c r="O15" i="454"/>
  <c r="O16" i="454"/>
  <c r="O17" i="454"/>
  <c r="O18" i="454"/>
  <c r="O19" i="454"/>
  <c r="O20" i="454"/>
  <c r="O21" i="454"/>
  <c r="O22" i="454"/>
  <c r="O23" i="454"/>
  <c r="O24" i="454"/>
  <c r="O25" i="454"/>
  <c r="O9" i="454"/>
  <c r="O7" i="454"/>
  <c r="O8" i="454"/>
  <c r="M61" i="454"/>
  <c r="P68" i="468" s="1"/>
  <c r="M6" i="454"/>
  <c r="P10" i="468" s="1"/>
  <c r="F10" i="418" l="1"/>
  <c r="F7" i="418"/>
  <c r="F11" i="418"/>
  <c r="B68" i="468"/>
  <c r="Q68" i="468"/>
  <c r="V68" i="468" s="1"/>
  <c r="B10" i="468"/>
  <c r="Q10" i="468"/>
  <c r="B19" i="37"/>
  <c r="A20" i="36"/>
  <c r="B20" i="430" s="1"/>
  <c r="B12" i="33"/>
  <c r="B13" i="33" s="1"/>
  <c r="F11" i="456"/>
  <c r="V10" i="468" l="1"/>
  <c r="C10" i="468"/>
  <c r="A10" i="468" s="1"/>
  <c r="A21" i="36"/>
  <c r="A22" i="36" s="1"/>
  <c r="B20" i="37"/>
  <c r="G12" i="33"/>
  <c r="B14" i="33"/>
  <c r="G13" i="33"/>
  <c r="H11" i="456"/>
  <c r="B21" i="37" l="1"/>
  <c r="B15" i="33"/>
  <c r="G14" i="33"/>
  <c r="A23" i="36"/>
  <c r="B22" i="37"/>
  <c r="F12" i="456"/>
  <c r="A24" i="36" l="1"/>
  <c r="B23" i="37"/>
  <c r="B16" i="33"/>
  <c r="B17" i="33" l="1"/>
  <c r="G16" i="33"/>
  <c r="A25" i="36"/>
  <c r="B24" i="37"/>
  <c r="A26" i="36" l="1"/>
  <c r="B25" i="37"/>
  <c r="B18" i="33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G17" i="33"/>
  <c r="A27" i="36" l="1"/>
  <c r="B26" i="37"/>
  <c r="A28" i="36" l="1"/>
  <c r="B27" i="37"/>
  <c r="J111" i="455"/>
  <c r="L111" i="455"/>
  <c r="M111" i="455"/>
  <c r="M106" i="455"/>
  <c r="M107" i="455"/>
  <c r="M108" i="455"/>
  <c r="M109" i="455"/>
  <c r="J109" i="455"/>
  <c r="A29" i="36" l="1"/>
  <c r="B28" i="37"/>
  <c r="A30" i="36" l="1"/>
  <c r="B30" i="37" s="1"/>
  <c r="B29" i="37"/>
  <c r="J28" i="454"/>
  <c r="J29" i="454"/>
  <c r="J30" i="454"/>
  <c r="J31" i="454"/>
  <c r="J32" i="454"/>
  <c r="J33" i="454"/>
  <c r="J26" i="454"/>
  <c r="J96" i="454"/>
  <c r="J97" i="454"/>
  <c r="J98" i="454"/>
  <c r="J99" i="454"/>
  <c r="J100" i="454"/>
  <c r="J101" i="454"/>
  <c r="M110" i="455"/>
  <c r="M112" i="455" s="1"/>
  <c r="J27" i="454" l="1"/>
  <c r="T128" i="455"/>
  <c r="K128" i="455"/>
  <c r="T127" i="455"/>
  <c r="K127" i="455"/>
  <c r="T126" i="455"/>
  <c r="K126" i="455"/>
  <c r="G126" i="455"/>
  <c r="AA123" i="455"/>
  <c r="L110" i="455"/>
  <c r="J110" i="455"/>
  <c r="L109" i="455"/>
  <c r="L108" i="455"/>
  <c r="J108" i="455"/>
  <c r="L107" i="455"/>
  <c r="J107" i="455"/>
  <c r="J106" i="455"/>
  <c r="D106" i="455"/>
  <c r="D107" i="455" s="1"/>
  <c r="D108" i="455" s="1"/>
  <c r="D109" i="455" s="1"/>
  <c r="D110" i="455" s="1"/>
  <c r="D111" i="455" s="1"/>
  <c r="B105" i="455"/>
  <c r="B104" i="455"/>
  <c r="M103" i="455"/>
  <c r="L103" i="455"/>
  <c r="J103" i="455"/>
  <c r="J104" i="455" s="1"/>
  <c r="D103" i="455"/>
  <c r="B102" i="455"/>
  <c r="AB101" i="455"/>
  <c r="B101" i="455"/>
  <c r="M100" i="455"/>
  <c r="L100" i="455"/>
  <c r="J100" i="455"/>
  <c r="M99" i="455"/>
  <c r="L99" i="455"/>
  <c r="J99" i="455"/>
  <c r="M98" i="455"/>
  <c r="L98" i="455"/>
  <c r="J98" i="455"/>
  <c r="M97" i="455"/>
  <c r="L97" i="455"/>
  <c r="J97" i="455"/>
  <c r="M96" i="455"/>
  <c r="L96" i="455"/>
  <c r="J96" i="455"/>
  <c r="M95" i="455"/>
  <c r="L95" i="455"/>
  <c r="J95" i="455"/>
  <c r="M94" i="455"/>
  <c r="L94" i="455"/>
  <c r="J94" i="455"/>
  <c r="M93" i="455"/>
  <c r="L93" i="455"/>
  <c r="J93" i="455"/>
  <c r="M92" i="455"/>
  <c r="L92" i="455"/>
  <c r="J92" i="455"/>
  <c r="M91" i="455"/>
  <c r="L91" i="455"/>
  <c r="J91" i="455"/>
  <c r="M90" i="455"/>
  <c r="L90" i="455"/>
  <c r="J90" i="455"/>
  <c r="M89" i="455"/>
  <c r="L89" i="455"/>
  <c r="J89" i="455"/>
  <c r="M88" i="455"/>
  <c r="L88" i="455"/>
  <c r="J88" i="455"/>
  <c r="M87" i="455"/>
  <c r="L87" i="455"/>
  <c r="J87" i="455"/>
  <c r="M86" i="455"/>
  <c r="L86" i="455"/>
  <c r="J86" i="455"/>
  <c r="M85" i="455"/>
  <c r="L85" i="455"/>
  <c r="J85" i="455"/>
  <c r="D85" i="455"/>
  <c r="D86" i="455" s="1"/>
  <c r="D87" i="455" s="1"/>
  <c r="D88" i="455" s="1"/>
  <c r="D89" i="455" s="1"/>
  <c r="D90" i="455" s="1"/>
  <c r="D91" i="455" s="1"/>
  <c r="D92" i="455" s="1"/>
  <c r="D93" i="455" s="1"/>
  <c r="D94" i="455" s="1"/>
  <c r="D95" i="455" s="1"/>
  <c r="D96" i="455" s="1"/>
  <c r="D97" i="455" s="1"/>
  <c r="D98" i="455" s="1"/>
  <c r="D99" i="455" s="1"/>
  <c r="D100" i="455" s="1"/>
  <c r="O84" i="455"/>
  <c r="B84" i="455"/>
  <c r="B83" i="455"/>
  <c r="M82" i="455"/>
  <c r="L82" i="455"/>
  <c r="J82" i="455"/>
  <c r="M81" i="455"/>
  <c r="L81" i="455"/>
  <c r="J81" i="455"/>
  <c r="M80" i="455"/>
  <c r="L80" i="455"/>
  <c r="J80" i="455"/>
  <c r="M79" i="455"/>
  <c r="L79" i="455"/>
  <c r="J79" i="455"/>
  <c r="M78" i="455"/>
  <c r="L78" i="455"/>
  <c r="J78" i="455"/>
  <c r="M77" i="455"/>
  <c r="L77" i="455"/>
  <c r="J77" i="455"/>
  <c r="M76" i="455"/>
  <c r="L76" i="455"/>
  <c r="J76" i="455"/>
  <c r="M75" i="455"/>
  <c r="L75" i="455"/>
  <c r="J75" i="455"/>
  <c r="M74" i="455"/>
  <c r="L74" i="455"/>
  <c r="J74" i="455"/>
  <c r="M73" i="455"/>
  <c r="L73" i="455"/>
  <c r="J73" i="455"/>
  <c r="M72" i="455"/>
  <c r="L72" i="455"/>
  <c r="J72" i="455"/>
  <c r="M71" i="455"/>
  <c r="L71" i="455"/>
  <c r="J71" i="455"/>
  <c r="M70" i="455"/>
  <c r="L70" i="455"/>
  <c r="J70" i="455"/>
  <c r="M69" i="455"/>
  <c r="L69" i="455"/>
  <c r="J69" i="455"/>
  <c r="M68" i="455"/>
  <c r="L68" i="455"/>
  <c r="J68" i="455"/>
  <c r="M67" i="455"/>
  <c r="L67" i="455"/>
  <c r="J67" i="455"/>
  <c r="M66" i="455"/>
  <c r="L66" i="455"/>
  <c r="J66" i="455"/>
  <c r="M65" i="455"/>
  <c r="L65" i="455"/>
  <c r="J65" i="455"/>
  <c r="M64" i="455"/>
  <c r="L64" i="455"/>
  <c r="J64" i="455"/>
  <c r="M63" i="455"/>
  <c r="L63" i="455"/>
  <c r="J63" i="455"/>
  <c r="M62" i="455"/>
  <c r="L62" i="455"/>
  <c r="J62" i="455"/>
  <c r="M61" i="455"/>
  <c r="L61" i="455"/>
  <c r="J61" i="455"/>
  <c r="M60" i="455"/>
  <c r="L60" i="455"/>
  <c r="J60" i="455"/>
  <c r="M59" i="455"/>
  <c r="L59" i="455"/>
  <c r="J59" i="455"/>
  <c r="M58" i="455"/>
  <c r="L58" i="455"/>
  <c r="J58" i="455"/>
  <c r="M57" i="455"/>
  <c r="L57" i="455"/>
  <c r="J57" i="455"/>
  <c r="M56" i="455"/>
  <c r="L56" i="455"/>
  <c r="J56" i="455"/>
  <c r="M55" i="455"/>
  <c r="L55" i="455"/>
  <c r="J55" i="455"/>
  <c r="M54" i="455"/>
  <c r="L54" i="455"/>
  <c r="J54" i="455"/>
  <c r="M53" i="455"/>
  <c r="L53" i="455"/>
  <c r="J53" i="455"/>
  <c r="M52" i="455"/>
  <c r="L52" i="455"/>
  <c r="J52" i="455"/>
  <c r="M51" i="455"/>
  <c r="L51" i="455"/>
  <c r="J51" i="455"/>
  <c r="M50" i="455"/>
  <c r="L50" i="455"/>
  <c r="J50" i="455"/>
  <c r="M49" i="455"/>
  <c r="L49" i="455"/>
  <c r="J49" i="455"/>
  <c r="M48" i="455"/>
  <c r="L48" i="455"/>
  <c r="J48" i="455"/>
  <c r="M47" i="455"/>
  <c r="L47" i="455"/>
  <c r="J47" i="455"/>
  <c r="M46" i="455"/>
  <c r="L46" i="455"/>
  <c r="J46" i="455"/>
  <c r="M45" i="455"/>
  <c r="L45" i="455"/>
  <c r="J45" i="455"/>
  <c r="M44" i="455"/>
  <c r="L44" i="455"/>
  <c r="J44" i="455"/>
  <c r="M43" i="455"/>
  <c r="L43" i="455"/>
  <c r="J43" i="455"/>
  <c r="AB42" i="455"/>
  <c r="M42" i="455"/>
  <c r="L42" i="455"/>
  <c r="J42" i="455"/>
  <c r="D42" i="455"/>
  <c r="D43" i="455" s="1"/>
  <c r="D44" i="455" s="1"/>
  <c r="D45" i="455" s="1"/>
  <c r="D46" i="455" s="1"/>
  <c r="D47" i="455" s="1"/>
  <c r="D48" i="455" s="1"/>
  <c r="D49" i="455" s="1"/>
  <c r="D50" i="455" s="1"/>
  <c r="D51" i="455" s="1"/>
  <c r="D52" i="455" s="1"/>
  <c r="D53" i="455" s="1"/>
  <c r="D54" i="455" s="1"/>
  <c r="D55" i="455" s="1"/>
  <c r="D56" i="455" s="1"/>
  <c r="D57" i="455" s="1"/>
  <c r="D58" i="455" s="1"/>
  <c r="D59" i="455" s="1"/>
  <c r="D60" i="455" s="1"/>
  <c r="D61" i="455" s="1"/>
  <c r="D62" i="455" s="1"/>
  <c r="D63" i="455" s="1"/>
  <c r="D64" i="455" s="1"/>
  <c r="D65" i="455" s="1"/>
  <c r="D66" i="455" s="1"/>
  <c r="D67" i="455" s="1"/>
  <c r="D68" i="455" s="1"/>
  <c r="D69" i="455" s="1"/>
  <c r="D70" i="455" s="1"/>
  <c r="D71" i="455" s="1"/>
  <c r="D72" i="455" s="1"/>
  <c r="D73" i="455" s="1"/>
  <c r="D74" i="455" s="1"/>
  <c r="D75" i="455" s="1"/>
  <c r="D76" i="455" s="1"/>
  <c r="D77" i="455" s="1"/>
  <c r="D78" i="455" s="1"/>
  <c r="D79" i="455" s="1"/>
  <c r="D80" i="455" s="1"/>
  <c r="D81" i="455" s="1"/>
  <c r="D82" i="455" s="1"/>
  <c r="AB41" i="455"/>
  <c r="AB40" i="455"/>
  <c r="L39" i="455"/>
  <c r="J39" i="455"/>
  <c r="L38" i="455"/>
  <c r="J38" i="455"/>
  <c r="L37" i="455"/>
  <c r="J37" i="455"/>
  <c r="L36" i="455"/>
  <c r="J36" i="455"/>
  <c r="L35" i="455"/>
  <c r="J35" i="455"/>
  <c r="L34" i="455"/>
  <c r="D34" i="455"/>
  <c r="D35" i="455" s="1"/>
  <c r="D36" i="455" s="1"/>
  <c r="D37" i="455" s="1"/>
  <c r="D38" i="455" s="1"/>
  <c r="D39" i="455" s="1"/>
  <c r="B33" i="455"/>
  <c r="B32" i="455"/>
  <c r="M31" i="455"/>
  <c r="L31" i="455"/>
  <c r="J31" i="455"/>
  <c r="M30" i="455"/>
  <c r="L30" i="455"/>
  <c r="J30" i="455"/>
  <c r="M29" i="455"/>
  <c r="L29" i="455"/>
  <c r="J29" i="455"/>
  <c r="M28" i="455"/>
  <c r="L28" i="455"/>
  <c r="J28" i="455"/>
  <c r="M27" i="455"/>
  <c r="L27" i="455"/>
  <c r="J27" i="455"/>
  <c r="M26" i="455"/>
  <c r="L26" i="455"/>
  <c r="J26" i="455"/>
  <c r="M25" i="455"/>
  <c r="L25" i="455"/>
  <c r="J25" i="455"/>
  <c r="AJ24" i="455"/>
  <c r="AI24" i="455"/>
  <c r="AH24" i="455"/>
  <c r="M24" i="455"/>
  <c r="L24" i="455"/>
  <c r="J24" i="455"/>
  <c r="M23" i="455"/>
  <c r="L23" i="455"/>
  <c r="J23" i="455"/>
  <c r="M22" i="455"/>
  <c r="L22" i="455"/>
  <c r="J22" i="455"/>
  <c r="M21" i="455"/>
  <c r="L21" i="455"/>
  <c r="J21" i="455"/>
  <c r="M20" i="455"/>
  <c r="L20" i="455"/>
  <c r="J20" i="455"/>
  <c r="M19" i="455"/>
  <c r="L19" i="455"/>
  <c r="J19" i="455"/>
  <c r="M18" i="455"/>
  <c r="L18" i="455"/>
  <c r="J18" i="455"/>
  <c r="M17" i="455"/>
  <c r="L17" i="455"/>
  <c r="J17" i="455"/>
  <c r="M16" i="455"/>
  <c r="L16" i="455"/>
  <c r="J16" i="455"/>
  <c r="D16" i="455"/>
  <c r="D17" i="455" s="1"/>
  <c r="D18" i="455" s="1"/>
  <c r="D19" i="455" s="1"/>
  <c r="D20" i="455" s="1"/>
  <c r="D21" i="455" s="1"/>
  <c r="D22" i="455" s="1"/>
  <c r="D23" i="455" s="1"/>
  <c r="D24" i="455" s="1"/>
  <c r="D25" i="455" s="1"/>
  <c r="D26" i="455" s="1"/>
  <c r="D27" i="455" s="1"/>
  <c r="D28" i="455" s="1"/>
  <c r="D29" i="455" s="1"/>
  <c r="D30" i="455" s="1"/>
  <c r="D31" i="455" s="1"/>
  <c r="B15" i="455"/>
  <c r="B14" i="455"/>
  <c r="M13" i="455"/>
  <c r="L13" i="455"/>
  <c r="J13" i="455"/>
  <c r="M12" i="455"/>
  <c r="L12" i="455"/>
  <c r="J12" i="455"/>
  <c r="M11" i="455"/>
  <c r="L11" i="455"/>
  <c r="J11" i="455"/>
  <c r="M10" i="455"/>
  <c r="L10" i="455"/>
  <c r="J10" i="455"/>
  <c r="J14" i="455" s="1"/>
  <c r="D10" i="455"/>
  <c r="D11" i="455" s="1"/>
  <c r="D12" i="455" s="1"/>
  <c r="D13" i="455" s="1"/>
  <c r="D14" i="455" s="1"/>
  <c r="J112" i="455" l="1"/>
  <c r="M14" i="455"/>
  <c r="J32" i="455"/>
  <c r="M104" i="455"/>
  <c r="M40" i="455"/>
  <c r="J83" i="455"/>
  <c r="M101" i="455"/>
  <c r="M32" i="455"/>
  <c r="M83" i="455"/>
  <c r="J40" i="455"/>
  <c r="J101" i="455"/>
  <c r="L114" i="455" l="1"/>
  <c r="I114" i="455"/>
  <c r="J1" i="455" l="1"/>
  <c r="E27" i="429"/>
  <c r="D21" i="462" s="1"/>
  <c r="D22" i="462" s="1"/>
  <c r="E26" i="429" l="1"/>
  <c r="C26" i="429"/>
  <c r="C24" i="429"/>
  <c r="G3" i="468" s="1"/>
  <c r="T13" i="429"/>
  <c r="S14" i="429"/>
  <c r="T14" i="429" s="1"/>
  <c r="H6" i="462" l="1"/>
  <c r="D7" i="438" s="1"/>
  <c r="G3" i="455"/>
  <c r="K6" i="462"/>
  <c r="S15" i="429"/>
  <c r="T15" i="429" l="1"/>
  <c r="S16" i="429"/>
  <c r="B11" i="446"/>
  <c r="B12" i="469" l="1"/>
  <c r="G12" i="469" s="1"/>
  <c r="H12" i="469" s="1"/>
  <c r="F13" i="469" s="1"/>
  <c r="B12" i="467"/>
  <c r="G12" i="467" s="1"/>
  <c r="H12" i="467" s="1"/>
  <c r="B12" i="466"/>
  <c r="G12" i="466" s="1"/>
  <c r="H12" i="466" s="1"/>
  <c r="B12" i="465"/>
  <c r="G12" i="465" s="1"/>
  <c r="H12" i="465" s="1"/>
  <c r="B12" i="464"/>
  <c r="G12" i="464" s="1"/>
  <c r="H12" i="464" s="1"/>
  <c r="B12" i="446"/>
  <c r="B12" i="460"/>
  <c r="G12" i="460" s="1"/>
  <c r="H12" i="460" s="1"/>
  <c r="B12" i="459"/>
  <c r="G12" i="459" s="1"/>
  <c r="H12" i="459" s="1"/>
  <c r="B12" i="458"/>
  <c r="G12" i="458" s="1"/>
  <c r="H12" i="458" s="1"/>
  <c r="B12" i="457"/>
  <c r="G12" i="457" s="1"/>
  <c r="H12" i="457" s="1"/>
  <c r="B12" i="461"/>
  <c r="G12" i="461" s="1"/>
  <c r="H12" i="461" s="1"/>
  <c r="B12" i="456"/>
  <c r="G12" i="456" s="1"/>
  <c r="H12" i="456" s="1"/>
  <c r="F13" i="456" s="1"/>
  <c r="S17" i="429"/>
  <c r="T16" i="429"/>
  <c r="G46" i="38"/>
  <c r="G47" i="38"/>
  <c r="G48" i="38"/>
  <c r="I49" i="430"/>
  <c r="I50" i="430"/>
  <c r="I51" i="430"/>
  <c r="I53" i="37"/>
  <c r="I54" i="37"/>
  <c r="I55" i="37"/>
  <c r="N40" i="36"/>
  <c r="N41" i="36"/>
  <c r="N42" i="36"/>
  <c r="AK6" i="454"/>
  <c r="F13" i="464" l="1"/>
  <c r="F13" i="466"/>
  <c r="B13" i="469"/>
  <c r="G13" i="469" s="1"/>
  <c r="H13" i="469" s="1"/>
  <c r="F14" i="469" s="1"/>
  <c r="B13" i="467"/>
  <c r="G13" i="467" s="1"/>
  <c r="B13" i="466"/>
  <c r="G13" i="466" s="1"/>
  <c r="B13" i="465"/>
  <c r="G13" i="465" s="1"/>
  <c r="B13" i="464"/>
  <c r="G13" i="464" s="1"/>
  <c r="F13" i="467"/>
  <c r="F13" i="465"/>
  <c r="O6" i="454"/>
  <c r="G15" i="33"/>
  <c r="F13" i="457"/>
  <c r="F13" i="459"/>
  <c r="F13" i="461"/>
  <c r="F13" i="460"/>
  <c r="F13" i="458"/>
  <c r="B13" i="446"/>
  <c r="B13" i="460"/>
  <c r="G13" i="460" s="1"/>
  <c r="B13" i="459"/>
  <c r="G13" i="459" s="1"/>
  <c r="B13" i="458"/>
  <c r="G13" i="458" s="1"/>
  <c r="B13" i="457"/>
  <c r="G13" i="457" s="1"/>
  <c r="B13" i="461"/>
  <c r="G13" i="461" s="1"/>
  <c r="B13" i="456"/>
  <c r="G13" i="456" s="1"/>
  <c r="H13" i="456" s="1"/>
  <c r="T17" i="429"/>
  <c r="S18" i="429"/>
  <c r="L39" i="421"/>
  <c r="L38" i="421"/>
  <c r="L37" i="421"/>
  <c r="H13" i="465" l="1"/>
  <c r="H13" i="466"/>
  <c r="H13" i="467"/>
  <c r="B14" i="469"/>
  <c r="G14" i="469" s="1"/>
  <c r="H14" i="469" s="1"/>
  <c r="F15" i="469" s="1"/>
  <c r="B14" i="467"/>
  <c r="G14" i="467" s="1"/>
  <c r="B14" i="465"/>
  <c r="G14" i="465" s="1"/>
  <c r="B14" i="466"/>
  <c r="G14" i="466" s="1"/>
  <c r="B14" i="464"/>
  <c r="G14" i="464" s="1"/>
  <c r="H13" i="464"/>
  <c r="F14" i="456"/>
  <c r="B14" i="446"/>
  <c r="B14" i="458"/>
  <c r="G14" i="458" s="1"/>
  <c r="B14" i="461"/>
  <c r="G14" i="461" s="1"/>
  <c r="B14" i="456"/>
  <c r="G14" i="456" s="1"/>
  <c r="B14" i="457"/>
  <c r="G14" i="457" s="1"/>
  <c r="B14" i="460"/>
  <c r="G14" i="460" s="1"/>
  <c r="B14" i="459"/>
  <c r="G14" i="459" s="1"/>
  <c r="H13" i="461"/>
  <c r="H13" i="460"/>
  <c r="H13" i="458"/>
  <c r="F14" i="458" s="1"/>
  <c r="H13" i="459"/>
  <c r="H13" i="457"/>
  <c r="F14" i="457" s="1"/>
  <c r="T18" i="429"/>
  <c r="S19" i="429"/>
  <c r="A694" i="440"/>
  <c r="A28" i="437"/>
  <c r="F14" i="464" l="1"/>
  <c r="F14" i="467"/>
  <c r="F14" i="466"/>
  <c r="B15" i="469"/>
  <c r="G15" i="469" s="1"/>
  <c r="H15" i="469" s="1"/>
  <c r="F16" i="469" s="1"/>
  <c r="B15" i="467"/>
  <c r="G15" i="467" s="1"/>
  <c r="B15" i="466"/>
  <c r="G15" i="466" s="1"/>
  <c r="B15" i="465"/>
  <c r="G15" i="465" s="1"/>
  <c r="B15" i="464"/>
  <c r="G15" i="464" s="1"/>
  <c r="F14" i="465"/>
  <c r="F14" i="461"/>
  <c r="H14" i="456"/>
  <c r="F14" i="460"/>
  <c r="F14" i="459"/>
  <c r="H14" i="457"/>
  <c r="F15" i="457" s="1"/>
  <c r="H14" i="458"/>
  <c r="F15" i="458" s="1"/>
  <c r="B15" i="446"/>
  <c r="B15" i="461"/>
  <c r="G15" i="461" s="1"/>
  <c r="B15" i="456"/>
  <c r="G15" i="456" s="1"/>
  <c r="B15" i="460"/>
  <c r="G15" i="460" s="1"/>
  <c r="B15" i="459"/>
  <c r="G15" i="459" s="1"/>
  <c r="B15" i="458"/>
  <c r="G15" i="458" s="1"/>
  <c r="B15" i="457"/>
  <c r="G15" i="457" s="1"/>
  <c r="T19" i="429"/>
  <c r="S20" i="429"/>
  <c r="H14" i="466" l="1"/>
  <c r="H14" i="464"/>
  <c r="B16" i="469"/>
  <c r="G16" i="469" s="1"/>
  <c r="H16" i="469" s="1"/>
  <c r="F17" i="469" s="1"/>
  <c r="B16" i="467"/>
  <c r="G16" i="467" s="1"/>
  <c r="B16" i="466"/>
  <c r="G16" i="466" s="1"/>
  <c r="B16" i="465"/>
  <c r="G16" i="465" s="1"/>
  <c r="B16" i="464"/>
  <c r="G16" i="464" s="1"/>
  <c r="H14" i="465"/>
  <c r="H14" i="467"/>
  <c r="H15" i="457"/>
  <c r="F16" i="457" s="1"/>
  <c r="H15" i="458"/>
  <c r="F16" i="458" s="1"/>
  <c r="H14" i="460"/>
  <c r="F15" i="456"/>
  <c r="H14" i="459"/>
  <c r="H14" i="461"/>
  <c r="B16" i="456"/>
  <c r="G16" i="456" s="1"/>
  <c r="B16" i="460"/>
  <c r="G16" i="460" s="1"/>
  <c r="B16" i="459"/>
  <c r="G16" i="459" s="1"/>
  <c r="B16" i="458"/>
  <c r="G16" i="458" s="1"/>
  <c r="B16" i="457"/>
  <c r="G16" i="457" s="1"/>
  <c r="B16" i="461"/>
  <c r="G16" i="461" s="1"/>
  <c r="B16" i="446"/>
  <c r="T20" i="429"/>
  <c r="S21" i="429"/>
  <c r="H16" i="457" l="1"/>
  <c r="F17" i="457" s="1"/>
  <c r="B17" i="469"/>
  <c r="G17" i="469" s="1"/>
  <c r="H17" i="469" s="1"/>
  <c r="F18" i="469" s="1"/>
  <c r="B17" i="467"/>
  <c r="G17" i="467" s="1"/>
  <c r="B17" i="466"/>
  <c r="G17" i="466" s="1"/>
  <c r="B17" i="465"/>
  <c r="G17" i="465" s="1"/>
  <c r="B17" i="464"/>
  <c r="G17" i="464" s="1"/>
  <c r="F15" i="467"/>
  <c r="F15" i="465"/>
  <c r="F15" i="466"/>
  <c r="F15" i="464"/>
  <c r="H16" i="458"/>
  <c r="F17" i="458" s="1"/>
  <c r="F15" i="461"/>
  <c r="F15" i="459"/>
  <c r="H15" i="456"/>
  <c r="F15" i="460"/>
  <c r="B17" i="459"/>
  <c r="G17" i="459" s="1"/>
  <c r="B17" i="460"/>
  <c r="G17" i="460" s="1"/>
  <c r="B17" i="458"/>
  <c r="G17" i="458" s="1"/>
  <c r="B17" i="457"/>
  <c r="G17" i="457" s="1"/>
  <c r="B17" i="461"/>
  <c r="G17" i="461" s="1"/>
  <c r="B17" i="456"/>
  <c r="G17" i="456" s="1"/>
  <c r="B17" i="446"/>
  <c r="T21" i="429"/>
  <c r="S22" i="429"/>
  <c r="H17" i="457" l="1"/>
  <c r="F18" i="457" s="1"/>
  <c r="H15" i="467"/>
  <c r="B18" i="450"/>
  <c r="G18" i="450" s="1"/>
  <c r="B18" i="469"/>
  <c r="G18" i="469" s="1"/>
  <c r="H18" i="469" s="1"/>
  <c r="F19" i="469" s="1"/>
  <c r="B18" i="467"/>
  <c r="G18" i="467" s="1"/>
  <c r="B18" i="465"/>
  <c r="G18" i="465" s="1"/>
  <c r="B18" i="466"/>
  <c r="G18" i="466" s="1"/>
  <c r="B18" i="464"/>
  <c r="G18" i="464" s="1"/>
  <c r="H15" i="466"/>
  <c r="H15" i="465"/>
  <c r="H15" i="464"/>
  <c r="H17" i="458"/>
  <c r="F18" i="458" s="1"/>
  <c r="H15" i="460"/>
  <c r="H15" i="459"/>
  <c r="F16" i="456"/>
  <c r="H15" i="461"/>
  <c r="B18" i="446"/>
  <c r="B18" i="460"/>
  <c r="G18" i="460" s="1"/>
  <c r="B18" i="458"/>
  <c r="G18" i="458" s="1"/>
  <c r="B18" i="457"/>
  <c r="G18" i="457" s="1"/>
  <c r="B18" i="459"/>
  <c r="G18" i="459" s="1"/>
  <c r="B18" i="461"/>
  <c r="G18" i="461" s="1"/>
  <c r="B18" i="456"/>
  <c r="G18" i="456" s="1"/>
  <c r="T22" i="429"/>
  <c r="S23" i="429"/>
  <c r="Q101" i="454"/>
  <c r="M101" i="454"/>
  <c r="K101" i="454"/>
  <c r="Q100" i="454"/>
  <c r="M100" i="454"/>
  <c r="P110" i="468" s="1"/>
  <c r="K100" i="454"/>
  <c r="N110" i="468" s="1"/>
  <c r="Q99" i="454"/>
  <c r="M99" i="454"/>
  <c r="P109" i="468" s="1"/>
  <c r="K99" i="454"/>
  <c r="N109" i="468" s="1"/>
  <c r="Q98" i="454"/>
  <c r="M98" i="454"/>
  <c r="P108" i="468" s="1"/>
  <c r="K98" i="454"/>
  <c r="N108" i="468" s="1"/>
  <c r="Q97" i="454"/>
  <c r="M97" i="454"/>
  <c r="P107" i="468" s="1"/>
  <c r="K97" i="454"/>
  <c r="N107" i="468" s="1"/>
  <c r="Q96" i="454"/>
  <c r="M96" i="454"/>
  <c r="P106" i="468" s="1"/>
  <c r="K96" i="454"/>
  <c r="N106" i="468" s="1"/>
  <c r="Q94" i="454"/>
  <c r="M94" i="454"/>
  <c r="K94" i="454"/>
  <c r="N103" i="468" s="1"/>
  <c r="Q92" i="454"/>
  <c r="M92" i="454"/>
  <c r="P100" i="468" s="1"/>
  <c r="K92" i="454"/>
  <c r="N100" i="468" s="1"/>
  <c r="Q91" i="454"/>
  <c r="M91" i="454"/>
  <c r="P99" i="468" s="1"/>
  <c r="K91" i="454"/>
  <c r="N99" i="468" s="1"/>
  <c r="Q90" i="454"/>
  <c r="M90" i="454"/>
  <c r="P98" i="468" s="1"/>
  <c r="K90" i="454"/>
  <c r="N98" i="468" s="1"/>
  <c r="Q89" i="454"/>
  <c r="M89" i="454"/>
  <c r="P97" i="468" s="1"/>
  <c r="K89" i="454"/>
  <c r="N97" i="468" s="1"/>
  <c r="R97" i="468" s="1"/>
  <c r="Q88" i="454"/>
  <c r="M88" i="454"/>
  <c r="P96" i="468" s="1"/>
  <c r="K88" i="454"/>
  <c r="N96" i="468" s="1"/>
  <c r="Q87" i="454"/>
  <c r="M87" i="454"/>
  <c r="P95" i="468" s="1"/>
  <c r="K87" i="454"/>
  <c r="N95" i="468" s="1"/>
  <c r="Q86" i="454"/>
  <c r="M86" i="454"/>
  <c r="P94" i="468" s="1"/>
  <c r="K86" i="454"/>
  <c r="N94" i="468" s="1"/>
  <c r="Q85" i="454"/>
  <c r="M85" i="454"/>
  <c r="P93" i="468" s="1"/>
  <c r="K85" i="454"/>
  <c r="N93" i="468" s="1"/>
  <c r="R93" i="468" s="1"/>
  <c r="Q84" i="454"/>
  <c r="M84" i="454"/>
  <c r="P92" i="468" s="1"/>
  <c r="K84" i="454"/>
  <c r="N92" i="468" s="1"/>
  <c r="Q83" i="454"/>
  <c r="M83" i="454"/>
  <c r="P91" i="468" s="1"/>
  <c r="K83" i="454"/>
  <c r="N91" i="468" s="1"/>
  <c r="Q82" i="454"/>
  <c r="M82" i="454"/>
  <c r="P90" i="468" s="1"/>
  <c r="K82" i="454"/>
  <c r="N90" i="468" s="1"/>
  <c r="Q81" i="454"/>
  <c r="M81" i="454"/>
  <c r="P89" i="468" s="1"/>
  <c r="K81" i="454"/>
  <c r="N89" i="468" s="1"/>
  <c r="Q80" i="454"/>
  <c r="M80" i="454"/>
  <c r="P88" i="468" s="1"/>
  <c r="K80" i="454"/>
  <c r="N88" i="468" s="1"/>
  <c r="Q79" i="454"/>
  <c r="M79" i="454"/>
  <c r="P87" i="468" s="1"/>
  <c r="K79" i="454"/>
  <c r="N87" i="468" s="1"/>
  <c r="Q78" i="454"/>
  <c r="M78" i="454"/>
  <c r="P86" i="468" s="1"/>
  <c r="K78" i="454"/>
  <c r="N86" i="468" s="1"/>
  <c r="Q77" i="454"/>
  <c r="M77" i="454"/>
  <c r="P85" i="468" s="1"/>
  <c r="K77" i="454"/>
  <c r="N85" i="468" s="1"/>
  <c r="R85" i="468" s="1"/>
  <c r="O76" i="454"/>
  <c r="Q76" i="454" s="1"/>
  <c r="M76" i="454"/>
  <c r="N76" i="454" s="1"/>
  <c r="K76" i="454"/>
  <c r="L76" i="454" s="1"/>
  <c r="Q75" i="454"/>
  <c r="M75" i="454"/>
  <c r="P82" i="455" s="1"/>
  <c r="K75" i="454"/>
  <c r="N82" i="468" s="1"/>
  <c r="R82" i="468" s="1"/>
  <c r="Q74" i="454"/>
  <c r="M74" i="454"/>
  <c r="K74" i="454"/>
  <c r="N81" i="468" s="1"/>
  <c r="Q73" i="454"/>
  <c r="M73" i="454"/>
  <c r="P80" i="468" s="1"/>
  <c r="K73" i="454"/>
  <c r="N80" i="468" s="1"/>
  <c r="Q72" i="454"/>
  <c r="M72" i="454"/>
  <c r="P79" i="468" s="1"/>
  <c r="K72" i="454"/>
  <c r="N79" i="468" s="1"/>
  <c r="Q71" i="454"/>
  <c r="M71" i="454"/>
  <c r="P78" i="468" s="1"/>
  <c r="K71" i="454"/>
  <c r="N78" i="468" s="1"/>
  <c r="Q70" i="454"/>
  <c r="M70" i="454"/>
  <c r="P77" i="468" s="1"/>
  <c r="K70" i="454"/>
  <c r="N77" i="468" s="1"/>
  <c r="Q69" i="454"/>
  <c r="M69" i="454"/>
  <c r="P76" i="468" s="1"/>
  <c r="K69" i="454"/>
  <c r="N76" i="468" s="1"/>
  <c r="R76" i="468" s="1"/>
  <c r="Q68" i="454"/>
  <c r="M68" i="454"/>
  <c r="P75" i="468" s="1"/>
  <c r="K68" i="454"/>
  <c r="N75" i="468" s="1"/>
  <c r="Q67" i="454"/>
  <c r="M67" i="454"/>
  <c r="P74" i="468" s="1"/>
  <c r="K67" i="454"/>
  <c r="N74" i="468" s="1"/>
  <c r="Q66" i="454"/>
  <c r="M66" i="454"/>
  <c r="P73" i="468" s="1"/>
  <c r="K66" i="454"/>
  <c r="N73" i="468" s="1"/>
  <c r="Q65" i="454"/>
  <c r="M65" i="454"/>
  <c r="P72" i="468" s="1"/>
  <c r="K65" i="454"/>
  <c r="N72" i="468" s="1"/>
  <c r="R72" i="468" s="1"/>
  <c r="Q64" i="454"/>
  <c r="M64" i="454"/>
  <c r="P71" i="468" s="1"/>
  <c r="K64" i="454"/>
  <c r="N71" i="468" s="1"/>
  <c r="Q63" i="454"/>
  <c r="M63" i="454"/>
  <c r="P70" i="468" s="1"/>
  <c r="K63" i="454"/>
  <c r="N70" i="468" s="1"/>
  <c r="Q62" i="454"/>
  <c r="M62" i="454"/>
  <c r="P69" i="468" s="1"/>
  <c r="K62" i="454"/>
  <c r="N69" i="468" s="1"/>
  <c r="Q61" i="454"/>
  <c r="K61" i="454"/>
  <c r="N68" i="468" s="1"/>
  <c r="R68" i="468" s="1"/>
  <c r="Q60" i="454"/>
  <c r="M60" i="454"/>
  <c r="P67" i="468" s="1"/>
  <c r="K60" i="454"/>
  <c r="N67" i="468" s="1"/>
  <c r="Q59" i="454"/>
  <c r="M59" i="454"/>
  <c r="P66" i="468" s="1"/>
  <c r="K59" i="454"/>
  <c r="N66" i="468" s="1"/>
  <c r="Q58" i="454"/>
  <c r="M58" i="454"/>
  <c r="P65" i="468" s="1"/>
  <c r="K58" i="454"/>
  <c r="N65" i="468" s="1"/>
  <c r="R65" i="468" s="1"/>
  <c r="Q57" i="454"/>
  <c r="M57" i="454"/>
  <c r="P64" i="468" s="1"/>
  <c r="K57" i="454"/>
  <c r="N64" i="468" s="1"/>
  <c r="Q56" i="454"/>
  <c r="M56" i="454"/>
  <c r="P63" i="468" s="1"/>
  <c r="K56" i="454"/>
  <c r="N63" i="468" s="1"/>
  <c r="Q55" i="454"/>
  <c r="M55" i="454"/>
  <c r="P62" i="468" s="1"/>
  <c r="K55" i="454"/>
  <c r="N62" i="468" s="1"/>
  <c r="Q54" i="454"/>
  <c r="M54" i="454"/>
  <c r="P61" i="468" s="1"/>
  <c r="K54" i="454"/>
  <c r="N61" i="468" s="1"/>
  <c r="R61" i="468" s="1"/>
  <c r="Q53" i="454"/>
  <c r="M53" i="454"/>
  <c r="P60" i="468" s="1"/>
  <c r="K53" i="454"/>
  <c r="N60" i="468" s="1"/>
  <c r="Q52" i="454"/>
  <c r="M52" i="454"/>
  <c r="P59" i="468" s="1"/>
  <c r="K52" i="454"/>
  <c r="N59" i="468" s="1"/>
  <c r="Q51" i="454"/>
  <c r="M51" i="454"/>
  <c r="P58" i="468" s="1"/>
  <c r="K51" i="454"/>
  <c r="N58" i="468" s="1"/>
  <c r="Q50" i="454"/>
  <c r="M50" i="454"/>
  <c r="P57" i="468" s="1"/>
  <c r="K50" i="454"/>
  <c r="N57" i="468" s="1"/>
  <c r="R57" i="468" s="1"/>
  <c r="Q49" i="454"/>
  <c r="M49" i="454"/>
  <c r="P56" i="468" s="1"/>
  <c r="K49" i="454"/>
  <c r="N56" i="468" s="1"/>
  <c r="Q48" i="454"/>
  <c r="M48" i="454"/>
  <c r="P55" i="468" s="1"/>
  <c r="K48" i="454"/>
  <c r="N55" i="468" s="1"/>
  <c r="Q47" i="454"/>
  <c r="M47" i="454"/>
  <c r="P54" i="468" s="1"/>
  <c r="K47" i="454"/>
  <c r="N54" i="468" s="1"/>
  <c r="Q46" i="454"/>
  <c r="M46" i="454"/>
  <c r="P53" i="468" s="1"/>
  <c r="K46" i="454"/>
  <c r="N53" i="468" s="1"/>
  <c r="Q45" i="454"/>
  <c r="M45" i="454"/>
  <c r="P52" i="468" s="1"/>
  <c r="K45" i="454"/>
  <c r="N52" i="468" s="1"/>
  <c r="Q44" i="454"/>
  <c r="M44" i="454"/>
  <c r="P51" i="468" s="1"/>
  <c r="K44" i="454"/>
  <c r="N51" i="468" s="1"/>
  <c r="Q43" i="454"/>
  <c r="M43" i="454"/>
  <c r="P50" i="468" s="1"/>
  <c r="K43" i="454"/>
  <c r="N50" i="468" s="1"/>
  <c r="Q42" i="454"/>
  <c r="M42" i="454"/>
  <c r="P49" i="468" s="1"/>
  <c r="K42" i="454"/>
  <c r="N49" i="468" s="1"/>
  <c r="R49" i="468" s="1"/>
  <c r="Q41" i="454"/>
  <c r="M41" i="454"/>
  <c r="P48" i="468" s="1"/>
  <c r="K41" i="454"/>
  <c r="N48" i="468" s="1"/>
  <c r="Q40" i="454"/>
  <c r="M40" i="454"/>
  <c r="P47" i="468" s="1"/>
  <c r="K40" i="454"/>
  <c r="N47" i="468" s="1"/>
  <c r="Q39" i="454"/>
  <c r="M39" i="454"/>
  <c r="P46" i="468" s="1"/>
  <c r="K39" i="454"/>
  <c r="N46" i="468" s="1"/>
  <c r="Q38" i="454"/>
  <c r="M38" i="454"/>
  <c r="P45" i="468" s="1"/>
  <c r="K38" i="454"/>
  <c r="N45" i="468" s="1"/>
  <c r="R45" i="468" s="1"/>
  <c r="Q37" i="454"/>
  <c r="M37" i="454"/>
  <c r="P44" i="468" s="1"/>
  <c r="K37" i="454"/>
  <c r="N44" i="468" s="1"/>
  <c r="Q36" i="454"/>
  <c r="M36" i="454"/>
  <c r="P43" i="468" s="1"/>
  <c r="K36" i="454"/>
  <c r="N43" i="468" s="1"/>
  <c r="Q35" i="454"/>
  <c r="M35" i="454"/>
  <c r="P42" i="468" s="1"/>
  <c r="K35" i="454"/>
  <c r="N42" i="468" s="1"/>
  <c r="Q33" i="454"/>
  <c r="M33" i="454"/>
  <c r="P39" i="468" s="1"/>
  <c r="K33" i="454"/>
  <c r="N39" i="468" s="1"/>
  <c r="R39" i="468" s="1"/>
  <c r="Q32" i="454"/>
  <c r="M32" i="454"/>
  <c r="P38" i="468" s="1"/>
  <c r="K32" i="454"/>
  <c r="N38" i="468" s="1"/>
  <c r="Q31" i="454"/>
  <c r="M31" i="454"/>
  <c r="P37" i="468" s="1"/>
  <c r="K31" i="454"/>
  <c r="N37" i="468" s="1"/>
  <c r="Q30" i="454"/>
  <c r="M30" i="454"/>
  <c r="P36" i="468" s="1"/>
  <c r="K30" i="454"/>
  <c r="N36" i="468" s="1"/>
  <c r="Q29" i="454"/>
  <c r="M29" i="454"/>
  <c r="P35" i="468" s="1"/>
  <c r="K29" i="454"/>
  <c r="N35" i="468" s="1"/>
  <c r="R35" i="468" s="1"/>
  <c r="Q28" i="454"/>
  <c r="M28" i="454"/>
  <c r="P34" i="468" s="1"/>
  <c r="K28" i="454"/>
  <c r="N34" i="468" s="1"/>
  <c r="Q26" i="454"/>
  <c r="M26" i="454"/>
  <c r="P31" i="468" s="1"/>
  <c r="K26" i="454"/>
  <c r="N31" i="468" s="1"/>
  <c r="Q25" i="454"/>
  <c r="M25" i="454"/>
  <c r="P30" i="468" s="1"/>
  <c r="K25" i="454"/>
  <c r="N30" i="468" s="1"/>
  <c r="Q24" i="454"/>
  <c r="M24" i="454"/>
  <c r="P29" i="468" s="1"/>
  <c r="K24" i="454"/>
  <c r="N29" i="468" s="1"/>
  <c r="Q23" i="454"/>
  <c r="M23" i="454"/>
  <c r="P28" i="468" s="1"/>
  <c r="K23" i="454"/>
  <c r="N28" i="468" s="1"/>
  <c r="Q22" i="454"/>
  <c r="M22" i="454"/>
  <c r="P27" i="468" s="1"/>
  <c r="K22" i="454"/>
  <c r="N27" i="468" s="1"/>
  <c r="Q21" i="454"/>
  <c r="K21" i="454"/>
  <c r="N26" i="468" s="1"/>
  <c r="R26" i="468" s="1"/>
  <c r="Q20" i="454"/>
  <c r="M20" i="454"/>
  <c r="P25" i="468" s="1"/>
  <c r="K20" i="454"/>
  <c r="N25" i="468" s="1"/>
  <c r="Q19" i="454"/>
  <c r="M19" i="454"/>
  <c r="P24" i="468" s="1"/>
  <c r="K19" i="454"/>
  <c r="N24" i="468" s="1"/>
  <c r="Q18" i="454"/>
  <c r="M18" i="454"/>
  <c r="P23" i="468" s="1"/>
  <c r="K18" i="454"/>
  <c r="N23" i="468" s="1"/>
  <c r="Q17" i="454"/>
  <c r="M17" i="454"/>
  <c r="P22" i="468" s="1"/>
  <c r="K17" i="454"/>
  <c r="N22" i="468" s="1"/>
  <c r="Q16" i="454"/>
  <c r="M16" i="454"/>
  <c r="P21" i="468" s="1"/>
  <c r="K16" i="454"/>
  <c r="N21" i="468" s="1"/>
  <c r="Q15" i="454"/>
  <c r="M15" i="454"/>
  <c r="P20" i="468" s="1"/>
  <c r="K15" i="454"/>
  <c r="N20" i="468" s="1"/>
  <c r="Q14" i="454"/>
  <c r="M14" i="454"/>
  <c r="P19" i="468" s="1"/>
  <c r="K14" i="454"/>
  <c r="N19" i="468" s="1"/>
  <c r="Q13" i="454"/>
  <c r="M13" i="454"/>
  <c r="P18" i="468" s="1"/>
  <c r="K13" i="454"/>
  <c r="N18" i="468" s="1"/>
  <c r="Q12" i="454"/>
  <c r="M12" i="454"/>
  <c r="P17" i="468" s="1"/>
  <c r="K12" i="454"/>
  <c r="N17" i="468" s="1"/>
  <c r="Q11" i="454"/>
  <c r="M11" i="454"/>
  <c r="P16" i="468" s="1"/>
  <c r="K11" i="454"/>
  <c r="N16" i="468" s="1"/>
  <c r="Q6" i="454"/>
  <c r="Q7" i="454"/>
  <c r="Q8" i="454"/>
  <c r="Q9" i="454"/>
  <c r="P10" i="455"/>
  <c r="M7" i="454"/>
  <c r="P11" i="468" s="1"/>
  <c r="M8" i="454"/>
  <c r="P12" i="468" s="1"/>
  <c r="M9" i="454"/>
  <c r="P13" i="468" s="1"/>
  <c r="K6" i="454"/>
  <c r="N10" i="468" s="1"/>
  <c r="R10" i="468" s="1"/>
  <c r="K7" i="454"/>
  <c r="N11" i="468" s="1"/>
  <c r="R11" i="468" s="1"/>
  <c r="K8" i="454"/>
  <c r="N12" i="468" s="1"/>
  <c r="K9" i="454"/>
  <c r="N13" i="468" s="1"/>
  <c r="BG103" i="454"/>
  <c r="BG102" i="454"/>
  <c r="BH102" i="454" s="1"/>
  <c r="BG101" i="454"/>
  <c r="BH101" i="454" s="1"/>
  <c r="BG100" i="454"/>
  <c r="BH100" i="454" s="1"/>
  <c r="BG99" i="454"/>
  <c r="BH99" i="454" s="1"/>
  <c r="BG98" i="454"/>
  <c r="BG97" i="454"/>
  <c r="BH97" i="454" s="1"/>
  <c r="BG96" i="454"/>
  <c r="BH96" i="454" s="1"/>
  <c r="BG94" i="454"/>
  <c r="BG92" i="454"/>
  <c r="BG91" i="454"/>
  <c r="BG90" i="454"/>
  <c r="BG89" i="454"/>
  <c r="BG88" i="454"/>
  <c r="BG87" i="454"/>
  <c r="BG86" i="454"/>
  <c r="BG85" i="454"/>
  <c r="BG84" i="454"/>
  <c r="BG83" i="454"/>
  <c r="BG82" i="454"/>
  <c r="BG81" i="454"/>
  <c r="BG80" i="454"/>
  <c r="BG79" i="454"/>
  <c r="BG78" i="454"/>
  <c r="BG77" i="454"/>
  <c r="BG75" i="454"/>
  <c r="BG74" i="454"/>
  <c r="BG73" i="454"/>
  <c r="BG72" i="454"/>
  <c r="BG71" i="454"/>
  <c r="BG70" i="454"/>
  <c r="BG69" i="454"/>
  <c r="BG68" i="454"/>
  <c r="BG67" i="454"/>
  <c r="BG66" i="454"/>
  <c r="BG65" i="454"/>
  <c r="BG64" i="454"/>
  <c r="BG63" i="454"/>
  <c r="BG62" i="454"/>
  <c r="BG61" i="454"/>
  <c r="BG60" i="454"/>
  <c r="BG59" i="454"/>
  <c r="BG58" i="454"/>
  <c r="BG57" i="454"/>
  <c r="BG56" i="454"/>
  <c r="BG55" i="454"/>
  <c r="BG54" i="454"/>
  <c r="BG53" i="454"/>
  <c r="BG52" i="454"/>
  <c r="BG51" i="454"/>
  <c r="BG50" i="454"/>
  <c r="BG49" i="454"/>
  <c r="BG48" i="454"/>
  <c r="BG47" i="454"/>
  <c r="BG46" i="454"/>
  <c r="BG45" i="454"/>
  <c r="BG44" i="454"/>
  <c r="BG43" i="454"/>
  <c r="BG42" i="454"/>
  <c r="BG41" i="454"/>
  <c r="BG40" i="454"/>
  <c r="BG39" i="454"/>
  <c r="BG38" i="454"/>
  <c r="BG37" i="454"/>
  <c r="BG36" i="454"/>
  <c r="BG35" i="454"/>
  <c r="BG33" i="454"/>
  <c r="BH33" i="454" s="1"/>
  <c r="BG32" i="454"/>
  <c r="BH32" i="454" s="1"/>
  <c r="BG31" i="454"/>
  <c r="BH31" i="454" s="1"/>
  <c r="BG30" i="454"/>
  <c r="BH30" i="454" s="1"/>
  <c r="BG29" i="454"/>
  <c r="BH29" i="454" s="1"/>
  <c r="BG28" i="454"/>
  <c r="BH28" i="454" s="1"/>
  <c r="BG26" i="454"/>
  <c r="BG25" i="454"/>
  <c r="BG24" i="454"/>
  <c r="BG23" i="454"/>
  <c r="BG22" i="454"/>
  <c r="BG21" i="454"/>
  <c r="BG20" i="454"/>
  <c r="BG19" i="454"/>
  <c r="BG18" i="454"/>
  <c r="BG17" i="454"/>
  <c r="BG16" i="454"/>
  <c r="BG15" i="454"/>
  <c r="BG14" i="454"/>
  <c r="BG13" i="454"/>
  <c r="BG12" i="454"/>
  <c r="BG11" i="454"/>
  <c r="BG9" i="454"/>
  <c r="BG8" i="454"/>
  <c r="BG7" i="454"/>
  <c r="BG6" i="454"/>
  <c r="BD103" i="454"/>
  <c r="BD102" i="454"/>
  <c r="BE102" i="454" s="1"/>
  <c r="BD101" i="454"/>
  <c r="BE101" i="454" s="1"/>
  <c r="BD100" i="454"/>
  <c r="BE100" i="454" s="1"/>
  <c r="BD99" i="454"/>
  <c r="BE99" i="454" s="1"/>
  <c r="BD98" i="454"/>
  <c r="BE98" i="454" s="1"/>
  <c r="BD97" i="454"/>
  <c r="BE97" i="454" s="1"/>
  <c r="BD96" i="454"/>
  <c r="BE96" i="454" s="1"/>
  <c r="BD94" i="454"/>
  <c r="BD93" i="454" s="1"/>
  <c r="BD92" i="454"/>
  <c r="BD91" i="454"/>
  <c r="BD90" i="454"/>
  <c r="BD89" i="454"/>
  <c r="BD88" i="454"/>
  <c r="BD87" i="454"/>
  <c r="BD86" i="454"/>
  <c r="BD85" i="454"/>
  <c r="BD84" i="454"/>
  <c r="BD83" i="454"/>
  <c r="BD82" i="454"/>
  <c r="BD81" i="454"/>
  <c r="BD80" i="454"/>
  <c r="BD79" i="454"/>
  <c r="BD78" i="454"/>
  <c r="BD77" i="454"/>
  <c r="BD75" i="454"/>
  <c r="BD74" i="454"/>
  <c r="BD73" i="454"/>
  <c r="BD72" i="454"/>
  <c r="BD71" i="454"/>
  <c r="BD70" i="454"/>
  <c r="BD69" i="454"/>
  <c r="BD68" i="454"/>
  <c r="BD67" i="454"/>
  <c r="BD66" i="454"/>
  <c r="BD65" i="454"/>
  <c r="BD64" i="454"/>
  <c r="BD63" i="454"/>
  <c r="BD62" i="454"/>
  <c r="BD61" i="454"/>
  <c r="BD60" i="454"/>
  <c r="BD59" i="454"/>
  <c r="BD58" i="454"/>
  <c r="BD57" i="454"/>
  <c r="BD56" i="454"/>
  <c r="BD55" i="454"/>
  <c r="BD54" i="454"/>
  <c r="BD53" i="454"/>
  <c r="BD52" i="454"/>
  <c r="BD51" i="454"/>
  <c r="BD50" i="454"/>
  <c r="BD49" i="454"/>
  <c r="BD48" i="454"/>
  <c r="BD47" i="454"/>
  <c r="BD46" i="454"/>
  <c r="BD45" i="454"/>
  <c r="BD44" i="454"/>
  <c r="BD43" i="454"/>
  <c r="BD42" i="454"/>
  <c r="BD41" i="454"/>
  <c r="BD40" i="454"/>
  <c r="BD39" i="454"/>
  <c r="BD38" i="454"/>
  <c r="BD37" i="454"/>
  <c r="BD36" i="454"/>
  <c r="BD35" i="454"/>
  <c r="BD33" i="454"/>
  <c r="BE33" i="454" s="1"/>
  <c r="BD32" i="454"/>
  <c r="BE32" i="454" s="1"/>
  <c r="BD31" i="454"/>
  <c r="BE31" i="454" s="1"/>
  <c r="BD30" i="454"/>
  <c r="BE30" i="454" s="1"/>
  <c r="BD29" i="454"/>
  <c r="BE29" i="454" s="1"/>
  <c r="BD28" i="454"/>
  <c r="BE28" i="454" s="1"/>
  <c r="BD26" i="454"/>
  <c r="BD25" i="454"/>
  <c r="BD24" i="454"/>
  <c r="BD23" i="454"/>
  <c r="BD22" i="454"/>
  <c r="BD21" i="454"/>
  <c r="BD20" i="454"/>
  <c r="BD19" i="454"/>
  <c r="BD18" i="454"/>
  <c r="BD17" i="454"/>
  <c r="BD16" i="454"/>
  <c r="BD15" i="454"/>
  <c r="BD14" i="454"/>
  <c r="BD13" i="454"/>
  <c r="BD12" i="454"/>
  <c r="BD11" i="454"/>
  <c r="BD9" i="454"/>
  <c r="BD8" i="454"/>
  <c r="BD7" i="454"/>
  <c r="BD6" i="454"/>
  <c r="BA103" i="454"/>
  <c r="BA102" i="454"/>
  <c r="BB102" i="454" s="1"/>
  <c r="BA101" i="454"/>
  <c r="BB101" i="454" s="1"/>
  <c r="BA100" i="454"/>
  <c r="BB100" i="454" s="1"/>
  <c r="BA99" i="454"/>
  <c r="BB99" i="454" s="1"/>
  <c r="BA98" i="454"/>
  <c r="BB98" i="454" s="1"/>
  <c r="BA97" i="454"/>
  <c r="BB97" i="454" s="1"/>
  <c r="BA96" i="454"/>
  <c r="BB96" i="454" s="1"/>
  <c r="BA94" i="454"/>
  <c r="BA92" i="454"/>
  <c r="BA91" i="454"/>
  <c r="BA90" i="454"/>
  <c r="BA89" i="454"/>
  <c r="BA88" i="454"/>
  <c r="BA87" i="454"/>
  <c r="BA86" i="454"/>
  <c r="BA85" i="454"/>
  <c r="BA84" i="454"/>
  <c r="BA83" i="454"/>
  <c r="BA82" i="454"/>
  <c r="BA81" i="454"/>
  <c r="BA80" i="454"/>
  <c r="BA79" i="454"/>
  <c r="BA78" i="454"/>
  <c r="BA77" i="454"/>
  <c r="BA75" i="454"/>
  <c r="BA74" i="454"/>
  <c r="BA73" i="454"/>
  <c r="BA72" i="454"/>
  <c r="BA71" i="454"/>
  <c r="BA70" i="454"/>
  <c r="BA69" i="454"/>
  <c r="BA68" i="454"/>
  <c r="BA67" i="454"/>
  <c r="BA66" i="454"/>
  <c r="BA65" i="454"/>
  <c r="BA64" i="454"/>
  <c r="BA63" i="454"/>
  <c r="BA62" i="454"/>
  <c r="BA61" i="454"/>
  <c r="BA60" i="454"/>
  <c r="BA59" i="454"/>
  <c r="BA58" i="454"/>
  <c r="BA57" i="454"/>
  <c r="BA56" i="454"/>
  <c r="BA55" i="454"/>
  <c r="BA54" i="454"/>
  <c r="BA53" i="454"/>
  <c r="BA52" i="454"/>
  <c r="BA51" i="454"/>
  <c r="BA50" i="454"/>
  <c r="BA49" i="454"/>
  <c r="BA48" i="454"/>
  <c r="BA47" i="454"/>
  <c r="BA46" i="454"/>
  <c r="BA45" i="454"/>
  <c r="BA44" i="454"/>
  <c r="BA43" i="454"/>
  <c r="BA42" i="454"/>
  <c r="BA41" i="454"/>
  <c r="BA40" i="454"/>
  <c r="BA39" i="454"/>
  <c r="BA38" i="454"/>
  <c r="BA37" i="454"/>
  <c r="BA36" i="454"/>
  <c r="BA35" i="454"/>
  <c r="BA33" i="454"/>
  <c r="BB33" i="454" s="1"/>
  <c r="BA32" i="454"/>
  <c r="BB32" i="454" s="1"/>
  <c r="BA31" i="454"/>
  <c r="BB31" i="454" s="1"/>
  <c r="BA30" i="454"/>
  <c r="BB30" i="454" s="1"/>
  <c r="BA29" i="454"/>
  <c r="BB29" i="454" s="1"/>
  <c r="BA28" i="454"/>
  <c r="BB28" i="454" s="1"/>
  <c r="BA26" i="454"/>
  <c r="BA25" i="454"/>
  <c r="BA24" i="454"/>
  <c r="BA23" i="454"/>
  <c r="BA22" i="454"/>
  <c r="BA21" i="454"/>
  <c r="BA20" i="454"/>
  <c r="BA19" i="454"/>
  <c r="BA18" i="454"/>
  <c r="BA17" i="454"/>
  <c r="BA16" i="454"/>
  <c r="BA15" i="454"/>
  <c r="BA14" i="454"/>
  <c r="BA13" i="454"/>
  <c r="BA12" i="454"/>
  <c r="BA11" i="454"/>
  <c r="BA9" i="454"/>
  <c r="BA8" i="454"/>
  <c r="BA7" i="454"/>
  <c r="BA6" i="454"/>
  <c r="AX103" i="454"/>
  <c r="AX102" i="454"/>
  <c r="AY102" i="454" s="1"/>
  <c r="AX101" i="454"/>
  <c r="AY101" i="454" s="1"/>
  <c r="AX100" i="454"/>
  <c r="AY100" i="454" s="1"/>
  <c r="AX99" i="454"/>
  <c r="AY99" i="454" s="1"/>
  <c r="AX98" i="454"/>
  <c r="AX97" i="454"/>
  <c r="AY97" i="454" s="1"/>
  <c r="AX96" i="454"/>
  <c r="AY96" i="454" s="1"/>
  <c r="AX94" i="454"/>
  <c r="AX92" i="454"/>
  <c r="AX91" i="454"/>
  <c r="AX90" i="454"/>
  <c r="AX89" i="454"/>
  <c r="AX88" i="454"/>
  <c r="AX87" i="454"/>
  <c r="AX86" i="454"/>
  <c r="AX85" i="454"/>
  <c r="AX84" i="454"/>
  <c r="AX83" i="454"/>
  <c r="AX82" i="454"/>
  <c r="AX81" i="454"/>
  <c r="AX80" i="454"/>
  <c r="AX79" i="454"/>
  <c r="AX78" i="454"/>
  <c r="AX77" i="454"/>
  <c r="AX75" i="454"/>
  <c r="AX74" i="454"/>
  <c r="AX73" i="454"/>
  <c r="AX72" i="454"/>
  <c r="AX71" i="454"/>
  <c r="AX70" i="454"/>
  <c r="AX69" i="454"/>
  <c r="AX68" i="454"/>
  <c r="AX67" i="454"/>
  <c r="AX66" i="454"/>
  <c r="AX65" i="454"/>
  <c r="AX64" i="454"/>
  <c r="AX63" i="454"/>
  <c r="AX62" i="454"/>
  <c r="AX61" i="454"/>
  <c r="AX60" i="454"/>
  <c r="AX59" i="454"/>
  <c r="AX58" i="454"/>
  <c r="AX57" i="454"/>
  <c r="AX56" i="454"/>
  <c r="AX55" i="454"/>
  <c r="AX54" i="454"/>
  <c r="AX53" i="454"/>
  <c r="AX52" i="454"/>
  <c r="AX51" i="454"/>
  <c r="AX50" i="454"/>
  <c r="AX49" i="454"/>
  <c r="AX48" i="454"/>
  <c r="AX47" i="454"/>
  <c r="AX46" i="454"/>
  <c r="AX45" i="454"/>
  <c r="AX44" i="454"/>
  <c r="AX43" i="454"/>
  <c r="AX42" i="454"/>
  <c r="AX41" i="454"/>
  <c r="AX40" i="454"/>
  <c r="AX39" i="454"/>
  <c r="AX38" i="454"/>
  <c r="AX37" i="454"/>
  <c r="AX36" i="454"/>
  <c r="AX35" i="454"/>
  <c r="AX33" i="454"/>
  <c r="AY33" i="454" s="1"/>
  <c r="AX32" i="454"/>
  <c r="AY32" i="454" s="1"/>
  <c r="AX31" i="454"/>
  <c r="AY31" i="454" s="1"/>
  <c r="AX30" i="454"/>
  <c r="AY30" i="454" s="1"/>
  <c r="AX29" i="454"/>
  <c r="AY29" i="454" s="1"/>
  <c r="AX28" i="454"/>
  <c r="AY28" i="454" s="1"/>
  <c r="AX26" i="454"/>
  <c r="AX25" i="454"/>
  <c r="AX24" i="454"/>
  <c r="AX21" i="454"/>
  <c r="AX20" i="454"/>
  <c r="AX19" i="454"/>
  <c r="AX18" i="454"/>
  <c r="AX17" i="454"/>
  <c r="AX16" i="454"/>
  <c r="AX15" i="454"/>
  <c r="AX14" i="454"/>
  <c r="AX13" i="454"/>
  <c r="AX12" i="454"/>
  <c r="AX11" i="454"/>
  <c r="AX9" i="454"/>
  <c r="AX8" i="454"/>
  <c r="AX7" i="454"/>
  <c r="AX6" i="454"/>
  <c r="AU103" i="454"/>
  <c r="AU102" i="454"/>
  <c r="AV102" i="454" s="1"/>
  <c r="AU101" i="454"/>
  <c r="AU100" i="454"/>
  <c r="AV100" i="454" s="1"/>
  <c r="AU99" i="454"/>
  <c r="AV99" i="454" s="1"/>
  <c r="AU98" i="454"/>
  <c r="AV98" i="454" s="1"/>
  <c r="AU97" i="454"/>
  <c r="AV97" i="454" s="1"/>
  <c r="AU96" i="454"/>
  <c r="AU94" i="454"/>
  <c r="AU92" i="454"/>
  <c r="AU91" i="454"/>
  <c r="AU90" i="454"/>
  <c r="AU89" i="454"/>
  <c r="AU88" i="454"/>
  <c r="N88" i="454" s="1"/>
  <c r="AU87" i="454"/>
  <c r="AU86" i="454"/>
  <c r="N86" i="454" s="1"/>
  <c r="AU85" i="454"/>
  <c r="N85" i="454" s="1"/>
  <c r="AU84" i="454"/>
  <c r="AU83" i="454"/>
  <c r="AU82" i="454"/>
  <c r="AU81" i="454"/>
  <c r="AU80" i="454"/>
  <c r="AU79" i="454"/>
  <c r="AU78" i="454"/>
  <c r="AU77" i="454"/>
  <c r="AU75" i="454"/>
  <c r="AU74" i="454"/>
  <c r="AU73" i="454"/>
  <c r="N73" i="454" s="1"/>
  <c r="AU72" i="454"/>
  <c r="N72" i="454" s="1"/>
  <c r="AU71" i="454"/>
  <c r="AU70" i="454"/>
  <c r="AU69" i="454"/>
  <c r="AU68" i="454"/>
  <c r="AU67" i="454"/>
  <c r="AU66" i="454"/>
  <c r="AU65" i="454"/>
  <c r="AU64" i="454"/>
  <c r="AU63" i="454"/>
  <c r="N63" i="454" s="1"/>
  <c r="AU62" i="454"/>
  <c r="AU61" i="454"/>
  <c r="N61" i="454" s="1"/>
  <c r="AU60" i="454"/>
  <c r="N60" i="454" s="1"/>
  <c r="AU59" i="454"/>
  <c r="AU58" i="454"/>
  <c r="AU57" i="454"/>
  <c r="AU56" i="454"/>
  <c r="AU55" i="454"/>
  <c r="AU54" i="454"/>
  <c r="AU53" i="454"/>
  <c r="AU52" i="454"/>
  <c r="AU51" i="454"/>
  <c r="N51" i="454" s="1"/>
  <c r="AU50" i="454"/>
  <c r="AU49" i="454"/>
  <c r="N49" i="454" s="1"/>
  <c r="AU48" i="454"/>
  <c r="N48" i="454" s="1"/>
  <c r="AU47" i="454"/>
  <c r="AU46" i="454"/>
  <c r="AU45" i="454"/>
  <c r="AU44" i="454"/>
  <c r="AU43" i="454"/>
  <c r="AU42" i="454"/>
  <c r="AU41" i="454"/>
  <c r="AU40" i="454"/>
  <c r="AU39" i="454"/>
  <c r="N39" i="454" s="1"/>
  <c r="AU38" i="454"/>
  <c r="AU37" i="454"/>
  <c r="N37" i="454" s="1"/>
  <c r="AU36" i="454"/>
  <c r="N36" i="454" s="1"/>
  <c r="AU35" i="454"/>
  <c r="AU33" i="454"/>
  <c r="AU32" i="454"/>
  <c r="AU31" i="454"/>
  <c r="AU30" i="454"/>
  <c r="AU29" i="454"/>
  <c r="AU28" i="454"/>
  <c r="AU26" i="454"/>
  <c r="AU25" i="454"/>
  <c r="N25" i="454" s="1"/>
  <c r="AU24" i="454"/>
  <c r="AU23" i="454"/>
  <c r="AU22" i="454"/>
  <c r="AU21" i="454"/>
  <c r="AU20" i="454"/>
  <c r="AU19" i="454"/>
  <c r="N19" i="454" s="1"/>
  <c r="AU18" i="454"/>
  <c r="AU17" i="454"/>
  <c r="AU16" i="454"/>
  <c r="AU15" i="454"/>
  <c r="AU14" i="454"/>
  <c r="AU13" i="454"/>
  <c r="AU12" i="454"/>
  <c r="AU11" i="454"/>
  <c r="N11" i="454" s="1"/>
  <c r="AU9" i="454"/>
  <c r="AU8" i="454"/>
  <c r="AU7" i="454"/>
  <c r="AU6" i="454"/>
  <c r="AR103" i="454"/>
  <c r="AR102" i="454"/>
  <c r="AS102" i="454" s="1"/>
  <c r="AR101" i="454"/>
  <c r="AS101" i="454" s="1"/>
  <c r="AR100" i="454"/>
  <c r="AR99" i="454"/>
  <c r="AR98" i="454"/>
  <c r="AR97" i="454"/>
  <c r="AR96" i="454"/>
  <c r="AR94" i="454"/>
  <c r="AR92" i="454"/>
  <c r="AR91" i="454"/>
  <c r="AR90" i="454"/>
  <c r="AR89" i="454"/>
  <c r="AR88" i="454"/>
  <c r="AR87" i="454"/>
  <c r="AR86" i="454"/>
  <c r="AR85" i="454"/>
  <c r="AR84" i="454"/>
  <c r="AR83" i="454"/>
  <c r="AR82" i="454"/>
  <c r="AR81" i="454"/>
  <c r="AR80" i="454"/>
  <c r="AR79" i="454"/>
  <c r="AR78" i="454"/>
  <c r="AR77" i="454"/>
  <c r="AR75" i="454"/>
  <c r="AR74" i="454"/>
  <c r="AR73" i="454"/>
  <c r="AR72" i="454"/>
  <c r="AR71" i="454"/>
  <c r="AR70" i="454"/>
  <c r="AR69" i="454"/>
  <c r="AR68" i="454"/>
  <c r="AR67" i="454"/>
  <c r="AR66" i="454"/>
  <c r="AR65" i="454"/>
  <c r="AR64" i="454"/>
  <c r="AR63" i="454"/>
  <c r="AR62" i="454"/>
  <c r="AR61" i="454"/>
  <c r="AR60" i="454"/>
  <c r="AR59" i="454"/>
  <c r="AR58" i="454"/>
  <c r="AR57" i="454"/>
  <c r="AR56" i="454"/>
  <c r="AR55" i="454"/>
  <c r="AR54" i="454"/>
  <c r="AR53" i="454"/>
  <c r="AR52" i="454"/>
  <c r="AR51" i="454"/>
  <c r="AR50" i="454"/>
  <c r="AR49" i="454"/>
  <c r="AR48" i="454"/>
  <c r="AR47" i="454"/>
  <c r="AR46" i="454"/>
  <c r="AR45" i="454"/>
  <c r="AR44" i="454"/>
  <c r="AR43" i="454"/>
  <c r="AR42" i="454"/>
  <c r="AR41" i="454"/>
  <c r="AR40" i="454"/>
  <c r="AR39" i="454"/>
  <c r="AR38" i="454"/>
  <c r="AR37" i="454"/>
  <c r="AR36" i="454"/>
  <c r="AR35" i="454"/>
  <c r="AR33" i="454"/>
  <c r="AS33" i="454" s="1"/>
  <c r="AR32" i="454"/>
  <c r="AS32" i="454" s="1"/>
  <c r="AR31" i="454"/>
  <c r="AS31" i="454" s="1"/>
  <c r="AR30" i="454"/>
  <c r="AR29" i="454"/>
  <c r="AS29" i="454" s="1"/>
  <c r="AR28" i="454"/>
  <c r="AS28" i="454" s="1"/>
  <c r="AR26" i="454"/>
  <c r="AR25" i="454"/>
  <c r="AR24" i="454"/>
  <c r="AR23" i="454"/>
  <c r="AR22" i="454"/>
  <c r="AR21" i="454"/>
  <c r="AR20" i="454"/>
  <c r="AR19" i="454"/>
  <c r="AR18" i="454"/>
  <c r="AR17" i="454"/>
  <c r="AR16" i="454"/>
  <c r="AR15" i="454"/>
  <c r="AR14" i="454"/>
  <c r="AR13" i="454"/>
  <c r="AR12" i="454"/>
  <c r="AR11" i="454"/>
  <c r="AR9" i="454"/>
  <c r="AR8" i="454"/>
  <c r="AR7" i="454"/>
  <c r="AR6" i="454"/>
  <c r="AO103" i="454"/>
  <c r="AO102" i="454"/>
  <c r="AP102" i="454" s="1"/>
  <c r="AO101" i="454"/>
  <c r="AP101" i="454" s="1"/>
  <c r="AO100" i="454"/>
  <c r="AP100" i="454" s="1"/>
  <c r="AO99" i="454"/>
  <c r="AP99" i="454" s="1"/>
  <c r="AO98" i="454"/>
  <c r="AP98" i="454" s="1"/>
  <c r="AO97" i="454"/>
  <c r="AO96" i="454"/>
  <c r="AP96" i="454" s="1"/>
  <c r="AO94" i="454"/>
  <c r="AO93" i="454" s="1"/>
  <c r="AO92" i="454"/>
  <c r="AO91" i="454"/>
  <c r="AO90" i="454"/>
  <c r="AO89" i="454"/>
  <c r="AO88" i="454"/>
  <c r="AO87" i="454"/>
  <c r="AO86" i="454"/>
  <c r="AO85" i="454"/>
  <c r="AO84" i="454"/>
  <c r="AO83" i="454"/>
  <c r="AO82" i="454"/>
  <c r="AO81" i="454"/>
  <c r="AO80" i="454"/>
  <c r="AO79" i="454"/>
  <c r="AO78" i="454"/>
  <c r="AO77" i="454"/>
  <c r="AO75" i="454"/>
  <c r="AO74" i="454"/>
  <c r="AO73" i="454"/>
  <c r="AO72" i="454"/>
  <c r="AO71" i="454"/>
  <c r="AO70" i="454"/>
  <c r="AO69" i="454"/>
  <c r="AO68" i="454"/>
  <c r="AO67" i="454"/>
  <c r="AO66" i="454"/>
  <c r="AO65" i="454"/>
  <c r="AO64" i="454"/>
  <c r="AO63" i="454"/>
  <c r="AO62" i="454"/>
  <c r="AO61" i="454"/>
  <c r="AO60" i="454"/>
  <c r="AO59" i="454"/>
  <c r="AO58" i="454"/>
  <c r="AO57" i="454"/>
  <c r="AO56" i="454"/>
  <c r="AO55" i="454"/>
  <c r="AO54" i="454"/>
  <c r="AO53" i="454"/>
  <c r="AO52" i="454"/>
  <c r="AO51" i="454"/>
  <c r="AO50" i="454"/>
  <c r="AO49" i="454"/>
  <c r="AO48" i="454"/>
  <c r="AO47" i="454"/>
  <c r="AO46" i="454"/>
  <c r="AO45" i="454"/>
  <c r="AO44" i="454"/>
  <c r="AO43" i="454"/>
  <c r="AO42" i="454"/>
  <c r="AO41" i="454"/>
  <c r="AO40" i="454"/>
  <c r="AO39" i="454"/>
  <c r="AO38" i="454"/>
  <c r="AO37" i="454"/>
  <c r="AO36" i="454"/>
  <c r="AO35" i="454"/>
  <c r="AO33" i="454"/>
  <c r="AP33" i="454" s="1"/>
  <c r="AO32" i="454"/>
  <c r="AP32" i="454" s="1"/>
  <c r="AO31" i="454"/>
  <c r="AP31" i="454" s="1"/>
  <c r="AO30" i="454"/>
  <c r="AP30" i="454" s="1"/>
  <c r="AO29" i="454"/>
  <c r="AO28" i="454"/>
  <c r="AP28" i="454" s="1"/>
  <c r="AO26" i="454"/>
  <c r="AO25" i="454"/>
  <c r="AO24" i="454"/>
  <c r="AO23" i="454"/>
  <c r="AO22" i="454"/>
  <c r="AO21" i="454"/>
  <c r="AO20" i="454"/>
  <c r="AO19" i="454"/>
  <c r="AO18" i="454"/>
  <c r="AO17" i="454"/>
  <c r="AO16" i="454"/>
  <c r="AO15" i="454"/>
  <c r="AO14" i="454"/>
  <c r="AO13" i="454"/>
  <c r="AO12" i="454"/>
  <c r="AO11" i="454"/>
  <c r="AO9" i="454"/>
  <c r="AO8" i="454"/>
  <c r="AO7" i="454"/>
  <c r="AO6" i="454"/>
  <c r="AL103" i="454"/>
  <c r="AL102" i="454"/>
  <c r="AM102" i="454" s="1"/>
  <c r="AL101" i="454"/>
  <c r="AM101" i="454" s="1"/>
  <c r="AL100" i="454"/>
  <c r="AM100" i="454" s="1"/>
  <c r="AL99" i="454"/>
  <c r="AM99" i="454" s="1"/>
  <c r="AL98" i="454"/>
  <c r="AM98" i="454" s="1"/>
  <c r="AL97" i="454"/>
  <c r="AL96" i="454"/>
  <c r="AM96" i="454" s="1"/>
  <c r="AL94" i="454"/>
  <c r="AL92" i="454"/>
  <c r="AL91" i="454"/>
  <c r="AL90" i="454"/>
  <c r="AL89" i="454"/>
  <c r="AL88" i="454"/>
  <c r="AL87" i="454"/>
  <c r="AL86" i="454"/>
  <c r="AL85" i="454"/>
  <c r="AL84" i="454"/>
  <c r="AL83" i="454"/>
  <c r="AL82" i="454"/>
  <c r="AL81" i="454"/>
  <c r="AL80" i="454"/>
  <c r="AL79" i="454"/>
  <c r="AL78" i="454"/>
  <c r="AL77" i="454"/>
  <c r="AL75" i="454"/>
  <c r="AL74" i="454"/>
  <c r="AL73" i="454"/>
  <c r="AL72" i="454"/>
  <c r="AL71" i="454"/>
  <c r="AL70" i="454"/>
  <c r="AL69" i="454"/>
  <c r="AL68" i="454"/>
  <c r="AL67" i="454"/>
  <c r="AL66" i="454"/>
  <c r="AL65" i="454"/>
  <c r="AL64" i="454"/>
  <c r="AL63" i="454"/>
  <c r="AL62" i="454"/>
  <c r="AL61" i="454"/>
  <c r="AL60" i="454"/>
  <c r="AL59" i="454"/>
  <c r="AL58" i="454"/>
  <c r="AL57" i="454"/>
  <c r="AL56" i="454"/>
  <c r="AL55" i="454"/>
  <c r="AL54" i="454"/>
  <c r="AL53" i="454"/>
  <c r="AL52" i="454"/>
  <c r="AL51" i="454"/>
  <c r="AL50" i="454"/>
  <c r="AL49" i="454"/>
  <c r="AL48" i="454"/>
  <c r="AL47" i="454"/>
  <c r="AL46" i="454"/>
  <c r="AL45" i="454"/>
  <c r="AL44" i="454"/>
  <c r="AL43" i="454"/>
  <c r="AL42" i="454"/>
  <c r="AL41" i="454"/>
  <c r="AL40" i="454"/>
  <c r="AL39" i="454"/>
  <c r="AL38" i="454"/>
  <c r="AL37" i="454"/>
  <c r="AL36" i="454"/>
  <c r="AL35" i="454"/>
  <c r="AL33" i="454"/>
  <c r="AM33" i="454" s="1"/>
  <c r="AL32" i="454"/>
  <c r="AM32" i="454" s="1"/>
  <c r="AL31" i="454"/>
  <c r="AM31" i="454" s="1"/>
  <c r="AL30" i="454"/>
  <c r="AM30" i="454" s="1"/>
  <c r="AL29" i="454"/>
  <c r="AM29" i="454" s="1"/>
  <c r="AL28" i="454"/>
  <c r="AM28" i="454" s="1"/>
  <c r="AL26" i="454"/>
  <c r="AL25" i="454"/>
  <c r="AL24" i="454"/>
  <c r="AL23" i="454"/>
  <c r="AL22" i="454"/>
  <c r="AL21" i="454"/>
  <c r="AL20" i="454"/>
  <c r="AL19" i="454"/>
  <c r="AL18" i="454"/>
  <c r="AL17" i="454"/>
  <c r="AL16" i="454"/>
  <c r="AL15" i="454"/>
  <c r="AL14" i="454"/>
  <c r="AL13" i="454"/>
  <c r="AL12" i="454"/>
  <c r="AL11" i="454"/>
  <c r="AL9" i="454"/>
  <c r="AL8" i="454"/>
  <c r="AL7" i="454"/>
  <c r="AL6" i="454"/>
  <c r="AI75" i="454"/>
  <c r="AI9" i="454"/>
  <c r="AI8" i="454"/>
  <c r="AI7" i="454"/>
  <c r="AI6" i="454"/>
  <c r="AI21" i="454"/>
  <c r="AI22" i="454"/>
  <c r="AI23" i="454"/>
  <c r="AI24" i="454"/>
  <c r="AI25" i="454"/>
  <c r="AI26" i="454"/>
  <c r="W6" i="454"/>
  <c r="J95" i="454"/>
  <c r="J75" i="454"/>
  <c r="J74" i="454"/>
  <c r="J73" i="454"/>
  <c r="J72" i="454"/>
  <c r="J71" i="454"/>
  <c r="J70" i="454"/>
  <c r="J69" i="454"/>
  <c r="J68" i="454"/>
  <c r="J67" i="454"/>
  <c r="J66" i="454"/>
  <c r="J65" i="454"/>
  <c r="J64" i="454"/>
  <c r="J63" i="454"/>
  <c r="J62" i="454"/>
  <c r="J61" i="454"/>
  <c r="J60" i="454"/>
  <c r="J59" i="454"/>
  <c r="J58" i="454"/>
  <c r="J57" i="454"/>
  <c r="J56" i="454"/>
  <c r="J55" i="454"/>
  <c r="J54" i="454"/>
  <c r="J53" i="454"/>
  <c r="J52" i="454"/>
  <c r="J51" i="454"/>
  <c r="J50" i="454"/>
  <c r="J49" i="454"/>
  <c r="J48" i="454"/>
  <c r="J47" i="454"/>
  <c r="J46" i="454"/>
  <c r="J45" i="454"/>
  <c r="J44" i="454"/>
  <c r="J43" i="454"/>
  <c r="J42" i="454"/>
  <c r="J41" i="454"/>
  <c r="J40" i="454"/>
  <c r="J39" i="454"/>
  <c r="J38" i="454"/>
  <c r="J37" i="454"/>
  <c r="J36" i="454"/>
  <c r="J35" i="454"/>
  <c r="J25" i="454"/>
  <c r="J24" i="454"/>
  <c r="J23" i="454"/>
  <c r="AY23" i="454" s="1"/>
  <c r="J22" i="454"/>
  <c r="AY22" i="454" s="1"/>
  <c r="J21" i="454"/>
  <c r="J20" i="454"/>
  <c r="J19" i="454"/>
  <c r="J18" i="454"/>
  <c r="J17" i="454"/>
  <c r="J16" i="454"/>
  <c r="J15" i="454"/>
  <c r="J14" i="454"/>
  <c r="J13" i="454"/>
  <c r="J12" i="454"/>
  <c r="J11" i="454"/>
  <c r="J9" i="454"/>
  <c r="J8" i="454"/>
  <c r="J7" i="454"/>
  <c r="J6" i="454"/>
  <c r="N42" i="454" l="1"/>
  <c r="N7" i="454"/>
  <c r="N20" i="454"/>
  <c r="N46" i="454"/>
  <c r="N58" i="454"/>
  <c r="N70" i="454"/>
  <c r="N83" i="454"/>
  <c r="N16" i="454"/>
  <c r="N54" i="454"/>
  <c r="N66" i="454"/>
  <c r="N79" i="454"/>
  <c r="N18" i="454"/>
  <c r="S18" i="454" s="1"/>
  <c r="N44" i="454"/>
  <c r="N56" i="454"/>
  <c r="N68" i="454"/>
  <c r="N81" i="454"/>
  <c r="N8" i="454"/>
  <c r="N35" i="454"/>
  <c r="N47" i="454"/>
  <c r="N59" i="454"/>
  <c r="N71" i="454"/>
  <c r="S71" i="454" s="1"/>
  <c r="N84" i="454"/>
  <c r="R18" i="468"/>
  <c r="T18" i="468" s="1"/>
  <c r="R29" i="468"/>
  <c r="T29" i="468" s="1"/>
  <c r="R109" i="468"/>
  <c r="T109" i="468" s="1"/>
  <c r="R80" i="468"/>
  <c r="R89" i="468"/>
  <c r="R12" i="468"/>
  <c r="T12" i="468" s="1"/>
  <c r="R23" i="468"/>
  <c r="T23" i="468" s="1"/>
  <c r="R36" i="468"/>
  <c r="Y36" i="468" s="1"/>
  <c r="R46" i="468"/>
  <c r="Y46" i="468" s="1"/>
  <c r="R54" i="468"/>
  <c r="Y54" i="468" s="1"/>
  <c r="R62" i="468"/>
  <c r="T62" i="468" s="1"/>
  <c r="AB62" i="468" s="1"/>
  <c r="R73" i="468"/>
  <c r="Y73" i="468" s="1"/>
  <c r="R90" i="468"/>
  <c r="T90" i="468" s="1"/>
  <c r="R98" i="468"/>
  <c r="Y98" i="468" s="1"/>
  <c r="R110" i="468"/>
  <c r="T110" i="468" s="1"/>
  <c r="R21" i="468"/>
  <c r="Y21" i="468" s="1"/>
  <c r="R34" i="468"/>
  <c r="Y34" i="468" s="1"/>
  <c r="R44" i="468"/>
  <c r="T44" i="468" s="1"/>
  <c r="AB44" i="468" s="1"/>
  <c r="R52" i="468"/>
  <c r="T52" i="468" s="1"/>
  <c r="AB52" i="468" s="1"/>
  <c r="R60" i="468"/>
  <c r="T60" i="468" s="1"/>
  <c r="AB60" i="468" s="1"/>
  <c r="R71" i="468"/>
  <c r="T71" i="468" s="1"/>
  <c r="AB71" i="468" s="1"/>
  <c r="R79" i="468"/>
  <c r="T79" i="468" s="1"/>
  <c r="R88" i="468"/>
  <c r="Y88" i="468" s="1"/>
  <c r="R96" i="468"/>
  <c r="Y96" i="468" s="1"/>
  <c r="R108" i="468"/>
  <c r="T108" i="468" s="1"/>
  <c r="R19" i="468"/>
  <c r="Y19" i="468" s="1"/>
  <c r="R30" i="468"/>
  <c r="Y30" i="468" s="1"/>
  <c r="R42" i="468"/>
  <c r="T42" i="468" s="1"/>
  <c r="R50" i="468"/>
  <c r="T50" i="468" s="1"/>
  <c r="AB50" i="468" s="1"/>
  <c r="R58" i="468"/>
  <c r="Y58" i="468" s="1"/>
  <c r="R66" i="468"/>
  <c r="T66" i="468" s="1"/>
  <c r="AB66" i="468" s="1"/>
  <c r="R69" i="468"/>
  <c r="Y69" i="468" s="1"/>
  <c r="R77" i="468"/>
  <c r="T77" i="468" s="1"/>
  <c r="R86" i="468"/>
  <c r="Y86" i="468" s="1"/>
  <c r="R94" i="468"/>
  <c r="Y94" i="468" s="1"/>
  <c r="R106" i="468"/>
  <c r="T106" i="468" s="1"/>
  <c r="R22" i="468"/>
  <c r="Y22" i="468" s="1"/>
  <c r="R53" i="468"/>
  <c r="T53" i="468" s="1"/>
  <c r="AB53" i="468" s="1"/>
  <c r="R25" i="468"/>
  <c r="Y25" i="468" s="1"/>
  <c r="R28" i="468"/>
  <c r="T28" i="468" s="1"/>
  <c r="AA28" i="468" s="1"/>
  <c r="AB28" i="468" s="1"/>
  <c r="AC28" i="468" s="1"/>
  <c r="R38" i="468"/>
  <c r="Y38" i="468" s="1"/>
  <c r="R48" i="468"/>
  <c r="Y48" i="468" s="1"/>
  <c r="R56" i="468"/>
  <c r="Y56" i="468" s="1"/>
  <c r="R64" i="468"/>
  <c r="T64" i="468" s="1"/>
  <c r="AB64" i="468" s="1"/>
  <c r="R75" i="468"/>
  <c r="T75" i="468" s="1"/>
  <c r="R92" i="468"/>
  <c r="T92" i="468" s="1"/>
  <c r="AB92" i="468" s="1"/>
  <c r="R100" i="468"/>
  <c r="T100" i="468" s="1"/>
  <c r="AB100" i="468" s="1"/>
  <c r="R16" i="468"/>
  <c r="Y16" i="468" s="1"/>
  <c r="R24" i="468"/>
  <c r="Y24" i="468" s="1"/>
  <c r="R27" i="468"/>
  <c r="Y27" i="468" s="1"/>
  <c r="R37" i="468"/>
  <c r="T37" i="468" s="1"/>
  <c r="AB37" i="468" s="1"/>
  <c r="R47" i="468"/>
  <c r="T47" i="468" s="1"/>
  <c r="AB47" i="468" s="1"/>
  <c r="R55" i="468"/>
  <c r="T55" i="468" s="1"/>
  <c r="AB55" i="468" s="1"/>
  <c r="R63" i="468"/>
  <c r="Y63" i="468" s="1"/>
  <c r="R74" i="468"/>
  <c r="Y74" i="468" s="1"/>
  <c r="R91" i="468"/>
  <c r="T91" i="468" s="1"/>
  <c r="AB91" i="468" s="1"/>
  <c r="R99" i="468"/>
  <c r="T99" i="468" s="1"/>
  <c r="AB99" i="468" s="1"/>
  <c r="Q43" i="468"/>
  <c r="V43" i="468" s="1"/>
  <c r="B43" i="468"/>
  <c r="B70" i="468"/>
  <c r="Q70" i="468"/>
  <c r="V70" i="468" s="1"/>
  <c r="Y11" i="468"/>
  <c r="T11" i="468"/>
  <c r="T49" i="468"/>
  <c r="AB49" i="468" s="1"/>
  <c r="Y49" i="468"/>
  <c r="Q54" i="468"/>
  <c r="B54" i="468"/>
  <c r="T76" i="468"/>
  <c r="Y76" i="468"/>
  <c r="P81" i="455"/>
  <c r="P81" i="468"/>
  <c r="R81" i="468" s="1"/>
  <c r="Q110" i="468"/>
  <c r="V110" i="468" s="1"/>
  <c r="B110" i="468"/>
  <c r="Y10" i="468"/>
  <c r="T10" i="468"/>
  <c r="AB10" i="468" s="1"/>
  <c r="B18" i="468"/>
  <c r="Q18" i="468"/>
  <c r="B29" i="468"/>
  <c r="Q29" i="468"/>
  <c r="V29" i="468" s="1"/>
  <c r="Q39" i="468"/>
  <c r="V39" i="468" s="1"/>
  <c r="B39" i="468"/>
  <c r="Y60" i="468"/>
  <c r="Q65" i="468"/>
  <c r="V65" i="468" s="1"/>
  <c r="B65" i="468"/>
  <c r="B85" i="468"/>
  <c r="Q85" i="468"/>
  <c r="Q34" i="468"/>
  <c r="B34" i="468"/>
  <c r="B44" i="468"/>
  <c r="Q44" i="468"/>
  <c r="V44" i="468" s="1"/>
  <c r="B52" i="468"/>
  <c r="Q52" i="468"/>
  <c r="V52" i="468" s="1"/>
  <c r="B71" i="468"/>
  <c r="Q71" i="468"/>
  <c r="V71" i="468" s="1"/>
  <c r="N111" i="455"/>
  <c r="N111" i="468"/>
  <c r="R20" i="468"/>
  <c r="B20" i="468"/>
  <c r="Q20" i="468"/>
  <c r="V20" i="468" s="1"/>
  <c r="Q51" i="468"/>
  <c r="V51" i="468" s="1"/>
  <c r="B51" i="468"/>
  <c r="Q78" i="468"/>
  <c r="V78" i="468" s="1"/>
  <c r="B78" i="468"/>
  <c r="T26" i="468"/>
  <c r="Y26" i="468"/>
  <c r="Q36" i="468"/>
  <c r="B36" i="468"/>
  <c r="Y57" i="468"/>
  <c r="T57" i="468"/>
  <c r="AB57" i="468" s="1"/>
  <c r="B62" i="468"/>
  <c r="Q62" i="468"/>
  <c r="V62" i="468" s="1"/>
  <c r="Q73" i="468"/>
  <c r="V73" i="468" s="1"/>
  <c r="B73" i="468"/>
  <c r="Y93" i="468"/>
  <c r="T93" i="468"/>
  <c r="AB93" i="468" s="1"/>
  <c r="B76" i="468"/>
  <c r="Q76" i="468"/>
  <c r="V76" i="468" s="1"/>
  <c r="P103" i="455"/>
  <c r="Q103" i="455" s="1"/>
  <c r="P103" i="468"/>
  <c r="Q13" i="468"/>
  <c r="V13" i="468" s="1"/>
  <c r="B13" i="468"/>
  <c r="Q88" i="468"/>
  <c r="V88" i="468" s="1"/>
  <c r="B88" i="468"/>
  <c r="F16" i="465"/>
  <c r="B27" i="468"/>
  <c r="Q27" i="468"/>
  <c r="V27" i="468" s="1"/>
  <c r="Q47" i="468"/>
  <c r="V47" i="468" s="1"/>
  <c r="B47" i="468"/>
  <c r="P111" i="455"/>
  <c r="Q111" i="455" s="1"/>
  <c r="P111" i="468"/>
  <c r="Q11" i="468"/>
  <c r="B11" i="468"/>
  <c r="Q19" i="468"/>
  <c r="V19" i="468" s="1"/>
  <c r="B19" i="468"/>
  <c r="Q30" i="468"/>
  <c r="V30" i="468" s="1"/>
  <c r="B30" i="468"/>
  <c r="T45" i="468"/>
  <c r="AB45" i="468" s="1"/>
  <c r="Y45" i="468"/>
  <c r="B50" i="468"/>
  <c r="Q50" i="468"/>
  <c r="V50" i="468" s="1"/>
  <c r="Y61" i="468"/>
  <c r="T61" i="468"/>
  <c r="AB61" i="468" s="1"/>
  <c r="T72" i="468"/>
  <c r="AB72" i="468" s="1"/>
  <c r="Y72" i="468"/>
  <c r="Q77" i="468"/>
  <c r="B77" i="468"/>
  <c r="T89" i="468"/>
  <c r="Y89" i="468"/>
  <c r="Q94" i="468"/>
  <c r="V94" i="468" s="1"/>
  <c r="B94" i="468"/>
  <c r="B106" i="468"/>
  <c r="Q106" i="468"/>
  <c r="V106" i="468" s="1"/>
  <c r="F16" i="467"/>
  <c r="Q22" i="468"/>
  <c r="V22" i="468" s="1"/>
  <c r="B22" i="468"/>
  <c r="B35" i="468"/>
  <c r="Q35" i="468"/>
  <c r="V35" i="468" s="1"/>
  <c r="B45" i="468"/>
  <c r="Q45" i="468"/>
  <c r="V45" i="468" s="1"/>
  <c r="Q53" i="468"/>
  <c r="V53" i="468" s="1"/>
  <c r="B53" i="468"/>
  <c r="Q61" i="468"/>
  <c r="V61" i="468" s="1"/>
  <c r="B61" i="468"/>
  <c r="B72" i="468"/>
  <c r="Q72" i="468"/>
  <c r="V72" i="468" s="1"/>
  <c r="B80" i="468"/>
  <c r="Q80" i="468"/>
  <c r="V80" i="468" s="1"/>
  <c r="B89" i="468"/>
  <c r="Q89" i="468"/>
  <c r="V89" i="468" s="1"/>
  <c r="Q97" i="468"/>
  <c r="V97" i="468" s="1"/>
  <c r="B97" i="468"/>
  <c r="B19" i="469"/>
  <c r="G19" i="469" s="1"/>
  <c r="H19" i="469" s="1"/>
  <c r="F20" i="469" s="1"/>
  <c r="F51" i="469" s="1"/>
  <c r="F52" i="469" s="1"/>
  <c r="B19" i="467"/>
  <c r="G19" i="467" s="1"/>
  <c r="B19" i="466"/>
  <c r="G19" i="466" s="1"/>
  <c r="B19" i="465"/>
  <c r="G19" i="465" s="1"/>
  <c r="B19" i="464"/>
  <c r="G19" i="464" s="1"/>
  <c r="B31" i="468"/>
  <c r="Q31" i="468"/>
  <c r="V31" i="468" s="1"/>
  <c r="B59" i="468"/>
  <c r="Q59" i="468"/>
  <c r="V59" i="468" s="1"/>
  <c r="B67" i="468"/>
  <c r="Q67" i="468"/>
  <c r="V67" i="468" s="1"/>
  <c r="B87" i="468"/>
  <c r="Q87" i="468"/>
  <c r="V87" i="468" s="1"/>
  <c r="Q95" i="468"/>
  <c r="V95" i="468" s="1"/>
  <c r="B95" i="468"/>
  <c r="Q107" i="468"/>
  <c r="V107" i="468" s="1"/>
  <c r="B107" i="468"/>
  <c r="Q23" i="468"/>
  <c r="B23" i="468"/>
  <c r="Y39" i="468"/>
  <c r="T39" i="468"/>
  <c r="AB39" i="468" s="1"/>
  <c r="Q46" i="468"/>
  <c r="V46" i="468" s="1"/>
  <c r="B46" i="468"/>
  <c r="Y65" i="468"/>
  <c r="T65" i="468"/>
  <c r="AB65" i="468" s="1"/>
  <c r="T85" i="468"/>
  <c r="AB85" i="468" s="1"/>
  <c r="Y85" i="468"/>
  <c r="B90" i="468"/>
  <c r="Q90" i="468"/>
  <c r="V90" i="468" s="1"/>
  <c r="Q98" i="468"/>
  <c r="V98" i="468" s="1"/>
  <c r="B98" i="468"/>
  <c r="F16" i="464"/>
  <c r="B49" i="468"/>
  <c r="Q49" i="468"/>
  <c r="V49" i="468" s="1"/>
  <c r="Q57" i="468"/>
  <c r="V57" i="468" s="1"/>
  <c r="B57" i="468"/>
  <c r="T68" i="468"/>
  <c r="AB68" i="468" s="1"/>
  <c r="Y68" i="468"/>
  <c r="Q93" i="468"/>
  <c r="V93" i="468" s="1"/>
  <c r="B93" i="468"/>
  <c r="Q21" i="468"/>
  <c r="V21" i="468" s="1"/>
  <c r="B21" i="468"/>
  <c r="B60" i="468"/>
  <c r="Q60" i="468"/>
  <c r="V60" i="468" s="1"/>
  <c r="Q79" i="468"/>
  <c r="V79" i="468" s="1"/>
  <c r="B79" i="468"/>
  <c r="Q96" i="468"/>
  <c r="V96" i="468" s="1"/>
  <c r="B96" i="468"/>
  <c r="Q108" i="468"/>
  <c r="V108" i="468" s="1"/>
  <c r="B108" i="468"/>
  <c r="B12" i="468"/>
  <c r="Q12" i="468"/>
  <c r="V12" i="468" s="1"/>
  <c r="Q16" i="468"/>
  <c r="B16" i="468"/>
  <c r="Q24" i="468"/>
  <c r="V24" i="468" s="1"/>
  <c r="B24" i="468"/>
  <c r="Q37" i="468"/>
  <c r="V37" i="468" s="1"/>
  <c r="B37" i="468"/>
  <c r="Q55" i="468"/>
  <c r="V55" i="468" s="1"/>
  <c r="B55" i="468"/>
  <c r="B63" i="468"/>
  <c r="Q63" i="468"/>
  <c r="V63" i="468" s="1"/>
  <c r="B74" i="468"/>
  <c r="Q74" i="468"/>
  <c r="V74" i="468" s="1"/>
  <c r="Q91" i="468"/>
  <c r="V91" i="468" s="1"/>
  <c r="B91" i="468"/>
  <c r="B99" i="468"/>
  <c r="Q99" i="468"/>
  <c r="V99" i="468" s="1"/>
  <c r="T35" i="468"/>
  <c r="Y35" i="468"/>
  <c r="B42" i="468"/>
  <c r="Q42" i="468"/>
  <c r="B58" i="468"/>
  <c r="Q58" i="468"/>
  <c r="V58" i="468" s="1"/>
  <c r="B66" i="468"/>
  <c r="Q66" i="468"/>
  <c r="V66" i="468" s="1"/>
  <c r="Q69" i="468"/>
  <c r="V69" i="468" s="1"/>
  <c r="B69" i="468"/>
  <c r="T80" i="468"/>
  <c r="Y80" i="468"/>
  <c r="B86" i="468"/>
  <c r="Q86" i="468"/>
  <c r="V86" i="468" s="1"/>
  <c r="T97" i="468"/>
  <c r="AB97" i="468" s="1"/>
  <c r="Y97" i="468"/>
  <c r="F16" i="466"/>
  <c r="R13" i="468"/>
  <c r="R17" i="468"/>
  <c r="B17" i="468"/>
  <c r="Q17" i="468"/>
  <c r="Q25" i="468"/>
  <c r="B25" i="468"/>
  <c r="Q28" i="468"/>
  <c r="V28" i="468" s="1"/>
  <c r="B28" i="468"/>
  <c r="R31" i="468"/>
  <c r="B38" i="468"/>
  <c r="Q38" i="468"/>
  <c r="V38" i="468" s="1"/>
  <c r="R43" i="468"/>
  <c r="Q48" i="468"/>
  <c r="V48" i="468" s="1"/>
  <c r="B48" i="468"/>
  <c r="R51" i="468"/>
  <c r="B56" i="468"/>
  <c r="Q56" i="468"/>
  <c r="V56" i="468" s="1"/>
  <c r="R59" i="468"/>
  <c r="Q64" i="468"/>
  <c r="V64" i="468" s="1"/>
  <c r="B64" i="468"/>
  <c r="R67" i="468"/>
  <c r="R70" i="468"/>
  <c r="B75" i="468"/>
  <c r="Q75" i="468"/>
  <c r="V75" i="468" s="1"/>
  <c r="R78" i="468"/>
  <c r="R87" i="468"/>
  <c r="B92" i="468"/>
  <c r="Q92" i="468"/>
  <c r="V92" i="468" s="1"/>
  <c r="R95" i="468"/>
  <c r="Q100" i="468"/>
  <c r="V100" i="468" s="1"/>
  <c r="B100" i="468"/>
  <c r="R107" i="468"/>
  <c r="T82" i="468"/>
  <c r="Y82" i="468"/>
  <c r="Y109" i="468"/>
  <c r="B109" i="468"/>
  <c r="Q109" i="468"/>
  <c r="N45" i="454"/>
  <c r="S45" i="454" s="1"/>
  <c r="N57" i="454"/>
  <c r="S57" i="454" s="1"/>
  <c r="N69" i="454"/>
  <c r="S69" i="454" s="1"/>
  <c r="N82" i="454"/>
  <c r="N9" i="454"/>
  <c r="S9" i="454" s="1"/>
  <c r="N12" i="454"/>
  <c r="S12" i="454" s="1"/>
  <c r="N38" i="454"/>
  <c r="S38" i="454" s="1"/>
  <c r="N50" i="454"/>
  <c r="S50" i="454" s="1"/>
  <c r="N62" i="454"/>
  <c r="S62" i="454" s="1"/>
  <c r="N74" i="454"/>
  <c r="S74" i="454" s="1"/>
  <c r="N87" i="454"/>
  <c r="N26" i="454"/>
  <c r="S26" i="454" s="1"/>
  <c r="N40" i="454"/>
  <c r="S40" i="454" s="1"/>
  <c r="N52" i="454"/>
  <c r="S52" i="454" s="1"/>
  <c r="N64" i="454"/>
  <c r="S64" i="454" s="1"/>
  <c r="N77" i="454"/>
  <c r="N89" i="454"/>
  <c r="N15" i="454"/>
  <c r="S15" i="454" s="1"/>
  <c r="N41" i="454"/>
  <c r="S41" i="454" s="1"/>
  <c r="N53" i="454"/>
  <c r="S53" i="454" s="1"/>
  <c r="N65" i="454"/>
  <c r="S65" i="454" s="1"/>
  <c r="N78" i="454"/>
  <c r="N90" i="454"/>
  <c r="N91" i="454"/>
  <c r="N13" i="454"/>
  <c r="S13" i="454" s="1"/>
  <c r="N17" i="454"/>
  <c r="S17" i="454" s="1"/>
  <c r="N43" i="454"/>
  <c r="S43" i="454" s="1"/>
  <c r="N55" i="454"/>
  <c r="S55" i="454" s="1"/>
  <c r="N67" i="454"/>
  <c r="S67" i="454" s="1"/>
  <c r="N80" i="454"/>
  <c r="N92" i="454"/>
  <c r="J5" i="454"/>
  <c r="N75" i="454"/>
  <c r="S75" i="454" s="1"/>
  <c r="N21" i="454"/>
  <c r="S21" i="454" s="1"/>
  <c r="AV96" i="454"/>
  <c r="AU95" i="454"/>
  <c r="AV95" i="454" s="1"/>
  <c r="F16" i="461"/>
  <c r="F16" i="459"/>
  <c r="H16" i="456"/>
  <c r="H18" i="457"/>
  <c r="H18" i="458"/>
  <c r="F16" i="460"/>
  <c r="L22" i="454"/>
  <c r="AV21" i="454"/>
  <c r="BH64" i="454"/>
  <c r="BH72" i="454"/>
  <c r="L21" i="454"/>
  <c r="AV28" i="454"/>
  <c r="N28" i="454"/>
  <c r="S28" i="454" s="1"/>
  <c r="AV101" i="454"/>
  <c r="N101" i="454"/>
  <c r="S101" i="454" s="1"/>
  <c r="P8" i="454"/>
  <c r="L8" i="454"/>
  <c r="L25" i="454"/>
  <c r="P25" i="454"/>
  <c r="BB57" i="454"/>
  <c r="AM35" i="454"/>
  <c r="AM51" i="454"/>
  <c r="AV31" i="454"/>
  <c r="N31" i="454"/>
  <c r="S31" i="454" s="1"/>
  <c r="AV32" i="454"/>
  <c r="N32" i="454"/>
  <c r="S32" i="454" s="1"/>
  <c r="AV29" i="454"/>
  <c r="N29" i="454"/>
  <c r="S29" i="454" s="1"/>
  <c r="AV30" i="454"/>
  <c r="N30" i="454"/>
  <c r="S30" i="454" s="1"/>
  <c r="AM43" i="454"/>
  <c r="AM67" i="454"/>
  <c r="AV33" i="454"/>
  <c r="N33" i="454"/>
  <c r="S33" i="454" s="1"/>
  <c r="BH38" i="454"/>
  <c r="BH46" i="454"/>
  <c r="P7" i="454"/>
  <c r="L7" i="454"/>
  <c r="P26" i="454"/>
  <c r="L26" i="454"/>
  <c r="AJ8" i="454"/>
  <c r="AM50" i="454"/>
  <c r="P9" i="454"/>
  <c r="L9" i="454"/>
  <c r="L24" i="454"/>
  <c r="AP37" i="454"/>
  <c r="AP53" i="454"/>
  <c r="AM39" i="454"/>
  <c r="L75" i="454"/>
  <c r="P75" i="454"/>
  <c r="T75" i="454" s="1"/>
  <c r="AM48" i="454"/>
  <c r="BH39" i="454"/>
  <c r="L23" i="454"/>
  <c r="N14" i="454"/>
  <c r="S14" i="454" s="1"/>
  <c r="N22" i="454"/>
  <c r="S22" i="454" s="1"/>
  <c r="P22" i="454"/>
  <c r="P23" i="454"/>
  <c r="N23" i="454"/>
  <c r="S23" i="454" s="1"/>
  <c r="B19" i="446"/>
  <c r="B19" i="460"/>
  <c r="G19" i="460" s="1"/>
  <c r="B19" i="457"/>
  <c r="G19" i="457" s="1"/>
  <c r="B19" i="461"/>
  <c r="G19" i="461" s="1"/>
  <c r="B19" i="458"/>
  <c r="G19" i="458" s="1"/>
  <c r="B19" i="456"/>
  <c r="G19" i="456" s="1"/>
  <c r="B19" i="459"/>
  <c r="G19" i="459" s="1"/>
  <c r="AS100" i="454"/>
  <c r="N100" i="454"/>
  <c r="N98" i="454"/>
  <c r="S98" i="454" s="1"/>
  <c r="AS97" i="454"/>
  <c r="N97" i="454"/>
  <c r="S97" i="454" s="1"/>
  <c r="AR93" i="454"/>
  <c r="N94" i="454"/>
  <c r="P21" i="454"/>
  <c r="N6" i="454"/>
  <c r="S6" i="454" s="1"/>
  <c r="N24" i="454"/>
  <c r="S24" i="454" s="1"/>
  <c r="P24" i="454"/>
  <c r="AS99" i="454"/>
  <c r="N99" i="454"/>
  <c r="S99" i="454" s="1"/>
  <c r="AS96" i="454"/>
  <c r="N96" i="454"/>
  <c r="S96" i="454" s="1"/>
  <c r="BH14" i="454"/>
  <c r="AV44" i="454"/>
  <c r="AV52" i="454"/>
  <c r="AP56" i="454"/>
  <c r="AP64" i="454"/>
  <c r="AV36" i="454"/>
  <c r="AV68" i="454"/>
  <c r="BH22" i="454"/>
  <c r="AV60" i="454"/>
  <c r="AJ75" i="454"/>
  <c r="AM54" i="454"/>
  <c r="AP61" i="454"/>
  <c r="BH6" i="454"/>
  <c r="AM55" i="454"/>
  <c r="AM63" i="454"/>
  <c r="AM71" i="454"/>
  <c r="AP62" i="454"/>
  <c r="AP70" i="454"/>
  <c r="AS45" i="454"/>
  <c r="AS53" i="454"/>
  <c r="AS61" i="454"/>
  <c r="AS69" i="454"/>
  <c r="AM49" i="454"/>
  <c r="AM64" i="454"/>
  <c r="AS38" i="454"/>
  <c r="AS46" i="454"/>
  <c r="AS54" i="454"/>
  <c r="AS62" i="454"/>
  <c r="AS70" i="454"/>
  <c r="BB19" i="454"/>
  <c r="BH65" i="454"/>
  <c r="BH73" i="454"/>
  <c r="AM70" i="454"/>
  <c r="AP16" i="454"/>
  <c r="AM11" i="454"/>
  <c r="AM19" i="454"/>
  <c r="AP17" i="454"/>
  <c r="AP57" i="454"/>
  <c r="AM75" i="454"/>
  <c r="AP9" i="454"/>
  <c r="AP18" i="454"/>
  <c r="BB62" i="454"/>
  <c r="AM66" i="454"/>
  <c r="AP25" i="454"/>
  <c r="AP41" i="454"/>
  <c r="AP49" i="454"/>
  <c r="BH19" i="454"/>
  <c r="AP19" i="454"/>
  <c r="AS22" i="454"/>
  <c r="AM46" i="454"/>
  <c r="AP51" i="454"/>
  <c r="BB75" i="454"/>
  <c r="BH63" i="454"/>
  <c r="BH71" i="454"/>
  <c r="AJ22" i="454"/>
  <c r="AM21" i="454"/>
  <c r="AM65" i="454"/>
  <c r="BB21" i="454"/>
  <c r="BH18" i="454"/>
  <c r="BH58" i="454"/>
  <c r="AS21" i="454"/>
  <c r="AS14" i="454"/>
  <c r="BB43" i="454"/>
  <c r="AM62" i="454"/>
  <c r="AJ23" i="454"/>
  <c r="BB9" i="454"/>
  <c r="AY16" i="454"/>
  <c r="AY48" i="454"/>
  <c r="AY64" i="454"/>
  <c r="BB46" i="454"/>
  <c r="BB69" i="454"/>
  <c r="J10" i="454"/>
  <c r="AP65" i="454"/>
  <c r="AP73" i="454"/>
  <c r="AM44" i="454"/>
  <c r="AM59" i="454"/>
  <c r="AP38" i="454"/>
  <c r="AV9" i="454"/>
  <c r="AV18" i="454"/>
  <c r="AV42" i="454"/>
  <c r="AV50" i="454"/>
  <c r="AV58" i="454"/>
  <c r="AV66" i="454"/>
  <c r="AV74" i="454"/>
  <c r="AY8" i="454"/>
  <c r="AY17" i="454"/>
  <c r="AY25" i="454"/>
  <c r="AY41" i="454"/>
  <c r="AY49" i="454"/>
  <c r="AY57" i="454"/>
  <c r="AY65" i="454"/>
  <c r="AY73" i="454"/>
  <c r="BB70" i="454"/>
  <c r="BE21" i="454"/>
  <c r="BH44" i="454"/>
  <c r="BH52" i="454"/>
  <c r="AP43" i="454"/>
  <c r="BG5" i="454"/>
  <c r="AJ21" i="454"/>
  <c r="AP45" i="454"/>
  <c r="AY7" i="454"/>
  <c r="AY24" i="454"/>
  <c r="AY40" i="454"/>
  <c r="AY56" i="454"/>
  <c r="AY72" i="454"/>
  <c r="BB6" i="454"/>
  <c r="BB38" i="454"/>
  <c r="BB54" i="454"/>
  <c r="BH51" i="454"/>
  <c r="BH59" i="454"/>
  <c r="BH67" i="454"/>
  <c r="AP20" i="454"/>
  <c r="BB58" i="454"/>
  <c r="AM38" i="454"/>
  <c r="AM45" i="454"/>
  <c r="AP24" i="454"/>
  <c r="AP55" i="454"/>
  <c r="AP69" i="454"/>
  <c r="AS20" i="454"/>
  <c r="AS26" i="454"/>
  <c r="AS36" i="454"/>
  <c r="AS44" i="454"/>
  <c r="AS52" i="454"/>
  <c r="AS60" i="454"/>
  <c r="AS68" i="454"/>
  <c r="AV19" i="454"/>
  <c r="AV35" i="454"/>
  <c r="AV43" i="454"/>
  <c r="AV51" i="454"/>
  <c r="AV59" i="454"/>
  <c r="AV67" i="454"/>
  <c r="AV75" i="454"/>
  <c r="BB40" i="454"/>
  <c r="BB56" i="454"/>
  <c r="BB63" i="454"/>
  <c r="BH45" i="454"/>
  <c r="BH53" i="454"/>
  <c r="AR34" i="454"/>
  <c r="AU10" i="454"/>
  <c r="BH66" i="454"/>
  <c r="P97" i="455"/>
  <c r="AM20" i="454"/>
  <c r="P72" i="455"/>
  <c r="N80" i="455"/>
  <c r="AM22" i="454"/>
  <c r="BB17" i="454"/>
  <c r="BB25" i="454"/>
  <c r="BH16" i="454"/>
  <c r="BH47" i="454"/>
  <c r="N46" i="455"/>
  <c r="S46" i="454"/>
  <c r="P53" i="455"/>
  <c r="S48" i="454"/>
  <c r="P55" i="455"/>
  <c r="N58" i="455"/>
  <c r="N63" i="455"/>
  <c r="S58" i="454"/>
  <c r="P65" i="455"/>
  <c r="N68" i="455"/>
  <c r="S63" i="454"/>
  <c r="P70" i="455"/>
  <c r="N75" i="455"/>
  <c r="N103" i="455"/>
  <c r="P110" i="455"/>
  <c r="P92" i="455"/>
  <c r="AO95" i="454"/>
  <c r="AP95" i="454" s="1"/>
  <c r="AV26" i="454"/>
  <c r="N77" i="455"/>
  <c r="J34" i="454"/>
  <c r="BH60" i="454"/>
  <c r="P60" i="455"/>
  <c r="S70" i="454"/>
  <c r="P77" i="455"/>
  <c r="AM14" i="454"/>
  <c r="AM47" i="454"/>
  <c r="AM60" i="454"/>
  <c r="AP26" i="454"/>
  <c r="AP42" i="454"/>
  <c r="AP63" i="454"/>
  <c r="AP71" i="454"/>
  <c r="BB42" i="454"/>
  <c r="BB50" i="454"/>
  <c r="S39" i="454"/>
  <c r="P46" i="455"/>
  <c r="N51" i="455"/>
  <c r="S51" i="454"/>
  <c r="P58" i="455"/>
  <c r="N61" i="455"/>
  <c r="S56" i="454"/>
  <c r="P63" i="455"/>
  <c r="S61" i="454"/>
  <c r="P68" i="455"/>
  <c r="AO10" i="454"/>
  <c r="P87" i="455"/>
  <c r="AM58" i="454"/>
  <c r="AV20" i="454"/>
  <c r="N85" i="455"/>
  <c r="N65" i="455"/>
  <c r="AM42" i="454"/>
  <c r="AM61" i="454"/>
  <c r="AM74" i="454"/>
  <c r="AO34" i="454"/>
  <c r="AP50" i="454"/>
  <c r="BA93" i="454"/>
  <c r="BE20" i="454"/>
  <c r="BE26" i="454"/>
  <c r="BE36" i="454"/>
  <c r="BE44" i="454"/>
  <c r="BE52" i="454"/>
  <c r="BE60" i="454"/>
  <c r="BE68" i="454"/>
  <c r="P13" i="455"/>
  <c r="N16" i="455"/>
  <c r="S16" i="454"/>
  <c r="P21" i="455"/>
  <c r="N24" i="455"/>
  <c r="P39" i="455"/>
  <c r="N44" i="455"/>
  <c r="N49" i="455"/>
  <c r="S44" i="454"/>
  <c r="P51" i="455"/>
  <c r="N56" i="455"/>
  <c r="N90" i="455"/>
  <c r="AM26" i="454"/>
  <c r="S60" i="454"/>
  <c r="P67" i="455"/>
  <c r="N70" i="455"/>
  <c r="AJ9" i="454"/>
  <c r="AP8" i="454"/>
  <c r="AP23" i="454"/>
  <c r="AO27" i="454"/>
  <c r="AP27" i="454" s="1"/>
  <c r="AP44" i="454"/>
  <c r="BB20" i="454"/>
  <c r="BE37" i="454"/>
  <c r="BE45" i="454"/>
  <c r="BE53" i="454"/>
  <c r="BE61" i="454"/>
  <c r="BE69" i="454"/>
  <c r="BG76" i="454"/>
  <c r="P12" i="455"/>
  <c r="S11" i="454"/>
  <c r="P16" i="455"/>
  <c r="N19" i="455"/>
  <c r="S19" i="454"/>
  <c r="P24" i="455"/>
  <c r="N27" i="455"/>
  <c r="N37" i="455"/>
  <c r="AJ26" i="454"/>
  <c r="AM6" i="454"/>
  <c r="AM15" i="454"/>
  <c r="AM23" i="454"/>
  <c r="AM40" i="454"/>
  <c r="AM56" i="454"/>
  <c r="AM72" i="454"/>
  <c r="AP6" i="454"/>
  <c r="AP39" i="454"/>
  <c r="AP52" i="454"/>
  <c r="AP58" i="454"/>
  <c r="AP72" i="454"/>
  <c r="BB23" i="454"/>
  <c r="BB37" i="454"/>
  <c r="BB44" i="454"/>
  <c r="BB64" i="454"/>
  <c r="BB71" i="454"/>
  <c r="BH20" i="454"/>
  <c r="BH40" i="454"/>
  <c r="BH54" i="454"/>
  <c r="BH75" i="454"/>
  <c r="P11" i="455"/>
  <c r="P19" i="455"/>
  <c r="N22" i="455"/>
  <c r="P27" i="455"/>
  <c r="N30" i="455"/>
  <c r="N35" i="455"/>
  <c r="P37" i="455"/>
  <c r="S37" i="454"/>
  <c r="P44" i="455"/>
  <c r="N47" i="455"/>
  <c r="S42" i="454"/>
  <c r="P49" i="455"/>
  <c r="N54" i="455"/>
  <c r="S49" i="454"/>
  <c r="P56" i="455"/>
  <c r="P61" i="455"/>
  <c r="N66" i="455"/>
  <c r="N108" i="455"/>
  <c r="AM7" i="454"/>
  <c r="AM16" i="454"/>
  <c r="AM24" i="454"/>
  <c r="AM41" i="454"/>
  <c r="AM57" i="454"/>
  <c r="AM73" i="454"/>
  <c r="AO5" i="454"/>
  <c r="AP5" i="454" s="1"/>
  <c r="AP14" i="454"/>
  <c r="AP40" i="454"/>
  <c r="AP46" i="454"/>
  <c r="AP59" i="454"/>
  <c r="AO76" i="454"/>
  <c r="AU93" i="454"/>
  <c r="AY21" i="454"/>
  <c r="AY37" i="454"/>
  <c r="AY45" i="454"/>
  <c r="AY53" i="454"/>
  <c r="AY61" i="454"/>
  <c r="AY69" i="454"/>
  <c r="BB24" i="454"/>
  <c r="BB45" i="454"/>
  <c r="BB51" i="454"/>
  <c r="BB65" i="454"/>
  <c r="BB72" i="454"/>
  <c r="BE8" i="454"/>
  <c r="BE17" i="454"/>
  <c r="BE25" i="454"/>
  <c r="BE41" i="454"/>
  <c r="BE49" i="454"/>
  <c r="BE57" i="454"/>
  <c r="BE65" i="454"/>
  <c r="BE73" i="454"/>
  <c r="BH21" i="454"/>
  <c r="BH41" i="454"/>
  <c r="BH55" i="454"/>
  <c r="Q10" i="455"/>
  <c r="B10" i="455"/>
  <c r="N17" i="455"/>
  <c r="P22" i="455"/>
  <c r="N25" i="455"/>
  <c r="S25" i="454"/>
  <c r="P30" i="455"/>
  <c r="N31" i="455"/>
  <c r="P35" i="455"/>
  <c r="N42" i="455"/>
  <c r="P47" i="455"/>
  <c r="N52" i="455"/>
  <c r="S47" i="454"/>
  <c r="P54" i="455"/>
  <c r="N89" i="455"/>
  <c r="N94" i="455"/>
  <c r="P96" i="455"/>
  <c r="N99" i="455"/>
  <c r="P108" i="455"/>
  <c r="AM8" i="454"/>
  <c r="AM17" i="454"/>
  <c r="AM25" i="454"/>
  <c r="AM36" i="454"/>
  <c r="AM52" i="454"/>
  <c r="AM68" i="454"/>
  <c r="AL76" i="454"/>
  <c r="AP15" i="454"/>
  <c r="AP21" i="454"/>
  <c r="AP47" i="454"/>
  <c r="AP60" i="454"/>
  <c r="AP66" i="454"/>
  <c r="AS9" i="454"/>
  <c r="AS18" i="454"/>
  <c r="AS42" i="454"/>
  <c r="AS50" i="454"/>
  <c r="AS58" i="454"/>
  <c r="AS66" i="454"/>
  <c r="AS74" i="454"/>
  <c r="AR95" i="454"/>
  <c r="AS95" i="454" s="1"/>
  <c r="AV7" i="454"/>
  <c r="AV16" i="454"/>
  <c r="AV24" i="454"/>
  <c r="AV40" i="454"/>
  <c r="AV48" i="454"/>
  <c r="AV56" i="454"/>
  <c r="AV64" i="454"/>
  <c r="AV72" i="454"/>
  <c r="AY14" i="454"/>
  <c r="AY38" i="454"/>
  <c r="AY46" i="454"/>
  <c r="AY54" i="454"/>
  <c r="AY62" i="454"/>
  <c r="AY70" i="454"/>
  <c r="BA10" i="454"/>
  <c r="BB52" i="454"/>
  <c r="BB59" i="454"/>
  <c r="BB66" i="454"/>
  <c r="BE9" i="454"/>
  <c r="BE18" i="454"/>
  <c r="BE42" i="454"/>
  <c r="BE50" i="454"/>
  <c r="BE58" i="454"/>
  <c r="BE66" i="454"/>
  <c r="BE74" i="454"/>
  <c r="BH26" i="454"/>
  <c r="BH35" i="454"/>
  <c r="BH70" i="454"/>
  <c r="BG95" i="454"/>
  <c r="BH95" i="454" s="1"/>
  <c r="N13" i="455"/>
  <c r="P17" i="455"/>
  <c r="N20" i="455"/>
  <c r="S20" i="454"/>
  <c r="P25" i="455"/>
  <c r="N28" i="455"/>
  <c r="P31" i="455"/>
  <c r="N38" i="455"/>
  <c r="S35" i="454"/>
  <c r="P42" i="455"/>
  <c r="N45" i="455"/>
  <c r="N79" i="455"/>
  <c r="P89" i="455"/>
  <c r="P94" i="455"/>
  <c r="P99" i="455"/>
  <c r="N106" i="455"/>
  <c r="AJ25" i="454"/>
  <c r="AM9" i="454"/>
  <c r="AM18" i="454"/>
  <c r="AM37" i="454"/>
  <c r="AM53" i="454"/>
  <c r="AM69" i="454"/>
  <c r="AP22" i="454"/>
  <c r="AP35" i="454"/>
  <c r="AP48" i="454"/>
  <c r="AP54" i="454"/>
  <c r="AP67" i="454"/>
  <c r="AS19" i="454"/>
  <c r="AS35" i="454"/>
  <c r="AS43" i="454"/>
  <c r="AS51" i="454"/>
  <c r="AS59" i="454"/>
  <c r="AS67" i="454"/>
  <c r="AS75" i="454"/>
  <c r="AV8" i="454"/>
  <c r="AV17" i="454"/>
  <c r="AV25" i="454"/>
  <c r="AV41" i="454"/>
  <c r="AV49" i="454"/>
  <c r="AV57" i="454"/>
  <c r="AV65" i="454"/>
  <c r="AV73" i="454"/>
  <c r="AY6" i="454"/>
  <c r="AY15" i="454"/>
  <c r="AY39" i="454"/>
  <c r="AY47" i="454"/>
  <c r="AY55" i="454"/>
  <c r="AY63" i="454"/>
  <c r="AY71" i="454"/>
  <c r="AX76" i="454"/>
  <c r="BB18" i="454"/>
  <c r="BB39" i="454"/>
  <c r="BB53" i="454"/>
  <c r="BB74" i="454"/>
  <c r="BD10" i="454"/>
  <c r="BE19" i="454"/>
  <c r="BE35" i="454"/>
  <c r="BE43" i="454"/>
  <c r="BE51" i="454"/>
  <c r="BE59" i="454"/>
  <c r="BE67" i="454"/>
  <c r="BE75" i="454"/>
  <c r="BH7" i="454"/>
  <c r="BH15" i="454"/>
  <c r="BH43" i="454"/>
  <c r="BH57" i="454"/>
  <c r="N72" i="455"/>
  <c r="P74" i="455"/>
  <c r="S72" i="454"/>
  <c r="P79" i="455"/>
  <c r="N82" i="455"/>
  <c r="N87" i="455"/>
  <c r="N92" i="455"/>
  <c r="N97" i="455"/>
  <c r="AP68" i="454"/>
  <c r="AP74" i="454"/>
  <c r="AS6" i="454"/>
  <c r="AS15" i="454"/>
  <c r="AS23" i="454"/>
  <c r="AR27" i="454"/>
  <c r="AS27" i="454" s="1"/>
  <c r="AS39" i="454"/>
  <c r="AS47" i="454"/>
  <c r="AS55" i="454"/>
  <c r="AS63" i="454"/>
  <c r="AS71" i="454"/>
  <c r="AR76" i="454"/>
  <c r="AV37" i="454"/>
  <c r="AV45" i="454"/>
  <c r="AV53" i="454"/>
  <c r="AV61" i="454"/>
  <c r="AV69" i="454"/>
  <c r="AY9" i="454"/>
  <c r="AY18" i="454"/>
  <c r="AY42" i="454"/>
  <c r="AY50" i="454"/>
  <c r="AY58" i="454"/>
  <c r="AY66" i="454"/>
  <c r="AY74" i="454"/>
  <c r="AX95" i="454"/>
  <c r="AY95" i="454" s="1"/>
  <c r="BB7" i="454"/>
  <c r="BB14" i="454"/>
  <c r="BB41" i="454"/>
  <c r="BB47" i="454"/>
  <c r="BB60" i="454"/>
  <c r="BB73" i="454"/>
  <c r="BA76" i="454"/>
  <c r="BE14" i="454"/>
  <c r="BE22" i="454"/>
  <c r="BE38" i="454"/>
  <c r="BE46" i="454"/>
  <c r="BE54" i="454"/>
  <c r="BE62" i="454"/>
  <c r="BE70" i="454"/>
  <c r="BH9" i="454"/>
  <c r="BH17" i="454"/>
  <c r="BH23" i="454"/>
  <c r="BH42" i="454"/>
  <c r="BH48" i="454"/>
  <c r="BH61" i="454"/>
  <c r="BH74" i="454"/>
  <c r="N12" i="455"/>
  <c r="P20" i="455"/>
  <c r="N23" i="455"/>
  <c r="P28" i="455"/>
  <c r="N36" i="455"/>
  <c r="P38" i="455"/>
  <c r="P45" i="455"/>
  <c r="N50" i="455"/>
  <c r="P52" i="455"/>
  <c r="N59" i="455"/>
  <c r="N64" i="455"/>
  <c r="S59" i="454"/>
  <c r="P66" i="455"/>
  <c r="N73" i="455"/>
  <c r="P75" i="455"/>
  <c r="S73" i="454"/>
  <c r="P80" i="455"/>
  <c r="P85" i="455"/>
  <c r="P90" i="455"/>
  <c r="N95" i="455"/>
  <c r="P106" i="455"/>
  <c r="N109" i="455"/>
  <c r="AP75" i="454"/>
  <c r="AS7" i="454"/>
  <c r="AS16" i="454"/>
  <c r="AS24" i="454"/>
  <c r="AS40" i="454"/>
  <c r="AS48" i="454"/>
  <c r="AS56" i="454"/>
  <c r="AS64" i="454"/>
  <c r="AS72" i="454"/>
  <c r="AV14" i="454"/>
  <c r="AV22" i="454"/>
  <c r="AV38" i="454"/>
  <c r="AV46" i="454"/>
  <c r="AV54" i="454"/>
  <c r="AV62" i="454"/>
  <c r="AV70" i="454"/>
  <c r="AX10" i="454"/>
  <c r="AY19" i="454"/>
  <c r="AY35" i="454"/>
  <c r="AY43" i="454"/>
  <c r="AY51" i="454"/>
  <c r="AY59" i="454"/>
  <c r="AY67" i="454"/>
  <c r="AY75" i="454"/>
  <c r="BB8" i="454"/>
  <c r="BB15" i="454"/>
  <c r="BB26" i="454"/>
  <c r="BB35" i="454"/>
  <c r="BB48" i="454"/>
  <c r="BB61" i="454"/>
  <c r="BB67" i="454"/>
  <c r="BE6" i="454"/>
  <c r="BE15" i="454"/>
  <c r="BE23" i="454"/>
  <c r="BE39" i="454"/>
  <c r="BE47" i="454"/>
  <c r="BE55" i="454"/>
  <c r="BE63" i="454"/>
  <c r="BE71" i="454"/>
  <c r="BG10" i="454"/>
  <c r="BH24" i="454"/>
  <c r="BH36" i="454"/>
  <c r="BH49" i="454"/>
  <c r="BH62" i="454"/>
  <c r="BH68" i="454"/>
  <c r="N11" i="455"/>
  <c r="N18" i="455"/>
  <c r="P23" i="455"/>
  <c r="N34" i="455"/>
  <c r="P36" i="455"/>
  <c r="N43" i="455"/>
  <c r="N48" i="455"/>
  <c r="P50" i="455"/>
  <c r="N57" i="455"/>
  <c r="P59" i="455"/>
  <c r="P64" i="455"/>
  <c r="N69" i="455"/>
  <c r="N71" i="455"/>
  <c r="S66" i="454"/>
  <c r="P73" i="455"/>
  <c r="N78" i="455"/>
  <c r="N88" i="455"/>
  <c r="N93" i="455"/>
  <c r="P95" i="455"/>
  <c r="Q95" i="455" s="1"/>
  <c r="N100" i="455"/>
  <c r="P109" i="455"/>
  <c r="AS8" i="454"/>
  <c r="AS17" i="454"/>
  <c r="AS25" i="454"/>
  <c r="AS41" i="454"/>
  <c r="AS49" i="454"/>
  <c r="AS57" i="454"/>
  <c r="AS65" i="454"/>
  <c r="AS73" i="454"/>
  <c r="AV6" i="454"/>
  <c r="AV15" i="454"/>
  <c r="AV23" i="454"/>
  <c r="AV39" i="454"/>
  <c r="AV47" i="454"/>
  <c r="AV55" i="454"/>
  <c r="AV63" i="454"/>
  <c r="AV71" i="454"/>
  <c r="AU76" i="454"/>
  <c r="AY20" i="454"/>
  <c r="AY26" i="454"/>
  <c r="AY36" i="454"/>
  <c r="AY44" i="454"/>
  <c r="AY52" i="454"/>
  <c r="AY60" i="454"/>
  <c r="AY68" i="454"/>
  <c r="BB16" i="454"/>
  <c r="BB22" i="454"/>
  <c r="BB36" i="454"/>
  <c r="BB49" i="454"/>
  <c r="BB55" i="454"/>
  <c r="BB68" i="454"/>
  <c r="BE7" i="454"/>
  <c r="BE16" i="454"/>
  <c r="BE24" i="454"/>
  <c r="BE40" i="454"/>
  <c r="BE48" i="454"/>
  <c r="BE56" i="454"/>
  <c r="BE64" i="454"/>
  <c r="BE72" i="454"/>
  <c r="BH25" i="454"/>
  <c r="BG34" i="454"/>
  <c r="BH50" i="454"/>
  <c r="BH56" i="454"/>
  <c r="BH69" i="454"/>
  <c r="N10" i="455"/>
  <c r="P18" i="455"/>
  <c r="N21" i="455"/>
  <c r="P34" i="455"/>
  <c r="N39" i="455"/>
  <c r="S36" i="454"/>
  <c r="P43" i="455"/>
  <c r="P48" i="455"/>
  <c r="N53" i="455"/>
  <c r="N55" i="455"/>
  <c r="P57" i="455"/>
  <c r="N62" i="455"/>
  <c r="P69" i="455"/>
  <c r="P71" i="455"/>
  <c r="N76" i="455"/>
  <c r="P78" i="455"/>
  <c r="N86" i="455"/>
  <c r="P88" i="455"/>
  <c r="N91" i="455"/>
  <c r="P93" i="455"/>
  <c r="N98" i="455"/>
  <c r="P100" i="455"/>
  <c r="N107" i="455"/>
  <c r="N60" i="455"/>
  <c r="P62" i="455"/>
  <c r="N67" i="455"/>
  <c r="N74" i="455"/>
  <c r="P76" i="455"/>
  <c r="N81" i="455"/>
  <c r="P86" i="455"/>
  <c r="P91" i="455"/>
  <c r="N96" i="455"/>
  <c r="P98" i="455"/>
  <c r="P107" i="455"/>
  <c r="N110" i="455"/>
  <c r="N29" i="455"/>
  <c r="P29" i="455"/>
  <c r="AR10" i="454"/>
  <c r="N26" i="455"/>
  <c r="P26" i="455"/>
  <c r="T23" i="429"/>
  <c r="S24" i="429"/>
  <c r="AL93" i="454"/>
  <c r="AL95" i="454"/>
  <c r="AM95" i="454" s="1"/>
  <c r="S68" i="454"/>
  <c r="AI5" i="454"/>
  <c r="AJ24" i="454"/>
  <c r="P76" i="454"/>
  <c r="S54" i="454"/>
  <c r="BH5" i="454"/>
  <c r="BG93" i="454"/>
  <c r="BH11" i="454"/>
  <c r="BH8" i="454"/>
  <c r="BG27" i="454"/>
  <c r="BH27" i="454" s="1"/>
  <c r="BH37" i="454"/>
  <c r="BH98" i="454"/>
  <c r="BE11" i="454"/>
  <c r="BD5" i="454"/>
  <c r="BD27" i="454"/>
  <c r="BE27" i="454" s="1"/>
  <c r="BD34" i="454"/>
  <c r="BD95" i="454"/>
  <c r="BE95" i="454" s="1"/>
  <c r="BD76" i="454"/>
  <c r="BB11" i="454"/>
  <c r="BA5" i="454"/>
  <c r="BB5" i="454" s="1"/>
  <c r="BA27" i="454"/>
  <c r="BB27" i="454" s="1"/>
  <c r="BA34" i="454"/>
  <c r="BA95" i="454"/>
  <c r="BB95" i="454" s="1"/>
  <c r="AY98" i="454"/>
  <c r="AX93" i="454"/>
  <c r="AY11" i="454"/>
  <c r="AX5" i="454"/>
  <c r="AY5" i="454" s="1"/>
  <c r="AX27" i="454"/>
  <c r="AY27" i="454" s="1"/>
  <c r="AX34" i="454"/>
  <c r="AU5" i="454"/>
  <c r="AV5" i="454" s="1"/>
  <c r="AU27" i="454"/>
  <c r="AV27" i="454" s="1"/>
  <c r="AU34" i="454"/>
  <c r="AV11" i="454"/>
  <c r="AS11" i="454"/>
  <c r="AS30" i="454"/>
  <c r="AS98" i="454"/>
  <c r="AR5" i="454"/>
  <c r="AS37" i="454"/>
  <c r="AP7" i="454"/>
  <c r="AP11" i="454"/>
  <c r="AP29" i="454"/>
  <c r="AP36" i="454"/>
  <c r="AP97" i="454"/>
  <c r="AL27" i="454"/>
  <c r="AM27" i="454" s="1"/>
  <c r="AM97" i="454"/>
  <c r="AL5" i="454"/>
  <c r="AM5" i="454" s="1"/>
  <c r="AL10" i="454"/>
  <c r="AL34" i="454"/>
  <c r="AJ7" i="454"/>
  <c r="Y18" i="468" l="1"/>
  <c r="Y29" i="468"/>
  <c r="T25" i="468"/>
  <c r="T63" i="468"/>
  <c r="AB63" i="468" s="1"/>
  <c r="T36" i="468"/>
  <c r="AB36" i="468" s="1"/>
  <c r="Y64" i="468"/>
  <c r="Y110" i="468"/>
  <c r="Y47" i="468"/>
  <c r="T21" i="468"/>
  <c r="Y42" i="468"/>
  <c r="Y12" i="468"/>
  <c r="Y108" i="468"/>
  <c r="T46" i="468"/>
  <c r="AB46" i="468" s="1"/>
  <c r="Y23" i="468"/>
  <c r="T88" i="468"/>
  <c r="AB88" i="468" s="1"/>
  <c r="T74" i="468"/>
  <c r="AB74" i="468" s="1"/>
  <c r="Y66" i="468"/>
  <c r="T69" i="468"/>
  <c r="AB69" i="468" s="1"/>
  <c r="Y100" i="468"/>
  <c r="T34" i="468"/>
  <c r="Y52" i="468"/>
  <c r="T30" i="468"/>
  <c r="T54" i="468"/>
  <c r="AB54" i="468" s="1"/>
  <c r="Y77" i="468"/>
  <c r="T38" i="468"/>
  <c r="AB38" i="468" s="1"/>
  <c r="T19" i="468"/>
  <c r="T27" i="468"/>
  <c r="AA27" i="468" s="1"/>
  <c r="AB27" i="468" s="1"/>
  <c r="AC27" i="468" s="1"/>
  <c r="T86" i="468"/>
  <c r="AB86" i="468" s="1"/>
  <c r="Y44" i="468"/>
  <c r="T48" i="468"/>
  <c r="AB48" i="468" s="1"/>
  <c r="T96" i="468"/>
  <c r="AB96" i="468" s="1"/>
  <c r="T98" i="468"/>
  <c r="AB98" i="468" s="1"/>
  <c r="Y92" i="468"/>
  <c r="Y90" i="468"/>
  <c r="T22" i="468"/>
  <c r="Y50" i="468"/>
  <c r="Y106" i="468"/>
  <c r="T58" i="468"/>
  <c r="AB58" i="468" s="1"/>
  <c r="Y71" i="468"/>
  <c r="T73" i="468"/>
  <c r="AB73" i="468" s="1"/>
  <c r="Y53" i="468"/>
  <c r="T56" i="468"/>
  <c r="T94" i="468"/>
  <c r="AB94" i="468" s="1"/>
  <c r="Y79" i="468"/>
  <c r="Y62" i="468"/>
  <c r="Y75" i="468"/>
  <c r="Y55" i="468"/>
  <c r="Y28" i="468"/>
  <c r="T24" i="468"/>
  <c r="Y91" i="468"/>
  <c r="B111" i="455"/>
  <c r="Y99" i="468"/>
  <c r="T16" i="468"/>
  <c r="Y37" i="468"/>
  <c r="O31" i="455"/>
  <c r="O31" i="468"/>
  <c r="S31" i="468" s="1"/>
  <c r="V11" i="468"/>
  <c r="Q14" i="468"/>
  <c r="V14" i="468" s="1"/>
  <c r="O11" i="455"/>
  <c r="O11" i="468"/>
  <c r="S11" i="468" s="1"/>
  <c r="Y87" i="468"/>
  <c r="T87" i="468"/>
  <c r="AB87" i="468" s="1"/>
  <c r="O30" i="455"/>
  <c r="O30" i="468"/>
  <c r="S30" i="468" s="1"/>
  <c r="Y70" i="468"/>
  <c r="T70" i="468"/>
  <c r="AB70" i="468" s="1"/>
  <c r="Y81" i="468"/>
  <c r="T81" i="468"/>
  <c r="R111" i="455"/>
  <c r="Q40" i="468"/>
  <c r="V40" i="468" s="1"/>
  <c r="V34" i="468"/>
  <c r="Q81" i="468"/>
  <c r="V81" i="468" s="1"/>
  <c r="B81" i="468"/>
  <c r="O12" i="455"/>
  <c r="O12" i="468"/>
  <c r="S12" i="468" s="1"/>
  <c r="T95" i="468"/>
  <c r="AB95" i="468" s="1"/>
  <c r="Y95" i="468"/>
  <c r="T67" i="468"/>
  <c r="AB67" i="468" s="1"/>
  <c r="Y67" i="468"/>
  <c r="V25" i="468"/>
  <c r="H16" i="464"/>
  <c r="H16" i="465"/>
  <c r="C11" i="468"/>
  <c r="A11" i="468" s="1"/>
  <c r="O27" i="455"/>
  <c r="O27" i="468"/>
  <c r="S27" i="468" s="1"/>
  <c r="Y59" i="468"/>
  <c r="T59" i="468"/>
  <c r="AB59" i="468" s="1"/>
  <c r="T17" i="468"/>
  <c r="Y17" i="468"/>
  <c r="Q111" i="468"/>
  <c r="V111" i="468" s="1"/>
  <c r="B111" i="468"/>
  <c r="Y20" i="468"/>
  <c r="T20" i="468"/>
  <c r="O28" i="455"/>
  <c r="O28" i="468"/>
  <c r="S28" i="468" s="1"/>
  <c r="Y31" i="468"/>
  <c r="T31" i="468"/>
  <c r="V77" i="468"/>
  <c r="O13" i="455"/>
  <c r="O13" i="468"/>
  <c r="S13" i="468" s="1"/>
  <c r="T107" i="468"/>
  <c r="Y107" i="468"/>
  <c r="V42" i="468"/>
  <c r="Q103" i="468"/>
  <c r="B103" i="468"/>
  <c r="T43" i="468"/>
  <c r="AB43" i="468" s="1"/>
  <c r="Y43" i="468"/>
  <c r="Q32" i="468"/>
  <c r="V32" i="468" s="1"/>
  <c r="V16" i="468"/>
  <c r="V36" i="468"/>
  <c r="O29" i="455"/>
  <c r="O29" i="468"/>
  <c r="S29" i="468" s="1"/>
  <c r="Y78" i="468"/>
  <c r="T78" i="468"/>
  <c r="T13" i="468"/>
  <c r="Y13" i="468"/>
  <c r="H16" i="467"/>
  <c r="V85" i="468"/>
  <c r="Q101" i="468"/>
  <c r="V101" i="468" s="1"/>
  <c r="V54" i="468"/>
  <c r="B20" i="469"/>
  <c r="G20" i="469" s="1"/>
  <c r="H20" i="469" s="1"/>
  <c r="H51" i="469" s="1"/>
  <c r="B20" i="467"/>
  <c r="G20" i="467" s="1"/>
  <c r="B20" i="466"/>
  <c r="G20" i="466" s="1"/>
  <c r="B20" i="465"/>
  <c r="G20" i="465" s="1"/>
  <c r="B20" i="464"/>
  <c r="G20" i="464" s="1"/>
  <c r="O26" i="455"/>
  <c r="O26" i="468"/>
  <c r="S26" i="468" s="1"/>
  <c r="Y51" i="468"/>
  <c r="T51" i="468"/>
  <c r="AB51" i="468" s="1"/>
  <c r="H16" i="466"/>
  <c r="V23" i="468"/>
  <c r="R111" i="468"/>
  <c r="R103" i="468"/>
  <c r="O82" i="455"/>
  <c r="O82" i="468"/>
  <c r="V109" i="468"/>
  <c r="F19" i="457"/>
  <c r="F19" i="458"/>
  <c r="F17" i="456"/>
  <c r="H16" i="460"/>
  <c r="H16" i="459"/>
  <c r="H16" i="461"/>
  <c r="BH10" i="454"/>
  <c r="AY10" i="454"/>
  <c r="AP34" i="454"/>
  <c r="BE10" i="454"/>
  <c r="B20" i="446"/>
  <c r="B20" i="458"/>
  <c r="G20" i="458" s="1"/>
  <c r="B20" i="461"/>
  <c r="G20" i="461" s="1"/>
  <c r="B20" i="457"/>
  <c r="G20" i="457" s="1"/>
  <c r="B20" i="456"/>
  <c r="G20" i="456" s="1"/>
  <c r="B20" i="460"/>
  <c r="G20" i="460" s="1"/>
  <c r="B20" i="459"/>
  <c r="G20" i="459" s="1"/>
  <c r="AR4" i="454"/>
  <c r="C19" i="36" s="1"/>
  <c r="V111" i="455"/>
  <c r="AS5" i="454"/>
  <c r="R26" i="454"/>
  <c r="U26" i="454" s="1"/>
  <c r="AM34" i="454"/>
  <c r="AV34" i="454"/>
  <c r="AS10" i="454"/>
  <c r="AP10" i="454"/>
  <c r="BB10" i="454"/>
  <c r="R23" i="454"/>
  <c r="U23" i="454" s="1"/>
  <c r="AM10" i="454"/>
  <c r="R24" i="454"/>
  <c r="U24" i="454" s="1"/>
  <c r="BB34" i="454"/>
  <c r="BH34" i="454"/>
  <c r="BE34" i="454"/>
  <c r="AY34" i="454"/>
  <c r="T25" i="454"/>
  <c r="AV10" i="454"/>
  <c r="R110" i="455"/>
  <c r="R91" i="455"/>
  <c r="R21" i="455"/>
  <c r="B66" i="455"/>
  <c r="Q66" i="455"/>
  <c r="V66" i="455" s="1"/>
  <c r="R12" i="455"/>
  <c r="R13" i="455"/>
  <c r="R42" i="455"/>
  <c r="R43" i="455"/>
  <c r="B89" i="455"/>
  <c r="Q89" i="455"/>
  <c r="V89" i="455" s="1"/>
  <c r="R108" i="455"/>
  <c r="Q86" i="455"/>
  <c r="V86" i="455" s="1"/>
  <c r="B86" i="455"/>
  <c r="R76" i="455"/>
  <c r="R95" i="455"/>
  <c r="Q22" i="455"/>
  <c r="V22" i="455" s="1"/>
  <c r="B22" i="455"/>
  <c r="B97" i="455"/>
  <c r="Q97" i="455"/>
  <c r="V97" i="455" s="1"/>
  <c r="T22" i="454"/>
  <c r="R71" i="455"/>
  <c r="R106" i="455"/>
  <c r="R54" i="455"/>
  <c r="R49" i="455"/>
  <c r="Q98" i="455"/>
  <c r="V98" i="455" s="1"/>
  <c r="B98" i="455"/>
  <c r="R81" i="455"/>
  <c r="Q62" i="455"/>
  <c r="V62" i="455" s="1"/>
  <c r="B62" i="455"/>
  <c r="R98" i="455"/>
  <c r="R86" i="455"/>
  <c r="B71" i="455"/>
  <c r="Q71" i="455"/>
  <c r="V71" i="455" s="1"/>
  <c r="R55" i="455"/>
  <c r="R39" i="455"/>
  <c r="R10" i="455"/>
  <c r="T10" i="455" s="1"/>
  <c r="B90" i="455"/>
  <c r="Q90" i="455"/>
  <c r="V90" i="455" s="1"/>
  <c r="Q75" i="455"/>
  <c r="V75" i="455" s="1"/>
  <c r="B75" i="455"/>
  <c r="R59" i="455"/>
  <c r="Q38" i="455"/>
  <c r="V38" i="455" s="1"/>
  <c r="B38" i="455"/>
  <c r="R23" i="455"/>
  <c r="R97" i="455"/>
  <c r="R82" i="455"/>
  <c r="R38" i="455"/>
  <c r="R20" i="455"/>
  <c r="R94" i="455"/>
  <c r="R52" i="455"/>
  <c r="R31" i="455"/>
  <c r="R17" i="455"/>
  <c r="Q68" i="455"/>
  <c r="V68" i="455" s="1"/>
  <c r="B68" i="455"/>
  <c r="R51" i="455"/>
  <c r="R103" i="455"/>
  <c r="B65" i="455"/>
  <c r="Q65" i="455"/>
  <c r="V65" i="455" s="1"/>
  <c r="Q53" i="455"/>
  <c r="V53" i="455" s="1"/>
  <c r="B53" i="455"/>
  <c r="R74" i="455"/>
  <c r="Q48" i="455"/>
  <c r="V48" i="455" s="1"/>
  <c r="B48" i="455"/>
  <c r="Q74" i="455"/>
  <c r="V74" i="455" s="1"/>
  <c r="B74" i="455"/>
  <c r="Q67" i="455"/>
  <c r="V67" i="455" s="1"/>
  <c r="B67" i="455"/>
  <c r="R85" i="455"/>
  <c r="R61" i="455"/>
  <c r="R77" i="455"/>
  <c r="R58" i="455"/>
  <c r="R80" i="455"/>
  <c r="B73" i="455"/>
  <c r="Q73" i="455"/>
  <c r="V73" i="455" s="1"/>
  <c r="Q27" i="455"/>
  <c r="V27" i="455" s="1"/>
  <c r="B27" i="455"/>
  <c r="Q16" i="455"/>
  <c r="B16" i="455"/>
  <c r="B51" i="455"/>
  <c r="Q51" i="455"/>
  <c r="V51" i="455" s="1"/>
  <c r="B77" i="455"/>
  <c r="Q77" i="455"/>
  <c r="V77" i="455" s="1"/>
  <c r="B88" i="455"/>
  <c r="Q88" i="455"/>
  <c r="V88" i="455" s="1"/>
  <c r="Q18" i="455"/>
  <c r="B18" i="455"/>
  <c r="R64" i="455"/>
  <c r="R72" i="455"/>
  <c r="Q25" i="455"/>
  <c r="V25" i="455" s="1"/>
  <c r="B25" i="455"/>
  <c r="R100" i="455"/>
  <c r="Q36" i="455"/>
  <c r="V36" i="455" s="1"/>
  <c r="B36" i="455"/>
  <c r="B103" i="455"/>
  <c r="R22" i="455"/>
  <c r="B60" i="455"/>
  <c r="Q60" i="455"/>
  <c r="V60" i="455" s="1"/>
  <c r="B95" i="455"/>
  <c r="V95" i="455"/>
  <c r="R69" i="455"/>
  <c r="Q50" i="455"/>
  <c r="V50" i="455" s="1"/>
  <c r="B50" i="455"/>
  <c r="R34" i="455"/>
  <c r="R11" i="455"/>
  <c r="Q99" i="455"/>
  <c r="V99" i="455" s="1"/>
  <c r="B99" i="455"/>
  <c r="R66" i="455"/>
  <c r="B49" i="455"/>
  <c r="Q49" i="455"/>
  <c r="V49" i="455" s="1"/>
  <c r="R35" i="455"/>
  <c r="Q19" i="455"/>
  <c r="V19" i="455" s="1"/>
  <c r="B19" i="455"/>
  <c r="Q24" i="455"/>
  <c r="V24" i="455" s="1"/>
  <c r="B24" i="455"/>
  <c r="R44" i="455"/>
  <c r="Q21" i="455"/>
  <c r="V21" i="455" s="1"/>
  <c r="B21" i="455"/>
  <c r="Q72" i="455"/>
  <c r="V72" i="455" s="1"/>
  <c r="B72" i="455"/>
  <c r="B91" i="455"/>
  <c r="Q91" i="455"/>
  <c r="V91" i="455" s="1"/>
  <c r="Q78" i="455"/>
  <c r="V78" i="455" s="1"/>
  <c r="B78" i="455"/>
  <c r="R87" i="455"/>
  <c r="R28" i="455"/>
  <c r="R99" i="455"/>
  <c r="Q109" i="455"/>
  <c r="V109" i="455" s="1"/>
  <c r="B109" i="455"/>
  <c r="B59" i="455"/>
  <c r="Q59" i="455"/>
  <c r="V59" i="455" s="1"/>
  <c r="B56" i="455"/>
  <c r="Q56" i="455"/>
  <c r="V56" i="455" s="1"/>
  <c r="B13" i="455"/>
  <c r="Q13" i="455"/>
  <c r="V13" i="455" s="1"/>
  <c r="Q87" i="455"/>
  <c r="V87" i="455" s="1"/>
  <c r="B87" i="455"/>
  <c r="R67" i="455"/>
  <c r="B43" i="455"/>
  <c r="Q43" i="455"/>
  <c r="V43" i="455" s="1"/>
  <c r="Q80" i="455"/>
  <c r="V80" i="455" s="1"/>
  <c r="B80" i="455"/>
  <c r="B28" i="455"/>
  <c r="Q28" i="455"/>
  <c r="V28" i="455" s="1"/>
  <c r="B42" i="455"/>
  <c r="Q42" i="455"/>
  <c r="B96" i="455"/>
  <c r="Q96" i="455"/>
  <c r="V96" i="455" s="1"/>
  <c r="Q35" i="455"/>
  <c r="V35" i="455" s="1"/>
  <c r="B35" i="455"/>
  <c r="Q58" i="455"/>
  <c r="V58" i="455" s="1"/>
  <c r="B58" i="455"/>
  <c r="R57" i="455"/>
  <c r="B37" i="455"/>
  <c r="Q37" i="455"/>
  <c r="V37" i="455" s="1"/>
  <c r="Q12" i="455"/>
  <c r="V12" i="455" s="1"/>
  <c r="B12" i="455"/>
  <c r="R24" i="455"/>
  <c r="B82" i="455"/>
  <c r="Q82" i="455"/>
  <c r="V82" i="455" s="1"/>
  <c r="R96" i="455"/>
  <c r="Q76" i="455"/>
  <c r="V76" i="455" s="1"/>
  <c r="B76" i="455"/>
  <c r="R60" i="455"/>
  <c r="B93" i="455"/>
  <c r="Q93" i="455"/>
  <c r="V93" i="455" s="1"/>
  <c r="Q69" i="455"/>
  <c r="V69" i="455" s="1"/>
  <c r="B69" i="455"/>
  <c r="R53" i="455"/>
  <c r="Q34" i="455"/>
  <c r="B34" i="455"/>
  <c r="R109" i="455"/>
  <c r="Q85" i="455"/>
  <c r="B85" i="455"/>
  <c r="R73" i="455"/>
  <c r="Q52" i="455"/>
  <c r="V52" i="455" s="1"/>
  <c r="B52" i="455"/>
  <c r="R36" i="455"/>
  <c r="B20" i="455"/>
  <c r="Q20" i="455"/>
  <c r="V20" i="455" s="1"/>
  <c r="R92" i="455"/>
  <c r="Q79" i="455"/>
  <c r="V79" i="455" s="1"/>
  <c r="B79" i="455"/>
  <c r="R79" i="455"/>
  <c r="Q31" i="455"/>
  <c r="V31" i="455" s="1"/>
  <c r="B31" i="455"/>
  <c r="B17" i="455"/>
  <c r="Q17" i="455"/>
  <c r="B108" i="455"/>
  <c r="Q108" i="455"/>
  <c r="V108" i="455" s="1"/>
  <c r="R89" i="455"/>
  <c r="B47" i="455"/>
  <c r="Q47" i="455"/>
  <c r="V47" i="455" s="1"/>
  <c r="B30" i="455"/>
  <c r="Q30" i="455"/>
  <c r="V30" i="455" s="1"/>
  <c r="C10" i="455"/>
  <c r="A10" i="455" s="1"/>
  <c r="R70" i="455"/>
  <c r="R65" i="455"/>
  <c r="B63" i="455"/>
  <c r="Q63" i="455"/>
  <c r="V63" i="455" s="1"/>
  <c r="B46" i="455"/>
  <c r="Q46" i="455"/>
  <c r="V46" i="455" s="1"/>
  <c r="Q92" i="455"/>
  <c r="V92" i="455" s="1"/>
  <c r="B92" i="455"/>
  <c r="R75" i="455"/>
  <c r="R63" i="455"/>
  <c r="R46" i="455"/>
  <c r="R107" i="455"/>
  <c r="R62" i="455"/>
  <c r="Q106" i="455"/>
  <c r="V106" i="455" s="1"/>
  <c r="B106" i="455"/>
  <c r="R50" i="455"/>
  <c r="R45" i="455"/>
  <c r="Q81" i="455"/>
  <c r="V81" i="455" s="1"/>
  <c r="B81" i="455"/>
  <c r="R25" i="455"/>
  <c r="Q70" i="455"/>
  <c r="V70" i="455" s="1"/>
  <c r="B70" i="455"/>
  <c r="R88" i="455"/>
  <c r="B23" i="455"/>
  <c r="Q23" i="455"/>
  <c r="Q44" i="455"/>
  <c r="V44" i="455" s="1"/>
  <c r="B44" i="455"/>
  <c r="Q107" i="455"/>
  <c r="V107" i="455" s="1"/>
  <c r="B107" i="455"/>
  <c r="B100" i="455"/>
  <c r="Q100" i="455"/>
  <c r="V100" i="455" s="1"/>
  <c r="Q57" i="455"/>
  <c r="V57" i="455" s="1"/>
  <c r="B57" i="455"/>
  <c r="B45" i="455"/>
  <c r="Q45" i="455"/>
  <c r="V45" i="455" s="1"/>
  <c r="B54" i="455"/>
  <c r="Q54" i="455"/>
  <c r="V54" i="455" s="1"/>
  <c r="B110" i="455"/>
  <c r="Q110" i="455"/>
  <c r="V110" i="455" s="1"/>
  <c r="R68" i="455"/>
  <c r="Q55" i="455"/>
  <c r="V55" i="455" s="1"/>
  <c r="B55" i="455"/>
  <c r="R18" i="455"/>
  <c r="R27" i="455"/>
  <c r="R93" i="455"/>
  <c r="R78" i="455"/>
  <c r="B64" i="455"/>
  <c r="Q64" i="455"/>
  <c r="V64" i="455" s="1"/>
  <c r="R48" i="455"/>
  <c r="B94" i="455"/>
  <c r="Q94" i="455"/>
  <c r="V94" i="455" s="1"/>
  <c r="V10" i="455"/>
  <c r="Q61" i="455"/>
  <c r="V61" i="455" s="1"/>
  <c r="B61" i="455"/>
  <c r="R47" i="455"/>
  <c r="R30" i="455"/>
  <c r="B11" i="455"/>
  <c r="Q11" i="455"/>
  <c r="V11" i="455" s="1"/>
  <c r="R37" i="455"/>
  <c r="R19" i="455"/>
  <c r="R90" i="455"/>
  <c r="R56" i="455"/>
  <c r="Q39" i="455"/>
  <c r="V39" i="455" s="1"/>
  <c r="B39" i="455"/>
  <c r="R16" i="455"/>
  <c r="AS34" i="454"/>
  <c r="Q29" i="455"/>
  <c r="V29" i="455" s="1"/>
  <c r="B29" i="455"/>
  <c r="R29" i="455"/>
  <c r="T21" i="454"/>
  <c r="Q26" i="455"/>
  <c r="B26" i="455"/>
  <c r="R26" i="455"/>
  <c r="S25" i="429"/>
  <c r="T24" i="429"/>
  <c r="R75" i="454"/>
  <c r="U75" i="454" s="1"/>
  <c r="N5" i="454"/>
  <c r="R25" i="454"/>
  <c r="U25" i="454" s="1"/>
  <c r="BG4" i="454"/>
  <c r="BD4" i="454"/>
  <c r="BE5" i="454"/>
  <c r="N93" i="454"/>
  <c r="R9" i="454"/>
  <c r="U9" i="454" s="1"/>
  <c r="N27" i="454"/>
  <c r="N34" i="454"/>
  <c r="N10" i="454"/>
  <c r="S7" i="454"/>
  <c r="T7" i="454"/>
  <c r="S8" i="454"/>
  <c r="N95" i="454"/>
  <c r="D19" i="36" l="1"/>
  <c r="I19" i="36"/>
  <c r="H52" i="469"/>
  <c r="G51" i="469"/>
  <c r="G52" i="469" s="1"/>
  <c r="Q112" i="468"/>
  <c r="V112" i="468" s="1"/>
  <c r="C12" i="468"/>
  <c r="T103" i="468"/>
  <c r="Y103" i="468"/>
  <c r="F17" i="464"/>
  <c r="U12" i="468"/>
  <c r="Z12" i="468" s="1"/>
  <c r="W12" i="468"/>
  <c r="X12" i="468" s="1"/>
  <c r="Y111" i="455"/>
  <c r="T111" i="455"/>
  <c r="V16" i="455"/>
  <c r="Q32" i="455"/>
  <c r="F17" i="466"/>
  <c r="W28" i="468"/>
  <c r="X28" i="468" s="1"/>
  <c r="U28" i="468"/>
  <c r="Z28" i="468" s="1"/>
  <c r="U11" i="468"/>
  <c r="Z11" i="468" s="1"/>
  <c r="W11" i="468"/>
  <c r="X11" i="468" s="1"/>
  <c r="F17" i="467"/>
  <c r="U31" i="468"/>
  <c r="W31" i="468"/>
  <c r="X31" i="468" s="1"/>
  <c r="W26" i="468"/>
  <c r="X26" i="468" s="1"/>
  <c r="U26" i="468"/>
  <c r="Z26" i="468" s="1"/>
  <c r="U27" i="468"/>
  <c r="Z27" i="468" s="1"/>
  <c r="W27" i="468"/>
  <c r="X27" i="468" s="1"/>
  <c r="Q83" i="468"/>
  <c r="V83" i="468" s="1"/>
  <c r="V103" i="468"/>
  <c r="Q104" i="468"/>
  <c r="V104" i="468" s="1"/>
  <c r="Y111" i="468"/>
  <c r="T111" i="468"/>
  <c r="F17" i="465"/>
  <c r="U13" i="468"/>
  <c r="Z13" i="468" s="1"/>
  <c r="W13" i="468"/>
  <c r="X13" i="468" s="1"/>
  <c r="W30" i="468"/>
  <c r="X30" i="468" s="1"/>
  <c r="U30" i="468"/>
  <c r="Z30" i="468" s="1"/>
  <c r="B21" i="469"/>
  <c r="G21" i="469" s="1"/>
  <c r="B21" i="467"/>
  <c r="G21" i="467" s="1"/>
  <c r="B21" i="465"/>
  <c r="G21" i="465" s="1"/>
  <c r="B21" i="466"/>
  <c r="G21" i="466" s="1"/>
  <c r="B21" i="464"/>
  <c r="G21" i="464" s="1"/>
  <c r="W29" i="468"/>
  <c r="X29" i="468" s="1"/>
  <c r="U29" i="468"/>
  <c r="Z29" i="468" s="1"/>
  <c r="S82" i="468"/>
  <c r="H19" i="457"/>
  <c r="H19" i="458"/>
  <c r="N103" i="454"/>
  <c r="F17" i="461"/>
  <c r="F17" i="459"/>
  <c r="F17" i="460"/>
  <c r="H17" i="456"/>
  <c r="F19" i="421"/>
  <c r="L19" i="421" s="1"/>
  <c r="K19" i="36"/>
  <c r="L19" i="36" s="1"/>
  <c r="J19" i="36"/>
  <c r="B21" i="446"/>
  <c r="B21" i="461"/>
  <c r="G21" i="461" s="1"/>
  <c r="B21" i="457"/>
  <c r="G21" i="457" s="1"/>
  <c r="B21" i="459"/>
  <c r="G21" i="459" s="1"/>
  <c r="B21" i="460"/>
  <c r="G21" i="460" s="1"/>
  <c r="B21" i="456"/>
  <c r="G21" i="456" s="1"/>
  <c r="B21" i="458"/>
  <c r="G21" i="458" s="1"/>
  <c r="T26" i="454"/>
  <c r="T24" i="454"/>
  <c r="T23" i="454"/>
  <c r="S82" i="455"/>
  <c r="W82" i="455" s="1"/>
  <c r="X82" i="455" s="1"/>
  <c r="S27" i="455"/>
  <c r="U27" i="455" s="1"/>
  <c r="Z27" i="455" s="1"/>
  <c r="R21" i="454"/>
  <c r="U21" i="454" s="1"/>
  <c r="C11" i="455"/>
  <c r="A11" i="455" s="1"/>
  <c r="T63" i="455"/>
  <c r="AB63" i="455" s="1"/>
  <c r="Y63" i="455"/>
  <c r="T18" i="455"/>
  <c r="T25" i="455"/>
  <c r="Y25" i="455"/>
  <c r="Y92" i="455"/>
  <c r="T92" i="455"/>
  <c r="AB92" i="455" s="1"/>
  <c r="T85" i="455"/>
  <c r="AB85" i="455" s="1"/>
  <c r="Y85" i="455"/>
  <c r="Y20" i="455"/>
  <c r="T20" i="455"/>
  <c r="T75" i="455"/>
  <c r="Y75" i="455"/>
  <c r="Y69" i="455"/>
  <c r="T69" i="455"/>
  <c r="AB69" i="455" s="1"/>
  <c r="Y90" i="455"/>
  <c r="T90" i="455"/>
  <c r="Y30" i="455"/>
  <c r="T30" i="455"/>
  <c r="Y53" i="455"/>
  <c r="T53" i="455"/>
  <c r="AB53" i="455" s="1"/>
  <c r="T67" i="455"/>
  <c r="AB67" i="455" s="1"/>
  <c r="Y67" i="455"/>
  <c r="T44" i="455"/>
  <c r="AB44" i="455" s="1"/>
  <c r="Y44" i="455"/>
  <c r="T11" i="455"/>
  <c r="Y11" i="455"/>
  <c r="Y103" i="455"/>
  <c r="T103" i="455"/>
  <c r="S31" i="455"/>
  <c r="T23" i="455"/>
  <c r="Y23" i="455"/>
  <c r="Y106" i="455"/>
  <c r="T106" i="455"/>
  <c r="S13" i="455"/>
  <c r="T91" i="455"/>
  <c r="AB91" i="455" s="1"/>
  <c r="Y91" i="455"/>
  <c r="Y61" i="455"/>
  <c r="T61" i="455"/>
  <c r="AB61" i="455" s="1"/>
  <c r="Y82" i="455"/>
  <c r="T82" i="455"/>
  <c r="T49" i="455"/>
  <c r="AB49" i="455" s="1"/>
  <c r="Y49" i="455"/>
  <c r="V23" i="455"/>
  <c r="Y100" i="455"/>
  <c r="T100" i="455"/>
  <c r="AB100" i="455" s="1"/>
  <c r="Y54" i="455"/>
  <c r="T54" i="455"/>
  <c r="AB54" i="455" s="1"/>
  <c r="Y95" i="455"/>
  <c r="T95" i="455"/>
  <c r="AB95" i="455" s="1"/>
  <c r="Q112" i="455"/>
  <c r="V112" i="455" s="1"/>
  <c r="T80" i="455"/>
  <c r="Y80" i="455"/>
  <c r="Y62" i="455"/>
  <c r="T62" i="455"/>
  <c r="AB62" i="455" s="1"/>
  <c r="Y60" i="455"/>
  <c r="T60" i="455"/>
  <c r="AB60" i="455" s="1"/>
  <c r="Y21" i="455"/>
  <c r="T21" i="455"/>
  <c r="R22" i="454"/>
  <c r="U22" i="454" s="1"/>
  <c r="S30" i="455"/>
  <c r="T45" i="455"/>
  <c r="AB45" i="455" s="1"/>
  <c r="Y45" i="455"/>
  <c r="T107" i="455"/>
  <c r="Y107" i="455"/>
  <c r="Y28" i="455"/>
  <c r="T28" i="455"/>
  <c r="AA28" i="455" s="1"/>
  <c r="AB28" i="455" s="1"/>
  <c r="AC28" i="455" s="1"/>
  <c r="S11" i="455"/>
  <c r="Q104" i="455"/>
  <c r="V104" i="455" s="1"/>
  <c r="V103" i="455"/>
  <c r="Y58" i="455"/>
  <c r="T58" i="455"/>
  <c r="AB58" i="455" s="1"/>
  <c r="T74" i="455"/>
  <c r="AB74" i="455" s="1"/>
  <c r="Y74" i="455"/>
  <c r="Y51" i="455"/>
  <c r="T51" i="455"/>
  <c r="AB51" i="455" s="1"/>
  <c r="T31" i="455"/>
  <c r="Y31" i="455"/>
  <c r="Y38" i="455"/>
  <c r="T38" i="455"/>
  <c r="AB38" i="455" s="1"/>
  <c r="Y37" i="455"/>
  <c r="T37" i="455"/>
  <c r="AB37" i="455" s="1"/>
  <c r="Y94" i="455"/>
  <c r="T94" i="455"/>
  <c r="AB94" i="455" s="1"/>
  <c r="T59" i="455"/>
  <c r="AB59" i="455" s="1"/>
  <c r="Y59" i="455"/>
  <c r="Y43" i="455"/>
  <c r="T43" i="455"/>
  <c r="AB43" i="455" s="1"/>
  <c r="T93" i="455"/>
  <c r="AB93" i="455" s="1"/>
  <c r="Y93" i="455"/>
  <c r="Q14" i="455"/>
  <c r="V14" i="455" s="1"/>
  <c r="V42" i="455"/>
  <c r="Q83" i="455"/>
  <c r="V83" i="455" s="1"/>
  <c r="Y35" i="455"/>
  <c r="T35" i="455"/>
  <c r="T22" i="455"/>
  <c r="Y22" i="455"/>
  <c r="T97" i="455"/>
  <c r="AB97" i="455" s="1"/>
  <c r="Y97" i="455"/>
  <c r="T88" i="455"/>
  <c r="AB88" i="455" s="1"/>
  <c r="Y88" i="455"/>
  <c r="Y99" i="455"/>
  <c r="T99" i="455"/>
  <c r="AB99" i="455" s="1"/>
  <c r="Y108" i="455"/>
  <c r="T108" i="455"/>
  <c r="Y16" i="455"/>
  <c r="T16" i="455"/>
  <c r="Y19" i="455"/>
  <c r="T19" i="455"/>
  <c r="Y47" i="455"/>
  <c r="T47" i="455"/>
  <c r="AB47" i="455" s="1"/>
  <c r="Y27" i="455"/>
  <c r="T27" i="455"/>
  <c r="AA27" i="455" s="1"/>
  <c r="AB27" i="455" s="1"/>
  <c r="AC27" i="455" s="1"/>
  <c r="T68" i="455"/>
  <c r="AB68" i="455" s="1"/>
  <c r="Y68" i="455"/>
  <c r="Y70" i="455"/>
  <c r="T70" i="455"/>
  <c r="AB70" i="455" s="1"/>
  <c r="Y89" i="455"/>
  <c r="T89" i="455"/>
  <c r="Y79" i="455"/>
  <c r="T79" i="455"/>
  <c r="V85" i="455"/>
  <c r="Q101" i="455"/>
  <c r="V101" i="455" s="1"/>
  <c r="S28" i="455"/>
  <c r="Y55" i="455"/>
  <c r="T55" i="455"/>
  <c r="AB55" i="455" s="1"/>
  <c r="T71" i="455"/>
  <c r="AB71" i="455" s="1"/>
  <c r="Y71" i="455"/>
  <c r="T12" i="455"/>
  <c r="Y12" i="455"/>
  <c r="T46" i="455"/>
  <c r="AB46" i="455" s="1"/>
  <c r="Y46" i="455"/>
  <c r="T64" i="455"/>
  <c r="AB64" i="455" s="1"/>
  <c r="Y64" i="455"/>
  <c r="AB10" i="455"/>
  <c r="Y10" i="455"/>
  <c r="Y42" i="455"/>
  <c r="T42" i="455"/>
  <c r="Y56" i="455"/>
  <c r="T56" i="455"/>
  <c r="Q40" i="455"/>
  <c r="V40" i="455" s="1"/>
  <c r="V34" i="455"/>
  <c r="T24" i="455"/>
  <c r="Y24" i="455"/>
  <c r="T17" i="455"/>
  <c r="T86" i="455"/>
  <c r="AB86" i="455" s="1"/>
  <c r="Y86" i="455"/>
  <c r="T48" i="455"/>
  <c r="AB48" i="455" s="1"/>
  <c r="Y48" i="455"/>
  <c r="T65" i="455"/>
  <c r="AB65" i="455" s="1"/>
  <c r="Y65" i="455"/>
  <c r="T73" i="455"/>
  <c r="AB73" i="455" s="1"/>
  <c r="Y73" i="455"/>
  <c r="T39" i="455"/>
  <c r="AB39" i="455" s="1"/>
  <c r="Y39" i="455"/>
  <c r="Y98" i="455"/>
  <c r="T98" i="455"/>
  <c r="AB98" i="455" s="1"/>
  <c r="Y76" i="455"/>
  <c r="T76" i="455"/>
  <c r="T13" i="455"/>
  <c r="Y13" i="455"/>
  <c r="T78" i="455"/>
  <c r="Y78" i="455"/>
  <c r="T50" i="455"/>
  <c r="AB50" i="455" s="1"/>
  <c r="Y50" i="455"/>
  <c r="T36" i="455"/>
  <c r="AB36" i="455" s="1"/>
  <c r="Y36" i="455"/>
  <c r="T109" i="455"/>
  <c r="Y109" i="455"/>
  <c r="Y96" i="455"/>
  <c r="T96" i="455"/>
  <c r="AB96" i="455" s="1"/>
  <c r="T57" i="455"/>
  <c r="AB57" i="455" s="1"/>
  <c r="Y57" i="455"/>
  <c r="Y87" i="455"/>
  <c r="T87" i="455"/>
  <c r="AB87" i="455" s="1"/>
  <c r="T66" i="455"/>
  <c r="AB66" i="455" s="1"/>
  <c r="Y66" i="455"/>
  <c r="T34" i="455"/>
  <c r="Y34" i="455"/>
  <c r="Y72" i="455"/>
  <c r="T72" i="455"/>
  <c r="AB72" i="455" s="1"/>
  <c r="Y77" i="455"/>
  <c r="T77" i="455"/>
  <c r="Y52" i="455"/>
  <c r="T52" i="455"/>
  <c r="AB52" i="455" s="1"/>
  <c r="Y81" i="455"/>
  <c r="T81" i="455"/>
  <c r="S12" i="455"/>
  <c r="Y110" i="455"/>
  <c r="T110" i="455"/>
  <c r="Y29" i="455"/>
  <c r="T29" i="455"/>
  <c r="S29" i="455"/>
  <c r="V26" i="455"/>
  <c r="T26" i="455"/>
  <c r="Y26" i="455"/>
  <c r="S26" i="455"/>
  <c r="T25" i="429"/>
  <c r="S26" i="429"/>
  <c r="T9" i="454"/>
  <c r="T8" i="454"/>
  <c r="R8" i="454"/>
  <c r="U8" i="454" s="1"/>
  <c r="R7" i="454"/>
  <c r="U7" i="454" s="1"/>
  <c r="F20" i="457" l="1"/>
  <c r="F20" i="458"/>
  <c r="H20" i="458" s="1"/>
  <c r="C13" i="468"/>
  <c r="A12" i="468"/>
  <c r="P114" i="468"/>
  <c r="V114" i="468" s="1"/>
  <c r="B22" i="469"/>
  <c r="G22" i="469" s="1"/>
  <c r="B22" i="467"/>
  <c r="G22" i="467" s="1"/>
  <c r="B22" i="466"/>
  <c r="G22" i="466" s="1"/>
  <c r="Z31" i="468"/>
  <c r="H17" i="466"/>
  <c r="F18" i="466" s="1"/>
  <c r="H18" i="466" s="1"/>
  <c r="F19" i="466" s="1"/>
  <c r="H19" i="466" s="1"/>
  <c r="H51" i="466" s="1"/>
  <c r="H17" i="467"/>
  <c r="F18" i="467" s="1"/>
  <c r="H18" i="467" s="1"/>
  <c r="F19" i="467" s="1"/>
  <c r="H17" i="464"/>
  <c r="F18" i="464" s="1"/>
  <c r="H18" i="464" s="1"/>
  <c r="F19" i="464" s="1"/>
  <c r="H19" i="464" s="1"/>
  <c r="H17" i="465"/>
  <c r="F18" i="465" s="1"/>
  <c r="H18" i="465" s="1"/>
  <c r="F19" i="465" s="1"/>
  <c r="H19" i="465" s="1"/>
  <c r="H52" i="465" s="1"/>
  <c r="U82" i="468"/>
  <c r="W82" i="468"/>
  <c r="X82" i="468" s="1"/>
  <c r="Q19" i="36"/>
  <c r="H17" i="460"/>
  <c r="F18" i="456"/>
  <c r="H17" i="459"/>
  <c r="H17" i="461"/>
  <c r="B22" i="446"/>
  <c r="B22" i="456"/>
  <c r="G22" i="456" s="1"/>
  <c r="B22" i="459"/>
  <c r="G22" i="459" s="1"/>
  <c r="B22" i="460"/>
  <c r="G22" i="460" s="1"/>
  <c r="B22" i="458"/>
  <c r="G22" i="458" s="1"/>
  <c r="B22" i="457"/>
  <c r="G22" i="457" s="1"/>
  <c r="B22" i="461"/>
  <c r="G22" i="461" s="1"/>
  <c r="P114" i="455"/>
  <c r="U82" i="455"/>
  <c r="Z82" i="455" s="1"/>
  <c r="W27" i="455"/>
  <c r="X27" i="455" s="1"/>
  <c r="C12" i="455"/>
  <c r="W30" i="455"/>
  <c r="X30" i="455" s="1"/>
  <c r="U30" i="455"/>
  <c r="Z30" i="455" s="1"/>
  <c r="W31" i="455"/>
  <c r="X31" i="455" s="1"/>
  <c r="U31" i="455"/>
  <c r="Z31" i="455" s="1"/>
  <c r="W28" i="455"/>
  <c r="X28" i="455" s="1"/>
  <c r="U28" i="455"/>
  <c r="Z28" i="455" s="1"/>
  <c r="U11" i="455"/>
  <c r="Z11" i="455" s="1"/>
  <c r="W11" i="455"/>
  <c r="X11" i="455" s="1"/>
  <c r="W12" i="455"/>
  <c r="X12" i="455" s="1"/>
  <c r="U12" i="455"/>
  <c r="Z12" i="455" s="1"/>
  <c r="U13" i="455"/>
  <c r="Z13" i="455" s="1"/>
  <c r="W13" i="455"/>
  <c r="X13" i="455" s="1"/>
  <c r="U29" i="455"/>
  <c r="Z29" i="455" s="1"/>
  <c r="W29" i="455"/>
  <c r="X29" i="455" s="1"/>
  <c r="U26" i="455"/>
  <c r="W26" i="455"/>
  <c r="X26" i="455" s="1"/>
  <c r="V32" i="455"/>
  <c r="T26" i="429"/>
  <c r="S27" i="429"/>
  <c r="H52" i="467" l="1"/>
  <c r="H19" i="467"/>
  <c r="F20" i="467" s="1"/>
  <c r="H20" i="467" s="1"/>
  <c r="H20" i="457"/>
  <c r="H54" i="457" s="1"/>
  <c r="F54" i="457"/>
  <c r="F55" i="457" s="1"/>
  <c r="H49" i="458"/>
  <c r="F49" i="458"/>
  <c r="F50" i="458" s="1"/>
  <c r="F20" i="464"/>
  <c r="H20" i="464" s="1"/>
  <c r="H52" i="464" s="1"/>
  <c r="H53" i="464" s="1"/>
  <c r="V114" i="455"/>
  <c r="K18" i="462"/>
  <c r="F51" i="466"/>
  <c r="F52" i="466" s="1"/>
  <c r="F52" i="465"/>
  <c r="F53" i="465" s="1"/>
  <c r="Q1" i="468"/>
  <c r="C14" i="468"/>
  <c r="A13" i="468"/>
  <c r="F52" i="467"/>
  <c r="F53" i="467" s="1"/>
  <c r="H53" i="467"/>
  <c r="H52" i="466"/>
  <c r="H53" i="465"/>
  <c r="B23" i="469"/>
  <c r="G23" i="469" s="1"/>
  <c r="B23" i="467"/>
  <c r="G23" i="467" s="1"/>
  <c r="B22" i="465"/>
  <c r="G22" i="465" s="1"/>
  <c r="B23" i="466"/>
  <c r="G23" i="466" s="1"/>
  <c r="B23" i="464"/>
  <c r="G23" i="464" s="1"/>
  <c r="Z82" i="468"/>
  <c r="H19" i="421"/>
  <c r="N19" i="421" s="1"/>
  <c r="R19" i="36"/>
  <c r="F18" i="459"/>
  <c r="F18" i="461"/>
  <c r="H18" i="456"/>
  <c r="F18" i="460"/>
  <c r="B23" i="446"/>
  <c r="B24" i="459"/>
  <c r="G24" i="459" s="1"/>
  <c r="B24" i="456"/>
  <c r="G24" i="456" s="1"/>
  <c r="B23" i="460"/>
  <c r="G23" i="460" s="1"/>
  <c r="B23" i="458"/>
  <c r="G23" i="458" s="1"/>
  <c r="B24" i="457"/>
  <c r="G24" i="457" s="1"/>
  <c r="B23" i="461"/>
  <c r="G23" i="461" s="1"/>
  <c r="C13" i="455"/>
  <c r="A12" i="455"/>
  <c r="Z26" i="455"/>
  <c r="Q1" i="455"/>
  <c r="T27" i="429"/>
  <c r="S28" i="429"/>
  <c r="B37" i="462" l="1"/>
  <c r="C26" i="462"/>
  <c r="F52" i="464"/>
  <c r="F53" i="464" s="1"/>
  <c r="G54" i="457"/>
  <c r="G55" i="457" s="1"/>
  <c r="H55" i="457"/>
  <c r="H50" i="458"/>
  <c r="G49" i="458"/>
  <c r="G50" i="458" s="1"/>
  <c r="G51" i="466"/>
  <c r="G52" i="466" s="1"/>
  <c r="G52" i="465"/>
  <c r="G53" i="465" s="1"/>
  <c r="G52" i="467"/>
  <c r="G53" i="467" s="1"/>
  <c r="A14" i="468"/>
  <c r="C15" i="468"/>
  <c r="K24" i="462"/>
  <c r="B24" i="469"/>
  <c r="G24" i="469" s="1"/>
  <c r="B24" i="467"/>
  <c r="G24" i="467" s="1"/>
  <c r="B24" i="465"/>
  <c r="G24" i="465" s="1"/>
  <c r="B24" i="466"/>
  <c r="G24" i="466" s="1"/>
  <c r="B24" i="464"/>
  <c r="G24" i="464" s="1"/>
  <c r="F19" i="456"/>
  <c r="K26" i="462"/>
  <c r="H18" i="461"/>
  <c r="H53" i="461" s="1"/>
  <c r="F53" i="461"/>
  <c r="F54" i="461" s="1"/>
  <c r="H18" i="460"/>
  <c r="H53" i="460" s="1"/>
  <c r="F53" i="460"/>
  <c r="F54" i="460" s="1"/>
  <c r="H18" i="459"/>
  <c r="D26" i="462"/>
  <c r="B24" i="446"/>
  <c r="B25" i="459"/>
  <c r="G25" i="459" s="1"/>
  <c r="B25" i="456"/>
  <c r="G25" i="456" s="1"/>
  <c r="B24" i="460"/>
  <c r="G24" i="460" s="1"/>
  <c r="B24" i="458"/>
  <c r="G24" i="458" s="1"/>
  <c r="B24" i="461"/>
  <c r="G24" i="461" s="1"/>
  <c r="B25" i="457"/>
  <c r="G25" i="457" s="1"/>
  <c r="C14" i="455"/>
  <c r="A13" i="455"/>
  <c r="T28" i="429"/>
  <c r="S29" i="429"/>
  <c r="G52" i="464" l="1"/>
  <c r="G53" i="464" s="1"/>
  <c r="C32" i="462"/>
  <c r="D32" i="462" s="1"/>
  <c r="J27" i="462"/>
  <c r="J28" i="462" s="1"/>
  <c r="D37" i="462" s="1"/>
  <c r="A15" i="468"/>
  <c r="C16" i="468"/>
  <c r="B25" i="469"/>
  <c r="G25" i="469" s="1"/>
  <c r="B25" i="467"/>
  <c r="G25" i="467" s="1"/>
  <c r="B25" i="466"/>
  <c r="G25" i="466" s="1"/>
  <c r="B25" i="465"/>
  <c r="G25" i="465" s="1"/>
  <c r="B25" i="464"/>
  <c r="G25" i="464" s="1"/>
  <c r="F19" i="459"/>
  <c r="H19" i="456"/>
  <c r="H54" i="460"/>
  <c r="G53" i="460"/>
  <c r="G54" i="460" s="1"/>
  <c r="H54" i="461"/>
  <c r="G53" i="461"/>
  <c r="G54" i="461" s="1"/>
  <c r="B25" i="446"/>
  <c r="B25" i="460"/>
  <c r="G25" i="460" s="1"/>
  <c r="B25" i="461"/>
  <c r="G25" i="461" s="1"/>
  <c r="B25" i="458"/>
  <c r="G25" i="458" s="1"/>
  <c r="B26" i="457"/>
  <c r="G26" i="457" s="1"/>
  <c r="B26" i="459"/>
  <c r="G26" i="459" s="1"/>
  <c r="B26" i="456"/>
  <c r="G26" i="456" s="1"/>
  <c r="A14" i="455"/>
  <c r="C15" i="455"/>
  <c r="T29" i="429"/>
  <c r="S30" i="429"/>
  <c r="F20" i="456" l="1"/>
  <c r="C17" i="468"/>
  <c r="A16" i="468"/>
  <c r="B26" i="469"/>
  <c r="G26" i="469" s="1"/>
  <c r="B26" i="467"/>
  <c r="G26" i="467" s="1"/>
  <c r="B26" i="465"/>
  <c r="G26" i="465" s="1"/>
  <c r="B26" i="466"/>
  <c r="G26" i="466" s="1"/>
  <c r="B26" i="464"/>
  <c r="G26" i="464" s="1"/>
  <c r="H19" i="459"/>
  <c r="G1" i="388"/>
  <c r="B26" i="446"/>
  <c r="B26" i="460"/>
  <c r="G26" i="460" s="1"/>
  <c r="B26" i="461"/>
  <c r="G26" i="461" s="1"/>
  <c r="B27" i="457"/>
  <c r="G27" i="457" s="1"/>
  <c r="B26" i="458"/>
  <c r="G26" i="458" s="1"/>
  <c r="B27" i="459"/>
  <c r="G27" i="459" s="1"/>
  <c r="B27" i="456"/>
  <c r="G27" i="456" s="1"/>
  <c r="A15" i="455"/>
  <c r="C16" i="455"/>
  <c r="T30" i="429"/>
  <c r="S31" i="429"/>
  <c r="F20" i="459" l="1"/>
  <c r="H20" i="456"/>
  <c r="H54" i="456" s="1"/>
  <c r="F54" i="456"/>
  <c r="F55" i="456" s="1"/>
  <c r="A17" i="468"/>
  <c r="C18" i="468"/>
  <c r="B27" i="469"/>
  <c r="G27" i="469" s="1"/>
  <c r="B27" i="467"/>
  <c r="G27" i="467" s="1"/>
  <c r="B27" i="466"/>
  <c r="G27" i="466" s="1"/>
  <c r="B27" i="465"/>
  <c r="G27" i="465" s="1"/>
  <c r="B27" i="464"/>
  <c r="G27" i="464" s="1"/>
  <c r="B27" i="446"/>
  <c r="B28" i="459"/>
  <c r="G28" i="459" s="1"/>
  <c r="B27" i="461"/>
  <c r="G27" i="461" s="1"/>
  <c r="B27" i="458"/>
  <c r="G27" i="458" s="1"/>
  <c r="B28" i="457"/>
  <c r="G28" i="457" s="1"/>
  <c r="B28" i="456"/>
  <c r="G28" i="456" s="1"/>
  <c r="B27" i="460"/>
  <c r="G27" i="460" s="1"/>
  <c r="C17" i="455"/>
  <c r="A16" i="455"/>
  <c r="T31" i="429"/>
  <c r="S32" i="429"/>
  <c r="F39" i="437"/>
  <c r="H20" i="459" l="1"/>
  <c r="H54" i="459" s="1"/>
  <c r="F54" i="459"/>
  <c r="F55" i="459" s="1"/>
  <c r="H55" i="456"/>
  <c r="G54" i="456"/>
  <c r="G55" i="456" s="1"/>
  <c r="A18" i="468"/>
  <c r="C19" i="468"/>
  <c r="C20" i="468" s="1"/>
  <c r="B28" i="469"/>
  <c r="G28" i="469" s="1"/>
  <c r="B28" i="467"/>
  <c r="G28" i="467" s="1"/>
  <c r="B28" i="466"/>
  <c r="G28" i="466" s="1"/>
  <c r="B28" i="465"/>
  <c r="G28" i="465" s="1"/>
  <c r="B28" i="464"/>
  <c r="G28" i="464" s="1"/>
  <c r="B28" i="446"/>
  <c r="B28" i="461"/>
  <c r="G28" i="461" s="1"/>
  <c r="B28" i="458"/>
  <c r="G28" i="458" s="1"/>
  <c r="B29" i="459"/>
  <c r="G29" i="459" s="1"/>
  <c r="B29" i="457"/>
  <c r="G29" i="457" s="1"/>
  <c r="B29" i="456"/>
  <c r="G29" i="456" s="1"/>
  <c r="B28" i="460"/>
  <c r="G28" i="460" s="1"/>
  <c r="A17" i="455"/>
  <c r="C18" i="455"/>
  <c r="T32" i="429"/>
  <c r="S33" i="429"/>
  <c r="B11" i="450"/>
  <c r="G11" i="450" s="1"/>
  <c r="G10" i="450"/>
  <c r="B11" i="453"/>
  <c r="G11" i="453" s="1"/>
  <c r="G10" i="453"/>
  <c r="G10" i="446"/>
  <c r="J10" i="33"/>
  <c r="G54" i="459" l="1"/>
  <c r="G55" i="459" s="1"/>
  <c r="H55" i="459"/>
  <c r="A19" i="468"/>
  <c r="A20" i="468"/>
  <c r="C21" i="468"/>
  <c r="B29" i="469"/>
  <c r="G29" i="469" s="1"/>
  <c r="B29" i="467"/>
  <c r="G29" i="467" s="1"/>
  <c r="B29" i="465"/>
  <c r="G29" i="465" s="1"/>
  <c r="B29" i="466"/>
  <c r="G29" i="466" s="1"/>
  <c r="B29" i="464"/>
  <c r="G29" i="464" s="1"/>
  <c r="B29" i="446"/>
  <c r="B30" i="459"/>
  <c r="G30" i="459" s="1"/>
  <c r="B30" i="457"/>
  <c r="G30" i="457" s="1"/>
  <c r="B29" i="460"/>
  <c r="G29" i="460" s="1"/>
  <c r="B29" i="461"/>
  <c r="G29" i="461" s="1"/>
  <c r="B29" i="458"/>
  <c r="G29" i="458" s="1"/>
  <c r="B30" i="456"/>
  <c r="G30" i="456" s="1"/>
  <c r="A18" i="455"/>
  <c r="C19" i="455"/>
  <c r="T33" i="429"/>
  <c r="S34" i="429"/>
  <c r="B12" i="453"/>
  <c r="G12" i="453" s="1"/>
  <c r="J11" i="33"/>
  <c r="G11" i="446"/>
  <c r="B13" i="453"/>
  <c r="G13" i="453" s="1"/>
  <c r="B13" i="450"/>
  <c r="G13" i="450" s="1"/>
  <c r="G12" i="446"/>
  <c r="B12" i="450"/>
  <c r="G12" i="450" s="1"/>
  <c r="K95" i="454"/>
  <c r="M93" i="454"/>
  <c r="M95" i="454"/>
  <c r="K93" i="454"/>
  <c r="A21" i="468" l="1"/>
  <c r="C22" i="468"/>
  <c r="B30" i="469"/>
  <c r="G30" i="469" s="1"/>
  <c r="B30" i="467"/>
  <c r="G30" i="467" s="1"/>
  <c r="B30" i="466"/>
  <c r="G30" i="466" s="1"/>
  <c r="B30" i="465"/>
  <c r="G30" i="465" s="1"/>
  <c r="B30" i="464"/>
  <c r="G30" i="464" s="1"/>
  <c r="B30" i="446"/>
  <c r="B30" i="460"/>
  <c r="G30" i="460" s="1"/>
  <c r="B31" i="456"/>
  <c r="G31" i="456" s="1"/>
  <c r="B30" i="461"/>
  <c r="G30" i="461" s="1"/>
  <c r="B31" i="459"/>
  <c r="G31" i="459" s="1"/>
  <c r="B30" i="458"/>
  <c r="G30" i="458" s="1"/>
  <c r="B31" i="457"/>
  <c r="G31" i="457" s="1"/>
  <c r="C20" i="455"/>
  <c r="A19" i="455"/>
  <c r="T34" i="429"/>
  <c r="S35" i="429"/>
  <c r="J12" i="33"/>
  <c r="G13" i="446"/>
  <c r="B14" i="453"/>
  <c r="G14" i="453" s="1"/>
  <c r="B14" i="450"/>
  <c r="G14" i="450" s="1"/>
  <c r="J13" i="33"/>
  <c r="A22" i="468" l="1"/>
  <c r="C23" i="468"/>
  <c r="B31" i="469"/>
  <c r="G31" i="469" s="1"/>
  <c r="B31" i="467"/>
  <c r="G31" i="467" s="1"/>
  <c r="B31" i="466"/>
  <c r="G31" i="466" s="1"/>
  <c r="B31" i="465"/>
  <c r="G31" i="465" s="1"/>
  <c r="B31" i="464"/>
  <c r="G31" i="464" s="1"/>
  <c r="B31" i="446"/>
  <c r="B31" i="460"/>
  <c r="G31" i="460" s="1"/>
  <c r="B32" i="456"/>
  <c r="G32" i="456" s="1"/>
  <c r="B31" i="461"/>
  <c r="G31" i="461" s="1"/>
  <c r="B32" i="459"/>
  <c r="G32" i="459" s="1"/>
  <c r="B31" i="458"/>
  <c r="G31" i="458" s="1"/>
  <c r="B32" i="457"/>
  <c r="G32" i="457" s="1"/>
  <c r="C21" i="455"/>
  <c r="A20" i="455"/>
  <c r="T35" i="429"/>
  <c r="S36" i="429"/>
  <c r="B15" i="453"/>
  <c r="G15" i="453" s="1"/>
  <c r="B15" i="450"/>
  <c r="G15" i="450" s="1"/>
  <c r="G14" i="446"/>
  <c r="A23" i="468" l="1"/>
  <c r="C24" i="468"/>
  <c r="B32" i="469"/>
  <c r="G32" i="469" s="1"/>
  <c r="B32" i="467"/>
  <c r="G32" i="467" s="1"/>
  <c r="B32" i="465"/>
  <c r="G32" i="465" s="1"/>
  <c r="B32" i="466"/>
  <c r="G32" i="466" s="1"/>
  <c r="B32" i="464"/>
  <c r="G32" i="464" s="1"/>
  <c r="B32" i="446"/>
  <c r="B32" i="460"/>
  <c r="G32" i="460" s="1"/>
  <c r="B33" i="456"/>
  <c r="G33" i="456" s="1"/>
  <c r="B32" i="461"/>
  <c r="G32" i="461" s="1"/>
  <c r="B33" i="459"/>
  <c r="G33" i="459" s="1"/>
  <c r="B32" i="458"/>
  <c r="G32" i="458" s="1"/>
  <c r="B33" i="457"/>
  <c r="G33" i="457" s="1"/>
  <c r="C22" i="455"/>
  <c r="A21" i="455"/>
  <c r="T36" i="429"/>
  <c r="S37" i="429"/>
  <c r="B16" i="453"/>
  <c r="G16" i="453" s="1"/>
  <c r="B16" i="450"/>
  <c r="G16" i="450" s="1"/>
  <c r="G15" i="446"/>
  <c r="A24" i="468" l="1"/>
  <c r="C25" i="468"/>
  <c r="B33" i="469"/>
  <c r="G33" i="469" s="1"/>
  <c r="B33" i="467"/>
  <c r="G33" i="467" s="1"/>
  <c r="B33" i="466"/>
  <c r="G33" i="466" s="1"/>
  <c r="B33" i="465"/>
  <c r="G33" i="465" s="1"/>
  <c r="B33" i="464"/>
  <c r="G33" i="464" s="1"/>
  <c r="B33" i="446"/>
  <c r="B33" i="461"/>
  <c r="G33" i="461" s="1"/>
  <c r="B34" i="459"/>
  <c r="G34" i="459" s="1"/>
  <c r="B33" i="458"/>
  <c r="G33" i="458" s="1"/>
  <c r="B34" i="457"/>
  <c r="G34" i="457" s="1"/>
  <c r="B34" i="456"/>
  <c r="G34" i="456" s="1"/>
  <c r="B33" i="460"/>
  <c r="G33" i="460" s="1"/>
  <c r="A22" i="455"/>
  <c r="C23" i="455"/>
  <c r="T37" i="429"/>
  <c r="S38" i="429"/>
  <c r="T38" i="429" s="1"/>
  <c r="G16" i="446"/>
  <c r="B17" i="453"/>
  <c r="G17" i="453" s="1"/>
  <c r="B17" i="450"/>
  <c r="G17" i="450" s="1"/>
  <c r="A25" i="468" l="1"/>
  <c r="C26" i="468"/>
  <c r="B34" i="469"/>
  <c r="G34" i="469" s="1"/>
  <c r="B34" i="467"/>
  <c r="G34" i="467" s="1"/>
  <c r="B34" i="465"/>
  <c r="G34" i="465" s="1"/>
  <c r="B34" i="466"/>
  <c r="G34" i="466" s="1"/>
  <c r="B34" i="464"/>
  <c r="G34" i="464" s="1"/>
  <c r="B34" i="446"/>
  <c r="B34" i="461"/>
  <c r="G34" i="461" s="1"/>
  <c r="B34" i="458"/>
  <c r="G34" i="458" s="1"/>
  <c r="B35" i="457"/>
  <c r="G35" i="457" s="1"/>
  <c r="B35" i="459"/>
  <c r="G35" i="459" s="1"/>
  <c r="B34" i="460"/>
  <c r="G34" i="460" s="1"/>
  <c r="B35" i="456"/>
  <c r="G35" i="456" s="1"/>
  <c r="A23" i="455"/>
  <c r="C24" i="455"/>
  <c r="G17" i="446"/>
  <c r="B18" i="453"/>
  <c r="G18" i="453" s="1"/>
  <c r="A26" i="468" l="1"/>
  <c r="C27" i="468"/>
  <c r="B35" i="469"/>
  <c r="G35" i="469" s="1"/>
  <c r="B35" i="467"/>
  <c r="G35" i="467" s="1"/>
  <c r="B35" i="466"/>
  <c r="G35" i="466" s="1"/>
  <c r="B35" i="465"/>
  <c r="G35" i="465" s="1"/>
  <c r="B35" i="464"/>
  <c r="G35" i="464" s="1"/>
  <c r="B35" i="446"/>
  <c r="B36" i="457"/>
  <c r="G36" i="457" s="1"/>
  <c r="B35" i="458"/>
  <c r="G35" i="458" s="1"/>
  <c r="B35" i="460"/>
  <c r="G35" i="460" s="1"/>
  <c r="B36" i="456"/>
  <c r="G36" i="456" s="1"/>
  <c r="B35" i="461"/>
  <c r="G35" i="461" s="1"/>
  <c r="B36" i="459"/>
  <c r="G36" i="459" s="1"/>
  <c r="C25" i="455"/>
  <c r="A24" i="455"/>
  <c r="B19" i="450"/>
  <c r="G19" i="450" s="1"/>
  <c r="G18" i="446"/>
  <c r="B19" i="453"/>
  <c r="G19" i="453" s="1"/>
  <c r="A27" i="468" l="1"/>
  <c r="C28" i="468"/>
  <c r="B36" i="469"/>
  <c r="G36" i="469" s="1"/>
  <c r="B36" i="467"/>
  <c r="G36" i="467" s="1"/>
  <c r="B36" i="466"/>
  <c r="G36" i="466" s="1"/>
  <c r="B36" i="465"/>
  <c r="G36" i="465" s="1"/>
  <c r="B36" i="464"/>
  <c r="G36" i="464" s="1"/>
  <c r="B36" i="446"/>
  <c r="B36" i="458"/>
  <c r="G36" i="458" s="1"/>
  <c r="B36" i="460"/>
  <c r="G36" i="460" s="1"/>
  <c r="B37" i="457"/>
  <c r="G37" i="457" s="1"/>
  <c r="B37" i="456"/>
  <c r="G37" i="456" s="1"/>
  <c r="B37" i="459"/>
  <c r="G37" i="459" s="1"/>
  <c r="B36" i="461"/>
  <c r="G36" i="461" s="1"/>
  <c r="C26" i="455"/>
  <c r="C27" i="455" s="1"/>
  <c r="A25" i="455"/>
  <c r="B20" i="450"/>
  <c r="G20" i="450" s="1"/>
  <c r="G19" i="446"/>
  <c r="B20" i="453"/>
  <c r="G20" i="453" s="1"/>
  <c r="C29" i="468" l="1"/>
  <c r="A28" i="468"/>
  <c r="B37" i="469"/>
  <c r="G37" i="469" s="1"/>
  <c r="B37" i="467"/>
  <c r="G37" i="467" s="1"/>
  <c r="B37" i="466"/>
  <c r="G37" i="466" s="1"/>
  <c r="B37" i="465"/>
  <c r="G37" i="465" s="1"/>
  <c r="B37" i="464"/>
  <c r="G37" i="464" s="1"/>
  <c r="B37" i="446"/>
  <c r="B38" i="457"/>
  <c r="G38" i="457" s="1"/>
  <c r="B37" i="460"/>
  <c r="G37" i="460" s="1"/>
  <c r="B37" i="461"/>
  <c r="G37" i="461" s="1"/>
  <c r="B38" i="459"/>
  <c r="G38" i="459" s="1"/>
  <c r="B38" i="456"/>
  <c r="G38" i="456" s="1"/>
  <c r="A26" i="455"/>
  <c r="C28" i="455"/>
  <c r="A27" i="455"/>
  <c r="B21" i="453"/>
  <c r="G21" i="453" s="1"/>
  <c r="B21" i="450"/>
  <c r="G21" i="450" s="1"/>
  <c r="G18" i="33"/>
  <c r="G20" i="446"/>
  <c r="A29" i="468" l="1"/>
  <c r="C30" i="468"/>
  <c r="B38" i="469"/>
  <c r="G38" i="469" s="1"/>
  <c r="B38" i="467"/>
  <c r="G38" i="467" s="1"/>
  <c r="B38" i="466"/>
  <c r="G38" i="466" s="1"/>
  <c r="B38" i="465"/>
  <c r="G38" i="465" s="1"/>
  <c r="B38" i="464"/>
  <c r="G38" i="464" s="1"/>
  <c r="B38" i="446"/>
  <c r="B38" i="461"/>
  <c r="G38" i="461" s="1"/>
  <c r="B39" i="459"/>
  <c r="G39" i="459" s="1"/>
  <c r="B38" i="460"/>
  <c r="G38" i="460" s="1"/>
  <c r="B39" i="456"/>
  <c r="G39" i="456" s="1"/>
  <c r="B39" i="457"/>
  <c r="G39" i="457" s="1"/>
  <c r="C29" i="455"/>
  <c r="C30" i="455" s="1"/>
  <c r="A28" i="455"/>
  <c r="B22" i="453"/>
  <c r="G22" i="453" s="1"/>
  <c r="G19" i="33"/>
  <c r="B22" i="450"/>
  <c r="G22" i="450" s="1"/>
  <c r="G21" i="446"/>
  <c r="A30" i="468" l="1"/>
  <c r="C31" i="468"/>
  <c r="B39" i="469"/>
  <c r="G39" i="469" s="1"/>
  <c r="B39" i="467"/>
  <c r="G39" i="467" s="1"/>
  <c r="B39" i="465"/>
  <c r="G39" i="465" s="1"/>
  <c r="B39" i="466"/>
  <c r="G39" i="466" s="1"/>
  <c r="B39" i="464"/>
  <c r="G39" i="464" s="1"/>
  <c r="C31" i="455"/>
  <c r="A31" i="455" s="1"/>
  <c r="A30" i="455"/>
  <c r="B39" i="446"/>
  <c r="B39" i="461"/>
  <c r="G39" i="461" s="1"/>
  <c r="B40" i="459"/>
  <c r="G40" i="459" s="1"/>
  <c r="B40" i="456"/>
  <c r="G40" i="456" s="1"/>
  <c r="B37" i="458"/>
  <c r="G37" i="458" s="1"/>
  <c r="B40" i="457"/>
  <c r="G40" i="457" s="1"/>
  <c r="B39" i="460"/>
  <c r="G39" i="460" s="1"/>
  <c r="A29" i="455"/>
  <c r="B23" i="453"/>
  <c r="G23" i="453" s="1"/>
  <c r="B23" i="450"/>
  <c r="G23" i="450" s="1"/>
  <c r="G20" i="33"/>
  <c r="G22" i="446"/>
  <c r="A31" i="468" l="1"/>
  <c r="C32" i="468"/>
  <c r="B40" i="469"/>
  <c r="G40" i="469" s="1"/>
  <c r="B40" i="467"/>
  <c r="G40" i="467" s="1"/>
  <c r="B40" i="465"/>
  <c r="G40" i="465" s="1"/>
  <c r="B40" i="466"/>
  <c r="G40" i="466" s="1"/>
  <c r="B40" i="464"/>
  <c r="G40" i="464" s="1"/>
  <c r="B40" i="446"/>
  <c r="B41" i="459"/>
  <c r="G41" i="459" s="1"/>
  <c r="B41" i="456"/>
  <c r="G41" i="456" s="1"/>
  <c r="B40" i="461"/>
  <c r="G40" i="461" s="1"/>
  <c r="B38" i="458"/>
  <c r="G38" i="458" s="1"/>
  <c r="B41" i="457"/>
  <c r="G41" i="457" s="1"/>
  <c r="B40" i="460"/>
  <c r="G40" i="460" s="1"/>
  <c r="B24" i="453"/>
  <c r="G24" i="453" s="1"/>
  <c r="B24" i="450"/>
  <c r="G24" i="450" s="1"/>
  <c r="G21" i="33"/>
  <c r="G23" i="446"/>
  <c r="A32" i="468" l="1"/>
  <c r="C33" i="468"/>
  <c r="B41" i="469"/>
  <c r="G41" i="469" s="1"/>
  <c r="B41" i="467"/>
  <c r="G41" i="467" s="1"/>
  <c r="B41" i="466"/>
  <c r="G41" i="466" s="1"/>
  <c r="B41" i="465"/>
  <c r="G41" i="465" s="1"/>
  <c r="B41" i="464"/>
  <c r="G41" i="464" s="1"/>
  <c r="B41" i="446"/>
  <c r="B39" i="458"/>
  <c r="G39" i="458" s="1"/>
  <c r="B42" i="457"/>
  <c r="G42" i="457" s="1"/>
  <c r="B41" i="460"/>
  <c r="G41" i="460" s="1"/>
  <c r="B42" i="459"/>
  <c r="G42" i="459" s="1"/>
  <c r="B42" i="456"/>
  <c r="G42" i="456" s="1"/>
  <c r="B41" i="461"/>
  <c r="G41" i="461" s="1"/>
  <c r="G24" i="446"/>
  <c r="B25" i="453"/>
  <c r="G25" i="453" s="1"/>
  <c r="B25" i="450"/>
  <c r="G25" i="450" s="1"/>
  <c r="G22" i="33"/>
  <c r="A33" i="468" l="1"/>
  <c r="C34" i="468"/>
  <c r="B42" i="469"/>
  <c r="G42" i="469" s="1"/>
  <c r="B42" i="467"/>
  <c r="G42" i="467" s="1"/>
  <c r="B42" i="465"/>
  <c r="G42" i="465" s="1"/>
  <c r="B42" i="466"/>
  <c r="G42" i="466" s="1"/>
  <c r="B42" i="464"/>
  <c r="G42" i="464" s="1"/>
  <c r="B42" i="446"/>
  <c r="B43" i="457"/>
  <c r="G43" i="457" s="1"/>
  <c r="B40" i="458"/>
  <c r="G40" i="458" s="1"/>
  <c r="B42" i="460"/>
  <c r="G42" i="460" s="1"/>
  <c r="B43" i="459"/>
  <c r="G43" i="459" s="1"/>
  <c r="B43" i="456"/>
  <c r="G43" i="456" s="1"/>
  <c r="B42" i="461"/>
  <c r="G42" i="461" s="1"/>
  <c r="C32" i="455"/>
  <c r="G25" i="446"/>
  <c r="B26" i="453"/>
  <c r="G26" i="453" s="1"/>
  <c r="G23" i="33"/>
  <c r="B26" i="450"/>
  <c r="G26" i="450" s="1"/>
  <c r="A34" i="468" l="1"/>
  <c r="C35" i="468"/>
  <c r="B43" i="469"/>
  <c r="G43" i="469" s="1"/>
  <c r="B43" i="467"/>
  <c r="G43" i="467" s="1"/>
  <c r="B43" i="466"/>
  <c r="G43" i="466" s="1"/>
  <c r="B43" i="465"/>
  <c r="G43" i="465" s="1"/>
  <c r="B43" i="464"/>
  <c r="G43" i="464" s="1"/>
  <c r="B43" i="446"/>
  <c r="B44" i="459"/>
  <c r="G44" i="459" s="1"/>
  <c r="B41" i="458"/>
  <c r="G41" i="458" s="1"/>
  <c r="B43" i="460"/>
  <c r="G43" i="460" s="1"/>
  <c r="B44" i="457"/>
  <c r="G44" i="457" s="1"/>
  <c r="B43" i="461"/>
  <c r="G43" i="461" s="1"/>
  <c r="B44" i="456"/>
  <c r="G44" i="456" s="1"/>
  <c r="C33" i="455"/>
  <c r="A32" i="455"/>
  <c r="B27" i="450"/>
  <c r="G27" i="450" s="1"/>
  <c r="G24" i="33"/>
  <c r="G26" i="446"/>
  <c r="B27" i="453"/>
  <c r="G27" i="453" s="1"/>
  <c r="C36" i="468" l="1"/>
  <c r="A35" i="468"/>
  <c r="B44" i="469"/>
  <c r="G44" i="469" s="1"/>
  <c r="B44" i="467"/>
  <c r="G44" i="467" s="1"/>
  <c r="B44" i="466"/>
  <c r="G44" i="466" s="1"/>
  <c r="B44" i="465"/>
  <c r="G44" i="465" s="1"/>
  <c r="B44" i="464"/>
  <c r="G44" i="464" s="1"/>
  <c r="B44" i="446"/>
  <c r="B42" i="458"/>
  <c r="G42" i="458" s="1"/>
  <c r="B44" i="460"/>
  <c r="G44" i="460" s="1"/>
  <c r="B45" i="457"/>
  <c r="G45" i="457" s="1"/>
  <c r="B45" i="459"/>
  <c r="G45" i="459" s="1"/>
  <c r="B44" i="461"/>
  <c r="G44" i="461" s="1"/>
  <c r="B45" i="456"/>
  <c r="G45" i="456" s="1"/>
  <c r="A33" i="455"/>
  <c r="C34" i="455"/>
  <c r="B28" i="450"/>
  <c r="G28" i="450" s="1"/>
  <c r="G25" i="33"/>
  <c r="G27" i="446"/>
  <c r="B28" i="453"/>
  <c r="G28" i="453" s="1"/>
  <c r="C37" i="468" l="1"/>
  <c r="A36" i="468"/>
  <c r="B45" i="469"/>
  <c r="G45" i="469" s="1"/>
  <c r="B45" i="467"/>
  <c r="G45" i="467" s="1"/>
  <c r="B45" i="465"/>
  <c r="G45" i="465" s="1"/>
  <c r="B45" i="466"/>
  <c r="G45" i="466" s="1"/>
  <c r="B45" i="464"/>
  <c r="G45" i="464" s="1"/>
  <c r="B45" i="446"/>
  <c r="B45" i="460"/>
  <c r="G45" i="460" s="1"/>
  <c r="B46" i="459"/>
  <c r="G46" i="459" s="1"/>
  <c r="B46" i="457"/>
  <c r="G46" i="457" s="1"/>
  <c r="B45" i="461"/>
  <c r="G45" i="461" s="1"/>
  <c r="B46" i="456"/>
  <c r="G46" i="456" s="1"/>
  <c r="C35" i="455"/>
  <c r="A34" i="455"/>
  <c r="B29" i="453"/>
  <c r="G29" i="453" s="1"/>
  <c r="B29" i="450"/>
  <c r="G29" i="450" s="1"/>
  <c r="G26" i="33"/>
  <c r="G28" i="446"/>
  <c r="A37" i="468" l="1"/>
  <c r="C38" i="468"/>
  <c r="B46" i="469"/>
  <c r="G46" i="469" s="1"/>
  <c r="B46" i="467"/>
  <c r="G46" i="467" s="1"/>
  <c r="B46" i="465"/>
  <c r="G46" i="465" s="1"/>
  <c r="B46" i="466"/>
  <c r="G46" i="466" s="1"/>
  <c r="B46" i="464"/>
  <c r="G46" i="464" s="1"/>
  <c r="B46" i="446"/>
  <c r="B47" i="456"/>
  <c r="G47" i="456" s="1"/>
  <c r="B46" i="461"/>
  <c r="G46" i="461" s="1"/>
  <c r="B46" i="460"/>
  <c r="G46" i="460" s="1"/>
  <c r="B47" i="459"/>
  <c r="G47" i="459" s="1"/>
  <c r="B43" i="458"/>
  <c r="G43" i="458" s="1"/>
  <c r="B47" i="457"/>
  <c r="G47" i="457" s="1"/>
  <c r="C36" i="455"/>
  <c r="A35" i="455"/>
  <c r="B30" i="453"/>
  <c r="G30" i="453" s="1"/>
  <c r="B30" i="450"/>
  <c r="G30" i="450" s="1"/>
  <c r="G27" i="33"/>
  <c r="G29" i="446"/>
  <c r="A38" i="468" l="1"/>
  <c r="C39" i="468"/>
  <c r="B47" i="469"/>
  <c r="G47" i="469" s="1"/>
  <c r="B47" i="467"/>
  <c r="G47" i="467" s="1"/>
  <c r="B47" i="465"/>
  <c r="G47" i="465" s="1"/>
  <c r="B47" i="466"/>
  <c r="G47" i="466" s="1"/>
  <c r="B47" i="464"/>
  <c r="G47" i="464" s="1"/>
  <c r="B47" i="446"/>
  <c r="B47" i="461"/>
  <c r="G47" i="461" s="1"/>
  <c r="B48" i="456"/>
  <c r="G48" i="456" s="1"/>
  <c r="B47" i="460"/>
  <c r="G47" i="460" s="1"/>
  <c r="B48" i="459"/>
  <c r="G48" i="459" s="1"/>
  <c r="B44" i="458"/>
  <c r="G44" i="458" s="1"/>
  <c r="B48" i="457"/>
  <c r="G48" i="457" s="1"/>
  <c r="A36" i="455"/>
  <c r="C37" i="455"/>
  <c r="B31" i="453"/>
  <c r="G31" i="453" s="1"/>
  <c r="B31" i="450"/>
  <c r="G31" i="450" s="1"/>
  <c r="G28" i="33"/>
  <c r="G30" i="446"/>
  <c r="C40" i="468" l="1"/>
  <c r="A39" i="468"/>
  <c r="B48" i="469"/>
  <c r="G48" i="469" s="1"/>
  <c r="B48" i="467"/>
  <c r="G48" i="467" s="1"/>
  <c r="B48" i="466"/>
  <c r="G48" i="466" s="1"/>
  <c r="B48" i="465"/>
  <c r="G48" i="465" s="1"/>
  <c r="B48" i="464"/>
  <c r="G48" i="464" s="1"/>
  <c r="B48" i="446"/>
  <c r="B49" i="456"/>
  <c r="G49" i="456" s="1"/>
  <c r="B48" i="460"/>
  <c r="G48" i="460" s="1"/>
  <c r="B49" i="459"/>
  <c r="G49" i="459" s="1"/>
  <c r="B46" i="458"/>
  <c r="G46" i="458" s="1"/>
  <c r="B49" i="457"/>
  <c r="G49" i="457" s="1"/>
  <c r="B48" i="461"/>
  <c r="G48" i="461" s="1"/>
  <c r="A37" i="455"/>
  <c r="C38" i="455"/>
  <c r="B32" i="453"/>
  <c r="G32" i="453" s="1"/>
  <c r="B32" i="450"/>
  <c r="G32" i="450" s="1"/>
  <c r="G29" i="33"/>
  <c r="G31" i="446"/>
  <c r="A40" i="468" l="1"/>
  <c r="C41" i="468"/>
  <c r="B49" i="467"/>
  <c r="G49" i="467" s="1"/>
  <c r="B49" i="466"/>
  <c r="G49" i="466" s="1"/>
  <c r="B49" i="465"/>
  <c r="G49" i="465" s="1"/>
  <c r="B49" i="464"/>
  <c r="G49" i="464" s="1"/>
  <c r="B49" i="446"/>
  <c r="B50" i="459"/>
  <c r="G50" i="459" s="1"/>
  <c r="B49" i="460"/>
  <c r="G49" i="460" s="1"/>
  <c r="B50" i="457"/>
  <c r="G50" i="457" s="1"/>
  <c r="B49" i="461"/>
  <c r="G49" i="461" s="1"/>
  <c r="B50" i="456"/>
  <c r="G50" i="456" s="1"/>
  <c r="A38" i="455"/>
  <c r="C39" i="455"/>
  <c r="G32" i="446"/>
  <c r="B33" i="453"/>
  <c r="G33" i="453" s="1"/>
  <c r="B33" i="450"/>
  <c r="G33" i="450" s="1"/>
  <c r="G30" i="33"/>
  <c r="C42" i="468" l="1"/>
  <c r="A41" i="468"/>
  <c r="B50" i="467"/>
  <c r="G50" i="467" s="1"/>
  <c r="B50" i="465"/>
  <c r="G50" i="465" s="1"/>
  <c r="B50" i="464"/>
  <c r="G50" i="464" s="1"/>
  <c r="B50" i="446"/>
  <c r="B49" i="469" s="1"/>
  <c r="G49" i="469" s="1"/>
  <c r="B50" i="460"/>
  <c r="G50" i="460" s="1"/>
  <c r="B51" i="457"/>
  <c r="G51" i="457" s="1"/>
  <c r="B51" i="459"/>
  <c r="G51" i="459" s="1"/>
  <c r="B50" i="461"/>
  <c r="G50" i="461" s="1"/>
  <c r="B51" i="456"/>
  <c r="G51" i="456" s="1"/>
  <c r="A39" i="455"/>
  <c r="C40" i="455"/>
  <c r="G33" i="446"/>
  <c r="B34" i="453"/>
  <c r="G34" i="453" s="1"/>
  <c r="G31" i="33"/>
  <c r="B34" i="450"/>
  <c r="G34" i="450" s="1"/>
  <c r="C43" i="468" l="1"/>
  <c r="A42" i="468"/>
  <c r="B51" i="446"/>
  <c r="B51" i="460"/>
  <c r="G51" i="460" s="1"/>
  <c r="B52" i="457"/>
  <c r="G52" i="457" s="1"/>
  <c r="B47" i="458"/>
  <c r="G47" i="458" s="1"/>
  <c r="B51" i="461"/>
  <c r="G51" i="461" s="1"/>
  <c r="B52" i="456"/>
  <c r="G52" i="456" s="1"/>
  <c r="B52" i="459"/>
  <c r="G52" i="459" s="1"/>
  <c r="A40" i="455"/>
  <c r="C41" i="455"/>
  <c r="B35" i="450"/>
  <c r="G35" i="450" s="1"/>
  <c r="G32" i="33"/>
  <c r="G34" i="446"/>
  <c r="B35" i="453"/>
  <c r="G35" i="453" s="1"/>
  <c r="C44" i="468" l="1"/>
  <c r="A43" i="468"/>
  <c r="B50" i="469"/>
  <c r="G50" i="469" s="1"/>
  <c r="B51" i="467"/>
  <c r="G51" i="467" s="1"/>
  <c r="B51" i="465"/>
  <c r="G51" i="465" s="1"/>
  <c r="B50" i="466"/>
  <c r="G50" i="466" s="1"/>
  <c r="B51" i="464"/>
  <c r="G51" i="464" s="1"/>
  <c r="B52" i="446"/>
  <c r="B48" i="458"/>
  <c r="G48" i="458" s="1"/>
  <c r="B52" i="461"/>
  <c r="G52" i="461" s="1"/>
  <c r="B53" i="457"/>
  <c r="G53" i="457" s="1"/>
  <c r="B53" i="456"/>
  <c r="G53" i="456" s="1"/>
  <c r="B52" i="460"/>
  <c r="G52" i="460" s="1"/>
  <c r="B53" i="459"/>
  <c r="G53" i="459" s="1"/>
  <c r="A41" i="455"/>
  <c r="C42" i="455"/>
  <c r="B36" i="450"/>
  <c r="G36" i="450" s="1"/>
  <c r="G33" i="33"/>
  <c r="G35" i="446"/>
  <c r="B36" i="453"/>
  <c r="G36" i="453" s="1"/>
  <c r="C45" i="468" l="1"/>
  <c r="A44" i="468"/>
  <c r="C43" i="455"/>
  <c r="A42" i="455"/>
  <c r="B37" i="453"/>
  <c r="G37" i="453" s="1"/>
  <c r="B37" i="450"/>
  <c r="G37" i="450" s="1"/>
  <c r="G34" i="33"/>
  <c r="G36" i="446"/>
  <c r="C46" i="468" l="1"/>
  <c r="A45" i="468"/>
  <c r="A43" i="455"/>
  <c r="C44" i="455"/>
  <c r="B38" i="453"/>
  <c r="G38" i="453" s="1"/>
  <c r="G35" i="33"/>
  <c r="B38" i="450"/>
  <c r="G38" i="450" s="1"/>
  <c r="G37" i="446"/>
  <c r="C47" i="468" l="1"/>
  <c r="A46" i="468"/>
  <c r="C45" i="455"/>
  <c r="A44" i="455"/>
  <c r="B39" i="453"/>
  <c r="G39" i="453" s="1"/>
  <c r="B39" i="450"/>
  <c r="G39" i="450" s="1"/>
  <c r="G36" i="33"/>
  <c r="G38" i="446"/>
  <c r="AF36" i="454"/>
  <c r="A47" i="468" l="1"/>
  <c r="C48" i="468"/>
  <c r="A45" i="455"/>
  <c r="C46" i="455"/>
  <c r="B40" i="453"/>
  <c r="G40" i="453" s="1"/>
  <c r="B40" i="450"/>
  <c r="G40" i="450" s="1"/>
  <c r="G37" i="33"/>
  <c r="G39" i="446"/>
  <c r="AI103" i="454"/>
  <c r="AI102" i="454"/>
  <c r="AJ102" i="454" s="1"/>
  <c r="AI101" i="454"/>
  <c r="AJ101" i="454" s="1"/>
  <c r="AI100" i="454"/>
  <c r="AJ100" i="454" s="1"/>
  <c r="AI99" i="454"/>
  <c r="AI98" i="454"/>
  <c r="AI97" i="454"/>
  <c r="AI96" i="454"/>
  <c r="AI94" i="454"/>
  <c r="AI93" i="454" s="1"/>
  <c r="AI92" i="454"/>
  <c r="AI91" i="454"/>
  <c r="AI90" i="454"/>
  <c r="AI89" i="454"/>
  <c r="AI88" i="454"/>
  <c r="AI87" i="454"/>
  <c r="AI86" i="454"/>
  <c r="AI85" i="454"/>
  <c r="AI84" i="454"/>
  <c r="AI83" i="454"/>
  <c r="AI82" i="454"/>
  <c r="AI81" i="454"/>
  <c r="AI80" i="454"/>
  <c r="AI79" i="454"/>
  <c r="AI78" i="454"/>
  <c r="AI77" i="454"/>
  <c r="AI74" i="454"/>
  <c r="AJ74" i="454" s="1"/>
  <c r="AI73" i="454"/>
  <c r="AI72" i="454"/>
  <c r="AI71" i="454"/>
  <c r="AI70" i="454"/>
  <c r="AI69" i="454"/>
  <c r="AI68" i="454"/>
  <c r="AI67" i="454"/>
  <c r="AI66" i="454"/>
  <c r="AI65" i="454"/>
  <c r="AI64" i="454"/>
  <c r="AI63" i="454"/>
  <c r="AI62" i="454"/>
  <c r="AI61" i="454"/>
  <c r="AI60" i="454"/>
  <c r="AI59" i="454"/>
  <c r="AI58" i="454"/>
  <c r="AI57" i="454"/>
  <c r="AI56" i="454"/>
  <c r="AI55" i="454"/>
  <c r="AI54" i="454"/>
  <c r="AI53" i="454"/>
  <c r="AI52" i="454"/>
  <c r="AI51" i="454"/>
  <c r="AI50" i="454"/>
  <c r="AI49" i="454"/>
  <c r="AI48" i="454"/>
  <c r="AI47" i="454"/>
  <c r="AI46" i="454"/>
  <c r="AI45" i="454"/>
  <c r="AI44" i="454"/>
  <c r="AI43" i="454"/>
  <c r="AI42" i="454"/>
  <c r="AI41" i="454"/>
  <c r="AI40" i="454"/>
  <c r="AI39" i="454"/>
  <c r="AI38" i="454"/>
  <c r="AI37" i="454"/>
  <c r="AI36" i="454"/>
  <c r="AI35" i="454"/>
  <c r="AI33" i="454"/>
  <c r="AI32" i="454"/>
  <c r="AI31" i="454"/>
  <c r="AI30" i="454"/>
  <c r="AI29" i="454"/>
  <c r="AI28" i="454"/>
  <c r="AI20" i="454"/>
  <c r="AI19" i="454"/>
  <c r="AI18" i="454"/>
  <c r="AI17" i="454"/>
  <c r="AI16" i="454"/>
  <c r="AI15" i="454"/>
  <c r="AI14" i="454"/>
  <c r="AI13" i="454"/>
  <c r="AI12" i="454"/>
  <c r="AI11" i="454"/>
  <c r="AF103" i="454"/>
  <c r="AF102" i="454"/>
  <c r="AG102" i="454" s="1"/>
  <c r="AF101" i="454"/>
  <c r="AF100" i="454"/>
  <c r="AF99" i="454"/>
  <c r="AF98" i="454"/>
  <c r="AF97" i="454"/>
  <c r="AF96" i="454"/>
  <c r="AF94" i="454"/>
  <c r="AF93" i="454" s="1"/>
  <c r="AF92" i="454"/>
  <c r="AF91" i="454"/>
  <c r="AF90" i="454"/>
  <c r="AF89" i="454"/>
  <c r="AF88" i="454"/>
  <c r="AF87" i="454"/>
  <c r="AF86" i="454"/>
  <c r="AF85" i="454"/>
  <c r="AF84" i="454"/>
  <c r="AF83" i="454"/>
  <c r="AF82" i="454"/>
  <c r="AF81" i="454"/>
  <c r="AF80" i="454"/>
  <c r="AF79" i="454"/>
  <c r="AF78" i="454"/>
  <c r="AF77" i="454"/>
  <c r="AF74" i="454"/>
  <c r="AF73" i="454"/>
  <c r="AF72" i="454"/>
  <c r="AF71" i="454"/>
  <c r="AF70" i="454"/>
  <c r="AF69" i="454"/>
  <c r="AF68" i="454"/>
  <c r="AF67" i="454"/>
  <c r="AF66" i="454"/>
  <c r="AF65" i="454"/>
  <c r="AF64" i="454"/>
  <c r="AF63" i="454"/>
  <c r="AF62" i="454"/>
  <c r="AF61" i="454"/>
  <c r="AF60" i="454"/>
  <c r="AF59" i="454"/>
  <c r="AF58" i="454"/>
  <c r="AF57" i="454"/>
  <c r="AF56" i="454"/>
  <c r="AF55" i="454"/>
  <c r="AF54" i="454"/>
  <c r="AF53" i="454"/>
  <c r="AF52" i="454"/>
  <c r="AF51" i="454"/>
  <c r="AF50" i="454"/>
  <c r="AF49" i="454"/>
  <c r="AF48" i="454"/>
  <c r="AF47" i="454"/>
  <c r="AF46" i="454"/>
  <c r="AF45" i="454"/>
  <c r="AF44" i="454"/>
  <c r="AF43" i="454"/>
  <c r="AF42" i="454"/>
  <c r="AF41" i="454"/>
  <c r="AF40" i="454"/>
  <c r="AF39" i="454"/>
  <c r="AF38" i="454"/>
  <c r="AF37" i="454"/>
  <c r="AF35" i="454"/>
  <c r="AF33" i="454"/>
  <c r="AF32" i="454"/>
  <c r="AF31" i="454"/>
  <c r="AF30" i="454"/>
  <c r="AF29" i="454"/>
  <c r="AF28" i="454"/>
  <c r="AF20" i="454"/>
  <c r="AF19" i="454"/>
  <c r="AF18" i="454"/>
  <c r="AF17" i="454"/>
  <c r="AF16" i="454"/>
  <c r="AF15" i="454"/>
  <c r="AF14" i="454"/>
  <c r="AF13" i="454"/>
  <c r="AF12" i="454"/>
  <c r="AF11" i="454"/>
  <c r="AF6" i="454"/>
  <c r="AF5" i="454" s="1"/>
  <c r="AC103" i="454"/>
  <c r="AC102" i="454"/>
  <c r="AD102" i="454" s="1"/>
  <c r="AC101" i="454"/>
  <c r="AC100" i="454"/>
  <c r="AC99" i="454"/>
  <c r="AC98" i="454"/>
  <c r="AC97" i="454"/>
  <c r="AC96" i="454"/>
  <c r="AC94" i="454"/>
  <c r="AC93" i="454" s="1"/>
  <c r="AC92" i="454"/>
  <c r="AC91" i="454"/>
  <c r="AC90" i="454"/>
  <c r="AC89" i="454"/>
  <c r="AC88" i="454"/>
  <c r="AC87" i="454"/>
  <c r="AC86" i="454"/>
  <c r="AC85" i="454"/>
  <c r="AC84" i="454"/>
  <c r="AC83" i="454"/>
  <c r="AC82" i="454"/>
  <c r="AC81" i="454"/>
  <c r="AC80" i="454"/>
  <c r="AC79" i="454"/>
  <c r="AC78" i="454"/>
  <c r="AC77" i="454"/>
  <c r="AC74" i="454"/>
  <c r="AC73" i="454"/>
  <c r="AC72" i="454"/>
  <c r="AC71" i="454"/>
  <c r="AC70" i="454"/>
  <c r="AC69" i="454"/>
  <c r="AC68" i="454"/>
  <c r="AC67" i="454"/>
  <c r="AC66" i="454"/>
  <c r="AC65" i="454"/>
  <c r="AC64" i="454"/>
  <c r="AC63" i="454"/>
  <c r="AC62" i="454"/>
  <c r="AC61" i="454"/>
  <c r="AC60" i="454"/>
  <c r="AC59" i="454"/>
  <c r="AC58" i="454"/>
  <c r="AC57" i="454"/>
  <c r="AC56" i="454"/>
  <c r="AC55" i="454"/>
  <c r="AC54" i="454"/>
  <c r="AC53" i="454"/>
  <c r="AC52" i="454"/>
  <c r="AC51" i="454"/>
  <c r="AC50" i="454"/>
  <c r="AC49" i="454"/>
  <c r="AC48" i="454"/>
  <c r="AC47" i="454"/>
  <c r="AC46" i="454"/>
  <c r="AC45" i="454"/>
  <c r="AC44" i="454"/>
  <c r="AC43" i="454"/>
  <c r="AC42" i="454"/>
  <c r="AC41" i="454"/>
  <c r="AC40" i="454"/>
  <c r="AC39" i="454"/>
  <c r="AC38" i="454"/>
  <c r="AC37" i="454"/>
  <c r="AC36" i="454"/>
  <c r="AC35" i="454"/>
  <c r="AC33" i="454"/>
  <c r="AC32" i="454"/>
  <c r="AC31" i="454"/>
  <c r="AC30" i="454"/>
  <c r="AC29" i="454"/>
  <c r="AC28" i="454"/>
  <c r="AC20" i="454"/>
  <c r="AC19" i="454"/>
  <c r="AC18" i="454"/>
  <c r="AC17" i="454"/>
  <c r="AC16" i="454"/>
  <c r="AC15" i="454"/>
  <c r="AC14" i="454"/>
  <c r="AC13" i="454"/>
  <c r="AC12" i="454"/>
  <c r="AC11" i="454"/>
  <c r="AC6" i="454"/>
  <c r="AC5" i="454" s="1"/>
  <c r="Z103" i="454"/>
  <c r="Z102" i="454"/>
  <c r="AA102" i="454" s="1"/>
  <c r="Z101" i="454"/>
  <c r="Z100" i="454"/>
  <c r="Z99" i="454"/>
  <c r="Z98" i="454"/>
  <c r="Z97" i="454"/>
  <c r="Z96" i="454"/>
  <c r="Z94" i="454"/>
  <c r="Z93" i="454" s="1"/>
  <c r="Z92" i="454"/>
  <c r="Z91" i="454"/>
  <c r="Z90" i="454"/>
  <c r="Z89" i="454"/>
  <c r="Z88" i="454"/>
  <c r="Z87" i="454"/>
  <c r="Z86" i="454"/>
  <c r="Z85" i="454"/>
  <c r="Z84" i="454"/>
  <c r="Z83" i="454"/>
  <c r="Z82" i="454"/>
  <c r="Z81" i="454"/>
  <c r="Z80" i="454"/>
  <c r="Z79" i="454"/>
  <c r="Z78" i="454"/>
  <c r="Z77" i="454"/>
  <c r="Z74" i="454"/>
  <c r="Z73" i="454"/>
  <c r="Z72" i="454"/>
  <c r="Z71" i="454"/>
  <c r="Z70" i="454"/>
  <c r="Z69" i="454"/>
  <c r="Z68" i="454"/>
  <c r="Z67" i="454"/>
  <c r="Z66" i="454"/>
  <c r="Z65" i="454"/>
  <c r="Z64" i="454"/>
  <c r="Z63" i="454"/>
  <c r="Z62" i="454"/>
  <c r="Z61" i="454"/>
  <c r="Z60" i="454"/>
  <c r="Z59" i="454"/>
  <c r="Z58" i="454"/>
  <c r="Z57" i="454"/>
  <c r="Z56" i="454"/>
  <c r="Z55" i="454"/>
  <c r="Z54" i="454"/>
  <c r="Z53" i="454"/>
  <c r="Z52" i="454"/>
  <c r="Z51" i="454"/>
  <c r="Z50" i="454"/>
  <c r="Z49" i="454"/>
  <c r="Z48" i="454"/>
  <c r="Z47" i="454"/>
  <c r="Z46" i="454"/>
  <c r="Z45" i="454"/>
  <c r="Z44" i="454"/>
  <c r="Z43" i="454"/>
  <c r="Z42" i="454"/>
  <c r="Z41" i="454"/>
  <c r="Z40" i="454"/>
  <c r="Z39" i="454"/>
  <c r="Z38" i="454"/>
  <c r="Z37" i="454"/>
  <c r="Z36" i="454"/>
  <c r="Z35" i="454"/>
  <c r="Z33" i="454"/>
  <c r="Z32" i="454"/>
  <c r="Z31" i="454"/>
  <c r="Z30" i="454"/>
  <c r="Z29" i="454"/>
  <c r="Z28" i="454"/>
  <c r="Z20" i="454"/>
  <c r="Z19" i="454"/>
  <c r="Z18" i="454"/>
  <c r="Z17" i="454"/>
  <c r="Z16" i="454"/>
  <c r="Z15" i="454"/>
  <c r="Z14" i="454"/>
  <c r="Z13" i="454"/>
  <c r="Z12" i="454"/>
  <c r="Z11" i="454"/>
  <c r="Z6" i="454"/>
  <c r="W91" i="454"/>
  <c r="W92" i="454"/>
  <c r="W102" i="454"/>
  <c r="X102" i="454" s="1"/>
  <c r="W103" i="454"/>
  <c r="W101" i="454"/>
  <c r="W100" i="454"/>
  <c r="W99" i="454"/>
  <c r="W98" i="454"/>
  <c r="W97" i="454"/>
  <c r="W96" i="454"/>
  <c r="W94" i="454"/>
  <c r="W90" i="454"/>
  <c r="W89" i="454"/>
  <c r="W88" i="454"/>
  <c r="W87" i="454"/>
  <c r="W86" i="454"/>
  <c r="W85" i="454"/>
  <c r="W84" i="454"/>
  <c r="W83" i="454"/>
  <c r="W82" i="454"/>
  <c r="W81" i="454"/>
  <c r="W80" i="454"/>
  <c r="W79" i="454"/>
  <c r="W78" i="454"/>
  <c r="W77" i="454"/>
  <c r="W41" i="454"/>
  <c r="W42" i="454"/>
  <c r="W43" i="454"/>
  <c r="W44" i="454"/>
  <c r="W45" i="454"/>
  <c r="W46" i="454"/>
  <c r="W47" i="454"/>
  <c r="W48" i="454"/>
  <c r="W49" i="454"/>
  <c r="W50" i="454"/>
  <c r="W51" i="454"/>
  <c r="W52" i="454"/>
  <c r="W53" i="454"/>
  <c r="W54" i="454"/>
  <c r="W55" i="454"/>
  <c r="W56" i="454"/>
  <c r="W57" i="454"/>
  <c r="W58" i="454"/>
  <c r="W59" i="454"/>
  <c r="W60" i="454"/>
  <c r="W61" i="454"/>
  <c r="W62" i="454"/>
  <c r="W63" i="454"/>
  <c r="W64" i="454"/>
  <c r="W65" i="454"/>
  <c r="W66" i="454"/>
  <c r="W67" i="454"/>
  <c r="W68" i="454"/>
  <c r="W69" i="454"/>
  <c r="W70" i="454"/>
  <c r="W71" i="454"/>
  <c r="W72" i="454"/>
  <c r="W73" i="454"/>
  <c r="W74" i="454"/>
  <c r="W40" i="454"/>
  <c r="W39" i="454"/>
  <c r="W38" i="454"/>
  <c r="W37" i="454"/>
  <c r="W36" i="454"/>
  <c r="W35" i="454"/>
  <c r="W33" i="454"/>
  <c r="W32" i="454"/>
  <c r="W31" i="454"/>
  <c r="W30" i="454"/>
  <c r="W29" i="454"/>
  <c r="W28" i="454"/>
  <c r="W20" i="454"/>
  <c r="W19" i="454"/>
  <c r="W18" i="454"/>
  <c r="W17" i="454"/>
  <c r="W16" i="454"/>
  <c r="W15" i="454"/>
  <c r="W14" i="454"/>
  <c r="W13" i="454"/>
  <c r="W12" i="454"/>
  <c r="W11" i="454"/>
  <c r="C49" i="468" l="1"/>
  <c r="A48" i="468"/>
  <c r="AI10" i="454"/>
  <c r="AJ10" i="454" s="1"/>
  <c r="AI76" i="454"/>
  <c r="AI34" i="454"/>
  <c r="AJ34" i="454" s="1"/>
  <c r="AI27" i="454"/>
  <c r="AJ27" i="454" s="1"/>
  <c r="L65" i="454"/>
  <c r="P65" i="454"/>
  <c r="L41" i="454"/>
  <c r="P41" i="454"/>
  <c r="L92" i="454"/>
  <c r="P92" i="454"/>
  <c r="P11" i="454"/>
  <c r="L11" i="454"/>
  <c r="O16" i="468" s="1"/>
  <c r="L72" i="454"/>
  <c r="P72" i="454"/>
  <c r="L56" i="454"/>
  <c r="P56" i="454"/>
  <c r="L97" i="454"/>
  <c r="P97" i="454"/>
  <c r="P12" i="454"/>
  <c r="L12" i="454"/>
  <c r="P71" i="454"/>
  <c r="L71" i="454"/>
  <c r="P47" i="454"/>
  <c r="L47" i="454"/>
  <c r="L98" i="454"/>
  <c r="P98" i="454"/>
  <c r="P13" i="454"/>
  <c r="L13" i="454"/>
  <c r="L70" i="454"/>
  <c r="P70" i="454"/>
  <c r="P46" i="454"/>
  <c r="L46" i="454"/>
  <c r="L99" i="454"/>
  <c r="P99" i="454"/>
  <c r="L14" i="454"/>
  <c r="P14" i="454"/>
  <c r="L29" i="454"/>
  <c r="P29" i="454"/>
  <c r="L38" i="454"/>
  <c r="P38" i="454"/>
  <c r="L69" i="454"/>
  <c r="P69" i="454"/>
  <c r="L61" i="454"/>
  <c r="P61" i="454"/>
  <c r="P53" i="454"/>
  <c r="L53" i="454"/>
  <c r="L45" i="454"/>
  <c r="P45" i="454"/>
  <c r="L80" i="454"/>
  <c r="P80" i="454"/>
  <c r="P88" i="454"/>
  <c r="L88" i="454"/>
  <c r="L100" i="454"/>
  <c r="P100" i="454"/>
  <c r="R100" i="454" s="1"/>
  <c r="P18" i="454"/>
  <c r="L18" i="454"/>
  <c r="L57" i="454"/>
  <c r="P57" i="454"/>
  <c r="L84" i="454"/>
  <c r="P84" i="454"/>
  <c r="L19" i="454"/>
  <c r="P19" i="454"/>
  <c r="L64" i="454"/>
  <c r="P64" i="454"/>
  <c r="P85" i="454"/>
  <c r="L85" i="454"/>
  <c r="P20" i="454"/>
  <c r="L20" i="454"/>
  <c r="P55" i="454"/>
  <c r="L55" i="454"/>
  <c r="L86" i="454"/>
  <c r="P86" i="454"/>
  <c r="L28" i="454"/>
  <c r="O34" i="468" s="1"/>
  <c r="P28" i="454"/>
  <c r="L54" i="454"/>
  <c r="P54" i="454"/>
  <c r="P87" i="454"/>
  <c r="L87" i="454"/>
  <c r="L15" i="454"/>
  <c r="P15" i="454"/>
  <c r="L30" i="454"/>
  <c r="P30" i="454"/>
  <c r="P39" i="454"/>
  <c r="L39" i="454"/>
  <c r="L68" i="454"/>
  <c r="P68" i="454"/>
  <c r="L60" i="454"/>
  <c r="P60" i="454"/>
  <c r="L52" i="454"/>
  <c r="P52" i="454"/>
  <c r="L44" i="454"/>
  <c r="P44" i="454"/>
  <c r="P81" i="454"/>
  <c r="L81" i="454"/>
  <c r="P89" i="454"/>
  <c r="L89" i="454"/>
  <c r="L101" i="454"/>
  <c r="P101" i="454"/>
  <c r="L73" i="454"/>
  <c r="P73" i="454"/>
  <c r="L48" i="454"/>
  <c r="P48" i="454"/>
  <c r="Z5" i="454"/>
  <c r="L6" i="454"/>
  <c r="O10" i="468" s="1"/>
  <c r="P6" i="454"/>
  <c r="L62" i="454"/>
  <c r="P62" i="454"/>
  <c r="L31" i="454"/>
  <c r="P31" i="454"/>
  <c r="L67" i="454"/>
  <c r="P67" i="454"/>
  <c r="L59" i="454"/>
  <c r="P59" i="454"/>
  <c r="L51" i="454"/>
  <c r="P51" i="454"/>
  <c r="L43" i="454"/>
  <c r="P43" i="454"/>
  <c r="P82" i="454"/>
  <c r="L82" i="454"/>
  <c r="L90" i="454"/>
  <c r="P90" i="454"/>
  <c r="P33" i="454"/>
  <c r="L33" i="454"/>
  <c r="L49" i="454"/>
  <c r="P49" i="454"/>
  <c r="L96" i="454"/>
  <c r="O106" i="468" s="1"/>
  <c r="S106" i="468" s="1"/>
  <c r="P96" i="454"/>
  <c r="L35" i="454"/>
  <c r="O42" i="468" s="1"/>
  <c r="P35" i="454"/>
  <c r="L77" i="454"/>
  <c r="P77" i="454"/>
  <c r="P91" i="454"/>
  <c r="L91" i="454"/>
  <c r="L36" i="454"/>
  <c r="P36" i="454"/>
  <c r="P63" i="454"/>
  <c r="L63" i="454"/>
  <c r="L78" i="454"/>
  <c r="P78" i="454"/>
  <c r="L37" i="454"/>
  <c r="P37" i="454"/>
  <c r="L79" i="454"/>
  <c r="P79" i="454"/>
  <c r="L16" i="454"/>
  <c r="P16" i="454"/>
  <c r="L40" i="454"/>
  <c r="P40" i="454"/>
  <c r="L17" i="454"/>
  <c r="P17" i="454"/>
  <c r="P32" i="454"/>
  <c r="L32" i="454"/>
  <c r="L74" i="454"/>
  <c r="P74" i="454"/>
  <c r="P66" i="454"/>
  <c r="L66" i="454"/>
  <c r="L58" i="454"/>
  <c r="P58" i="454"/>
  <c r="P50" i="454"/>
  <c r="L50" i="454"/>
  <c r="L42" i="454"/>
  <c r="P42" i="454"/>
  <c r="P83" i="454"/>
  <c r="L83" i="454"/>
  <c r="L94" i="454"/>
  <c r="O103" i="468" s="1"/>
  <c r="P94" i="454"/>
  <c r="A46" i="455"/>
  <c r="C47" i="455"/>
  <c r="AI95" i="454"/>
  <c r="AF76" i="454"/>
  <c r="AC27" i="454"/>
  <c r="G40" i="446"/>
  <c r="B41" i="453"/>
  <c r="G41" i="453" s="1"/>
  <c r="B42" i="450"/>
  <c r="G42" i="450" s="1"/>
  <c r="G38" i="33"/>
  <c r="AC76" i="454"/>
  <c r="Z34" i="454"/>
  <c r="W95" i="454"/>
  <c r="AC10" i="454"/>
  <c r="Z76" i="454"/>
  <c r="Z95" i="454"/>
  <c r="AF95" i="454"/>
  <c r="W5" i="454"/>
  <c r="AF34" i="454"/>
  <c r="AC95" i="454"/>
  <c r="AC34" i="454"/>
  <c r="AF10" i="454"/>
  <c r="AF27" i="454"/>
  <c r="Z27" i="454"/>
  <c r="Z10" i="454"/>
  <c r="W93" i="454"/>
  <c r="W27" i="454"/>
  <c r="W10" i="454"/>
  <c r="W34" i="454"/>
  <c r="W76" i="454"/>
  <c r="A49" i="468" l="1"/>
  <c r="C50" i="468"/>
  <c r="O85" i="455"/>
  <c r="S85" i="455" s="1"/>
  <c r="O85" i="468"/>
  <c r="O69" i="455"/>
  <c r="S69" i="455" s="1"/>
  <c r="W69" i="455" s="1"/>
  <c r="X69" i="455" s="1"/>
  <c r="O69" i="468"/>
  <c r="S69" i="468" s="1"/>
  <c r="O111" i="455"/>
  <c r="S111" i="455" s="1"/>
  <c r="U111" i="455" s="1"/>
  <c r="Z111" i="455" s="1"/>
  <c r="O111" i="468"/>
  <c r="S111" i="468" s="1"/>
  <c r="S34" i="468"/>
  <c r="O88" i="455"/>
  <c r="S88" i="455" s="1"/>
  <c r="U88" i="455" s="1"/>
  <c r="Z88" i="455" s="1"/>
  <c r="O88" i="468"/>
  <c r="S88" i="468" s="1"/>
  <c r="O100" i="455"/>
  <c r="S100" i="455" s="1"/>
  <c r="U100" i="455" s="1"/>
  <c r="Z100" i="455" s="1"/>
  <c r="O100" i="468"/>
  <c r="S100" i="468" s="1"/>
  <c r="O104" i="468"/>
  <c r="S103" i="468"/>
  <c r="O65" i="455"/>
  <c r="S65" i="455" s="1"/>
  <c r="W65" i="455" s="1"/>
  <c r="X65" i="455" s="1"/>
  <c r="O65" i="468"/>
  <c r="S65" i="468" s="1"/>
  <c r="O22" i="455"/>
  <c r="S22" i="455" s="1"/>
  <c r="U22" i="455" s="1"/>
  <c r="Z22" i="455" s="1"/>
  <c r="AB22" i="455" s="1"/>
  <c r="O22" i="468"/>
  <c r="S22" i="468" s="1"/>
  <c r="O44" i="455"/>
  <c r="S44" i="455" s="1"/>
  <c r="W44" i="455" s="1"/>
  <c r="X44" i="455" s="1"/>
  <c r="O44" i="468"/>
  <c r="S44" i="468" s="1"/>
  <c r="O56" i="455"/>
  <c r="S56" i="455" s="1"/>
  <c r="U56" i="455" s="1"/>
  <c r="Z56" i="455" s="1"/>
  <c r="O56" i="468"/>
  <c r="S56" i="468" s="1"/>
  <c r="O50" i="455"/>
  <c r="S50" i="455" s="1"/>
  <c r="W50" i="455" s="1"/>
  <c r="X50" i="455" s="1"/>
  <c r="O50" i="468"/>
  <c r="S50" i="468" s="1"/>
  <c r="O37" i="455"/>
  <c r="S37" i="455" s="1"/>
  <c r="W37" i="455" s="1"/>
  <c r="X37" i="455" s="1"/>
  <c r="O37" i="468"/>
  <c r="S37" i="468" s="1"/>
  <c r="O46" i="455"/>
  <c r="S46" i="455" s="1"/>
  <c r="U46" i="455" s="1"/>
  <c r="Z46" i="455" s="1"/>
  <c r="O46" i="468"/>
  <c r="S46" i="468" s="1"/>
  <c r="O25" i="455"/>
  <c r="S25" i="455" s="1"/>
  <c r="U25" i="455" s="1"/>
  <c r="Z25" i="455" s="1"/>
  <c r="O25" i="468"/>
  <c r="S25" i="468" s="1"/>
  <c r="O96" i="455"/>
  <c r="S96" i="455" s="1"/>
  <c r="U96" i="455" s="1"/>
  <c r="Z96" i="455" s="1"/>
  <c r="O96" i="468"/>
  <c r="S96" i="468" s="1"/>
  <c r="O18" i="455"/>
  <c r="S18" i="455" s="1"/>
  <c r="U18" i="455" s="1"/>
  <c r="Z18" i="455" s="1"/>
  <c r="O18" i="468"/>
  <c r="S18" i="468" s="1"/>
  <c r="U18" i="468" s="1"/>
  <c r="Z18" i="468" s="1"/>
  <c r="O17" i="455"/>
  <c r="S17" i="455" s="1"/>
  <c r="U17" i="455" s="1"/>
  <c r="Z17" i="455" s="1"/>
  <c r="O17" i="468"/>
  <c r="S17" i="468" s="1"/>
  <c r="S16" i="468"/>
  <c r="O91" i="455"/>
  <c r="S91" i="455" s="1"/>
  <c r="W91" i="455" s="1"/>
  <c r="X91" i="455" s="1"/>
  <c r="O91" i="468"/>
  <c r="S91" i="468" s="1"/>
  <c r="O73" i="455"/>
  <c r="S73" i="455" s="1"/>
  <c r="U73" i="455" s="1"/>
  <c r="Z73" i="455" s="1"/>
  <c r="O73" i="468"/>
  <c r="S73" i="468" s="1"/>
  <c r="O39" i="455"/>
  <c r="S39" i="455" s="1"/>
  <c r="W39" i="455" s="1"/>
  <c r="X39" i="455" s="1"/>
  <c r="O39" i="468"/>
  <c r="S39" i="468" s="1"/>
  <c r="O80" i="455"/>
  <c r="S80" i="455" s="1"/>
  <c r="W80" i="455" s="1"/>
  <c r="X80" i="455" s="1"/>
  <c r="O80" i="468"/>
  <c r="S80" i="468" s="1"/>
  <c r="O51" i="455"/>
  <c r="S51" i="455" s="1"/>
  <c r="W51" i="455" s="1"/>
  <c r="X51" i="455" s="1"/>
  <c r="O51" i="468"/>
  <c r="S51" i="468" s="1"/>
  <c r="O61" i="455"/>
  <c r="S61" i="455" s="1"/>
  <c r="U61" i="455" s="1"/>
  <c r="Z61" i="455" s="1"/>
  <c r="O61" i="468"/>
  <c r="S61" i="468" s="1"/>
  <c r="O92" i="455"/>
  <c r="S92" i="455" s="1"/>
  <c r="U92" i="455" s="1"/>
  <c r="Z92" i="455" s="1"/>
  <c r="O92" i="468"/>
  <c r="S92" i="468" s="1"/>
  <c r="O68" i="455"/>
  <c r="S68" i="455" s="1"/>
  <c r="W68" i="455" s="1"/>
  <c r="X68" i="455" s="1"/>
  <c r="O68" i="468"/>
  <c r="S68" i="468" s="1"/>
  <c r="O19" i="455"/>
  <c r="S19" i="455" s="1"/>
  <c r="W19" i="455" s="1"/>
  <c r="X19" i="455" s="1"/>
  <c r="O19" i="468"/>
  <c r="S19" i="468" s="1"/>
  <c r="O47" i="455"/>
  <c r="S47" i="455" s="1"/>
  <c r="U47" i="455" s="1"/>
  <c r="Z47" i="455" s="1"/>
  <c r="O47" i="468"/>
  <c r="S47" i="468" s="1"/>
  <c r="O70" i="455"/>
  <c r="S70" i="455" s="1"/>
  <c r="W70" i="455" s="1"/>
  <c r="X70" i="455" s="1"/>
  <c r="O70" i="468"/>
  <c r="S70" i="468" s="1"/>
  <c r="O59" i="455"/>
  <c r="S59" i="455" s="1"/>
  <c r="U59" i="455" s="1"/>
  <c r="Z59" i="455" s="1"/>
  <c r="O59" i="468"/>
  <c r="S59" i="468" s="1"/>
  <c r="O76" i="455"/>
  <c r="S76" i="455" s="1"/>
  <c r="W76" i="455" s="1"/>
  <c r="X76" i="455" s="1"/>
  <c r="O76" i="468"/>
  <c r="S76" i="468" s="1"/>
  <c r="O107" i="455"/>
  <c r="S107" i="455" s="1"/>
  <c r="W107" i="455" s="1"/>
  <c r="X107" i="455" s="1"/>
  <c r="O107" i="468"/>
  <c r="S107" i="468" s="1"/>
  <c r="O49" i="455"/>
  <c r="S49" i="455" s="1"/>
  <c r="W49" i="455" s="1"/>
  <c r="X49" i="455" s="1"/>
  <c r="O49" i="468"/>
  <c r="S49" i="468" s="1"/>
  <c r="O21" i="455"/>
  <c r="S21" i="455" s="1"/>
  <c r="U21" i="455" s="1"/>
  <c r="Z21" i="455" s="1"/>
  <c r="O21" i="468"/>
  <c r="S21" i="468" s="1"/>
  <c r="S42" i="468"/>
  <c r="O66" i="455"/>
  <c r="S66" i="455" s="1"/>
  <c r="W66" i="455" s="1"/>
  <c r="X66" i="455" s="1"/>
  <c r="O66" i="468"/>
  <c r="S66" i="468" s="1"/>
  <c r="O97" i="455"/>
  <c r="S97" i="455" s="1"/>
  <c r="U97" i="455" s="1"/>
  <c r="Z97" i="455" s="1"/>
  <c r="O97" i="468"/>
  <c r="S97" i="468" s="1"/>
  <c r="O53" i="455"/>
  <c r="S53" i="455" s="1"/>
  <c r="U53" i="455" s="1"/>
  <c r="Z53" i="455" s="1"/>
  <c r="O53" i="468"/>
  <c r="S53" i="468" s="1"/>
  <c r="O57" i="455"/>
  <c r="S57" i="455" s="1"/>
  <c r="W57" i="455" s="1"/>
  <c r="X57" i="455" s="1"/>
  <c r="O57" i="468"/>
  <c r="S57" i="468" s="1"/>
  <c r="O90" i="455"/>
  <c r="S90" i="455" s="1"/>
  <c r="U90" i="455" s="1"/>
  <c r="Z90" i="455" s="1"/>
  <c r="O90" i="468"/>
  <c r="S90" i="468" s="1"/>
  <c r="O20" i="455"/>
  <c r="S20" i="455" s="1"/>
  <c r="W20" i="455" s="1"/>
  <c r="X20" i="455" s="1"/>
  <c r="O20" i="468"/>
  <c r="S20" i="468" s="1"/>
  <c r="O71" i="455"/>
  <c r="S71" i="455" s="1"/>
  <c r="W71" i="455" s="1"/>
  <c r="X71" i="455" s="1"/>
  <c r="O71" i="468"/>
  <c r="S71" i="468" s="1"/>
  <c r="O45" i="455"/>
  <c r="S45" i="455" s="1"/>
  <c r="W45" i="455" s="1"/>
  <c r="X45" i="455" s="1"/>
  <c r="O45" i="468"/>
  <c r="S45" i="468" s="1"/>
  <c r="O48" i="455"/>
  <c r="S48" i="455" s="1"/>
  <c r="U48" i="455" s="1"/>
  <c r="Z48" i="455" s="1"/>
  <c r="O48" i="468"/>
  <c r="S48" i="468" s="1"/>
  <c r="O87" i="455"/>
  <c r="S87" i="455" s="1"/>
  <c r="W87" i="455" s="1"/>
  <c r="X87" i="455" s="1"/>
  <c r="O87" i="468"/>
  <c r="S87" i="468" s="1"/>
  <c r="O43" i="455"/>
  <c r="S43" i="455" s="1"/>
  <c r="U43" i="455" s="1"/>
  <c r="Z43" i="455" s="1"/>
  <c r="O43" i="468"/>
  <c r="S43" i="468" s="1"/>
  <c r="U106" i="468"/>
  <c r="Z106" i="468" s="1"/>
  <c r="W106" i="468"/>
  <c r="X106" i="468" s="1"/>
  <c r="O74" i="455"/>
  <c r="S74" i="455" s="1"/>
  <c r="W74" i="455" s="1"/>
  <c r="X74" i="455" s="1"/>
  <c r="O74" i="468"/>
  <c r="S74" i="468" s="1"/>
  <c r="O89" i="455"/>
  <c r="S89" i="455" s="1"/>
  <c r="U89" i="455" s="1"/>
  <c r="Z89" i="455" s="1"/>
  <c r="O89" i="468"/>
  <c r="S89" i="468" s="1"/>
  <c r="O95" i="455"/>
  <c r="S95" i="455" s="1"/>
  <c r="W95" i="455" s="1"/>
  <c r="X95" i="455" s="1"/>
  <c r="O95" i="468"/>
  <c r="S95" i="468" s="1"/>
  <c r="O62" i="455"/>
  <c r="S62" i="455" s="1"/>
  <c r="W62" i="455" s="1"/>
  <c r="X62" i="455" s="1"/>
  <c r="O62" i="468"/>
  <c r="S62" i="468" s="1"/>
  <c r="O60" i="455"/>
  <c r="S60" i="455" s="1"/>
  <c r="U60" i="455" s="1"/>
  <c r="Z60" i="455" s="1"/>
  <c r="O60" i="468"/>
  <c r="S60" i="468" s="1"/>
  <c r="O78" i="455"/>
  <c r="S78" i="455" s="1"/>
  <c r="U78" i="455" s="1"/>
  <c r="Z78" i="455" s="1"/>
  <c r="O78" i="468"/>
  <c r="S78" i="468" s="1"/>
  <c r="O86" i="455"/>
  <c r="S86" i="455" s="1"/>
  <c r="U86" i="455" s="1"/>
  <c r="Z86" i="455" s="1"/>
  <c r="O86" i="468"/>
  <c r="S86" i="468" s="1"/>
  <c r="O58" i="455"/>
  <c r="S58" i="455" s="1"/>
  <c r="W58" i="455" s="1"/>
  <c r="X58" i="455" s="1"/>
  <c r="O58" i="468"/>
  <c r="S58" i="468" s="1"/>
  <c r="O93" i="455"/>
  <c r="S93" i="455" s="1"/>
  <c r="W93" i="455" s="1"/>
  <c r="X93" i="455" s="1"/>
  <c r="O93" i="468"/>
  <c r="S93" i="468" s="1"/>
  <c r="O36" i="455"/>
  <c r="S36" i="455" s="1"/>
  <c r="U36" i="455" s="1"/>
  <c r="Z36" i="455" s="1"/>
  <c r="O36" i="468"/>
  <c r="S36" i="468" s="1"/>
  <c r="O64" i="455"/>
  <c r="S64" i="455" s="1"/>
  <c r="U64" i="455" s="1"/>
  <c r="Z64" i="455" s="1"/>
  <c r="O64" i="468"/>
  <c r="S64" i="468" s="1"/>
  <c r="O108" i="455"/>
  <c r="S108" i="455" s="1"/>
  <c r="W108" i="455" s="1"/>
  <c r="X108" i="455" s="1"/>
  <c r="O108" i="468"/>
  <c r="S108" i="468" s="1"/>
  <c r="O81" i="455"/>
  <c r="S81" i="455" s="1"/>
  <c r="W81" i="455" s="1"/>
  <c r="X81" i="455" s="1"/>
  <c r="O81" i="468"/>
  <c r="S81" i="468" s="1"/>
  <c r="O98" i="455"/>
  <c r="S98" i="455" s="1"/>
  <c r="U98" i="455" s="1"/>
  <c r="Z98" i="455" s="1"/>
  <c r="O98" i="468"/>
  <c r="S98" i="468" s="1"/>
  <c r="S10" i="468"/>
  <c r="O14" i="468"/>
  <c r="O23" i="455"/>
  <c r="S23" i="455" s="1"/>
  <c r="U23" i="455" s="1"/>
  <c r="Z23" i="455" s="1"/>
  <c r="O23" i="468"/>
  <c r="S23" i="468" s="1"/>
  <c r="O54" i="455"/>
  <c r="S54" i="455" s="1"/>
  <c r="W54" i="455" s="1"/>
  <c r="X54" i="455" s="1"/>
  <c r="O54" i="468"/>
  <c r="S54" i="468" s="1"/>
  <c r="O38" i="455"/>
  <c r="S38" i="455" s="1"/>
  <c r="U38" i="455" s="1"/>
  <c r="Z38" i="455" s="1"/>
  <c r="O38" i="468"/>
  <c r="S38" i="468" s="1"/>
  <c r="O67" i="455"/>
  <c r="S67" i="455" s="1"/>
  <c r="U67" i="455" s="1"/>
  <c r="Z67" i="455" s="1"/>
  <c r="O67" i="468"/>
  <c r="S67" i="468" s="1"/>
  <c r="O94" i="455"/>
  <c r="S94" i="455" s="1"/>
  <c r="U94" i="455" s="1"/>
  <c r="Z94" i="455" s="1"/>
  <c r="O94" i="468"/>
  <c r="S94" i="468" s="1"/>
  <c r="O52" i="455"/>
  <c r="S52" i="455" s="1"/>
  <c r="U52" i="455" s="1"/>
  <c r="Z52" i="455" s="1"/>
  <c r="O52" i="468"/>
  <c r="S52" i="468" s="1"/>
  <c r="O63" i="455"/>
  <c r="S63" i="455" s="1"/>
  <c r="W63" i="455" s="1"/>
  <c r="X63" i="455" s="1"/>
  <c r="O63" i="468"/>
  <c r="S63" i="468" s="1"/>
  <c r="O99" i="455"/>
  <c r="S99" i="455" s="1"/>
  <c r="W99" i="455" s="1"/>
  <c r="X99" i="455" s="1"/>
  <c r="O99" i="468"/>
  <c r="S99" i="468" s="1"/>
  <c r="O55" i="455"/>
  <c r="S55" i="455" s="1"/>
  <c r="U55" i="455" s="1"/>
  <c r="Z55" i="455" s="1"/>
  <c r="O55" i="468"/>
  <c r="S55" i="468" s="1"/>
  <c r="O75" i="455"/>
  <c r="S75" i="455" s="1"/>
  <c r="W75" i="455" s="1"/>
  <c r="X75" i="455" s="1"/>
  <c r="O75" i="468"/>
  <c r="S75" i="468" s="1"/>
  <c r="O24" i="455"/>
  <c r="S24" i="455" s="1"/>
  <c r="W24" i="455" s="1"/>
  <c r="X24" i="455" s="1"/>
  <c r="O24" i="468"/>
  <c r="S24" i="468" s="1"/>
  <c r="O110" i="455"/>
  <c r="S110" i="455" s="1"/>
  <c r="W110" i="455" s="1"/>
  <c r="X110" i="455" s="1"/>
  <c r="O110" i="468"/>
  <c r="S110" i="468" s="1"/>
  <c r="O35" i="455"/>
  <c r="S35" i="455" s="1"/>
  <c r="W35" i="455" s="1"/>
  <c r="X35" i="455" s="1"/>
  <c r="O35" i="468"/>
  <c r="S35" i="468" s="1"/>
  <c r="O77" i="455"/>
  <c r="S77" i="455" s="1"/>
  <c r="W77" i="455" s="1"/>
  <c r="X77" i="455" s="1"/>
  <c r="O77" i="468"/>
  <c r="S77" i="468" s="1"/>
  <c r="O79" i="455"/>
  <c r="S79" i="455" s="1"/>
  <c r="W79" i="455" s="1"/>
  <c r="X79" i="455" s="1"/>
  <c r="O79" i="468"/>
  <c r="S79" i="468" s="1"/>
  <c r="O72" i="455"/>
  <c r="S72" i="455" s="1"/>
  <c r="U72" i="455" s="1"/>
  <c r="Z72" i="455" s="1"/>
  <c r="O72" i="468"/>
  <c r="S72" i="468" s="1"/>
  <c r="O109" i="455"/>
  <c r="S109" i="455" s="1"/>
  <c r="W109" i="455" s="1"/>
  <c r="X109" i="455" s="1"/>
  <c r="O109" i="468"/>
  <c r="O106" i="455"/>
  <c r="L95" i="454"/>
  <c r="T65" i="454"/>
  <c r="R65" i="454"/>
  <c r="U65" i="454" s="1"/>
  <c r="T44" i="454"/>
  <c r="R44" i="454"/>
  <c r="U44" i="454" s="1"/>
  <c r="W46" i="455"/>
  <c r="X46" i="455" s="1"/>
  <c r="R54" i="454"/>
  <c r="U54" i="454" s="1"/>
  <c r="T54" i="454"/>
  <c r="R61" i="454"/>
  <c r="U61" i="454" s="1"/>
  <c r="T61" i="454"/>
  <c r="R14" i="454"/>
  <c r="U14" i="454" s="1"/>
  <c r="T14" i="454"/>
  <c r="X18" i="455"/>
  <c r="X17" i="455"/>
  <c r="O16" i="455"/>
  <c r="L10" i="454"/>
  <c r="T40" i="454"/>
  <c r="R40" i="454"/>
  <c r="U40" i="454" s="1"/>
  <c r="U39" i="455"/>
  <c r="Z39" i="455" s="1"/>
  <c r="T51" i="454"/>
  <c r="R51" i="454"/>
  <c r="U51" i="454" s="1"/>
  <c r="R62" i="454"/>
  <c r="U62" i="454" s="1"/>
  <c r="T62" i="454"/>
  <c r="T39" i="454"/>
  <c r="R39" i="454"/>
  <c r="U39" i="454" s="1"/>
  <c r="T20" i="454"/>
  <c r="R20" i="454"/>
  <c r="U20" i="454" s="1"/>
  <c r="T13" i="454"/>
  <c r="R13" i="454"/>
  <c r="U13" i="454" s="1"/>
  <c r="T12" i="454"/>
  <c r="R12" i="454"/>
  <c r="U12" i="454" s="1"/>
  <c r="T11" i="454"/>
  <c r="P10" i="454"/>
  <c r="R11" i="454"/>
  <c r="U11" i="454" s="1"/>
  <c r="T50" i="454"/>
  <c r="R50" i="454"/>
  <c r="U50" i="454" s="1"/>
  <c r="R29" i="454"/>
  <c r="U29" i="454" s="1"/>
  <c r="T29" i="454"/>
  <c r="O103" i="455"/>
  <c r="L93" i="454"/>
  <c r="T66" i="454"/>
  <c r="R66" i="454"/>
  <c r="U66" i="454" s="1"/>
  <c r="T52" i="454"/>
  <c r="R52" i="454"/>
  <c r="U52" i="454" s="1"/>
  <c r="R99" i="454"/>
  <c r="U99" i="454" s="1"/>
  <c r="T99" i="454"/>
  <c r="T98" i="454"/>
  <c r="R98" i="454"/>
  <c r="U98" i="454" s="1"/>
  <c r="R97" i="454"/>
  <c r="U97" i="454" s="1"/>
  <c r="T97" i="454"/>
  <c r="T42" i="454"/>
  <c r="R42" i="454"/>
  <c r="U42" i="454" s="1"/>
  <c r="T74" i="454"/>
  <c r="R74" i="454"/>
  <c r="U74" i="454" s="1"/>
  <c r="T16" i="454"/>
  <c r="R16" i="454"/>
  <c r="U16" i="454" s="1"/>
  <c r="R35" i="454"/>
  <c r="U35" i="454" s="1"/>
  <c r="T35" i="454"/>
  <c r="T59" i="454"/>
  <c r="R59" i="454"/>
  <c r="U59" i="454" s="1"/>
  <c r="R6" i="454"/>
  <c r="U6" i="454" s="1"/>
  <c r="T6" i="454"/>
  <c r="P5" i="454"/>
  <c r="O34" i="455"/>
  <c r="L27" i="454"/>
  <c r="R48" i="454"/>
  <c r="U48" i="454" s="1"/>
  <c r="T48" i="454"/>
  <c r="T33" i="454"/>
  <c r="R33" i="454"/>
  <c r="U33" i="454" s="1"/>
  <c r="R101" i="454"/>
  <c r="U101" i="454" s="1"/>
  <c r="T101" i="454"/>
  <c r="T57" i="454"/>
  <c r="R57" i="454"/>
  <c r="U57" i="454" s="1"/>
  <c r="O42" i="455"/>
  <c r="L34" i="454"/>
  <c r="O10" i="455"/>
  <c r="L5" i="454"/>
  <c r="T60" i="454"/>
  <c r="R60" i="454"/>
  <c r="U60" i="454" s="1"/>
  <c r="R15" i="454"/>
  <c r="U15" i="454" s="1"/>
  <c r="T15" i="454"/>
  <c r="R64" i="454"/>
  <c r="U64" i="454" s="1"/>
  <c r="T64" i="454"/>
  <c r="R45" i="454"/>
  <c r="U45" i="454" s="1"/>
  <c r="T45" i="454"/>
  <c r="R38" i="454"/>
  <c r="U38" i="454" s="1"/>
  <c r="T38" i="454"/>
  <c r="R56" i="454"/>
  <c r="U56" i="454" s="1"/>
  <c r="T56" i="454"/>
  <c r="T41" i="454"/>
  <c r="R41" i="454"/>
  <c r="U41" i="454" s="1"/>
  <c r="R32" i="454"/>
  <c r="U32" i="454" s="1"/>
  <c r="T32" i="454"/>
  <c r="T68" i="454"/>
  <c r="R68" i="454"/>
  <c r="U68" i="454" s="1"/>
  <c r="T19" i="454"/>
  <c r="R19" i="454"/>
  <c r="U19" i="454" s="1"/>
  <c r="R72" i="454"/>
  <c r="U72" i="454" s="1"/>
  <c r="T72" i="454"/>
  <c r="T73" i="454"/>
  <c r="R73" i="454"/>
  <c r="U73" i="454" s="1"/>
  <c r="R30" i="454"/>
  <c r="U30" i="454" s="1"/>
  <c r="T30" i="454"/>
  <c r="T28" i="454"/>
  <c r="R28" i="454"/>
  <c r="U28" i="454" s="1"/>
  <c r="T69" i="454"/>
  <c r="R69" i="454"/>
  <c r="U69" i="454" s="1"/>
  <c r="R63" i="454"/>
  <c r="U63" i="454" s="1"/>
  <c r="T63" i="454"/>
  <c r="T36" i="454"/>
  <c r="R36" i="454"/>
  <c r="U36" i="454" s="1"/>
  <c r="T96" i="454"/>
  <c r="P95" i="454"/>
  <c r="R96" i="454"/>
  <c r="U96" i="454" s="1"/>
  <c r="R67" i="454"/>
  <c r="U67" i="454" s="1"/>
  <c r="T67" i="454"/>
  <c r="R18" i="454"/>
  <c r="U18" i="454" s="1"/>
  <c r="T18" i="454"/>
  <c r="R46" i="454"/>
  <c r="U46" i="454" s="1"/>
  <c r="T46" i="454"/>
  <c r="R47" i="454"/>
  <c r="U47" i="454" s="1"/>
  <c r="T47" i="454"/>
  <c r="T70" i="454"/>
  <c r="R70" i="454"/>
  <c r="U70" i="454" s="1"/>
  <c r="T58" i="454"/>
  <c r="R58" i="454"/>
  <c r="U58" i="454" s="1"/>
  <c r="T17" i="454"/>
  <c r="R17" i="454"/>
  <c r="U17" i="454" s="1"/>
  <c r="R37" i="454"/>
  <c r="U37" i="454" s="1"/>
  <c r="T37" i="454"/>
  <c r="R49" i="454"/>
  <c r="U49" i="454" s="1"/>
  <c r="T49" i="454"/>
  <c r="R43" i="454"/>
  <c r="U43" i="454" s="1"/>
  <c r="T43" i="454"/>
  <c r="T31" i="454"/>
  <c r="R31" i="454"/>
  <c r="U31" i="454" s="1"/>
  <c r="T55" i="454"/>
  <c r="R55" i="454"/>
  <c r="U55" i="454" s="1"/>
  <c r="R53" i="454"/>
  <c r="U53" i="454" s="1"/>
  <c r="T53" i="454"/>
  <c r="R71" i="454"/>
  <c r="U71" i="454" s="1"/>
  <c r="T71" i="454"/>
  <c r="A47" i="455"/>
  <c r="C48" i="455"/>
  <c r="W4" i="454"/>
  <c r="C12" i="36" s="1"/>
  <c r="Z4" i="454"/>
  <c r="C13" i="36" s="1"/>
  <c r="I13" i="36" s="1"/>
  <c r="AX4" i="454"/>
  <c r="C21" i="36" s="1"/>
  <c r="AO4" i="454"/>
  <c r="C18" i="36" s="1"/>
  <c r="AL4" i="454"/>
  <c r="C17" i="36" s="1"/>
  <c r="AC4" i="454"/>
  <c r="C14" i="36" s="1"/>
  <c r="I14" i="36" s="1"/>
  <c r="BA4" i="454"/>
  <c r="C22" i="36" s="1"/>
  <c r="AU4" i="454"/>
  <c r="AF4" i="454"/>
  <c r="C15" i="36" s="1"/>
  <c r="I15" i="36" s="1"/>
  <c r="G41" i="446"/>
  <c r="B42" i="453"/>
  <c r="G42" i="453" s="1"/>
  <c r="G39" i="33"/>
  <c r="B43" i="450"/>
  <c r="G43" i="450" s="1"/>
  <c r="AI4" i="454"/>
  <c r="C16" i="36" s="1"/>
  <c r="I16" i="36" s="1"/>
  <c r="F22" i="421" l="1"/>
  <c r="L22" i="421" s="1"/>
  <c r="I22" i="36"/>
  <c r="D18" i="36"/>
  <c r="I18" i="36"/>
  <c r="F21" i="421"/>
  <c r="I21" i="36"/>
  <c r="D17" i="36"/>
  <c r="I17" i="36"/>
  <c r="W61" i="455"/>
  <c r="X61" i="455" s="1"/>
  <c r="I12" i="36"/>
  <c r="I31" i="36" s="1"/>
  <c r="K25" i="462" s="1"/>
  <c r="C27" i="462" s="1"/>
  <c r="C31" i="36"/>
  <c r="E33" i="36" s="1"/>
  <c r="U24" i="455"/>
  <c r="Z24" i="455" s="1"/>
  <c r="U107" i="455"/>
  <c r="Z107" i="455" s="1"/>
  <c r="D22" i="36"/>
  <c r="J22" i="36"/>
  <c r="D22" i="430"/>
  <c r="G22" i="430" s="1"/>
  <c r="K22" i="36"/>
  <c r="L22" i="36" s="1"/>
  <c r="D22" i="37"/>
  <c r="G22" i="37" s="1"/>
  <c r="W98" i="455"/>
  <c r="X98" i="455" s="1"/>
  <c r="U44" i="455"/>
  <c r="Z44" i="455" s="1"/>
  <c r="U49" i="455"/>
  <c r="Z49" i="455" s="1"/>
  <c r="W100" i="455"/>
  <c r="X100" i="455" s="1"/>
  <c r="U71" i="455"/>
  <c r="Z71" i="455" s="1"/>
  <c r="W53" i="455"/>
  <c r="X53" i="455" s="1"/>
  <c r="U70" i="455"/>
  <c r="Z70" i="455" s="1"/>
  <c r="W92" i="455"/>
  <c r="X92" i="455" s="1"/>
  <c r="W67" i="455"/>
  <c r="X67" i="455" s="1"/>
  <c r="W43" i="455"/>
  <c r="X43" i="455" s="1"/>
  <c r="U68" i="455"/>
  <c r="Z68" i="455" s="1"/>
  <c r="W21" i="455"/>
  <c r="X21" i="455" s="1"/>
  <c r="U80" i="455"/>
  <c r="Z80" i="455" s="1"/>
  <c r="U75" i="455"/>
  <c r="Z75" i="455" s="1"/>
  <c r="W55" i="455"/>
  <c r="X55" i="455" s="1"/>
  <c r="W111" i="455"/>
  <c r="X111" i="455" s="1"/>
  <c r="U91" i="455"/>
  <c r="Z91" i="455" s="1"/>
  <c r="U69" i="455"/>
  <c r="Z69" i="455" s="1"/>
  <c r="U66" i="455"/>
  <c r="Z66" i="455" s="1"/>
  <c r="U108" i="455"/>
  <c r="Z108" i="455" s="1"/>
  <c r="A50" i="468"/>
  <c r="C51" i="468"/>
  <c r="U35" i="455"/>
  <c r="Z35" i="455" s="1"/>
  <c r="W94" i="455"/>
  <c r="X94" i="455" s="1"/>
  <c r="U74" i="455"/>
  <c r="Z74" i="455" s="1"/>
  <c r="W59" i="455"/>
  <c r="X59" i="455" s="1"/>
  <c r="W89" i="455"/>
  <c r="X89" i="455" s="1"/>
  <c r="W23" i="455"/>
  <c r="X23" i="455" s="1"/>
  <c r="W97" i="455"/>
  <c r="X97" i="455" s="1"/>
  <c r="U109" i="455"/>
  <c r="Z109" i="455" s="1"/>
  <c r="U51" i="455"/>
  <c r="Z51" i="455" s="1"/>
  <c r="U20" i="455"/>
  <c r="Z20" i="455" s="1"/>
  <c r="W78" i="455"/>
  <c r="X78" i="455" s="1"/>
  <c r="U37" i="455"/>
  <c r="Z37" i="455" s="1"/>
  <c r="U93" i="455"/>
  <c r="Z93" i="455" s="1"/>
  <c r="W60" i="455"/>
  <c r="X60" i="455" s="1"/>
  <c r="W22" i="455"/>
  <c r="X22" i="455" s="1"/>
  <c r="U87" i="455"/>
  <c r="Z87" i="455" s="1"/>
  <c r="U77" i="455"/>
  <c r="Z77" i="455" s="1"/>
  <c r="W48" i="455"/>
  <c r="X48" i="455" s="1"/>
  <c r="W90" i="455"/>
  <c r="X90" i="455" s="1"/>
  <c r="W47" i="455"/>
  <c r="X47" i="455" s="1"/>
  <c r="W88" i="455"/>
  <c r="X88" i="455" s="1"/>
  <c r="U58" i="455"/>
  <c r="Z58" i="455" s="1"/>
  <c r="W73" i="455"/>
  <c r="X73" i="455" s="1"/>
  <c r="O101" i="455"/>
  <c r="W45" i="468"/>
  <c r="X45" i="468" s="1"/>
  <c r="U45" i="468"/>
  <c r="Z45" i="468" s="1"/>
  <c r="U76" i="468"/>
  <c r="Z76" i="468" s="1"/>
  <c r="W76" i="468"/>
  <c r="X76" i="468" s="1"/>
  <c r="U50" i="468"/>
  <c r="Z50" i="468" s="1"/>
  <c r="W50" i="468"/>
  <c r="X50" i="468" s="1"/>
  <c r="U24" i="468"/>
  <c r="Z24" i="468" s="1"/>
  <c r="W24" i="468"/>
  <c r="X24" i="468" s="1"/>
  <c r="U98" i="468"/>
  <c r="Z98" i="468" s="1"/>
  <c r="W98" i="468"/>
  <c r="X98" i="468" s="1"/>
  <c r="O40" i="468"/>
  <c r="U62" i="455"/>
  <c r="Z62" i="455" s="1"/>
  <c r="U110" i="455"/>
  <c r="Z110" i="455" s="1"/>
  <c r="W43" i="468"/>
  <c r="X43" i="468" s="1"/>
  <c r="U43" i="468"/>
  <c r="Z43" i="468" s="1"/>
  <c r="W21" i="468"/>
  <c r="X21" i="468" s="1"/>
  <c r="U21" i="468"/>
  <c r="Z21" i="468" s="1"/>
  <c r="O32" i="468"/>
  <c r="U111" i="468"/>
  <c r="Z111" i="468" s="1"/>
  <c r="W111" i="468"/>
  <c r="X111" i="468" s="1"/>
  <c r="W96" i="455"/>
  <c r="X96" i="455" s="1"/>
  <c r="W52" i="468"/>
  <c r="X52" i="468" s="1"/>
  <c r="U52" i="468"/>
  <c r="Z52" i="468" s="1"/>
  <c r="U93" i="468"/>
  <c r="Z93" i="468" s="1"/>
  <c r="W93" i="468"/>
  <c r="X93" i="468" s="1"/>
  <c r="U16" i="468"/>
  <c r="Z16" i="468" s="1"/>
  <c r="S32" i="468"/>
  <c r="W16" i="468"/>
  <c r="X16" i="468" s="1"/>
  <c r="W72" i="455"/>
  <c r="X72" i="455" s="1"/>
  <c r="W38" i="455"/>
  <c r="X38" i="455" s="1"/>
  <c r="W20" i="468"/>
  <c r="X20" i="468" s="1"/>
  <c r="U20" i="468"/>
  <c r="Z20" i="468" s="1"/>
  <c r="W70" i="468"/>
  <c r="X70" i="468" s="1"/>
  <c r="U70" i="468"/>
  <c r="Z70" i="468" s="1"/>
  <c r="U17" i="468"/>
  <c r="Z17" i="468" s="1"/>
  <c r="W69" i="468"/>
  <c r="X69" i="468" s="1"/>
  <c r="U69" i="468"/>
  <c r="Z69" i="468" s="1"/>
  <c r="U45" i="455"/>
  <c r="Z45" i="455" s="1"/>
  <c r="U57" i="455"/>
  <c r="Z57" i="455" s="1"/>
  <c r="U65" i="455"/>
  <c r="Z65" i="455" s="1"/>
  <c r="U54" i="455"/>
  <c r="Z54" i="455" s="1"/>
  <c r="U81" i="455"/>
  <c r="Z81" i="455" s="1"/>
  <c r="W56" i="455"/>
  <c r="X56" i="455" s="1"/>
  <c r="U76" i="455"/>
  <c r="Z76" i="455" s="1"/>
  <c r="W36" i="455"/>
  <c r="X36" i="455" s="1"/>
  <c r="U19" i="455"/>
  <c r="Z19" i="455" s="1"/>
  <c r="W25" i="455"/>
  <c r="X25" i="455" s="1"/>
  <c r="U50" i="455"/>
  <c r="Z50" i="455" s="1"/>
  <c r="U95" i="455"/>
  <c r="Z95" i="455" s="1"/>
  <c r="W35" i="468"/>
  <c r="X35" i="468" s="1"/>
  <c r="U35" i="468"/>
  <c r="Z35" i="468" s="1"/>
  <c r="U55" i="468"/>
  <c r="Z55" i="468" s="1"/>
  <c r="W55" i="468"/>
  <c r="X55" i="468" s="1"/>
  <c r="W94" i="468"/>
  <c r="X94" i="468" s="1"/>
  <c r="U94" i="468"/>
  <c r="Z94" i="468" s="1"/>
  <c r="W23" i="468"/>
  <c r="X23" i="468" s="1"/>
  <c r="U23" i="468"/>
  <c r="Z23" i="468" s="1"/>
  <c r="U108" i="468"/>
  <c r="Z108" i="468" s="1"/>
  <c r="W108" i="468"/>
  <c r="X108" i="468" s="1"/>
  <c r="U58" i="468"/>
  <c r="Z58" i="468" s="1"/>
  <c r="W58" i="468"/>
  <c r="X58" i="468" s="1"/>
  <c r="U60" i="468"/>
  <c r="Z60" i="468" s="1"/>
  <c r="W60" i="468"/>
  <c r="X60" i="468" s="1"/>
  <c r="W74" i="468"/>
  <c r="X74" i="468" s="1"/>
  <c r="U74" i="468"/>
  <c r="Z74" i="468" s="1"/>
  <c r="W10" i="468"/>
  <c r="X10" i="468" s="1"/>
  <c r="U10" i="468"/>
  <c r="U14" i="468" s="1"/>
  <c r="X14" i="468" s="1"/>
  <c r="S14" i="468"/>
  <c r="W57" i="468"/>
  <c r="X57" i="468" s="1"/>
  <c r="U57" i="468"/>
  <c r="Z57" i="468" s="1"/>
  <c r="U19" i="468"/>
  <c r="Z19" i="468" s="1"/>
  <c r="W19" i="468"/>
  <c r="X19" i="468" s="1"/>
  <c r="W96" i="468"/>
  <c r="X96" i="468" s="1"/>
  <c r="U96" i="468"/>
  <c r="Z96" i="468" s="1"/>
  <c r="W34" i="468"/>
  <c r="X34" i="468" s="1"/>
  <c r="U34" i="468"/>
  <c r="Z34" i="468" s="1"/>
  <c r="S40" i="468"/>
  <c r="W63" i="468"/>
  <c r="X63" i="468" s="1"/>
  <c r="U63" i="468"/>
  <c r="Z63" i="468" s="1"/>
  <c r="W36" i="468"/>
  <c r="X36" i="468" s="1"/>
  <c r="U36" i="468"/>
  <c r="Z36" i="468" s="1"/>
  <c r="U53" i="468"/>
  <c r="Z53" i="468" s="1"/>
  <c r="W53" i="468"/>
  <c r="X53" i="468" s="1"/>
  <c r="W68" i="468"/>
  <c r="X68" i="468" s="1"/>
  <c r="U68" i="468"/>
  <c r="Z68" i="468" s="1"/>
  <c r="W80" i="468"/>
  <c r="X80" i="468" s="1"/>
  <c r="U80" i="468"/>
  <c r="Z80" i="468" s="1"/>
  <c r="U56" i="468"/>
  <c r="Z56" i="468" s="1"/>
  <c r="W56" i="468"/>
  <c r="X56" i="468" s="1"/>
  <c r="U77" i="468"/>
  <c r="Z77" i="468" s="1"/>
  <c r="W77" i="468"/>
  <c r="X77" i="468" s="1"/>
  <c r="W81" i="468"/>
  <c r="X81" i="468" s="1"/>
  <c r="U81" i="468"/>
  <c r="Z81" i="468" s="1"/>
  <c r="W89" i="468"/>
  <c r="X89" i="468" s="1"/>
  <c r="U89" i="468"/>
  <c r="Z89" i="468" s="1"/>
  <c r="U97" i="468"/>
  <c r="Z97" i="468" s="1"/>
  <c r="W97" i="468"/>
  <c r="X97" i="468" s="1"/>
  <c r="U92" i="468"/>
  <c r="Z92" i="468" s="1"/>
  <c r="W92" i="468"/>
  <c r="X92" i="468" s="1"/>
  <c r="U46" i="468"/>
  <c r="Z46" i="468" s="1"/>
  <c r="W46" i="468"/>
  <c r="X46" i="468" s="1"/>
  <c r="W100" i="468"/>
  <c r="X100" i="468" s="1"/>
  <c r="U100" i="468"/>
  <c r="Z100" i="468" s="1"/>
  <c r="U79" i="455"/>
  <c r="Z79" i="455" s="1"/>
  <c r="U99" i="455"/>
  <c r="Z99" i="455" s="1"/>
  <c r="U63" i="455"/>
  <c r="Z63" i="455" s="1"/>
  <c r="W52" i="455"/>
  <c r="X52" i="455" s="1"/>
  <c r="W86" i="455"/>
  <c r="X86" i="455" s="1"/>
  <c r="U48" i="468"/>
  <c r="Z48" i="468" s="1"/>
  <c r="W48" i="468"/>
  <c r="X48" i="468" s="1"/>
  <c r="W90" i="468"/>
  <c r="X90" i="468" s="1"/>
  <c r="U90" i="468"/>
  <c r="Z90" i="468" s="1"/>
  <c r="W66" i="468"/>
  <c r="X66" i="468" s="1"/>
  <c r="U66" i="468"/>
  <c r="Z66" i="468" s="1"/>
  <c r="U107" i="468"/>
  <c r="Z107" i="468" s="1"/>
  <c r="W107" i="468"/>
  <c r="X107" i="468" s="1"/>
  <c r="U47" i="468"/>
  <c r="Z47" i="468" s="1"/>
  <c r="W47" i="468"/>
  <c r="X47" i="468" s="1"/>
  <c r="U61" i="468"/>
  <c r="Z61" i="468" s="1"/>
  <c r="W61" i="468"/>
  <c r="X61" i="468" s="1"/>
  <c r="W73" i="468"/>
  <c r="X73" i="468" s="1"/>
  <c r="U73" i="468"/>
  <c r="Z73" i="468" s="1"/>
  <c r="U37" i="468"/>
  <c r="Z37" i="468" s="1"/>
  <c r="W37" i="468"/>
  <c r="X37" i="468" s="1"/>
  <c r="U22" i="468"/>
  <c r="Z22" i="468" s="1"/>
  <c r="AB22" i="468" s="1"/>
  <c r="W22" i="468"/>
  <c r="X22" i="468" s="1"/>
  <c r="W88" i="468"/>
  <c r="X88" i="468" s="1"/>
  <c r="U88" i="468"/>
  <c r="Z88" i="468" s="1"/>
  <c r="O101" i="468"/>
  <c r="S85" i="468"/>
  <c r="O83" i="468"/>
  <c r="W51" i="468"/>
  <c r="X51" i="468" s="1"/>
  <c r="U51" i="468"/>
  <c r="Z51" i="468" s="1"/>
  <c r="U91" i="468"/>
  <c r="Z91" i="468" s="1"/>
  <c r="W91" i="468"/>
  <c r="X91" i="468" s="1"/>
  <c r="U65" i="468"/>
  <c r="Z65" i="468" s="1"/>
  <c r="W65" i="468"/>
  <c r="X65" i="468" s="1"/>
  <c r="W64" i="455"/>
  <c r="X64" i="455" s="1"/>
  <c r="W79" i="468"/>
  <c r="X79" i="468" s="1"/>
  <c r="U79" i="468"/>
  <c r="Z79" i="468" s="1"/>
  <c r="W38" i="468"/>
  <c r="X38" i="468" s="1"/>
  <c r="U38" i="468"/>
  <c r="Z38" i="468" s="1"/>
  <c r="U95" i="468"/>
  <c r="Z95" i="468" s="1"/>
  <c r="W95" i="468"/>
  <c r="X95" i="468" s="1"/>
  <c r="U42" i="468"/>
  <c r="W42" i="468"/>
  <c r="X42" i="468" s="1"/>
  <c r="S83" i="468"/>
  <c r="W71" i="468"/>
  <c r="X71" i="468" s="1"/>
  <c r="U71" i="468"/>
  <c r="Z71" i="468" s="1"/>
  <c r="U59" i="468"/>
  <c r="Z59" i="468" s="1"/>
  <c r="W59" i="468"/>
  <c r="X59" i="468" s="1"/>
  <c r="W25" i="468"/>
  <c r="X25" i="468" s="1"/>
  <c r="U25" i="468"/>
  <c r="Z25" i="468" s="1"/>
  <c r="U103" i="468"/>
  <c r="U104" i="468" s="1"/>
  <c r="X104" i="468" s="1"/>
  <c r="S104" i="468"/>
  <c r="W103" i="468"/>
  <c r="X103" i="468" s="1"/>
  <c r="W75" i="468"/>
  <c r="X75" i="468" s="1"/>
  <c r="U75" i="468"/>
  <c r="Z75" i="468" s="1"/>
  <c r="U54" i="468"/>
  <c r="Z54" i="468" s="1"/>
  <c r="W54" i="468"/>
  <c r="X54" i="468" s="1"/>
  <c r="W78" i="468"/>
  <c r="X78" i="468" s="1"/>
  <c r="U78" i="468"/>
  <c r="Z78" i="468" s="1"/>
  <c r="W87" i="468"/>
  <c r="X87" i="468" s="1"/>
  <c r="U87" i="468"/>
  <c r="Z87" i="468" s="1"/>
  <c r="W49" i="468"/>
  <c r="X49" i="468" s="1"/>
  <c r="U49" i="468"/>
  <c r="Z49" i="468" s="1"/>
  <c r="U39" i="468"/>
  <c r="Z39" i="468" s="1"/>
  <c r="W39" i="468"/>
  <c r="X39" i="468" s="1"/>
  <c r="U44" i="468"/>
  <c r="Z44" i="468" s="1"/>
  <c r="W44" i="468"/>
  <c r="X44" i="468" s="1"/>
  <c r="W72" i="468"/>
  <c r="X72" i="468" s="1"/>
  <c r="U72" i="468"/>
  <c r="Z72" i="468" s="1"/>
  <c r="W110" i="468"/>
  <c r="X110" i="468" s="1"/>
  <c r="U110" i="468"/>
  <c r="Z110" i="468" s="1"/>
  <c r="U99" i="468"/>
  <c r="Z99" i="468" s="1"/>
  <c r="W99" i="468"/>
  <c r="X99" i="468" s="1"/>
  <c r="W67" i="468"/>
  <c r="X67" i="468" s="1"/>
  <c r="U67" i="468"/>
  <c r="Z67" i="468" s="1"/>
  <c r="U64" i="468"/>
  <c r="Z64" i="468" s="1"/>
  <c r="W64" i="468"/>
  <c r="X64" i="468" s="1"/>
  <c r="W86" i="468"/>
  <c r="X86" i="468" s="1"/>
  <c r="U86" i="468"/>
  <c r="Z86" i="468" s="1"/>
  <c r="W62" i="468"/>
  <c r="X62" i="468" s="1"/>
  <c r="U62" i="468"/>
  <c r="Z62" i="468" s="1"/>
  <c r="O112" i="468"/>
  <c r="S109" i="468"/>
  <c r="D21" i="36"/>
  <c r="K21" i="36"/>
  <c r="L21" i="36" s="1"/>
  <c r="L21" i="421"/>
  <c r="D21" i="37"/>
  <c r="G21" i="37" s="1"/>
  <c r="D21" i="430"/>
  <c r="G21" i="430" s="1"/>
  <c r="D12" i="36"/>
  <c r="K12" i="36"/>
  <c r="F14" i="421"/>
  <c r="L14" i="421" s="1"/>
  <c r="D14" i="36"/>
  <c r="F13" i="421"/>
  <c r="L13" i="421" s="1"/>
  <c r="D13" i="36"/>
  <c r="F15" i="421"/>
  <c r="L15" i="421" s="1"/>
  <c r="D15" i="36"/>
  <c r="L103" i="454"/>
  <c r="L1" i="454" s="1"/>
  <c r="D16" i="37"/>
  <c r="G16" i="37" s="1"/>
  <c r="D16" i="36"/>
  <c r="C20" i="36"/>
  <c r="I20" i="36" s="1"/>
  <c r="F12" i="421"/>
  <c r="L12" i="421" s="1"/>
  <c r="O83" i="455"/>
  <c r="S42" i="455"/>
  <c r="O40" i="455"/>
  <c r="S34" i="455"/>
  <c r="W85" i="455"/>
  <c r="X85" i="455" s="1"/>
  <c r="S101" i="455"/>
  <c r="U85" i="455"/>
  <c r="S103" i="455"/>
  <c r="O104" i="455"/>
  <c r="O32" i="455"/>
  <c r="S16" i="455"/>
  <c r="O14" i="455"/>
  <c r="S10" i="455"/>
  <c r="O112" i="455"/>
  <c r="S106" i="455"/>
  <c r="F18" i="421"/>
  <c r="L18" i="421" s="1"/>
  <c r="K18" i="36"/>
  <c r="L18" i="36" s="1"/>
  <c r="D18" i="430"/>
  <c r="G18" i="430" s="1"/>
  <c r="D18" i="37"/>
  <c r="G18" i="37" s="1"/>
  <c r="J18" i="36"/>
  <c r="F17" i="421"/>
  <c r="L17" i="421" s="1"/>
  <c r="D17" i="37"/>
  <c r="G17" i="37" s="1"/>
  <c r="D17" i="430"/>
  <c r="G17" i="430" s="1"/>
  <c r="A48" i="455"/>
  <c r="C49" i="455"/>
  <c r="B44" i="450"/>
  <c r="G44" i="450" s="1"/>
  <c r="G40" i="33"/>
  <c r="G42" i="446"/>
  <c r="B44" i="453"/>
  <c r="G44" i="453" s="1"/>
  <c r="B101" i="454"/>
  <c r="B100" i="454"/>
  <c r="B99" i="454"/>
  <c r="B98" i="454"/>
  <c r="B97" i="454"/>
  <c r="D96" i="454"/>
  <c r="D97" i="454" s="1"/>
  <c r="D98" i="454" s="1"/>
  <c r="D99" i="454" s="1"/>
  <c r="D100" i="454" s="1"/>
  <c r="D101" i="454" s="1"/>
  <c r="B96" i="454"/>
  <c r="B95" i="454"/>
  <c r="J94" i="454"/>
  <c r="D94" i="454"/>
  <c r="B94" i="454"/>
  <c r="B93" i="454"/>
  <c r="J92" i="454"/>
  <c r="B92" i="454"/>
  <c r="J91" i="454"/>
  <c r="B91" i="454"/>
  <c r="J90" i="454"/>
  <c r="B90" i="454"/>
  <c r="J89" i="454"/>
  <c r="B89" i="454"/>
  <c r="J88" i="454"/>
  <c r="B88" i="454"/>
  <c r="J87" i="454"/>
  <c r="B87" i="454"/>
  <c r="J86" i="454"/>
  <c r="B86" i="454"/>
  <c r="J85" i="454"/>
  <c r="B85" i="454"/>
  <c r="J84" i="454"/>
  <c r="B84" i="454"/>
  <c r="J83" i="454"/>
  <c r="B83" i="454"/>
  <c r="J82" i="454"/>
  <c r="B82" i="454"/>
  <c r="J81" i="454"/>
  <c r="B81" i="454"/>
  <c r="J80" i="454"/>
  <c r="B80" i="454"/>
  <c r="J79" i="454"/>
  <c r="B79" i="454"/>
  <c r="J78" i="454"/>
  <c r="B78" i="454"/>
  <c r="J77" i="454"/>
  <c r="D77" i="454"/>
  <c r="D78" i="454" s="1"/>
  <c r="D79" i="454" s="1"/>
  <c r="D80" i="454" s="1"/>
  <c r="D81" i="454" s="1"/>
  <c r="D82" i="454" s="1"/>
  <c r="D83" i="454" s="1"/>
  <c r="D84" i="454" s="1"/>
  <c r="D85" i="454" s="1"/>
  <c r="D86" i="454" s="1"/>
  <c r="D87" i="454" s="1"/>
  <c r="D88" i="454" s="1"/>
  <c r="D89" i="454" s="1"/>
  <c r="D90" i="454" s="1"/>
  <c r="D91" i="454" s="1"/>
  <c r="D92" i="454" s="1"/>
  <c r="B77" i="454"/>
  <c r="B76" i="454"/>
  <c r="B74" i="454"/>
  <c r="B73" i="454"/>
  <c r="B72" i="454"/>
  <c r="B71" i="454"/>
  <c r="B70" i="454"/>
  <c r="B69" i="454"/>
  <c r="B68" i="454"/>
  <c r="B67" i="454"/>
  <c r="B66" i="454"/>
  <c r="B65" i="454"/>
  <c r="B64" i="454"/>
  <c r="B63" i="454"/>
  <c r="B62" i="454"/>
  <c r="B61" i="454"/>
  <c r="B60" i="454"/>
  <c r="B59" i="454"/>
  <c r="B58" i="454"/>
  <c r="B57" i="454"/>
  <c r="B56" i="454"/>
  <c r="B55" i="454"/>
  <c r="B54" i="454"/>
  <c r="B53" i="454"/>
  <c r="B52" i="454"/>
  <c r="B51" i="454"/>
  <c r="B50" i="454"/>
  <c r="B49" i="454"/>
  <c r="B48" i="454"/>
  <c r="B47" i="454"/>
  <c r="B46" i="454"/>
  <c r="B45" i="454"/>
  <c r="B44" i="454"/>
  <c r="B43" i="454"/>
  <c r="B42" i="454"/>
  <c r="B41" i="454"/>
  <c r="B40" i="454"/>
  <c r="B39" i="454"/>
  <c r="B38" i="454"/>
  <c r="B37" i="454"/>
  <c r="B36" i="454"/>
  <c r="D35" i="454"/>
  <c r="D36" i="454" s="1"/>
  <c r="D37" i="454" s="1"/>
  <c r="D38" i="454" s="1"/>
  <c r="D39" i="454" s="1"/>
  <c r="D40" i="454" s="1"/>
  <c r="D41" i="454" s="1"/>
  <c r="D42" i="454" s="1"/>
  <c r="D43" i="454" s="1"/>
  <c r="D44" i="454" s="1"/>
  <c r="D45" i="454" s="1"/>
  <c r="D46" i="454" s="1"/>
  <c r="D47" i="454" s="1"/>
  <c r="D48" i="454" s="1"/>
  <c r="D49" i="454" s="1"/>
  <c r="D50" i="454" s="1"/>
  <c r="D51" i="454" s="1"/>
  <c r="D52" i="454" s="1"/>
  <c r="D53" i="454" s="1"/>
  <c r="D54" i="454" s="1"/>
  <c r="D55" i="454" s="1"/>
  <c r="D56" i="454" s="1"/>
  <c r="D57" i="454" s="1"/>
  <c r="D58" i="454" s="1"/>
  <c r="D59" i="454" s="1"/>
  <c r="D60" i="454" s="1"/>
  <c r="D61" i="454" s="1"/>
  <c r="D62" i="454" s="1"/>
  <c r="D63" i="454" s="1"/>
  <c r="D64" i="454" s="1"/>
  <c r="D65" i="454" s="1"/>
  <c r="D66" i="454" s="1"/>
  <c r="D67" i="454" s="1"/>
  <c r="D68" i="454" s="1"/>
  <c r="D69" i="454" s="1"/>
  <c r="D70" i="454" s="1"/>
  <c r="D71" i="454" s="1"/>
  <c r="D72" i="454" s="1"/>
  <c r="D73" i="454" s="1"/>
  <c r="D74" i="454" s="1"/>
  <c r="B35" i="454"/>
  <c r="B34" i="454"/>
  <c r="B33" i="454"/>
  <c r="B32" i="454"/>
  <c r="B31" i="454"/>
  <c r="B30" i="454"/>
  <c r="B29" i="454"/>
  <c r="D28" i="454"/>
  <c r="D29" i="454" s="1"/>
  <c r="D30" i="454" s="1"/>
  <c r="D31" i="454" s="1"/>
  <c r="D32" i="454" s="1"/>
  <c r="D33" i="454" s="1"/>
  <c r="B28" i="454"/>
  <c r="B27" i="454"/>
  <c r="B20" i="454"/>
  <c r="B19" i="454"/>
  <c r="B18" i="454"/>
  <c r="B17" i="454"/>
  <c r="B16" i="454"/>
  <c r="B15" i="454"/>
  <c r="B14" i="454"/>
  <c r="B13" i="454"/>
  <c r="B12" i="454"/>
  <c r="D11" i="454"/>
  <c r="D12" i="454" s="1"/>
  <c r="D13" i="454" s="1"/>
  <c r="D14" i="454" s="1"/>
  <c r="D15" i="454" s="1"/>
  <c r="D16" i="454" s="1"/>
  <c r="D17" i="454" s="1"/>
  <c r="D18" i="454" s="1"/>
  <c r="D19" i="454" s="1"/>
  <c r="D20" i="454" s="1"/>
  <c r="B11" i="454"/>
  <c r="B10" i="454"/>
  <c r="D6" i="454"/>
  <c r="B6" i="454"/>
  <c r="C6" i="454" s="1"/>
  <c r="C25" i="462" l="1"/>
  <c r="C28" i="462"/>
  <c r="Q22" i="36"/>
  <c r="AB23" i="468"/>
  <c r="AB23" i="455"/>
  <c r="U83" i="468"/>
  <c r="X83" i="468" s="1"/>
  <c r="U101" i="455"/>
  <c r="X101" i="455" s="1"/>
  <c r="Z10" i="468"/>
  <c r="C52" i="468"/>
  <c r="A51" i="468"/>
  <c r="Z103" i="468"/>
  <c r="W85" i="468"/>
  <c r="X85" i="468" s="1"/>
  <c r="U85" i="468"/>
  <c r="U101" i="468" s="1"/>
  <c r="X101" i="468" s="1"/>
  <c r="S101" i="468"/>
  <c r="Z14" i="468"/>
  <c r="W14" i="468"/>
  <c r="Z104" i="468"/>
  <c r="W104" i="468"/>
  <c r="W83" i="468"/>
  <c r="W32" i="468"/>
  <c r="N114" i="468"/>
  <c r="O1" i="468" s="1"/>
  <c r="U40" i="468"/>
  <c r="X40" i="468" s="1"/>
  <c r="Z42" i="468"/>
  <c r="W40" i="468"/>
  <c r="U32" i="468"/>
  <c r="X32" i="468" s="1"/>
  <c r="W109" i="468"/>
  <c r="X109" i="468" s="1"/>
  <c r="U109" i="468"/>
  <c r="U112" i="468" s="1"/>
  <c r="S112" i="468"/>
  <c r="D31" i="36"/>
  <c r="Q21" i="36"/>
  <c r="J21" i="36"/>
  <c r="D20" i="36"/>
  <c r="F20" i="421"/>
  <c r="L20" i="421" s="1"/>
  <c r="K20" i="36"/>
  <c r="L20" i="36" s="1"/>
  <c r="J20" i="36"/>
  <c r="D20" i="430"/>
  <c r="G20" i="430" s="1"/>
  <c r="D20" i="37"/>
  <c r="G20" i="37" s="1"/>
  <c r="Z85" i="455"/>
  <c r="W101" i="455"/>
  <c r="N114" i="455"/>
  <c r="W16" i="455"/>
  <c r="X16" i="455" s="1"/>
  <c r="U16" i="455"/>
  <c r="S32" i="455"/>
  <c r="W34" i="455"/>
  <c r="X34" i="455" s="1"/>
  <c r="S40" i="455"/>
  <c r="U34" i="455"/>
  <c r="U42" i="455"/>
  <c r="W42" i="455"/>
  <c r="X42" i="455" s="1"/>
  <c r="S83" i="455"/>
  <c r="W106" i="455"/>
  <c r="X106" i="455" s="1"/>
  <c r="U106" i="455"/>
  <c r="S112" i="455"/>
  <c r="U10" i="455"/>
  <c r="U14" i="455" s="1"/>
  <c r="W10" i="455"/>
  <c r="X10" i="455" s="1"/>
  <c r="S14" i="455"/>
  <c r="U103" i="455"/>
  <c r="U104" i="455" s="1"/>
  <c r="X104" i="455" s="1"/>
  <c r="W103" i="455"/>
  <c r="X103" i="455" s="1"/>
  <c r="S104" i="455"/>
  <c r="Q18" i="36"/>
  <c r="C50" i="455"/>
  <c r="A49" i="455"/>
  <c r="AS82" i="454"/>
  <c r="BH82" i="454"/>
  <c r="AP82" i="454"/>
  <c r="BE82" i="454"/>
  <c r="AV82" i="454"/>
  <c r="BB82" i="454"/>
  <c r="AM82" i="454"/>
  <c r="AY82" i="454"/>
  <c r="R82" i="454"/>
  <c r="U82" i="454" s="1"/>
  <c r="S82" i="454"/>
  <c r="T82" i="454"/>
  <c r="AP94" i="454"/>
  <c r="AV94" i="454"/>
  <c r="BB94" i="454"/>
  <c r="AM94" i="454"/>
  <c r="BE94" i="454"/>
  <c r="BH94" i="454"/>
  <c r="AY94" i="454"/>
  <c r="AS94" i="454"/>
  <c r="R94" i="454"/>
  <c r="U94" i="454" s="1"/>
  <c r="T94" i="454"/>
  <c r="S94" i="454"/>
  <c r="AM87" i="454"/>
  <c r="BB87" i="454"/>
  <c r="BH87" i="454"/>
  <c r="S87" i="454"/>
  <c r="BE87" i="454"/>
  <c r="AV87" i="454"/>
  <c r="AS87" i="454"/>
  <c r="AY87" i="454"/>
  <c r="AP87" i="454"/>
  <c r="T87" i="454"/>
  <c r="R87" i="454"/>
  <c r="U87" i="454" s="1"/>
  <c r="AS80" i="454"/>
  <c r="AP80" i="454"/>
  <c r="BB80" i="454"/>
  <c r="AM80" i="454"/>
  <c r="AV80" i="454"/>
  <c r="AY80" i="454"/>
  <c r="BH80" i="454"/>
  <c r="BE80" i="454"/>
  <c r="R80" i="454"/>
  <c r="U80" i="454" s="1"/>
  <c r="T80" i="454"/>
  <c r="S80" i="454"/>
  <c r="BH84" i="454"/>
  <c r="AM84" i="454"/>
  <c r="AP84" i="454"/>
  <c r="AY84" i="454"/>
  <c r="AS84" i="454"/>
  <c r="AV84" i="454"/>
  <c r="BE84" i="454"/>
  <c r="BB84" i="454"/>
  <c r="R84" i="454"/>
  <c r="U84" i="454" s="1"/>
  <c r="T84" i="454"/>
  <c r="S84" i="454"/>
  <c r="BH88" i="454"/>
  <c r="AP88" i="454"/>
  <c r="AS88" i="454"/>
  <c r="BB88" i="454"/>
  <c r="AM88" i="454"/>
  <c r="AV88" i="454"/>
  <c r="BE88" i="454"/>
  <c r="AY88" i="454"/>
  <c r="S88" i="454"/>
  <c r="R88" i="454"/>
  <c r="U88" i="454" s="1"/>
  <c r="T88" i="454"/>
  <c r="AM92" i="454"/>
  <c r="BB92" i="454"/>
  <c r="AP92" i="454"/>
  <c r="BE92" i="454"/>
  <c r="BH92" i="454"/>
  <c r="AS92" i="454"/>
  <c r="AV92" i="454"/>
  <c r="AY92" i="454"/>
  <c r="R92" i="454"/>
  <c r="U92" i="454" s="1"/>
  <c r="T92" i="454"/>
  <c r="S92" i="454"/>
  <c r="AM78" i="454"/>
  <c r="BH78" i="454"/>
  <c r="BE78" i="454"/>
  <c r="AY78" i="454"/>
  <c r="BB78" i="454"/>
  <c r="AP78" i="454"/>
  <c r="AV78" i="454"/>
  <c r="AS78" i="454"/>
  <c r="T78" i="454"/>
  <c r="S78" i="454"/>
  <c r="R78" i="454"/>
  <c r="U78" i="454" s="1"/>
  <c r="AY90" i="454"/>
  <c r="BB90" i="454"/>
  <c r="AV90" i="454"/>
  <c r="AM90" i="454"/>
  <c r="AS90" i="454"/>
  <c r="AP90" i="454"/>
  <c r="BE90" i="454"/>
  <c r="BH90" i="454"/>
  <c r="T90" i="454"/>
  <c r="S90" i="454"/>
  <c r="R90" i="454"/>
  <c r="U90" i="454" s="1"/>
  <c r="BB79" i="454"/>
  <c r="BE79" i="454"/>
  <c r="AV79" i="454"/>
  <c r="BH79" i="454"/>
  <c r="AS79" i="454"/>
  <c r="AY79" i="454"/>
  <c r="AP79" i="454"/>
  <c r="AM79" i="454"/>
  <c r="T79" i="454"/>
  <c r="S79" i="454"/>
  <c r="R79" i="454"/>
  <c r="U79" i="454" s="1"/>
  <c r="AM91" i="454"/>
  <c r="BE91" i="454"/>
  <c r="BB91" i="454"/>
  <c r="AP91" i="454"/>
  <c r="AY91" i="454"/>
  <c r="BH91" i="454"/>
  <c r="AS91" i="454"/>
  <c r="AV91" i="454"/>
  <c r="S91" i="454"/>
  <c r="T91" i="454"/>
  <c r="R91" i="454"/>
  <c r="U91" i="454" s="1"/>
  <c r="J76" i="454"/>
  <c r="BE77" i="454"/>
  <c r="AV77" i="454"/>
  <c r="AS77" i="454"/>
  <c r="AP77" i="454"/>
  <c r="AY77" i="454"/>
  <c r="BB77" i="454"/>
  <c r="AM77" i="454"/>
  <c r="BH77" i="454"/>
  <c r="T77" i="454"/>
  <c r="R77" i="454"/>
  <c r="U77" i="454" s="1"/>
  <c r="S77" i="454"/>
  <c r="AM81" i="454"/>
  <c r="BB81" i="454"/>
  <c r="BH81" i="454"/>
  <c r="AP81" i="454"/>
  <c r="AS81" i="454"/>
  <c r="AV81" i="454"/>
  <c r="AY81" i="454"/>
  <c r="BE81" i="454"/>
  <c r="S81" i="454"/>
  <c r="R81" i="454"/>
  <c r="U81" i="454" s="1"/>
  <c r="T81" i="454"/>
  <c r="BB85" i="454"/>
  <c r="BE85" i="454"/>
  <c r="AV85" i="454"/>
  <c r="AP85" i="454"/>
  <c r="AS85" i="454"/>
  <c r="AM85" i="454"/>
  <c r="AY85" i="454"/>
  <c r="BH85" i="454"/>
  <c r="S85" i="454"/>
  <c r="R85" i="454"/>
  <c r="U85" i="454" s="1"/>
  <c r="T85" i="454"/>
  <c r="AM89" i="454"/>
  <c r="AY89" i="454"/>
  <c r="AS89" i="454"/>
  <c r="AV89" i="454"/>
  <c r="AP89" i="454"/>
  <c r="BB89" i="454"/>
  <c r="BH89" i="454"/>
  <c r="BE89" i="454"/>
  <c r="S89" i="454"/>
  <c r="T89" i="454"/>
  <c r="R89" i="454"/>
  <c r="U89" i="454" s="1"/>
  <c r="AS86" i="454"/>
  <c r="BH86" i="454"/>
  <c r="BE86" i="454"/>
  <c r="AM86" i="454"/>
  <c r="AV86" i="454"/>
  <c r="AY86" i="454"/>
  <c r="BB86" i="454"/>
  <c r="AP86" i="454"/>
  <c r="R86" i="454"/>
  <c r="U86" i="454" s="1"/>
  <c r="T86" i="454"/>
  <c r="S86" i="454"/>
  <c r="AY83" i="454"/>
  <c r="BB83" i="454"/>
  <c r="AM83" i="454"/>
  <c r="AS83" i="454"/>
  <c r="AP83" i="454"/>
  <c r="BH83" i="454"/>
  <c r="AV83" i="454"/>
  <c r="BE83" i="454"/>
  <c r="T83" i="454"/>
  <c r="S83" i="454"/>
  <c r="R83" i="454"/>
  <c r="U83" i="454" s="1"/>
  <c r="B45" i="450"/>
  <c r="G45" i="450" s="1"/>
  <c r="G41" i="33"/>
  <c r="B45" i="453"/>
  <c r="G45" i="453" s="1"/>
  <c r="G43" i="446"/>
  <c r="X92" i="454"/>
  <c r="AD92" i="454"/>
  <c r="AG92" i="454"/>
  <c r="AA92" i="454"/>
  <c r="AJ92" i="454"/>
  <c r="AD29" i="454"/>
  <c r="AJ29" i="454"/>
  <c r="AA29" i="454"/>
  <c r="X29" i="454"/>
  <c r="AG29" i="454"/>
  <c r="AJ37" i="454"/>
  <c r="AD37" i="454"/>
  <c r="AG37" i="454"/>
  <c r="X37" i="454"/>
  <c r="AA37" i="454"/>
  <c r="X41" i="454"/>
  <c r="AJ41" i="454"/>
  <c r="AG41" i="454"/>
  <c r="AD41" i="454"/>
  <c r="AA41" i="454"/>
  <c r="AJ45" i="454"/>
  <c r="AA45" i="454"/>
  <c r="AD45" i="454"/>
  <c r="X45" i="454"/>
  <c r="AG45" i="454"/>
  <c r="AJ49" i="454"/>
  <c r="X49" i="454"/>
  <c r="AD49" i="454"/>
  <c r="AA49" i="454"/>
  <c r="AG49" i="454"/>
  <c r="AG66" i="454"/>
  <c r="AJ66" i="454"/>
  <c r="X66" i="454"/>
  <c r="AD66" i="454"/>
  <c r="AA66" i="454"/>
  <c r="AG70" i="454"/>
  <c r="AJ70" i="454"/>
  <c r="X70" i="454"/>
  <c r="AA70" i="454"/>
  <c r="AD70" i="454"/>
  <c r="AG77" i="454"/>
  <c r="X77" i="454"/>
  <c r="AJ77" i="454"/>
  <c r="AD77" i="454"/>
  <c r="AA77" i="454"/>
  <c r="AA81" i="454"/>
  <c r="AD81" i="454"/>
  <c r="AG81" i="454"/>
  <c r="X81" i="454"/>
  <c r="AJ81" i="454"/>
  <c r="AA53" i="454"/>
  <c r="AD53" i="454"/>
  <c r="AG53" i="454"/>
  <c r="AJ53" i="454"/>
  <c r="X53" i="454"/>
  <c r="AG72" i="454"/>
  <c r="X72" i="454"/>
  <c r="AA72" i="454"/>
  <c r="AJ72" i="454"/>
  <c r="AD72" i="454"/>
  <c r="X17" i="454"/>
  <c r="AG17" i="454"/>
  <c r="AD17" i="454"/>
  <c r="AJ17" i="454"/>
  <c r="AA17" i="454"/>
  <c r="AD57" i="454"/>
  <c r="X57" i="454"/>
  <c r="AG57" i="454"/>
  <c r="AA57" i="454"/>
  <c r="AJ57" i="454"/>
  <c r="AG74" i="454"/>
  <c r="AA74" i="454"/>
  <c r="X74" i="454"/>
  <c r="AD74" i="454"/>
  <c r="AA85" i="454"/>
  <c r="AJ85" i="454"/>
  <c r="AD85" i="454"/>
  <c r="AG85" i="454"/>
  <c r="X85" i="454"/>
  <c r="AG87" i="454"/>
  <c r="AJ87" i="454"/>
  <c r="AD87" i="454"/>
  <c r="AA87" i="454"/>
  <c r="X87" i="454"/>
  <c r="X89" i="454"/>
  <c r="AJ89" i="454"/>
  <c r="AD89" i="454"/>
  <c r="AG89" i="454"/>
  <c r="AA89" i="454"/>
  <c r="AD91" i="454"/>
  <c r="AJ91" i="454"/>
  <c r="AA91" i="454"/>
  <c r="X91" i="454"/>
  <c r="AG91" i="454"/>
  <c r="AJ59" i="454"/>
  <c r="X59" i="454"/>
  <c r="AG59" i="454"/>
  <c r="AA59" i="454"/>
  <c r="AD59" i="454"/>
  <c r="X61" i="454"/>
  <c r="AG61" i="454"/>
  <c r="AA61" i="454"/>
  <c r="AJ61" i="454"/>
  <c r="AD61" i="454"/>
  <c r="AJ63" i="454"/>
  <c r="AD63" i="454"/>
  <c r="X63" i="454"/>
  <c r="AG63" i="454"/>
  <c r="AA63" i="454"/>
  <c r="AG58" i="454"/>
  <c r="AD58" i="454"/>
  <c r="AJ58" i="454"/>
  <c r="X58" i="454"/>
  <c r="AA58" i="454"/>
  <c r="AD62" i="454"/>
  <c r="AA62" i="454"/>
  <c r="X62" i="454"/>
  <c r="AJ62" i="454"/>
  <c r="AG62" i="454"/>
  <c r="AA35" i="454"/>
  <c r="AG35" i="454"/>
  <c r="AJ35" i="454"/>
  <c r="X35" i="454"/>
  <c r="AD35" i="454"/>
  <c r="AG39" i="454"/>
  <c r="AJ39" i="454"/>
  <c r="AD39" i="454"/>
  <c r="X39" i="454"/>
  <c r="AA39" i="454"/>
  <c r="AD43" i="454"/>
  <c r="X43" i="454"/>
  <c r="AG43" i="454"/>
  <c r="AJ43" i="454"/>
  <c r="AA43" i="454"/>
  <c r="X47" i="454"/>
  <c r="AJ47" i="454"/>
  <c r="AA47" i="454"/>
  <c r="AG47" i="454"/>
  <c r="AD47" i="454"/>
  <c r="X64" i="454"/>
  <c r="AD64" i="454"/>
  <c r="AG64" i="454"/>
  <c r="AA64" i="454"/>
  <c r="AJ64" i="454"/>
  <c r="AA68" i="454"/>
  <c r="AD68" i="454"/>
  <c r="X68" i="454"/>
  <c r="AG68" i="454"/>
  <c r="AJ68" i="454"/>
  <c r="X79" i="454"/>
  <c r="AG79" i="454"/>
  <c r="AJ79" i="454"/>
  <c r="AA79" i="454"/>
  <c r="AD79" i="454"/>
  <c r="AJ97" i="454"/>
  <c r="AD97" i="454"/>
  <c r="AA97" i="454"/>
  <c r="AG97" i="454"/>
  <c r="X97" i="454"/>
  <c r="X51" i="454"/>
  <c r="AD51" i="454"/>
  <c r="AG51" i="454"/>
  <c r="AA51" i="454"/>
  <c r="AJ51" i="454"/>
  <c r="AA101" i="454"/>
  <c r="X101" i="454"/>
  <c r="AD101" i="454"/>
  <c r="AG101" i="454"/>
  <c r="AD19" i="454"/>
  <c r="AG19" i="454"/>
  <c r="X19" i="454"/>
  <c r="AA19" i="454"/>
  <c r="AJ19" i="454"/>
  <c r="S5" i="454"/>
  <c r="AJ6" i="454"/>
  <c r="AA6" i="454"/>
  <c r="X6" i="454"/>
  <c r="AG6" i="454"/>
  <c r="AD6" i="454"/>
  <c r="AA28" i="454"/>
  <c r="X28" i="454"/>
  <c r="AJ28" i="454"/>
  <c r="AD28" i="454"/>
  <c r="AG28" i="454"/>
  <c r="AD38" i="454"/>
  <c r="AA38" i="454"/>
  <c r="X38" i="454"/>
  <c r="AG38" i="454"/>
  <c r="AJ38" i="454"/>
  <c r="AD42" i="454"/>
  <c r="AG42" i="454"/>
  <c r="X42" i="454"/>
  <c r="AA42" i="454"/>
  <c r="AJ42" i="454"/>
  <c r="AG46" i="454"/>
  <c r="AA46" i="454"/>
  <c r="AJ46" i="454"/>
  <c r="AD46" i="454"/>
  <c r="X46" i="454"/>
  <c r="AJ65" i="454"/>
  <c r="X65" i="454"/>
  <c r="AG65" i="454"/>
  <c r="AA65" i="454"/>
  <c r="AD65" i="454"/>
  <c r="AJ69" i="454"/>
  <c r="X69" i="454"/>
  <c r="AG69" i="454"/>
  <c r="AA69" i="454"/>
  <c r="AD69" i="454"/>
  <c r="AJ78" i="454"/>
  <c r="AG78" i="454"/>
  <c r="AA78" i="454"/>
  <c r="X78" i="454"/>
  <c r="AD78" i="454"/>
  <c r="AG82" i="454"/>
  <c r="AJ82" i="454"/>
  <c r="AD82" i="454"/>
  <c r="AA82" i="454"/>
  <c r="X82" i="454"/>
  <c r="AD30" i="454"/>
  <c r="AG30" i="454"/>
  <c r="X30" i="454"/>
  <c r="AJ30" i="454"/>
  <c r="AA30" i="454"/>
  <c r="AD32" i="454"/>
  <c r="X32" i="454"/>
  <c r="AG32" i="454"/>
  <c r="AJ32" i="454"/>
  <c r="AA32" i="454"/>
  <c r="X50" i="454"/>
  <c r="AD50" i="454"/>
  <c r="AJ50" i="454"/>
  <c r="AG50" i="454"/>
  <c r="AA50" i="454"/>
  <c r="AG52" i="454"/>
  <c r="AD52" i="454"/>
  <c r="AJ52" i="454"/>
  <c r="X52" i="454"/>
  <c r="AA52" i="454"/>
  <c r="AG54" i="454"/>
  <c r="AD54" i="454"/>
  <c r="X54" i="454"/>
  <c r="AA54" i="454"/>
  <c r="AJ54" i="454"/>
  <c r="AG73" i="454"/>
  <c r="AA73" i="454"/>
  <c r="X73" i="454"/>
  <c r="AJ73" i="454"/>
  <c r="AD73" i="454"/>
  <c r="AJ98" i="454"/>
  <c r="AA98" i="454"/>
  <c r="AD98" i="454"/>
  <c r="AG98" i="454"/>
  <c r="X98" i="454"/>
  <c r="AA100" i="454"/>
  <c r="AG100" i="454"/>
  <c r="X100" i="454"/>
  <c r="AD100" i="454"/>
  <c r="X60" i="454"/>
  <c r="AG60" i="454"/>
  <c r="AA60" i="454"/>
  <c r="AD60" i="454"/>
  <c r="AJ60" i="454"/>
  <c r="AG31" i="454"/>
  <c r="AD31" i="454"/>
  <c r="X31" i="454"/>
  <c r="AA31" i="454"/>
  <c r="AJ31" i="454"/>
  <c r="AD55" i="454"/>
  <c r="AA55" i="454"/>
  <c r="X55" i="454"/>
  <c r="AG55" i="454"/>
  <c r="AJ55" i="454"/>
  <c r="AG83" i="454"/>
  <c r="AD83" i="454"/>
  <c r="X83" i="454"/>
  <c r="AA83" i="454"/>
  <c r="AJ83" i="454"/>
  <c r="AA99" i="454"/>
  <c r="AD99" i="454"/>
  <c r="AG99" i="454"/>
  <c r="AJ99" i="454"/>
  <c r="X99" i="454"/>
  <c r="AG11" i="454"/>
  <c r="AD11" i="454"/>
  <c r="X11" i="454"/>
  <c r="AJ11" i="454"/>
  <c r="AA11" i="454"/>
  <c r="AG15" i="454"/>
  <c r="X15" i="454"/>
  <c r="AJ15" i="454"/>
  <c r="AA15" i="454"/>
  <c r="AD15" i="454"/>
  <c r="AG33" i="454"/>
  <c r="AD33" i="454"/>
  <c r="AA33" i="454"/>
  <c r="X33" i="454"/>
  <c r="AJ33" i="454"/>
  <c r="AG36" i="454"/>
  <c r="AA36" i="454"/>
  <c r="X36" i="454"/>
  <c r="AD36" i="454"/>
  <c r="AJ36" i="454"/>
  <c r="AG40" i="454"/>
  <c r="AA40" i="454"/>
  <c r="X40" i="454"/>
  <c r="AD40" i="454"/>
  <c r="AJ40" i="454"/>
  <c r="AG44" i="454"/>
  <c r="AD44" i="454"/>
  <c r="AJ44" i="454"/>
  <c r="X44" i="454"/>
  <c r="AA44" i="454"/>
  <c r="X48" i="454"/>
  <c r="AA48" i="454"/>
  <c r="AG48" i="454"/>
  <c r="AD48" i="454"/>
  <c r="AJ48" i="454"/>
  <c r="AG67" i="454"/>
  <c r="AA67" i="454"/>
  <c r="X67" i="454"/>
  <c r="AD67" i="454"/>
  <c r="AJ67" i="454"/>
  <c r="X71" i="454"/>
  <c r="AG71" i="454"/>
  <c r="AD71" i="454"/>
  <c r="AJ71" i="454"/>
  <c r="AA71" i="454"/>
  <c r="AJ80" i="454"/>
  <c r="AG80" i="454"/>
  <c r="AA80" i="454"/>
  <c r="AD80" i="454"/>
  <c r="X80" i="454"/>
  <c r="AJ96" i="454"/>
  <c r="AA96" i="454"/>
  <c r="AD96" i="454"/>
  <c r="AG96" i="454"/>
  <c r="X96" i="454"/>
  <c r="AD14" i="454"/>
  <c r="AJ14" i="454"/>
  <c r="AA14" i="454"/>
  <c r="AG14" i="454"/>
  <c r="X14" i="454"/>
  <c r="AJ16" i="454"/>
  <c r="AG16" i="454"/>
  <c r="AD16" i="454"/>
  <c r="AA16" i="454"/>
  <c r="X16" i="454"/>
  <c r="AA18" i="454"/>
  <c r="X18" i="454"/>
  <c r="AJ18" i="454"/>
  <c r="AD18" i="454"/>
  <c r="AG18" i="454"/>
  <c r="AG20" i="454"/>
  <c r="X20" i="454"/>
  <c r="AD20" i="454"/>
  <c r="AA20" i="454"/>
  <c r="AJ20" i="454"/>
  <c r="AD56" i="454"/>
  <c r="AG56" i="454"/>
  <c r="X56" i="454"/>
  <c r="AJ56" i="454"/>
  <c r="AA56" i="454"/>
  <c r="AA84" i="454"/>
  <c r="AJ84" i="454"/>
  <c r="AG84" i="454"/>
  <c r="AD84" i="454"/>
  <c r="X84" i="454"/>
  <c r="AA86" i="454"/>
  <c r="AJ86" i="454"/>
  <c r="X86" i="454"/>
  <c r="AG86" i="454"/>
  <c r="AD86" i="454"/>
  <c r="AJ88" i="454"/>
  <c r="AG88" i="454"/>
  <c r="AA88" i="454"/>
  <c r="X88" i="454"/>
  <c r="AD88" i="454"/>
  <c r="AG90" i="454"/>
  <c r="X90" i="454"/>
  <c r="AD90" i="454"/>
  <c r="AA90" i="454"/>
  <c r="AJ90" i="454"/>
  <c r="AG94" i="454"/>
  <c r="AA94" i="454"/>
  <c r="X94" i="454"/>
  <c r="AJ94" i="454"/>
  <c r="AD94" i="454"/>
  <c r="C10" i="454"/>
  <c r="A10" i="454" s="1"/>
  <c r="A6" i="454"/>
  <c r="J93" i="454"/>
  <c r="H22" i="421" l="1"/>
  <c r="N22" i="421" s="1"/>
  <c r="R22" i="36"/>
  <c r="Z83" i="468"/>
  <c r="Z109" i="468"/>
  <c r="A52" i="468"/>
  <c r="C53" i="468"/>
  <c r="Z32" i="468"/>
  <c r="Z40" i="468"/>
  <c r="W101" i="468"/>
  <c r="Z101" i="468"/>
  <c r="Z85" i="468"/>
  <c r="R114" i="468"/>
  <c r="W112" i="468"/>
  <c r="Z112" i="468"/>
  <c r="X112" i="468"/>
  <c r="T114" i="468"/>
  <c r="R21" i="36"/>
  <c r="H21" i="421"/>
  <c r="N21" i="421" s="1"/>
  <c r="H18" i="421"/>
  <c r="N18" i="421" s="1"/>
  <c r="R18" i="36"/>
  <c r="Q20" i="36"/>
  <c r="Z103" i="455"/>
  <c r="W40" i="455"/>
  <c r="W104" i="455"/>
  <c r="Z16" i="455"/>
  <c r="U32" i="455"/>
  <c r="X32" i="455" s="1"/>
  <c r="J103" i="454"/>
  <c r="J1" i="454" s="1"/>
  <c r="W83" i="455"/>
  <c r="Z10" i="455"/>
  <c r="K17" i="462"/>
  <c r="B36" i="462" s="1"/>
  <c r="B38" i="462" s="1"/>
  <c r="O1" i="455"/>
  <c r="Z106" i="455"/>
  <c r="U112" i="455"/>
  <c r="X112" i="455" s="1"/>
  <c r="R114" i="455"/>
  <c r="Y114" i="455" s="1"/>
  <c r="W14" i="455"/>
  <c r="Z42" i="455"/>
  <c r="U83" i="455"/>
  <c r="X83" i="455" s="1"/>
  <c r="X14" i="455"/>
  <c r="W112" i="455"/>
  <c r="W32" i="455"/>
  <c r="Z34" i="455"/>
  <c r="U40" i="455"/>
  <c r="X40" i="455" s="1"/>
  <c r="C51" i="455"/>
  <c r="A50" i="455"/>
  <c r="AP93" i="454"/>
  <c r="BE93" i="454"/>
  <c r="AS93" i="454"/>
  <c r="AY93" i="454"/>
  <c r="AM93" i="454"/>
  <c r="BB93" i="454"/>
  <c r="AV93" i="454"/>
  <c r="BH93" i="454"/>
  <c r="AJ93" i="454"/>
  <c r="S76" i="454"/>
  <c r="BH76" i="454"/>
  <c r="BB76" i="454"/>
  <c r="T76" i="454"/>
  <c r="AY76" i="454"/>
  <c r="AP76" i="454"/>
  <c r="R76" i="454"/>
  <c r="U76" i="454" s="1"/>
  <c r="BE76" i="454"/>
  <c r="AV76" i="454"/>
  <c r="AS76" i="454"/>
  <c r="AM76" i="454"/>
  <c r="P34" i="454"/>
  <c r="T34" i="454" s="1"/>
  <c r="P27" i="454"/>
  <c r="T27" i="454" s="1"/>
  <c r="T10" i="454"/>
  <c r="B46" i="453"/>
  <c r="G46" i="453" s="1"/>
  <c r="B46" i="450"/>
  <c r="G46" i="450" s="1"/>
  <c r="G42" i="33"/>
  <c r="G44" i="446"/>
  <c r="X10" i="454"/>
  <c r="AA10" i="454"/>
  <c r="AD10" i="454"/>
  <c r="AG10" i="454"/>
  <c r="AD5" i="454"/>
  <c r="AA5" i="454"/>
  <c r="AJ5" i="454"/>
  <c r="AG5" i="454"/>
  <c r="X5" i="454"/>
  <c r="X34" i="454"/>
  <c r="AG34" i="454"/>
  <c r="AA34" i="454"/>
  <c r="AD34" i="454"/>
  <c r="AD27" i="454"/>
  <c r="AA27" i="454"/>
  <c r="X27" i="454"/>
  <c r="AG27" i="454"/>
  <c r="AG76" i="454"/>
  <c r="AD76" i="454"/>
  <c r="X76" i="454"/>
  <c r="AJ76" i="454"/>
  <c r="AA76" i="454"/>
  <c r="AA93" i="454"/>
  <c r="AG93" i="454"/>
  <c r="AD93" i="454"/>
  <c r="X93" i="454"/>
  <c r="X95" i="454"/>
  <c r="AD95" i="454"/>
  <c r="AG95" i="454"/>
  <c r="AA95" i="454"/>
  <c r="AJ95" i="454"/>
  <c r="S27" i="454"/>
  <c r="S34" i="454"/>
  <c r="S95" i="454"/>
  <c r="C11" i="454"/>
  <c r="S10" i="454"/>
  <c r="S93" i="454"/>
  <c r="T95" i="454"/>
  <c r="P93" i="454"/>
  <c r="T93" i="454" s="1"/>
  <c r="C54" i="468" l="1"/>
  <c r="A53" i="468"/>
  <c r="W114" i="468"/>
  <c r="S1" i="468"/>
  <c r="Z114" i="468"/>
  <c r="X114" i="468"/>
  <c r="U1" i="468"/>
  <c r="H20" i="421"/>
  <c r="N20" i="421" s="1"/>
  <c r="R20" i="36"/>
  <c r="K16" i="462"/>
  <c r="W114" i="455"/>
  <c r="S1" i="455"/>
  <c r="T114" i="455"/>
  <c r="Z114" i="455" s="1"/>
  <c r="C52" i="455"/>
  <c r="A51" i="455"/>
  <c r="BH103" i="454"/>
  <c r="AM103" i="454"/>
  <c r="BE103" i="454"/>
  <c r="AS103" i="454"/>
  <c r="BB103" i="454"/>
  <c r="AY103" i="454"/>
  <c r="AP103" i="454"/>
  <c r="AV103" i="454"/>
  <c r="BH4" i="454"/>
  <c r="BE4" i="454"/>
  <c r="AJ4" i="454"/>
  <c r="B47" i="453"/>
  <c r="G47" i="453" s="1"/>
  <c r="B47" i="450"/>
  <c r="G47" i="450" s="1"/>
  <c r="G43" i="33"/>
  <c r="G45" i="446"/>
  <c r="AG103" i="454"/>
  <c r="X103" i="454"/>
  <c r="AJ103" i="454"/>
  <c r="AD103" i="454"/>
  <c r="AA103" i="454"/>
  <c r="AM4" i="454"/>
  <c r="AV4" i="454"/>
  <c r="AY4" i="454"/>
  <c r="X4" i="454"/>
  <c r="AS4" i="454"/>
  <c r="AA4" i="454"/>
  <c r="AG4" i="454"/>
  <c r="AD4" i="454"/>
  <c r="AP4" i="454"/>
  <c r="BB4" i="454"/>
  <c r="R95" i="454"/>
  <c r="U95" i="454" s="1"/>
  <c r="A11" i="454"/>
  <c r="C12" i="454"/>
  <c r="S103" i="454"/>
  <c r="N1" i="454"/>
  <c r="R34" i="454"/>
  <c r="U34" i="454" s="1"/>
  <c r="R27" i="454"/>
  <c r="U27" i="454" s="1"/>
  <c r="R93" i="454"/>
  <c r="U93" i="454" s="1"/>
  <c r="R10" i="454"/>
  <c r="U10" i="454" s="1"/>
  <c r="C55" i="468" l="1"/>
  <c r="A54" i="468"/>
  <c r="X114" i="455"/>
  <c r="U1" i="455"/>
  <c r="C53" i="455"/>
  <c r="A52" i="455"/>
  <c r="B48" i="453"/>
  <c r="G48" i="453" s="1"/>
  <c r="B48" i="450"/>
  <c r="G48" i="450" s="1"/>
  <c r="G44" i="33"/>
  <c r="G46" i="446"/>
  <c r="A12" i="454"/>
  <c r="C13" i="454"/>
  <c r="A55" i="468" l="1"/>
  <c r="C56" i="468"/>
  <c r="A53" i="455"/>
  <c r="C54" i="455"/>
  <c r="B49" i="453"/>
  <c r="G49" i="453" s="1"/>
  <c r="B49" i="450"/>
  <c r="G49" i="450" s="1"/>
  <c r="G45" i="33"/>
  <c r="G47" i="446"/>
  <c r="A13" i="454"/>
  <c r="C14" i="454"/>
  <c r="C15" i="454" s="1"/>
  <c r="A56" i="468" l="1"/>
  <c r="C57" i="468"/>
  <c r="A54" i="455"/>
  <c r="C55" i="455"/>
  <c r="G48" i="446"/>
  <c r="B50" i="453"/>
  <c r="G50" i="453" s="1"/>
  <c r="B50" i="450"/>
  <c r="G50" i="450" s="1"/>
  <c r="G46" i="33"/>
  <c r="A14" i="454"/>
  <c r="C16" i="454"/>
  <c r="A15" i="454"/>
  <c r="C58" i="468" l="1"/>
  <c r="A57" i="468"/>
  <c r="C56" i="455"/>
  <c r="A55" i="455"/>
  <c r="G49" i="446"/>
  <c r="B51" i="453"/>
  <c r="G51" i="453" s="1"/>
  <c r="B51" i="450"/>
  <c r="G51" i="450" s="1"/>
  <c r="G47" i="33"/>
  <c r="A16" i="454"/>
  <c r="C17" i="454"/>
  <c r="F12" i="430"/>
  <c r="A58" i="468" l="1"/>
  <c r="C59" i="468"/>
  <c r="A56" i="455"/>
  <c r="C57" i="455"/>
  <c r="B52" i="450"/>
  <c r="G52" i="450" s="1"/>
  <c r="G48" i="33"/>
  <c r="G50" i="446"/>
  <c r="B52" i="453"/>
  <c r="G52" i="453" s="1"/>
  <c r="C18" i="454"/>
  <c r="A17" i="454"/>
  <c r="H10" i="450"/>
  <c r="H10" i="33"/>
  <c r="F11" i="33"/>
  <c r="H11" i="453"/>
  <c r="F12" i="453" s="1"/>
  <c r="C60" i="468" l="1"/>
  <c r="A59" i="468"/>
  <c r="C58" i="455"/>
  <c r="A57" i="455"/>
  <c r="B53" i="450"/>
  <c r="G53" i="450" s="1"/>
  <c r="G49" i="33"/>
  <c r="B53" i="453"/>
  <c r="G53" i="453" s="1"/>
  <c r="G51" i="446"/>
  <c r="F11" i="450"/>
  <c r="H12" i="453"/>
  <c r="F13" i="453" s="1"/>
  <c r="H13" i="453" s="1"/>
  <c r="F14" i="453" s="1"/>
  <c r="H14" i="453" s="1"/>
  <c r="F15" i="453" s="1"/>
  <c r="H15" i="453" s="1"/>
  <c r="F16" i="453" s="1"/>
  <c r="H16" i="453" s="1"/>
  <c r="F17" i="453" s="1"/>
  <c r="H17" i="453" s="1"/>
  <c r="F18" i="453" s="1"/>
  <c r="H18" i="453" s="1"/>
  <c r="F19" i="453" s="1"/>
  <c r="H19" i="453" s="1"/>
  <c r="F20" i="453" s="1"/>
  <c r="H20" i="453" s="1"/>
  <c r="G52" i="446"/>
  <c r="H11" i="33"/>
  <c r="F12" i="33" s="1"/>
  <c r="H12" i="33" s="1"/>
  <c r="F13" i="33" s="1"/>
  <c r="H13" i="33" s="1"/>
  <c r="F14" i="33" s="1"/>
  <c r="H14" i="33" s="1"/>
  <c r="F15" i="33" s="1"/>
  <c r="H15" i="33" s="1"/>
  <c r="F16" i="33" s="1"/>
  <c r="H16" i="33" s="1"/>
  <c r="F17" i="33" s="1"/>
  <c r="H17" i="33" s="1"/>
  <c r="F18" i="33" s="1"/>
  <c r="H18" i="33" s="1"/>
  <c r="C19" i="454"/>
  <c r="A18" i="454"/>
  <c r="F6" i="438"/>
  <c r="C11" i="438"/>
  <c r="C10" i="438"/>
  <c r="A23" i="437"/>
  <c r="A22" i="437"/>
  <c r="A60" i="468" l="1"/>
  <c r="C61" i="468"/>
  <c r="C59" i="455"/>
  <c r="A58" i="455"/>
  <c r="F54" i="453"/>
  <c r="H11" i="450"/>
  <c r="H50" i="33"/>
  <c r="F50" i="33"/>
  <c r="C20" i="454"/>
  <c r="A19" i="454"/>
  <c r="H10" i="453"/>
  <c r="H54" i="453" s="1"/>
  <c r="C62" i="468" l="1"/>
  <c r="A61" i="468"/>
  <c r="A59" i="455"/>
  <c r="C60" i="455"/>
  <c r="G54" i="453"/>
  <c r="G55" i="453" s="1"/>
  <c r="F12" i="450"/>
  <c r="G50" i="33"/>
  <c r="A20" i="454"/>
  <c r="H55" i="453"/>
  <c r="F55" i="453"/>
  <c r="A62" i="468" l="1"/>
  <c r="C63" i="468"/>
  <c r="A60" i="455"/>
  <c r="C61" i="455"/>
  <c r="H12" i="450"/>
  <c r="C27" i="454"/>
  <c r="C64" i="468" l="1"/>
  <c r="A63" i="468"/>
  <c r="A61" i="455"/>
  <c r="C62" i="455"/>
  <c r="F13" i="450"/>
  <c r="C28" i="454"/>
  <c r="A27" i="454"/>
  <c r="D13" i="430"/>
  <c r="G13" i="430" s="1"/>
  <c r="D12" i="430"/>
  <c r="G12" i="430" s="1"/>
  <c r="D12" i="37"/>
  <c r="G12" i="37" s="1"/>
  <c r="D13" i="37"/>
  <c r="G13" i="37" s="1"/>
  <c r="L12" i="36"/>
  <c r="K13" i="36"/>
  <c r="L13" i="36" s="1"/>
  <c r="J13" i="36"/>
  <c r="C65" i="468" l="1"/>
  <c r="A64" i="468"/>
  <c r="J12" i="36"/>
  <c r="H12" i="430"/>
  <c r="I12" i="430"/>
  <c r="I13" i="430" s="1"/>
  <c r="A62" i="455"/>
  <c r="C63" i="455"/>
  <c r="Q12" i="36"/>
  <c r="H13" i="450"/>
  <c r="F14" i="450" s="1"/>
  <c r="H14" i="450" s="1"/>
  <c r="F15" i="450" s="1"/>
  <c r="H15" i="450" s="1"/>
  <c r="F16" i="450" s="1"/>
  <c r="H16" i="450" s="1"/>
  <c r="F17" i="450" s="1"/>
  <c r="H17" i="450" s="1"/>
  <c r="F18" i="450" s="1"/>
  <c r="H18" i="450" s="1"/>
  <c r="F19" i="450" s="1"/>
  <c r="H19" i="450" s="1"/>
  <c r="F20" i="450" s="1"/>
  <c r="H20" i="450" s="1"/>
  <c r="C29" i="454"/>
  <c r="A28" i="454"/>
  <c r="Q13" i="36"/>
  <c r="C4" i="418"/>
  <c r="H10" i="446"/>
  <c r="C66" i="468" l="1"/>
  <c r="A65" i="468"/>
  <c r="H13" i="430"/>
  <c r="F14" i="430" s="1"/>
  <c r="F13" i="430"/>
  <c r="H12" i="421"/>
  <c r="N12" i="421" s="1"/>
  <c r="R12" i="36"/>
  <c r="H13" i="421"/>
  <c r="N13" i="421" s="1"/>
  <c r="R13" i="36"/>
  <c r="A63" i="455"/>
  <c r="C64" i="455"/>
  <c r="F11" i="446"/>
  <c r="A29" i="454"/>
  <c r="C30" i="454"/>
  <c r="E4" i="37"/>
  <c r="C67" i="468" l="1"/>
  <c r="A66" i="468"/>
  <c r="C65" i="455"/>
  <c r="A64" i="455"/>
  <c r="H54" i="450"/>
  <c r="F54" i="450"/>
  <c r="H11" i="446"/>
  <c r="C31" i="454"/>
  <c r="A30" i="454"/>
  <c r="H31" i="36"/>
  <c r="P31" i="36"/>
  <c r="N31" i="36"/>
  <c r="A67" i="468" l="1"/>
  <c r="C68" i="468"/>
  <c r="A65" i="455"/>
  <c r="C66" i="455"/>
  <c r="G54" i="450"/>
  <c r="F12" i="446"/>
  <c r="A31" i="454"/>
  <c r="C32" i="454"/>
  <c r="C69" i="468" l="1"/>
  <c r="A68" i="468"/>
  <c r="A66" i="455"/>
  <c r="C67" i="455"/>
  <c r="H12" i="446"/>
  <c r="C33" i="454"/>
  <c r="A32" i="454"/>
  <c r="A69" i="468" l="1"/>
  <c r="C70" i="468"/>
  <c r="C68" i="455"/>
  <c r="A67" i="455"/>
  <c r="F13" i="446"/>
  <c r="A33" i="454"/>
  <c r="D10" i="429"/>
  <c r="C24" i="438" s="1"/>
  <c r="C20" i="438"/>
  <c r="H13" i="206"/>
  <c r="C71" i="468" l="1"/>
  <c r="A70" i="468"/>
  <c r="A68" i="455"/>
  <c r="C69" i="455"/>
  <c r="H13" i="446"/>
  <c r="F14" i="446" s="1"/>
  <c r="H14" i="446" s="1"/>
  <c r="F15" i="446" s="1"/>
  <c r="H15" i="446" s="1"/>
  <c r="F16" i="446" s="1"/>
  <c r="H16" i="446" s="1"/>
  <c r="F17" i="446" s="1"/>
  <c r="H17" i="446" s="1"/>
  <c r="F18" i="446" s="1"/>
  <c r="H18" i="446" s="1"/>
  <c r="H53" i="446" s="1"/>
  <c r="C34" i="454"/>
  <c r="C22" i="429"/>
  <c r="A71" i="468" l="1"/>
  <c r="C72" i="468"/>
  <c r="F53" i="446"/>
  <c r="G53" i="446" s="1"/>
  <c r="E3" i="37"/>
  <c r="C1" i="462"/>
  <c r="C2" i="38"/>
  <c r="A69" i="455"/>
  <c r="C70" i="455"/>
  <c r="A34" i="454"/>
  <c r="C35" i="454"/>
  <c r="A35" i="454" s="1"/>
  <c r="C73" i="468" l="1"/>
  <c r="A72" i="468"/>
  <c r="G3" i="430"/>
  <c r="E1" i="36"/>
  <c r="F2" i="421"/>
  <c r="A70" i="455"/>
  <c r="C71" i="455"/>
  <c r="C36" i="454"/>
  <c r="C37" i="454" s="1"/>
  <c r="E4" i="430"/>
  <c r="E3" i="36"/>
  <c r="A73" i="468" l="1"/>
  <c r="C74" i="468"/>
  <c r="A71" i="455"/>
  <c r="C72" i="455"/>
  <c r="A36" i="454"/>
  <c r="C38" i="454"/>
  <c r="A37" i="454"/>
  <c r="D11" i="37"/>
  <c r="I11" i="37" s="1"/>
  <c r="I12" i="37" s="1"/>
  <c r="I13" i="37" s="1"/>
  <c r="Q11" i="36"/>
  <c r="R11" i="36" l="1"/>
  <c r="C75" i="468"/>
  <c r="A74" i="468"/>
  <c r="C73" i="455"/>
  <c r="A72" i="455"/>
  <c r="A38" i="454"/>
  <c r="C39" i="454"/>
  <c r="G54" i="446"/>
  <c r="G11" i="421"/>
  <c r="G12" i="421" s="1"/>
  <c r="M12" i="421" s="1"/>
  <c r="H11" i="37"/>
  <c r="F12" i="37" s="1"/>
  <c r="A75" i="468" l="1"/>
  <c r="C76" i="468"/>
  <c r="G13" i="421"/>
  <c r="M13" i="421" s="1"/>
  <c r="A73" i="455"/>
  <c r="C74" i="455"/>
  <c r="C40" i="454"/>
  <c r="A39" i="454"/>
  <c r="F55" i="450"/>
  <c r="G55" i="450"/>
  <c r="H55" i="450"/>
  <c r="G51" i="33"/>
  <c r="F51" i="33"/>
  <c r="H51" i="33"/>
  <c r="F54" i="446"/>
  <c r="H54" i="446"/>
  <c r="A76" i="468" l="1"/>
  <c r="C77" i="468"/>
  <c r="C75" i="455"/>
  <c r="A74" i="455"/>
  <c r="A40" i="454"/>
  <c r="C41" i="454"/>
  <c r="A77" i="468" l="1"/>
  <c r="C78" i="468"/>
  <c r="A75" i="455"/>
  <c r="C76" i="455"/>
  <c r="C42" i="454"/>
  <c r="A41" i="454"/>
  <c r="D15" i="429"/>
  <c r="C16" i="438" s="1"/>
  <c r="C3" i="438"/>
  <c r="A19" i="437"/>
  <c r="A78" i="468" l="1"/>
  <c r="C79" i="468"/>
  <c r="A76" i="455"/>
  <c r="C77" i="455"/>
  <c r="C43" i="454"/>
  <c r="A42" i="454"/>
  <c r="C80" i="468" l="1"/>
  <c r="A79" i="468"/>
  <c r="A77" i="455"/>
  <c r="C78" i="455"/>
  <c r="A43" i="454"/>
  <c r="C44" i="454"/>
  <c r="A80" i="468" l="1"/>
  <c r="C81" i="468"/>
  <c r="C79" i="455"/>
  <c r="A78" i="455"/>
  <c r="C45" i="454"/>
  <c r="A44" i="454"/>
  <c r="H12" i="37"/>
  <c r="A81" i="468" l="1"/>
  <c r="C82" i="468"/>
  <c r="F13" i="37"/>
  <c r="A79" i="455"/>
  <c r="C80" i="455"/>
  <c r="A45" i="454"/>
  <c r="C46" i="454"/>
  <c r="H13" i="37"/>
  <c r="A82" i="468" l="1"/>
  <c r="C83" i="468"/>
  <c r="F14" i="37"/>
  <c r="C81" i="455"/>
  <c r="A80" i="455"/>
  <c r="A46" i="454"/>
  <c r="C47" i="454"/>
  <c r="C84" i="468" l="1"/>
  <c r="A83" i="468"/>
  <c r="C82" i="455"/>
  <c r="A81" i="455"/>
  <c r="A47" i="454"/>
  <c r="C48" i="454"/>
  <c r="A84" i="468" l="1"/>
  <c r="C85" i="468"/>
  <c r="A82" i="455"/>
  <c r="C83" i="455"/>
  <c r="A83" i="455" s="1"/>
  <c r="C49" i="454"/>
  <c r="A48" i="454"/>
  <c r="C86" i="468" l="1"/>
  <c r="A85" i="468"/>
  <c r="A49" i="454"/>
  <c r="C50" i="454"/>
  <c r="C87" i="468" l="1"/>
  <c r="A86" i="468"/>
  <c r="C51" i="454"/>
  <c r="A50" i="454"/>
  <c r="A87" i="468" l="1"/>
  <c r="C88" i="468"/>
  <c r="A51" i="454"/>
  <c r="C52" i="454"/>
  <c r="A88" i="468" l="1"/>
  <c r="C89" i="468"/>
  <c r="C84" i="455"/>
  <c r="C53" i="454"/>
  <c r="A52" i="454"/>
  <c r="A89" i="468" l="1"/>
  <c r="C90" i="468"/>
  <c r="A84" i="455"/>
  <c r="C85" i="455"/>
  <c r="C54" i="454"/>
  <c r="A53" i="454"/>
  <c r="A90" i="468" l="1"/>
  <c r="C91" i="468"/>
  <c r="C86" i="455"/>
  <c r="A85" i="455"/>
  <c r="A54" i="454"/>
  <c r="C55" i="454"/>
  <c r="C92" i="468" l="1"/>
  <c r="A91" i="468"/>
  <c r="C87" i="455"/>
  <c r="A86" i="455"/>
  <c r="C56" i="454"/>
  <c r="A55" i="454"/>
  <c r="A92" i="468" l="1"/>
  <c r="C93" i="468"/>
  <c r="A87" i="455"/>
  <c r="C88" i="455"/>
  <c r="C57" i="454"/>
  <c r="A56" i="454"/>
  <c r="C94" i="468" l="1"/>
  <c r="A93" i="468"/>
  <c r="C89" i="455"/>
  <c r="A88" i="455"/>
  <c r="A57" i="454"/>
  <c r="C58" i="454"/>
  <c r="C95" i="468" l="1"/>
  <c r="A94" i="468"/>
  <c r="A89" i="455"/>
  <c r="C90" i="455"/>
  <c r="C59" i="454"/>
  <c r="A58" i="454"/>
  <c r="A95" i="468" l="1"/>
  <c r="C96" i="468"/>
  <c r="C91" i="455"/>
  <c r="A90" i="455"/>
  <c r="A59" i="454"/>
  <c r="C60" i="454"/>
  <c r="C97" i="468" l="1"/>
  <c r="A96" i="468"/>
  <c r="A91" i="455"/>
  <c r="C92" i="455"/>
  <c r="C61" i="454"/>
  <c r="A60" i="454"/>
  <c r="A97" i="468" l="1"/>
  <c r="C98" i="468"/>
  <c r="A92" i="455"/>
  <c r="C93" i="455"/>
  <c r="C62" i="454"/>
  <c r="A61" i="454"/>
  <c r="C99" i="468" l="1"/>
  <c r="A98" i="468"/>
  <c r="A93" i="455"/>
  <c r="C94" i="455"/>
  <c r="C63" i="454"/>
  <c r="A62" i="454"/>
  <c r="A99" i="468" l="1"/>
  <c r="C100" i="468"/>
  <c r="C95" i="455"/>
  <c r="A94" i="455"/>
  <c r="A63" i="454"/>
  <c r="C64" i="454"/>
  <c r="C101" i="468" l="1"/>
  <c r="A100" i="468"/>
  <c r="A95" i="455"/>
  <c r="C96" i="455"/>
  <c r="C65" i="454"/>
  <c r="A64" i="454"/>
  <c r="A101" i="468" l="1"/>
  <c r="C102" i="468"/>
  <c r="C97" i="455"/>
  <c r="A96" i="455"/>
  <c r="A65" i="454"/>
  <c r="C66" i="454"/>
  <c r="A102" i="468" l="1"/>
  <c r="C103" i="468"/>
  <c r="C98" i="455"/>
  <c r="A97" i="455"/>
  <c r="C67" i="454"/>
  <c r="A66" i="454"/>
  <c r="C104" i="468" l="1"/>
  <c r="A103" i="468"/>
  <c r="A98" i="455"/>
  <c r="C99" i="455"/>
  <c r="A67" i="454"/>
  <c r="C68" i="454"/>
  <c r="A104" i="468" l="1"/>
  <c r="C105" i="468"/>
  <c r="C100" i="455"/>
  <c r="A99" i="455"/>
  <c r="C69" i="454"/>
  <c r="A68" i="454"/>
  <c r="C106" i="468" l="1"/>
  <c r="A105" i="468"/>
  <c r="C101" i="455"/>
  <c r="A100" i="455"/>
  <c r="A69" i="454"/>
  <c r="C70" i="454"/>
  <c r="C107" i="468" l="1"/>
  <c r="A106" i="468"/>
  <c r="C102" i="455"/>
  <c r="A101" i="455"/>
  <c r="C71" i="454"/>
  <c r="A70" i="454"/>
  <c r="C108" i="468" l="1"/>
  <c r="A107" i="468"/>
  <c r="C103" i="455"/>
  <c r="C104" i="455" s="1"/>
  <c r="A102" i="455"/>
  <c r="A71" i="454"/>
  <c r="C72" i="454"/>
  <c r="A108" i="468" l="1"/>
  <c r="C109" i="468"/>
  <c r="A103" i="455"/>
  <c r="C105" i="455"/>
  <c r="A104" i="455"/>
  <c r="C73" i="454"/>
  <c r="A72" i="454"/>
  <c r="A109" i="468" l="1"/>
  <c r="C110" i="468"/>
  <c r="A105" i="455"/>
  <c r="C106" i="455"/>
  <c r="A106" i="455" s="1"/>
  <c r="A73" i="454"/>
  <c r="C74" i="454"/>
  <c r="C111" i="468" l="1"/>
  <c r="A111" i="468" s="1"/>
  <c r="A110" i="468"/>
  <c r="C107" i="455"/>
  <c r="A107" i="455" s="1"/>
  <c r="A74" i="454"/>
  <c r="C108" i="455" l="1"/>
  <c r="A108" i="455" s="1"/>
  <c r="C76" i="454"/>
  <c r="C109" i="455" l="1"/>
  <c r="A109" i="455" s="1"/>
  <c r="A76" i="454"/>
  <c r="C77" i="454"/>
  <c r="C110" i="455" l="1"/>
  <c r="C111" i="455" s="1"/>
  <c r="C78" i="454"/>
  <c r="A77" i="454"/>
  <c r="A110" i="455" l="1"/>
  <c r="A111" i="455"/>
  <c r="A1101" i="440" s="1"/>
  <c r="C79" i="454"/>
  <c r="A78" i="454"/>
  <c r="D1059" i="440" l="1"/>
  <c r="C1059" i="440"/>
  <c r="A1009" i="440"/>
  <c r="A1055" i="440"/>
  <c r="C1013" i="440"/>
  <c r="D1013" i="440"/>
  <c r="D2071" i="440"/>
  <c r="D1105" i="440"/>
  <c r="C1105" i="440"/>
  <c r="A1147" i="440"/>
  <c r="C1197" i="440"/>
  <c r="C1151" i="440"/>
  <c r="D1151" i="440"/>
  <c r="A1193" i="440"/>
  <c r="D1197" i="440"/>
  <c r="C1243" i="440"/>
  <c r="D1289" i="440"/>
  <c r="D1243" i="440"/>
  <c r="A1239" i="440"/>
  <c r="A1285" i="440"/>
  <c r="C1289" i="440"/>
  <c r="D1335" i="440"/>
  <c r="A1331" i="440"/>
  <c r="C1335" i="440"/>
  <c r="D2025" i="440"/>
  <c r="A1561" i="440"/>
  <c r="A1699" i="440"/>
  <c r="C1381" i="440"/>
  <c r="C2071" i="440"/>
  <c r="C2117" i="440"/>
  <c r="A1515" i="440"/>
  <c r="D1933" i="440"/>
  <c r="A1745" i="440"/>
  <c r="A2159" i="440"/>
  <c r="D1749" i="440"/>
  <c r="D2117" i="440"/>
  <c r="A1791" i="440"/>
  <c r="A1469" i="440"/>
  <c r="C2163" i="440"/>
  <c r="A1929" i="440"/>
  <c r="A2067" i="440"/>
  <c r="D1795" i="440"/>
  <c r="A1975" i="440"/>
  <c r="D1887" i="440"/>
  <c r="C1611" i="440"/>
  <c r="A1653" i="440"/>
  <c r="D2163" i="440"/>
  <c r="A2021" i="440"/>
  <c r="C1841" i="440"/>
  <c r="A1607" i="440"/>
  <c r="C1933" i="440"/>
  <c r="D1381" i="440"/>
  <c r="D1657" i="440"/>
  <c r="C1887" i="440"/>
  <c r="A1377" i="440"/>
  <c r="D1979" i="440"/>
  <c r="C1565" i="440"/>
  <c r="A1883" i="440"/>
  <c r="A2113" i="440"/>
  <c r="C1473" i="440"/>
  <c r="D1473" i="440"/>
  <c r="D1519" i="440"/>
  <c r="D1841" i="440"/>
  <c r="C1703" i="440"/>
  <c r="C2025" i="440"/>
  <c r="D1565" i="440"/>
  <c r="C1749" i="440"/>
  <c r="C1519" i="440"/>
  <c r="A1837" i="440"/>
  <c r="D1427" i="440"/>
  <c r="A1423" i="440"/>
  <c r="C1795" i="440"/>
  <c r="C1979" i="440"/>
  <c r="D1703" i="440"/>
  <c r="D1611" i="440"/>
  <c r="C1427" i="440"/>
  <c r="C1657" i="440"/>
  <c r="A79" i="454"/>
  <c r="C80" i="454"/>
  <c r="A80" i="454" l="1"/>
  <c r="C81" i="454"/>
  <c r="A81" i="454" l="1"/>
  <c r="C82" i="454"/>
  <c r="A82" i="454" l="1"/>
  <c r="C83" i="454"/>
  <c r="C84" i="454" l="1"/>
  <c r="A83" i="454"/>
  <c r="A84" i="454" l="1"/>
  <c r="C85" i="454"/>
  <c r="A85" i="454" l="1"/>
  <c r="C86" i="454"/>
  <c r="C87" i="454" l="1"/>
  <c r="A86" i="454"/>
  <c r="C88" i="454" l="1"/>
  <c r="A87" i="454"/>
  <c r="C89" i="454" l="1"/>
  <c r="A88" i="454"/>
  <c r="C90" i="454" l="1"/>
  <c r="A89" i="454"/>
  <c r="A90" i="454" l="1"/>
  <c r="C91" i="454"/>
  <c r="A91" i="454" l="1"/>
  <c r="C92" i="454"/>
  <c r="A92" i="454" l="1"/>
  <c r="C93" i="454" l="1"/>
  <c r="C94" i="454" l="1"/>
  <c r="A94" i="454" s="1"/>
  <c r="A93" i="454"/>
  <c r="C95" i="454" l="1"/>
  <c r="A95" i="454" l="1"/>
  <c r="C96" i="454"/>
  <c r="C97" i="454" l="1"/>
  <c r="A96" i="454"/>
  <c r="A97" i="454" l="1"/>
  <c r="C98" i="454"/>
  <c r="A98" i="454" l="1"/>
  <c r="C99" i="454"/>
  <c r="A99" i="454" l="1"/>
  <c r="C100" i="454"/>
  <c r="A100" i="454" l="1"/>
  <c r="C101" i="454"/>
  <c r="A101" i="454" s="1"/>
  <c r="A875" i="440" l="1"/>
  <c r="A830" i="440"/>
  <c r="A785" i="440"/>
  <c r="A740" i="440"/>
  <c r="A650" i="440"/>
  <c r="A605" i="440"/>
  <c r="A560" i="440"/>
  <c r="A515" i="440"/>
  <c r="A470" i="440"/>
  <c r="A425" i="440"/>
  <c r="A380" i="440"/>
  <c r="A335" i="440"/>
  <c r="A290" i="440"/>
  <c r="A245" i="440"/>
  <c r="A200" i="440"/>
  <c r="A155" i="440"/>
  <c r="A110" i="440"/>
  <c r="A65" i="440"/>
  <c r="A20" i="440"/>
  <c r="C114" i="439"/>
  <c r="A2205" i="440" l="1"/>
  <c r="A2251" i="440"/>
  <c r="C2209" i="440"/>
  <c r="D2255" i="440"/>
  <c r="C2255" i="440"/>
  <c r="D2209" i="440"/>
  <c r="C5" i="438" l="1"/>
  <c r="B27" i="437" l="1"/>
  <c r="A4" i="439"/>
  <c r="F40" i="437"/>
  <c r="F38" i="437"/>
  <c r="B31" i="206" l="1"/>
  <c r="D7" i="418"/>
  <c r="F27" i="418"/>
  <c r="F26" i="418"/>
  <c r="F25" i="418"/>
  <c r="D27" i="418"/>
  <c r="D26" i="418"/>
  <c r="D25" i="418"/>
  <c r="H25" i="418"/>
  <c r="D19" i="37" l="1"/>
  <c r="G19" i="37" s="1"/>
  <c r="D19" i="430"/>
  <c r="G19" i="430" s="1"/>
  <c r="K17" i="36"/>
  <c r="L17" i="36" s="1"/>
  <c r="J17" i="36"/>
  <c r="Q17" i="36" l="1"/>
  <c r="F16" i="421"/>
  <c r="L16" i="421" s="1"/>
  <c r="J16" i="36"/>
  <c r="K16" i="36"/>
  <c r="L16" i="36" s="1"/>
  <c r="D16" i="430"/>
  <c r="G16" i="430" s="1"/>
  <c r="J15" i="36"/>
  <c r="K15" i="36"/>
  <c r="L15" i="36" s="1"/>
  <c r="D15" i="37"/>
  <c r="G15" i="37" s="1"/>
  <c r="D15" i="430"/>
  <c r="G15" i="430" s="1"/>
  <c r="D14" i="430"/>
  <c r="D14" i="37"/>
  <c r="G14" i="37" s="1"/>
  <c r="K14" i="36"/>
  <c r="J31" i="36" l="1"/>
  <c r="J14" i="36"/>
  <c r="G14" i="430"/>
  <c r="H14" i="430" s="1"/>
  <c r="H17" i="421"/>
  <c r="N17" i="421" s="1"/>
  <c r="R17" i="36"/>
  <c r="K31" i="36"/>
  <c r="L31" i="36" s="1"/>
  <c r="L14" i="36"/>
  <c r="Q16" i="36"/>
  <c r="Q15" i="36"/>
  <c r="H14" i="37"/>
  <c r="I14" i="37"/>
  <c r="I15" i="37" s="1"/>
  <c r="I16" i="37" s="1"/>
  <c r="I17" i="37" s="1"/>
  <c r="I18" i="37" s="1"/>
  <c r="I19" i="37" s="1"/>
  <c r="I20" i="37" s="1"/>
  <c r="I21" i="37" s="1"/>
  <c r="I22" i="37" s="1"/>
  <c r="G14" i="421"/>
  <c r="M14" i="421" s="1"/>
  <c r="Q14" i="36"/>
  <c r="I12" i="421"/>
  <c r="O12" i="421" s="1"/>
  <c r="Q31" i="36" l="1"/>
  <c r="Q34" i="36" s="1"/>
  <c r="S31" i="36"/>
  <c r="R31" i="36"/>
  <c r="D38" i="462" s="1"/>
  <c r="D36" i="462" s="1"/>
  <c r="I14" i="430"/>
  <c r="I15" i="430" s="1"/>
  <c r="I16" i="430" s="1"/>
  <c r="I17" i="430" s="1"/>
  <c r="I18" i="430" s="1"/>
  <c r="I19" i="430" s="1"/>
  <c r="I20" i="430" s="1"/>
  <c r="I21" i="430" s="1"/>
  <c r="I22" i="430" s="1"/>
  <c r="H15" i="421"/>
  <c r="N15" i="421" s="1"/>
  <c r="R15" i="36"/>
  <c r="H16" i="421"/>
  <c r="N16" i="421" s="1"/>
  <c r="R16" i="36"/>
  <c r="H14" i="421"/>
  <c r="N14" i="421" s="1"/>
  <c r="R14" i="36"/>
  <c r="H15" i="37"/>
  <c r="F16" i="37" s="1"/>
  <c r="G15" i="421"/>
  <c r="M15" i="421" s="1"/>
  <c r="I13" i="421"/>
  <c r="O13" i="421" s="1"/>
  <c r="F15" i="430"/>
  <c r="H15" i="430"/>
  <c r="F15" i="37"/>
  <c r="D25" i="462" l="1"/>
  <c r="D27" i="462" s="1"/>
  <c r="D28" i="462" s="1"/>
  <c r="H16" i="37"/>
  <c r="G16" i="421"/>
  <c r="M16" i="421" s="1"/>
  <c r="F16" i="430"/>
  <c r="H16" i="430"/>
  <c r="I14" i="421"/>
  <c r="O14" i="421" s="1"/>
  <c r="F17" i="37" l="1"/>
  <c r="H17" i="37"/>
  <c r="H18" i="37" s="1"/>
  <c r="G17" i="421"/>
  <c r="M17" i="421" s="1"/>
  <c r="I15" i="421"/>
  <c r="O15" i="421" s="1"/>
  <c r="F17" i="430"/>
  <c r="H17" i="430"/>
  <c r="F18" i="37" l="1"/>
  <c r="I16" i="421"/>
  <c r="O16" i="421" s="1"/>
  <c r="G18" i="421"/>
  <c r="M18" i="421" s="1"/>
  <c r="F18" i="430"/>
  <c r="H18" i="430"/>
  <c r="F19" i="37"/>
  <c r="H19" i="37"/>
  <c r="K83" i="421"/>
  <c r="J83" i="421"/>
  <c r="H20" i="37" l="1"/>
  <c r="F20" i="37"/>
  <c r="G19" i="421"/>
  <c r="M19" i="421" s="1"/>
  <c r="I17" i="421"/>
  <c r="O17" i="421" s="1"/>
  <c r="F19" i="430"/>
  <c r="H19" i="430"/>
  <c r="K11" i="421"/>
  <c r="F21" i="37" l="1"/>
  <c r="H21" i="37"/>
  <c r="H22" i="37" s="1"/>
  <c r="G20" i="421"/>
  <c r="F20" i="430"/>
  <c r="H20" i="430"/>
  <c r="I18" i="421"/>
  <c r="O18" i="421" s="1"/>
  <c r="K12" i="421"/>
  <c r="K13" i="421" s="1"/>
  <c r="K14" i="421" s="1"/>
  <c r="K15" i="421" s="1"/>
  <c r="K16" i="421" s="1"/>
  <c r="F22" i="37" l="1"/>
  <c r="F41" i="37" s="1"/>
  <c r="F42" i="37" s="1"/>
  <c r="H41" i="37"/>
  <c r="M20" i="421"/>
  <c r="G21" i="421"/>
  <c r="F21" i="430"/>
  <c r="H21" i="430"/>
  <c r="I19" i="421"/>
  <c r="O19" i="421" s="1"/>
  <c r="K17" i="421"/>
  <c r="H42" i="37" l="1"/>
  <c r="G41" i="37"/>
  <c r="G42" i="37" s="1"/>
  <c r="I41" i="37"/>
  <c r="I42" i="37" s="1"/>
  <c r="F22" i="430"/>
  <c r="F39" i="430" s="1"/>
  <c r="F40" i="430" s="1"/>
  <c r="H22" i="430"/>
  <c r="H39" i="430" s="1"/>
  <c r="M21" i="421"/>
  <c r="G22" i="421"/>
  <c r="I20" i="421"/>
  <c r="O20" i="421" s="1"/>
  <c r="K18" i="421"/>
  <c r="K19" i="421" s="1"/>
  <c r="A28" i="388"/>
  <c r="A29" i="388" s="1"/>
  <c r="A30" i="388" s="1"/>
  <c r="A31" i="388" s="1"/>
  <c r="A32" i="388" s="1"/>
  <c r="A33" i="388" s="1"/>
  <c r="A34" i="388" s="1"/>
  <c r="A35" i="388" s="1"/>
  <c r="A36" i="388" s="1"/>
  <c r="A37" i="388" s="1"/>
  <c r="A38" i="388" s="1"/>
  <c r="A39" i="388" s="1"/>
  <c r="A40" i="388" s="1"/>
  <c r="A41" i="388" s="1"/>
  <c r="A42" i="388" s="1"/>
  <c r="A43" i="388" s="1"/>
  <c r="A44" i="388" s="1"/>
  <c r="A45" i="388" s="1"/>
  <c r="A46" i="388" s="1"/>
  <c r="A47" i="388" s="1"/>
  <c r="A48" i="388" s="1"/>
  <c r="A49" i="388" s="1"/>
  <c r="A50" i="388" s="1"/>
  <c r="A51" i="388" s="1"/>
  <c r="A52" i="388" s="1"/>
  <c r="A53" i="388" s="1"/>
  <c r="A54" i="388" s="1"/>
  <c r="A55" i="388" s="1"/>
  <c r="A25" i="388"/>
  <c r="A24" i="388"/>
  <c r="A23" i="388"/>
  <c r="A22" i="388"/>
  <c r="A21" i="388"/>
  <c r="A20" i="388"/>
  <c r="A19" i="388"/>
  <c r="A18" i="388"/>
  <c r="A17" i="388"/>
  <c r="A16" i="388"/>
  <c r="A15" i="388"/>
  <c r="A14" i="388"/>
  <c r="A13" i="388"/>
  <c r="A12" i="388"/>
  <c r="A11" i="388"/>
  <c r="A10" i="388"/>
  <c r="A9" i="388"/>
  <c r="A8" i="388"/>
  <c r="A7" i="388"/>
  <c r="A6" i="388"/>
  <c r="A5" i="388"/>
  <c r="A4" i="388"/>
  <c r="A3" i="388"/>
  <c r="A2" i="388"/>
  <c r="A1" i="388"/>
  <c r="E45" i="388" s="1"/>
  <c r="U48" i="388" s="1"/>
  <c r="G39" i="430" l="1"/>
  <c r="G40" i="430" s="1"/>
  <c r="M22" i="421"/>
  <c r="T22" i="421"/>
  <c r="K22" i="462"/>
  <c r="C33" i="462" s="1"/>
  <c r="I39" i="430"/>
  <c r="I40" i="430" s="1"/>
  <c r="H40" i="430"/>
  <c r="I21" i="421"/>
  <c r="K20" i="421"/>
  <c r="K21" i="421" s="1"/>
  <c r="K22" i="421" s="1"/>
  <c r="K23" i="421" s="1"/>
  <c r="K24" i="421" s="1"/>
  <c r="K25" i="421" s="1"/>
  <c r="K26" i="421" s="1"/>
  <c r="K27" i="421" s="1"/>
  <c r="E122" i="388"/>
  <c r="U125" i="388" s="1"/>
  <c r="E133" i="388"/>
  <c r="U136" i="388" s="1"/>
  <c r="E144" i="388"/>
  <c r="U147" i="388" s="1"/>
  <c r="E155" i="388"/>
  <c r="U158" i="388" s="1"/>
  <c r="E166" i="388"/>
  <c r="U169" i="388" s="1"/>
  <c r="E177" i="388"/>
  <c r="U180" i="388" s="1"/>
  <c r="E188" i="388"/>
  <c r="U191" i="388" s="1"/>
  <c r="E199" i="388"/>
  <c r="U202" i="388" s="1"/>
  <c r="E210" i="388"/>
  <c r="U213" i="388" s="1"/>
  <c r="E221" i="388"/>
  <c r="U224" i="388" s="1"/>
  <c r="E232" i="388"/>
  <c r="U235" i="388" s="1"/>
  <c r="E243" i="388"/>
  <c r="U246" i="388" s="1"/>
  <c r="E254" i="388"/>
  <c r="U257" i="388" s="1"/>
  <c r="E265" i="388"/>
  <c r="U268" i="388" s="1"/>
  <c r="E276" i="388"/>
  <c r="U279" i="388" s="1"/>
  <c r="E48" i="388"/>
  <c r="E56" i="388"/>
  <c r="U59" i="388" s="1"/>
  <c r="E78" i="388"/>
  <c r="U81" i="388" s="1"/>
  <c r="E100" i="388"/>
  <c r="U103" i="388" s="1"/>
  <c r="E67" i="388"/>
  <c r="U70" i="388" s="1"/>
  <c r="E89" i="388"/>
  <c r="U92" i="388" s="1"/>
  <c r="E111" i="388"/>
  <c r="U114" i="388" s="1"/>
  <c r="C31" i="462" l="1"/>
  <c r="C34" i="462"/>
  <c r="Q22" i="421"/>
  <c r="K23" i="462"/>
  <c r="O21" i="421"/>
  <c r="I22" i="421"/>
  <c r="O22" i="421" s="1"/>
  <c r="G53" i="388"/>
  <c r="J50" i="388"/>
  <c r="E49" i="388"/>
  <c r="G49" i="388" s="1"/>
  <c r="H48" i="388"/>
  <c r="E46" i="388"/>
  <c r="H53" i="388"/>
  <c r="E50" i="388"/>
  <c r="G50" i="388" s="1"/>
  <c r="J49" i="388"/>
  <c r="E279" i="388"/>
  <c r="E268" i="388"/>
  <c r="E257" i="388"/>
  <c r="E246" i="388"/>
  <c r="E235" i="388"/>
  <c r="E224" i="388"/>
  <c r="E213" i="388"/>
  <c r="E202" i="388"/>
  <c r="E191" i="388"/>
  <c r="E180" i="388"/>
  <c r="E169" i="388"/>
  <c r="E158" i="388"/>
  <c r="E147" i="388"/>
  <c r="E136" i="388"/>
  <c r="E125" i="388"/>
  <c r="E81" i="388"/>
  <c r="E114" i="388"/>
  <c r="E70" i="388"/>
  <c r="E103" i="388"/>
  <c r="E59" i="388"/>
  <c r="E92" i="388"/>
  <c r="D31" i="462" l="1"/>
  <c r="D33" i="462"/>
  <c r="D34" i="462" s="1"/>
  <c r="E51" i="388"/>
  <c r="G51" i="388" s="1"/>
  <c r="H64" i="388"/>
  <c r="J61" i="388"/>
  <c r="J60" i="388"/>
  <c r="H59" i="388"/>
  <c r="E57" i="388"/>
  <c r="E61" i="388"/>
  <c r="G61" i="388" s="1"/>
  <c r="E60" i="388"/>
  <c r="G60" i="388" s="1"/>
  <c r="E72" i="388"/>
  <c r="G72" i="388" s="1"/>
  <c r="E71" i="388"/>
  <c r="G71" i="388" s="1"/>
  <c r="H75" i="388"/>
  <c r="J72" i="388"/>
  <c r="J71" i="388"/>
  <c r="H70" i="388"/>
  <c r="E68" i="388"/>
  <c r="H86" i="388"/>
  <c r="J83" i="388"/>
  <c r="J82" i="388"/>
  <c r="H81" i="388"/>
  <c r="E79" i="388"/>
  <c r="E83" i="388"/>
  <c r="G83" i="388" s="1"/>
  <c r="E82" i="388"/>
  <c r="G82" i="388" s="1"/>
  <c r="E127" i="388"/>
  <c r="G127" i="388" s="1"/>
  <c r="E126" i="388"/>
  <c r="G126" i="388" s="1"/>
  <c r="H130" i="388"/>
  <c r="J127" i="388"/>
  <c r="J126" i="388"/>
  <c r="H125" i="388"/>
  <c r="E123" i="388"/>
  <c r="E149" i="388"/>
  <c r="G149" i="388" s="1"/>
  <c r="E148" i="388"/>
  <c r="G148" i="388" s="1"/>
  <c r="H152" i="388"/>
  <c r="J149" i="388"/>
  <c r="J148" i="388"/>
  <c r="H147" i="388"/>
  <c r="E145" i="388"/>
  <c r="E171" i="388"/>
  <c r="G171" i="388" s="1"/>
  <c r="E170" i="388"/>
  <c r="G170" i="388" s="1"/>
  <c r="H174" i="388"/>
  <c r="J171" i="388"/>
  <c r="J170" i="388"/>
  <c r="H169" i="388"/>
  <c r="E167" i="388"/>
  <c r="E193" i="388"/>
  <c r="G193" i="388" s="1"/>
  <c r="E192" i="388"/>
  <c r="G192" i="388" s="1"/>
  <c r="H196" i="388"/>
  <c r="J193" i="388"/>
  <c r="J192" i="388"/>
  <c r="H191" i="388"/>
  <c r="E189" i="388"/>
  <c r="E215" i="388"/>
  <c r="G215" i="388" s="1"/>
  <c r="E214" i="388"/>
  <c r="G214" i="388" s="1"/>
  <c r="H218" i="388"/>
  <c r="J215" i="388"/>
  <c r="J214" i="388"/>
  <c r="H213" i="388"/>
  <c r="E211" i="388"/>
  <c r="E237" i="388"/>
  <c r="G237" i="388" s="1"/>
  <c r="E236" i="388"/>
  <c r="G236" i="388" s="1"/>
  <c r="H240" i="388"/>
  <c r="J237" i="388"/>
  <c r="J236" i="388"/>
  <c r="H235" i="388"/>
  <c r="E233" i="388"/>
  <c r="E259" i="388"/>
  <c r="G259" i="388" s="1"/>
  <c r="E258" i="388"/>
  <c r="G258" i="388" s="1"/>
  <c r="H262" i="388"/>
  <c r="J259" i="388"/>
  <c r="J258" i="388"/>
  <c r="H257" i="388"/>
  <c r="E255" i="388"/>
  <c r="G284" i="388"/>
  <c r="E281" i="388"/>
  <c r="G281" i="388" s="1"/>
  <c r="U281" i="388" s="1"/>
  <c r="E280" i="388"/>
  <c r="G280" i="388" s="1"/>
  <c r="H284" i="388"/>
  <c r="G283" i="388"/>
  <c r="J281" i="388"/>
  <c r="U282" i="388" s="1"/>
  <c r="J280" i="388"/>
  <c r="H279" i="388"/>
  <c r="E277" i="388"/>
  <c r="H49" i="388"/>
  <c r="H51" i="388" s="1"/>
  <c r="H50" i="388"/>
  <c r="K48" i="388"/>
  <c r="E94" i="388"/>
  <c r="G94" i="388" s="1"/>
  <c r="E93" i="388"/>
  <c r="G93" i="388" s="1"/>
  <c r="H97" i="388"/>
  <c r="J94" i="388"/>
  <c r="J93" i="388"/>
  <c r="H92" i="388"/>
  <c r="E90" i="388"/>
  <c r="H108" i="388"/>
  <c r="J105" i="388"/>
  <c r="J104" i="388"/>
  <c r="H103" i="388"/>
  <c r="E101" i="388"/>
  <c r="E105" i="388"/>
  <c r="G105" i="388" s="1"/>
  <c r="E104" i="388"/>
  <c r="G104" i="388" s="1"/>
  <c r="E116" i="388"/>
  <c r="G116" i="388" s="1"/>
  <c r="E115" i="388"/>
  <c r="G115" i="388" s="1"/>
  <c r="H119" i="388"/>
  <c r="J116" i="388"/>
  <c r="J115" i="388"/>
  <c r="H114" i="388"/>
  <c r="E112" i="388"/>
  <c r="H141" i="388"/>
  <c r="J138" i="388"/>
  <c r="J137" i="388"/>
  <c r="H136" i="388"/>
  <c r="E134" i="388"/>
  <c r="E138" i="388"/>
  <c r="G138" i="388" s="1"/>
  <c r="E137" i="388"/>
  <c r="G137" i="388" s="1"/>
  <c r="H163" i="388"/>
  <c r="J160" i="388"/>
  <c r="J159" i="388"/>
  <c r="H158" i="388"/>
  <c r="E156" i="388"/>
  <c r="E160" i="388"/>
  <c r="G160" i="388" s="1"/>
  <c r="E159" i="388"/>
  <c r="G159" i="388" s="1"/>
  <c r="H185" i="388"/>
  <c r="J182" i="388"/>
  <c r="J181" i="388"/>
  <c r="H180" i="388"/>
  <c r="E178" i="388"/>
  <c r="E182" i="388"/>
  <c r="G182" i="388" s="1"/>
  <c r="E181" i="388"/>
  <c r="G181" i="388" s="1"/>
  <c r="H207" i="388"/>
  <c r="J204" i="388"/>
  <c r="J203" i="388"/>
  <c r="H202" i="388"/>
  <c r="E200" i="388"/>
  <c r="E204" i="388"/>
  <c r="G204" i="388" s="1"/>
  <c r="E203" i="388"/>
  <c r="G203" i="388" s="1"/>
  <c r="H229" i="388"/>
  <c r="J226" i="388"/>
  <c r="J225" i="388"/>
  <c r="H224" i="388"/>
  <c r="E222" i="388"/>
  <c r="G229" i="388"/>
  <c r="E226" i="388"/>
  <c r="G226" i="388" s="1"/>
  <c r="E225" i="388"/>
  <c r="G225" i="388" s="1"/>
  <c r="H251" i="388"/>
  <c r="J248" i="388"/>
  <c r="J247" i="388"/>
  <c r="H246" i="388"/>
  <c r="E244" i="388"/>
  <c r="E248" i="388"/>
  <c r="G248" i="388" s="1"/>
  <c r="E247" i="388"/>
  <c r="G247" i="388" s="1"/>
  <c r="H273" i="388"/>
  <c r="J270" i="388"/>
  <c r="J269" i="388"/>
  <c r="H268" i="388"/>
  <c r="E266" i="388"/>
  <c r="G273" i="388"/>
  <c r="E270" i="388"/>
  <c r="G270" i="388" s="1"/>
  <c r="E269" i="388"/>
  <c r="G269" i="388" s="1"/>
  <c r="E52" i="388" l="1"/>
  <c r="G52" i="388" s="1"/>
  <c r="U50" i="388" s="1"/>
  <c r="E117" i="388"/>
  <c r="G117" i="388" s="1"/>
  <c r="E282" i="388"/>
  <c r="G282" i="388" s="1"/>
  <c r="J51" i="388"/>
  <c r="H52" i="388"/>
  <c r="J52" i="388" s="1"/>
  <c r="E73" i="388"/>
  <c r="G73" i="388" s="1"/>
  <c r="E95" i="388"/>
  <c r="G95" i="388" s="1"/>
  <c r="E260" i="388"/>
  <c r="G260" i="388" s="1"/>
  <c r="E238" i="388"/>
  <c r="G238" i="388" s="1"/>
  <c r="E216" i="388"/>
  <c r="G216" i="388" s="1"/>
  <c r="E194" i="388"/>
  <c r="G194" i="388" s="1"/>
  <c r="E172" i="388"/>
  <c r="G172" i="388" s="1"/>
  <c r="E150" i="388"/>
  <c r="G150" i="388" s="1"/>
  <c r="E128" i="388"/>
  <c r="G128" i="388" s="1"/>
  <c r="H281" i="388"/>
  <c r="H280" i="388"/>
  <c r="H282" i="388" s="1"/>
  <c r="K279" i="388"/>
  <c r="J283" i="388"/>
  <c r="H259" i="388"/>
  <c r="H258" i="388"/>
  <c r="H260" i="388" s="1"/>
  <c r="K257" i="388"/>
  <c r="H237" i="388"/>
  <c r="H236" i="388"/>
  <c r="H238" i="388" s="1"/>
  <c r="K235" i="388"/>
  <c r="H215" i="388"/>
  <c r="H214" i="388"/>
  <c r="H216" i="388" s="1"/>
  <c r="K213" i="388"/>
  <c r="H193" i="388"/>
  <c r="H192" i="388"/>
  <c r="H194" i="388" s="1"/>
  <c r="K191" i="388"/>
  <c r="H171" i="388"/>
  <c r="H170" i="388"/>
  <c r="H172" i="388" s="1"/>
  <c r="K169" i="388"/>
  <c r="H149" i="388"/>
  <c r="H148" i="388"/>
  <c r="H150" i="388" s="1"/>
  <c r="K147" i="388"/>
  <c r="H127" i="388"/>
  <c r="H126" i="388"/>
  <c r="H128" i="388" s="1"/>
  <c r="K125" i="388"/>
  <c r="H83" i="388"/>
  <c r="H82" i="388"/>
  <c r="H84" i="388" s="1"/>
  <c r="K81" i="388"/>
  <c r="H72" i="388"/>
  <c r="H71" i="388"/>
  <c r="H73" i="388" s="1"/>
  <c r="K70" i="388"/>
  <c r="H61" i="388"/>
  <c r="H60" i="388"/>
  <c r="H62" i="388" s="1"/>
  <c r="K59" i="388"/>
  <c r="E271" i="388"/>
  <c r="E249" i="388"/>
  <c r="E227" i="388"/>
  <c r="E205" i="388"/>
  <c r="E183" i="388"/>
  <c r="E161" i="388"/>
  <c r="E139" i="388"/>
  <c r="E106" i="388"/>
  <c r="H270" i="388"/>
  <c r="H269" i="388"/>
  <c r="H271" i="388" s="1"/>
  <c r="K268" i="388"/>
  <c r="H248" i="388"/>
  <c r="H247" i="388"/>
  <c r="H249" i="388" s="1"/>
  <c r="K246" i="388"/>
  <c r="H226" i="388"/>
  <c r="H225" i="388"/>
  <c r="H227" i="388" s="1"/>
  <c r="K224" i="388"/>
  <c r="H204" i="388"/>
  <c r="H203" i="388"/>
  <c r="H205" i="388" s="1"/>
  <c r="K202" i="388"/>
  <c r="H182" i="388"/>
  <c r="H181" i="388"/>
  <c r="H183" i="388" s="1"/>
  <c r="K180" i="388"/>
  <c r="H160" i="388"/>
  <c r="H159" i="388"/>
  <c r="H161" i="388" s="1"/>
  <c r="K158" i="388"/>
  <c r="H138" i="388"/>
  <c r="H137" i="388"/>
  <c r="H139" i="388" s="1"/>
  <c r="K136" i="388"/>
  <c r="H116" i="388"/>
  <c r="H115" i="388"/>
  <c r="H117" i="388" s="1"/>
  <c r="K114" i="388"/>
  <c r="H105" i="388"/>
  <c r="H104" i="388"/>
  <c r="H106" i="388" s="1"/>
  <c r="K103" i="388"/>
  <c r="H94" i="388"/>
  <c r="H93" i="388"/>
  <c r="H95" i="388" s="1"/>
  <c r="K92" i="388"/>
  <c r="K49" i="388"/>
  <c r="M49" i="388" s="1"/>
  <c r="N48" i="388"/>
  <c r="K50" i="388"/>
  <c r="M50" i="388" s="1"/>
  <c r="E84" i="388"/>
  <c r="E62" i="388"/>
  <c r="E53" i="388" l="1"/>
  <c r="E217" i="388"/>
  <c r="G217" i="388" s="1"/>
  <c r="E283" i="388"/>
  <c r="E284" i="388" s="1"/>
  <c r="E118" i="388"/>
  <c r="G118" i="388" s="1"/>
  <c r="E74" i="388"/>
  <c r="E75" i="388" s="1"/>
  <c r="G75" i="388" s="1"/>
  <c r="E129" i="388"/>
  <c r="G129" i="388" s="1"/>
  <c r="E151" i="388"/>
  <c r="E152" i="388" s="1"/>
  <c r="G152" i="388" s="1"/>
  <c r="E195" i="388"/>
  <c r="G195" i="388" s="1"/>
  <c r="E239" i="388"/>
  <c r="G239" i="388" s="1"/>
  <c r="E173" i="388"/>
  <c r="E174" i="388" s="1"/>
  <c r="G174" i="388" s="1"/>
  <c r="E261" i="388"/>
  <c r="G261" i="388" s="1"/>
  <c r="E96" i="388"/>
  <c r="E97" i="388" s="1"/>
  <c r="G97" i="388" s="1"/>
  <c r="K51" i="388"/>
  <c r="M51" i="388" s="1"/>
  <c r="J95" i="388"/>
  <c r="H96" i="388"/>
  <c r="J96" i="388" s="1"/>
  <c r="J117" i="388"/>
  <c r="H118" i="388"/>
  <c r="J118" i="388" s="1"/>
  <c r="J139" i="388"/>
  <c r="H140" i="388"/>
  <c r="J140" i="388" s="1"/>
  <c r="J183" i="388"/>
  <c r="H184" i="388"/>
  <c r="J184" i="388" s="1"/>
  <c r="J227" i="388"/>
  <c r="H228" i="388"/>
  <c r="J228" i="388" s="1"/>
  <c r="J271" i="388"/>
  <c r="H272" i="388"/>
  <c r="J272" i="388" s="1"/>
  <c r="J62" i="388"/>
  <c r="H63" i="388"/>
  <c r="J63" i="388" s="1"/>
  <c r="J84" i="388"/>
  <c r="H85" i="388"/>
  <c r="J85" i="388" s="1"/>
  <c r="J150" i="388"/>
  <c r="H151" i="388"/>
  <c r="J151" i="388" s="1"/>
  <c r="J194" i="388"/>
  <c r="H195" i="388"/>
  <c r="J195" i="388" s="1"/>
  <c r="J238" i="388"/>
  <c r="H239" i="388"/>
  <c r="J239" i="388" s="1"/>
  <c r="J106" i="388"/>
  <c r="H107" i="388"/>
  <c r="J107" i="388" s="1"/>
  <c r="J161" i="388"/>
  <c r="H162" i="388"/>
  <c r="J162" i="388" s="1"/>
  <c r="J205" i="388"/>
  <c r="H206" i="388"/>
  <c r="J206" i="388" s="1"/>
  <c r="J249" i="388"/>
  <c r="H250" i="388"/>
  <c r="J250" i="388" s="1"/>
  <c r="J73" i="388"/>
  <c r="H74" i="388"/>
  <c r="J74" i="388" s="1"/>
  <c r="J128" i="388"/>
  <c r="H129" i="388"/>
  <c r="J129" i="388" s="1"/>
  <c r="J172" i="388"/>
  <c r="H173" i="388"/>
  <c r="J173" i="388" s="1"/>
  <c r="J216" i="388"/>
  <c r="H217" i="388"/>
  <c r="J217" i="388" s="1"/>
  <c r="J260" i="388"/>
  <c r="H261" i="388"/>
  <c r="J261" i="388" s="1"/>
  <c r="J282" i="388"/>
  <c r="H283" i="388"/>
  <c r="K94" i="388"/>
  <c r="M94" i="388" s="1"/>
  <c r="K93" i="388"/>
  <c r="M93" i="388" s="1"/>
  <c r="N92" i="388"/>
  <c r="N103" i="388"/>
  <c r="K105" i="388"/>
  <c r="M105" i="388" s="1"/>
  <c r="K104" i="388"/>
  <c r="M104" i="388" s="1"/>
  <c r="K116" i="388"/>
  <c r="M116" i="388" s="1"/>
  <c r="K115" i="388"/>
  <c r="M115" i="388" s="1"/>
  <c r="N114" i="388"/>
  <c r="N136" i="388"/>
  <c r="K138" i="388"/>
  <c r="M138" i="388" s="1"/>
  <c r="K137" i="388"/>
  <c r="M137" i="388" s="1"/>
  <c r="N158" i="388"/>
  <c r="K160" i="388"/>
  <c r="M160" i="388" s="1"/>
  <c r="K159" i="388"/>
  <c r="M159" i="388" s="1"/>
  <c r="N180" i="388"/>
  <c r="K182" i="388"/>
  <c r="M182" i="388" s="1"/>
  <c r="K181" i="388"/>
  <c r="M181" i="388" s="1"/>
  <c r="N202" i="388"/>
  <c r="K204" i="388"/>
  <c r="M204" i="388" s="1"/>
  <c r="K203" i="388"/>
  <c r="M203" i="388" s="1"/>
  <c r="N224" i="388"/>
  <c r="K226" i="388"/>
  <c r="M226" i="388" s="1"/>
  <c r="K225" i="388"/>
  <c r="M225" i="388" s="1"/>
  <c r="N246" i="388"/>
  <c r="K248" i="388"/>
  <c r="M248" i="388" s="1"/>
  <c r="K247" i="388"/>
  <c r="M247" i="388" s="1"/>
  <c r="N268" i="388"/>
  <c r="K270" i="388"/>
  <c r="M270" i="388" s="1"/>
  <c r="K269" i="388"/>
  <c r="M269" i="388" s="1"/>
  <c r="G139" i="388"/>
  <c r="E140" i="388"/>
  <c r="G183" i="388"/>
  <c r="E184" i="388"/>
  <c r="G227" i="388"/>
  <c r="E228" i="388"/>
  <c r="G271" i="388"/>
  <c r="E272" i="388"/>
  <c r="G62" i="388"/>
  <c r="E63" i="388"/>
  <c r="G84" i="388"/>
  <c r="E85" i="388"/>
  <c r="J53" i="388"/>
  <c r="U51" i="388" s="1"/>
  <c r="N49" i="388"/>
  <c r="P49" i="388" s="1"/>
  <c r="N50" i="388"/>
  <c r="P50" i="388" s="1"/>
  <c r="Q48" i="388"/>
  <c r="G106" i="388"/>
  <c r="E107" i="388"/>
  <c r="G161" i="388"/>
  <c r="E162" i="388"/>
  <c r="G205" i="388"/>
  <c r="E206" i="388"/>
  <c r="G249" i="388"/>
  <c r="E250" i="388"/>
  <c r="N59" i="388"/>
  <c r="K61" i="388"/>
  <c r="M61" i="388" s="1"/>
  <c r="K60" i="388"/>
  <c r="M60" i="388" s="1"/>
  <c r="K72" i="388"/>
  <c r="M72" i="388" s="1"/>
  <c r="K71" i="388"/>
  <c r="M71" i="388" s="1"/>
  <c r="N70" i="388"/>
  <c r="N81" i="388"/>
  <c r="K83" i="388"/>
  <c r="M83" i="388" s="1"/>
  <c r="K82" i="388"/>
  <c r="M82" i="388" s="1"/>
  <c r="K127" i="388"/>
  <c r="M127" i="388" s="1"/>
  <c r="K126" i="388"/>
  <c r="M126" i="388" s="1"/>
  <c r="N125" i="388"/>
  <c r="K149" i="388"/>
  <c r="M149" i="388" s="1"/>
  <c r="K148" i="388"/>
  <c r="M148" i="388" s="1"/>
  <c r="N147" i="388"/>
  <c r="K171" i="388"/>
  <c r="M171" i="388" s="1"/>
  <c r="K170" i="388"/>
  <c r="M170" i="388" s="1"/>
  <c r="N169" i="388"/>
  <c r="K193" i="388"/>
  <c r="M193" i="388" s="1"/>
  <c r="K192" i="388"/>
  <c r="M192" i="388" s="1"/>
  <c r="N191" i="388"/>
  <c r="K215" i="388"/>
  <c r="M215" i="388" s="1"/>
  <c r="K214" i="388"/>
  <c r="M214" i="388" s="1"/>
  <c r="N213" i="388"/>
  <c r="K237" i="388"/>
  <c r="M237" i="388" s="1"/>
  <c r="K236" i="388"/>
  <c r="M236" i="388" s="1"/>
  <c r="N235" i="388"/>
  <c r="K259" i="388"/>
  <c r="M259" i="388" s="1"/>
  <c r="K258" i="388"/>
  <c r="M258" i="388" s="1"/>
  <c r="N257" i="388"/>
  <c r="K281" i="388"/>
  <c r="M281" i="388" s="1"/>
  <c r="K280" i="388"/>
  <c r="M280" i="388" s="1"/>
  <c r="M283" i="388"/>
  <c r="N279" i="388"/>
  <c r="E218" i="388" l="1"/>
  <c r="G218" i="388" s="1"/>
  <c r="U215" i="388" s="1"/>
  <c r="E130" i="388"/>
  <c r="G130" i="388" s="1"/>
  <c r="U127" i="388" s="1"/>
  <c r="E196" i="388"/>
  <c r="G196" i="388" s="1"/>
  <c r="U193" i="388" s="1"/>
  <c r="G74" i="388"/>
  <c r="U72" i="388" s="1"/>
  <c r="E119" i="388"/>
  <c r="G119" i="388" s="1"/>
  <c r="U116" i="388" s="1"/>
  <c r="G151" i="388"/>
  <c r="U149" i="388" s="1"/>
  <c r="E240" i="388"/>
  <c r="G240" i="388" s="1"/>
  <c r="U237" i="388" s="1"/>
  <c r="G173" i="388"/>
  <c r="U171" i="388" s="1"/>
  <c r="E262" i="388"/>
  <c r="G262" i="388" s="1"/>
  <c r="U259" i="388" s="1"/>
  <c r="K172" i="388"/>
  <c r="M172" i="388" s="1"/>
  <c r="G96" i="388"/>
  <c r="U94" i="388" s="1"/>
  <c r="K52" i="388"/>
  <c r="K260" i="388"/>
  <c r="M260" i="388" s="1"/>
  <c r="K95" i="388"/>
  <c r="M95" i="388" s="1"/>
  <c r="K73" i="388"/>
  <c r="M73" i="388" s="1"/>
  <c r="N51" i="388"/>
  <c r="N52" i="388" s="1"/>
  <c r="K216" i="388"/>
  <c r="M216" i="388" s="1"/>
  <c r="K128" i="388"/>
  <c r="M128" i="388" s="1"/>
  <c r="K117" i="388"/>
  <c r="M117" i="388" s="1"/>
  <c r="N281" i="388"/>
  <c r="P281" i="388" s="1"/>
  <c r="U284" i="388" s="1"/>
  <c r="N280" i="388"/>
  <c r="P280" i="388" s="1"/>
  <c r="Q279" i="388"/>
  <c r="P283" i="388"/>
  <c r="J284" i="388"/>
  <c r="U283" i="388"/>
  <c r="N259" i="388"/>
  <c r="P259" i="388" s="1"/>
  <c r="N258" i="388"/>
  <c r="P258" i="388" s="1"/>
  <c r="Q257" i="388"/>
  <c r="J240" i="388"/>
  <c r="U238" i="388" s="1"/>
  <c r="N215" i="388"/>
  <c r="P215" i="388" s="1"/>
  <c r="N214" i="388"/>
  <c r="P214" i="388" s="1"/>
  <c r="Q213" i="388"/>
  <c r="J196" i="388"/>
  <c r="U194" i="388" s="1"/>
  <c r="N171" i="388"/>
  <c r="P171" i="388" s="1"/>
  <c r="N170" i="388"/>
  <c r="P170" i="388" s="1"/>
  <c r="Q169" i="388"/>
  <c r="J152" i="388"/>
  <c r="U150" i="388" s="1"/>
  <c r="N127" i="388"/>
  <c r="P127" i="388" s="1"/>
  <c r="N126" i="388"/>
  <c r="P126" i="388" s="1"/>
  <c r="Q125" i="388"/>
  <c r="J86" i="388"/>
  <c r="U84" i="388" s="1"/>
  <c r="N83" i="388"/>
  <c r="P83" i="388" s="1"/>
  <c r="N82" i="388"/>
  <c r="P82" i="388" s="1"/>
  <c r="Q81" i="388"/>
  <c r="N72" i="388"/>
  <c r="P72" i="388" s="1"/>
  <c r="N71" i="388"/>
  <c r="P71" i="388" s="1"/>
  <c r="Q70" i="388"/>
  <c r="J64" i="388"/>
  <c r="U62" i="388" s="1"/>
  <c r="N61" i="388"/>
  <c r="P61" i="388" s="1"/>
  <c r="N60" i="388"/>
  <c r="P60" i="388" s="1"/>
  <c r="Q59" i="388"/>
  <c r="G250" i="388"/>
  <c r="E251" i="388"/>
  <c r="G251" i="388" s="1"/>
  <c r="G206" i="388"/>
  <c r="E207" i="388"/>
  <c r="G207" i="388" s="1"/>
  <c r="G162" i="388"/>
  <c r="E163" i="388"/>
  <c r="G163" i="388" s="1"/>
  <c r="G107" i="388"/>
  <c r="E108" i="388"/>
  <c r="G108" i="388" s="1"/>
  <c r="Q49" i="388"/>
  <c r="S49" i="388" s="1"/>
  <c r="Q50" i="388"/>
  <c r="S50" i="388" s="1"/>
  <c r="G272" i="388"/>
  <c r="U270" i="388" s="1"/>
  <c r="E273" i="388"/>
  <c r="G228" i="388"/>
  <c r="U226" i="388" s="1"/>
  <c r="E229" i="388"/>
  <c r="G184" i="388"/>
  <c r="E185" i="388"/>
  <c r="G185" i="388" s="1"/>
  <c r="G140" i="388"/>
  <c r="E141" i="388"/>
  <c r="G141" i="388" s="1"/>
  <c r="J251" i="388"/>
  <c r="U249" i="388" s="1"/>
  <c r="N248" i="388"/>
  <c r="P248" i="388" s="1"/>
  <c r="N247" i="388"/>
  <c r="P247" i="388" s="1"/>
  <c r="Q246" i="388"/>
  <c r="J207" i="388"/>
  <c r="U205" i="388" s="1"/>
  <c r="N204" i="388"/>
  <c r="P204" i="388" s="1"/>
  <c r="N203" i="388"/>
  <c r="P203" i="388" s="1"/>
  <c r="Q202" i="388"/>
  <c r="J163" i="388"/>
  <c r="U161" i="388" s="1"/>
  <c r="N160" i="388"/>
  <c r="P160" i="388" s="1"/>
  <c r="N159" i="388"/>
  <c r="P159" i="388" s="1"/>
  <c r="Q158" i="388"/>
  <c r="N116" i="388"/>
  <c r="P116" i="388" s="1"/>
  <c r="N115" i="388"/>
  <c r="P115" i="388" s="1"/>
  <c r="Q114" i="388"/>
  <c r="J119" i="388"/>
  <c r="U117" i="388" s="1"/>
  <c r="J108" i="388"/>
  <c r="U106" i="388" s="1"/>
  <c r="N105" i="388"/>
  <c r="P105" i="388" s="1"/>
  <c r="N104" i="388"/>
  <c r="P104" i="388" s="1"/>
  <c r="Q103" i="388"/>
  <c r="N94" i="388"/>
  <c r="P94" i="388" s="1"/>
  <c r="N93" i="388"/>
  <c r="P93" i="388" s="1"/>
  <c r="Q92" i="388"/>
  <c r="K282" i="388"/>
  <c r="K238" i="388"/>
  <c r="K194" i="388"/>
  <c r="K150" i="388"/>
  <c r="K271" i="388"/>
  <c r="K227" i="388"/>
  <c r="K183" i="388"/>
  <c r="K139" i="388"/>
  <c r="J262" i="388"/>
  <c r="U260" i="388" s="1"/>
  <c r="N237" i="388"/>
  <c r="P237" i="388" s="1"/>
  <c r="N236" i="388"/>
  <c r="P236" i="388" s="1"/>
  <c r="Q235" i="388"/>
  <c r="J218" i="388"/>
  <c r="U216" i="388" s="1"/>
  <c r="N193" i="388"/>
  <c r="P193" i="388" s="1"/>
  <c r="N192" i="388"/>
  <c r="P192" i="388" s="1"/>
  <c r="Q191" i="388"/>
  <c r="J174" i="388"/>
  <c r="U172" i="388" s="1"/>
  <c r="N149" i="388"/>
  <c r="P149" i="388" s="1"/>
  <c r="N148" i="388"/>
  <c r="P148" i="388" s="1"/>
  <c r="Q147" i="388"/>
  <c r="J130" i="388"/>
  <c r="U128" i="388" s="1"/>
  <c r="J75" i="388"/>
  <c r="U73" i="388" s="1"/>
  <c r="E86" i="388"/>
  <c r="G86" i="388" s="1"/>
  <c r="G85" i="388"/>
  <c r="E64" i="388"/>
  <c r="G64" i="388" s="1"/>
  <c r="G63" i="388"/>
  <c r="J273" i="388"/>
  <c r="U271" i="388" s="1"/>
  <c r="N270" i="388"/>
  <c r="P270" i="388" s="1"/>
  <c r="N269" i="388"/>
  <c r="P269" i="388" s="1"/>
  <c r="Q268" i="388"/>
  <c r="J229" i="388"/>
  <c r="U227" i="388" s="1"/>
  <c r="N226" i="388"/>
  <c r="P226" i="388" s="1"/>
  <c r="N225" i="388"/>
  <c r="P225" i="388" s="1"/>
  <c r="Q224" i="388"/>
  <c r="J185" i="388"/>
  <c r="U183" i="388" s="1"/>
  <c r="N182" i="388"/>
  <c r="P182" i="388" s="1"/>
  <c r="N181" i="388"/>
  <c r="P181" i="388" s="1"/>
  <c r="Q180" i="388"/>
  <c r="J141" i="388"/>
  <c r="U139" i="388" s="1"/>
  <c r="N138" i="388"/>
  <c r="P138" i="388" s="1"/>
  <c r="N137" i="388"/>
  <c r="P137" i="388" s="1"/>
  <c r="Q136" i="388"/>
  <c r="J97" i="388"/>
  <c r="U95" i="388" s="1"/>
  <c r="K84" i="388"/>
  <c r="K62" i="388"/>
  <c r="K249" i="388"/>
  <c r="K205" i="388"/>
  <c r="K161" i="388"/>
  <c r="K106" i="388"/>
  <c r="K74" i="388" l="1"/>
  <c r="M74" i="388" s="1"/>
  <c r="K173" i="388"/>
  <c r="K174" i="388" s="1"/>
  <c r="M174" i="388" s="1"/>
  <c r="K118" i="388"/>
  <c r="M118" i="388" s="1"/>
  <c r="N128" i="388"/>
  <c r="N129" i="388" s="1"/>
  <c r="K217" i="388"/>
  <c r="K218" i="388" s="1"/>
  <c r="M218" i="388" s="1"/>
  <c r="K96" i="388"/>
  <c r="M96" i="388" s="1"/>
  <c r="K129" i="388"/>
  <c r="K130" i="388" s="1"/>
  <c r="M130" i="388" s="1"/>
  <c r="N150" i="388"/>
  <c r="N151" i="388" s="1"/>
  <c r="P52" i="388"/>
  <c r="N53" i="388"/>
  <c r="P53" i="388" s="1"/>
  <c r="N194" i="388"/>
  <c r="N195" i="388" s="1"/>
  <c r="N95" i="388"/>
  <c r="N282" i="388"/>
  <c r="N283" i="388" s="1"/>
  <c r="N284" i="388" s="1"/>
  <c r="P284" i="388" s="1"/>
  <c r="N238" i="388"/>
  <c r="N239" i="388" s="1"/>
  <c r="K261" i="388"/>
  <c r="K262" i="388" s="1"/>
  <c r="N172" i="388"/>
  <c r="N173" i="388" s="1"/>
  <c r="N216" i="388"/>
  <c r="N217" i="388" s="1"/>
  <c r="M52" i="388"/>
  <c r="K53" i="388"/>
  <c r="M53" i="388" s="1"/>
  <c r="N117" i="388"/>
  <c r="N118" i="388" s="1"/>
  <c r="N119" i="388" s="1"/>
  <c r="P119" i="388" s="1"/>
  <c r="N260" i="388"/>
  <c r="N261" i="388" s="1"/>
  <c r="N73" i="388"/>
  <c r="N74" i="388" s="1"/>
  <c r="N271" i="388"/>
  <c r="N272" i="388" s="1"/>
  <c r="N273" i="388" s="1"/>
  <c r="P273" i="388" s="1"/>
  <c r="N205" i="388"/>
  <c r="N206" i="388" s="1"/>
  <c r="P206" i="388" s="1"/>
  <c r="N84" i="388"/>
  <c r="N85" i="388" s="1"/>
  <c r="N86" i="388" s="1"/>
  <c r="P86" i="388" s="1"/>
  <c r="N183" i="388"/>
  <c r="N184" i="388" s="1"/>
  <c r="N185" i="388" s="1"/>
  <c r="P185" i="388" s="1"/>
  <c r="N62" i="388"/>
  <c r="N63" i="388" s="1"/>
  <c r="P63" i="388" s="1"/>
  <c r="U105" i="388"/>
  <c r="U160" i="388"/>
  <c r="U204" i="388"/>
  <c r="U248" i="388"/>
  <c r="U138" i="388"/>
  <c r="U182" i="388"/>
  <c r="U61" i="388"/>
  <c r="U83" i="388"/>
  <c r="M106" i="388"/>
  <c r="K107" i="388"/>
  <c r="M161" i="388"/>
  <c r="K162" i="388"/>
  <c r="M249" i="388"/>
  <c r="K250" i="388"/>
  <c r="M62" i="388"/>
  <c r="K63" i="388"/>
  <c r="Q182" i="388"/>
  <c r="S182" i="388" s="1"/>
  <c r="Q181" i="388"/>
  <c r="S181" i="388" s="1"/>
  <c r="M205" i="388"/>
  <c r="K206" i="388"/>
  <c r="M84" i="388"/>
  <c r="K85" i="388"/>
  <c r="Q138" i="388"/>
  <c r="S138" i="388" s="1"/>
  <c r="Q137" i="388"/>
  <c r="S137" i="388" s="1"/>
  <c r="Q226" i="388"/>
  <c r="S226" i="388" s="1"/>
  <c r="Q225" i="388"/>
  <c r="S225" i="388" s="1"/>
  <c r="Q193" i="388"/>
  <c r="S193" i="388" s="1"/>
  <c r="Q192" i="388"/>
  <c r="S192" i="388" s="1"/>
  <c r="M139" i="388"/>
  <c r="K140" i="388"/>
  <c r="M227" i="388"/>
  <c r="K228" i="388"/>
  <c r="K75" i="388"/>
  <c r="M75" i="388" s="1"/>
  <c r="M150" i="388"/>
  <c r="K151" i="388"/>
  <c r="M194" i="388"/>
  <c r="K195" i="388"/>
  <c r="M238" i="388"/>
  <c r="K239" i="388"/>
  <c r="M282" i="388"/>
  <c r="K283" i="388"/>
  <c r="K284" i="388" s="1"/>
  <c r="M284" i="388" s="1"/>
  <c r="Q94" i="388"/>
  <c r="S94" i="388" s="1"/>
  <c r="Q93" i="388"/>
  <c r="S93" i="388" s="1"/>
  <c r="Q105" i="388"/>
  <c r="S105" i="388" s="1"/>
  <c r="Q104" i="388"/>
  <c r="S104" i="388" s="1"/>
  <c r="Q160" i="388"/>
  <c r="S160" i="388" s="1"/>
  <c r="Q159" i="388"/>
  <c r="S159" i="388" s="1"/>
  <c r="Q248" i="388"/>
  <c r="S248" i="388" s="1"/>
  <c r="Q247" i="388"/>
  <c r="S247" i="388" s="1"/>
  <c r="Q171" i="388"/>
  <c r="S171" i="388" s="1"/>
  <c r="Q170" i="388"/>
  <c r="S170" i="388" s="1"/>
  <c r="Q259" i="388"/>
  <c r="S259" i="388" s="1"/>
  <c r="Q258" i="388"/>
  <c r="S258" i="388" s="1"/>
  <c r="N139" i="388"/>
  <c r="N227" i="388"/>
  <c r="N106" i="388"/>
  <c r="N161" i="388"/>
  <c r="N249" i="388"/>
  <c r="Q51" i="388"/>
  <c r="Q270" i="388"/>
  <c r="S270" i="388" s="1"/>
  <c r="Q269" i="388"/>
  <c r="S269" i="388" s="1"/>
  <c r="Q149" i="388"/>
  <c r="S149" i="388" s="1"/>
  <c r="Q148" i="388"/>
  <c r="S148" i="388" s="1"/>
  <c r="Q237" i="388"/>
  <c r="S237" i="388" s="1"/>
  <c r="Q236" i="388"/>
  <c r="S236" i="388" s="1"/>
  <c r="M183" i="388"/>
  <c r="K184" i="388"/>
  <c r="M271" i="388"/>
  <c r="K272" i="388"/>
  <c r="Q116" i="388"/>
  <c r="S116" i="388" s="1"/>
  <c r="Q115" i="388"/>
  <c r="S115" i="388" s="1"/>
  <c r="Q204" i="388"/>
  <c r="S204" i="388" s="1"/>
  <c r="Q203" i="388"/>
  <c r="S203" i="388" s="1"/>
  <c r="Q61" i="388"/>
  <c r="S61" i="388" s="1"/>
  <c r="Q60" i="388"/>
  <c r="S60" i="388" s="1"/>
  <c r="Q72" i="388"/>
  <c r="S72" i="388" s="1"/>
  <c r="Q71" i="388"/>
  <c r="S71" i="388" s="1"/>
  <c r="Q83" i="388"/>
  <c r="S83" i="388" s="1"/>
  <c r="Q82" i="388"/>
  <c r="S82" i="388" s="1"/>
  <c r="Q127" i="388"/>
  <c r="S127" i="388" s="1"/>
  <c r="Q126" i="388"/>
  <c r="S126" i="388" s="1"/>
  <c r="Q215" i="388"/>
  <c r="S215" i="388" s="1"/>
  <c r="Q214" i="388"/>
  <c r="S214" i="388" s="1"/>
  <c r="Q281" i="388"/>
  <c r="S281" i="388" s="1"/>
  <c r="Q280" i="388"/>
  <c r="S280" i="388" s="1"/>
  <c r="S283" i="388"/>
  <c r="B22" i="388"/>
  <c r="P118" i="388" l="1"/>
  <c r="M173" i="388"/>
  <c r="U173" i="388" s="1"/>
  <c r="P85" i="388"/>
  <c r="K97" i="388"/>
  <c r="M97" i="388" s="1"/>
  <c r="U96" i="388" s="1"/>
  <c r="K119" i="388"/>
  <c r="M119" i="388" s="1"/>
  <c r="U118" i="388" s="1"/>
  <c r="M217" i="388"/>
  <c r="U217" i="388" s="1"/>
  <c r="M129" i="388"/>
  <c r="U129" i="388" s="1"/>
  <c r="N96" i="388"/>
  <c r="P96" i="388" s="1"/>
  <c r="N207" i="388"/>
  <c r="P207" i="388" s="1"/>
  <c r="M262" i="388"/>
  <c r="P260" i="388"/>
  <c r="M261" i="388"/>
  <c r="N64" i="388"/>
  <c r="P64" i="388" s="1"/>
  <c r="P172" i="388"/>
  <c r="P282" i="388"/>
  <c r="P272" i="388"/>
  <c r="U52" i="388"/>
  <c r="P184" i="388"/>
  <c r="P51" i="388"/>
  <c r="U53" i="388" s="1"/>
  <c r="Q238" i="388"/>
  <c r="Q239" i="388" s="1"/>
  <c r="P73" i="388"/>
  <c r="Q117" i="388"/>
  <c r="S117" i="388" s="1"/>
  <c r="Q62" i="388"/>
  <c r="Q150" i="388"/>
  <c r="Q151" i="388" s="1"/>
  <c r="P216" i="388"/>
  <c r="Q249" i="388"/>
  <c r="Q250" i="388" s="1"/>
  <c r="Q106" i="388"/>
  <c r="Q107" i="388" s="1"/>
  <c r="Q139" i="388"/>
  <c r="Q140" i="388" s="1"/>
  <c r="Q84" i="388"/>
  <c r="S84" i="388" s="1"/>
  <c r="Q205" i="388"/>
  <c r="Q206" i="388" s="1"/>
  <c r="Q161" i="388"/>
  <c r="Q162" i="388" s="1"/>
  <c r="Q227" i="388"/>
  <c r="Q228" i="388" s="1"/>
  <c r="Q183" i="388"/>
  <c r="S183" i="388" s="1"/>
  <c r="U74" i="388"/>
  <c r="N262" i="388"/>
  <c r="P262" i="388" s="1"/>
  <c r="P261" i="388"/>
  <c r="M272" i="388"/>
  <c r="K273" i="388"/>
  <c r="M184" i="388"/>
  <c r="K185" i="388"/>
  <c r="P129" i="388"/>
  <c r="N130" i="388"/>
  <c r="P130" i="388" s="1"/>
  <c r="P74" i="388"/>
  <c r="N75" i="388"/>
  <c r="P75" i="388" s="1"/>
  <c r="S51" i="388"/>
  <c r="Q52" i="388"/>
  <c r="P239" i="388"/>
  <c r="N240" i="388"/>
  <c r="P240" i="388" s="1"/>
  <c r="Q282" i="388"/>
  <c r="Q216" i="388"/>
  <c r="Q128" i="388"/>
  <c r="Q73" i="388"/>
  <c r="N174" i="388"/>
  <c r="P174" i="388" s="1"/>
  <c r="P173" i="388"/>
  <c r="N196" i="388"/>
  <c r="P196" i="388" s="1"/>
  <c r="P195" i="388"/>
  <c r="P217" i="388"/>
  <c r="N218" i="388"/>
  <c r="P218" i="388" s="1"/>
  <c r="N250" i="388"/>
  <c r="N162" i="388"/>
  <c r="N107" i="388"/>
  <c r="P151" i="388"/>
  <c r="N152" i="388"/>
  <c r="P152" i="388" s="1"/>
  <c r="N228" i="388"/>
  <c r="N140" i="388"/>
  <c r="M239" i="388"/>
  <c r="K240" i="388"/>
  <c r="M195" i="388"/>
  <c r="K196" i="388"/>
  <c r="M151" i="388"/>
  <c r="K152" i="388"/>
  <c r="M228" i="388"/>
  <c r="K229" i="388"/>
  <c r="M229" i="388" s="1"/>
  <c r="M140" i="388"/>
  <c r="K141" i="388"/>
  <c r="M141" i="388" s="1"/>
  <c r="K86" i="388"/>
  <c r="M85" i="388"/>
  <c r="K207" i="388"/>
  <c r="M206" i="388"/>
  <c r="K64" i="388"/>
  <c r="M63" i="388"/>
  <c r="K251" i="388"/>
  <c r="M251" i="388" s="1"/>
  <c r="M250" i="388"/>
  <c r="K163" i="388"/>
  <c r="M163" i="388" s="1"/>
  <c r="M162" i="388"/>
  <c r="K108" i="388"/>
  <c r="M108" i="388" s="1"/>
  <c r="M107" i="388"/>
  <c r="Q271" i="388"/>
  <c r="P128" i="388"/>
  <c r="Q260" i="388"/>
  <c r="Q172" i="388"/>
  <c r="Q95" i="388"/>
  <c r="Q194" i="388"/>
  <c r="P117" i="388" l="1"/>
  <c r="U119" i="388" s="1"/>
  <c r="P95" i="388"/>
  <c r="Q118" i="388"/>
  <c r="S118" i="388" s="1"/>
  <c r="U120" i="388" s="1"/>
  <c r="N97" i="388"/>
  <c r="P97" i="388" s="1"/>
  <c r="S205" i="388"/>
  <c r="U261" i="388"/>
  <c r="Q184" i="388"/>
  <c r="Q185" i="388" s="1"/>
  <c r="S185" i="388" s="1"/>
  <c r="S62" i="388"/>
  <c r="Q63" i="388"/>
  <c r="S63" i="388" s="1"/>
  <c r="Q85" i="388"/>
  <c r="S85" i="388" s="1"/>
  <c r="U87" i="388" s="1"/>
  <c r="S238" i="388"/>
  <c r="U218" i="388"/>
  <c r="U140" i="388"/>
  <c r="U228" i="388"/>
  <c r="U262" i="388"/>
  <c r="S140" i="388"/>
  <c r="Q141" i="388"/>
  <c r="S141" i="388" s="1"/>
  <c r="S107" i="388"/>
  <c r="Q108" i="388"/>
  <c r="S108" i="388" s="1"/>
  <c r="S250" i="388"/>
  <c r="Q251" i="388"/>
  <c r="S251" i="388" s="1"/>
  <c r="S172" i="388"/>
  <c r="Q173" i="388"/>
  <c r="S260" i="388"/>
  <c r="Q261" i="388"/>
  <c r="S271" i="388"/>
  <c r="Q272" i="388"/>
  <c r="S151" i="388"/>
  <c r="Q152" i="388"/>
  <c r="S152" i="388" s="1"/>
  <c r="M64" i="388"/>
  <c r="U63" i="388" s="1"/>
  <c r="P62" i="388"/>
  <c r="U64" i="388" s="1"/>
  <c r="M207" i="388"/>
  <c r="U206" i="388" s="1"/>
  <c r="P205" i="388"/>
  <c r="U207" i="388" s="1"/>
  <c r="M86" i="388"/>
  <c r="U85" i="388" s="1"/>
  <c r="P84" i="388"/>
  <c r="U86" i="388" s="1"/>
  <c r="S73" i="388"/>
  <c r="Q74" i="388"/>
  <c r="S282" i="388"/>
  <c r="Q283" i="388"/>
  <c r="Q284" i="388" s="1"/>
  <c r="S284" i="388" s="1"/>
  <c r="U107" i="388"/>
  <c r="U162" i="388"/>
  <c r="U250" i="388"/>
  <c r="P139" i="388"/>
  <c r="P227" i="388"/>
  <c r="P106" i="388"/>
  <c r="P161" i="388"/>
  <c r="P249" i="388"/>
  <c r="U174" i="388"/>
  <c r="S228" i="388"/>
  <c r="Q229" i="388"/>
  <c r="S229" i="388" s="1"/>
  <c r="S194" i="388"/>
  <c r="Q195" i="388"/>
  <c r="Q96" i="388"/>
  <c r="S162" i="388"/>
  <c r="Q163" i="388"/>
  <c r="S163" i="388" s="1"/>
  <c r="S239" i="388"/>
  <c r="Q240" i="388"/>
  <c r="S240" i="388" s="1"/>
  <c r="M152" i="388"/>
  <c r="U151" i="388" s="1"/>
  <c r="P150" i="388"/>
  <c r="U152" i="388" s="1"/>
  <c r="M196" i="388"/>
  <c r="U195" i="388" s="1"/>
  <c r="P194" i="388"/>
  <c r="U196" i="388" s="1"/>
  <c r="M240" i="388"/>
  <c r="U239" i="388" s="1"/>
  <c r="P238" i="388"/>
  <c r="U240" i="388" s="1"/>
  <c r="N141" i="388"/>
  <c r="P140" i="388"/>
  <c r="P228" i="388"/>
  <c r="N229" i="388"/>
  <c r="P107" i="388"/>
  <c r="N108" i="388"/>
  <c r="P162" i="388"/>
  <c r="N163" i="388"/>
  <c r="P250" i="388"/>
  <c r="N251" i="388"/>
  <c r="Q207" i="388"/>
  <c r="S207" i="388" s="1"/>
  <c r="S206" i="388"/>
  <c r="S128" i="388"/>
  <c r="Q129" i="388"/>
  <c r="S216" i="388"/>
  <c r="Q217" i="388"/>
  <c r="S52" i="388"/>
  <c r="U54" i="388" s="1"/>
  <c r="B1" i="388" s="1"/>
  <c r="Q53" i="388"/>
  <c r="S53" i="388" s="1"/>
  <c r="M185" i="388"/>
  <c r="U184" i="388" s="1"/>
  <c r="P183" i="388"/>
  <c r="U185" i="388" s="1"/>
  <c r="M273" i="388"/>
  <c r="U272" i="388" s="1"/>
  <c r="P271" i="388"/>
  <c r="U273" i="388" s="1"/>
  <c r="S150" i="388"/>
  <c r="U75" i="388"/>
  <c r="U130" i="388"/>
  <c r="Q119" i="388" l="1"/>
  <c r="S119" i="388" s="1"/>
  <c r="B7" i="388"/>
  <c r="U97" i="388"/>
  <c r="Q64" i="388"/>
  <c r="S64" i="388" s="1"/>
  <c r="Q86" i="388"/>
  <c r="S86" i="388" s="1"/>
  <c r="S95" i="388"/>
  <c r="U208" i="388"/>
  <c r="B15" i="388" s="1"/>
  <c r="S184" i="388"/>
  <c r="U186" i="388" s="1"/>
  <c r="B13" i="388" s="1"/>
  <c r="U65" i="388"/>
  <c r="B2" i="388" s="1"/>
  <c r="U241" i="388"/>
  <c r="B18" i="388" s="1"/>
  <c r="B4" i="388"/>
  <c r="P141" i="388"/>
  <c r="U141" i="388" s="1"/>
  <c r="S139" i="388"/>
  <c r="U142" i="388" s="1"/>
  <c r="U153" i="388"/>
  <c r="B10" i="388" s="1"/>
  <c r="S217" i="388"/>
  <c r="U219" i="388" s="1"/>
  <c r="B16" i="388" s="1"/>
  <c r="Q218" i="388"/>
  <c r="S218" i="388" s="1"/>
  <c r="S129" i="388"/>
  <c r="U131" i="388" s="1"/>
  <c r="B8" i="388" s="1"/>
  <c r="Q130" i="388"/>
  <c r="S130" i="388" s="1"/>
  <c r="P251" i="388"/>
  <c r="U251" i="388" s="1"/>
  <c r="S249" i="388"/>
  <c r="U252" i="388" s="1"/>
  <c r="P163" i="388"/>
  <c r="U163" i="388" s="1"/>
  <c r="S161" i="388"/>
  <c r="U164" i="388" s="1"/>
  <c r="P108" i="388"/>
  <c r="U108" i="388" s="1"/>
  <c r="S106" i="388"/>
  <c r="U109" i="388" s="1"/>
  <c r="P229" i="388"/>
  <c r="U229" i="388" s="1"/>
  <c r="S227" i="388"/>
  <c r="U230" i="388" s="1"/>
  <c r="Q97" i="388"/>
  <c r="S97" i="388" s="1"/>
  <c r="S96" i="388"/>
  <c r="Q196" i="388"/>
  <c r="S196" i="388" s="1"/>
  <c r="S195" i="388"/>
  <c r="U197" i="388" s="1"/>
  <c r="B14" i="388" s="1"/>
  <c r="S74" i="388"/>
  <c r="U76" i="388" s="1"/>
  <c r="B3" i="388" s="1"/>
  <c r="Q75" i="388"/>
  <c r="S75" i="388" s="1"/>
  <c r="Q273" i="388"/>
  <c r="S273" i="388" s="1"/>
  <c r="S272" i="388"/>
  <c r="U274" i="388" s="1"/>
  <c r="B21" i="388" s="1"/>
  <c r="Q262" i="388"/>
  <c r="S262" i="388" s="1"/>
  <c r="S261" i="388"/>
  <c r="U263" i="388" s="1"/>
  <c r="B20" i="388" s="1"/>
  <c r="Q174" i="388"/>
  <c r="S174" i="388" s="1"/>
  <c r="S173" i="388"/>
  <c r="U175" i="388" s="1"/>
  <c r="B12" i="388" s="1"/>
  <c r="U98" i="388" l="1"/>
  <c r="B5" i="388" s="1"/>
  <c r="B9" i="388"/>
  <c r="B6" i="388"/>
  <c r="B11" i="388"/>
  <c r="B19" i="388"/>
  <c r="B17" i="388"/>
  <c r="G31" i="36" l="1"/>
  <c r="O31" i="36" l="1"/>
  <c r="M31" i="36"/>
  <c r="E287" i="388" l="1"/>
  <c r="U290" i="388" s="1"/>
  <c r="E290" i="388" l="1"/>
  <c r="H290" i="388" l="1"/>
  <c r="E288" i="388"/>
  <c r="E291" i="388"/>
  <c r="G291" i="388" s="1"/>
  <c r="E292" i="388"/>
  <c r="G292" i="388" s="1"/>
  <c r="H295" i="388"/>
  <c r="E293" i="388" l="1"/>
  <c r="G293" i="388" s="1"/>
  <c r="H292" i="388"/>
  <c r="J292" i="388" s="1"/>
  <c r="K290" i="388"/>
  <c r="H291" i="388"/>
  <c r="J291" i="388" s="1"/>
  <c r="E294" i="388" l="1"/>
  <c r="E295" i="388" s="1"/>
  <c r="G295" i="388" s="1"/>
  <c r="H293" i="388"/>
  <c r="J293" i="388" s="1"/>
  <c r="K291" i="388"/>
  <c r="M291" i="388" s="1"/>
  <c r="N290" i="388"/>
  <c r="K292" i="388"/>
  <c r="M292" i="388" s="1"/>
  <c r="G294" i="388" l="1"/>
  <c r="U292" i="388" s="1"/>
  <c r="H294" i="388"/>
  <c r="J294" i="388" s="1"/>
  <c r="J295" i="388"/>
  <c r="K293" i="388"/>
  <c r="N292" i="388"/>
  <c r="P292" i="388" s="1"/>
  <c r="N291" i="388"/>
  <c r="P291" i="388" s="1"/>
  <c r="Q290" i="388"/>
  <c r="U293" i="388" l="1"/>
  <c r="N293" i="388"/>
  <c r="N294" i="388" s="1"/>
  <c r="P294" i="388" s="1"/>
  <c r="Q291" i="388"/>
  <c r="S291" i="388" s="1"/>
  <c r="Q292" i="388"/>
  <c r="S292" i="388" s="1"/>
  <c r="M293" i="388"/>
  <c r="K294" i="388"/>
  <c r="N295" i="388" l="1"/>
  <c r="P295" i="388" s="1"/>
  <c r="M294" i="388"/>
  <c r="K295" i="388"/>
  <c r="Q293" i="388"/>
  <c r="M295" i="388" l="1"/>
  <c r="U294" i="388" s="1"/>
  <c r="P293" i="388"/>
  <c r="U295" i="388" s="1"/>
  <c r="S293" i="388"/>
  <c r="Q294" i="388"/>
  <c r="H1" i="388" l="1"/>
  <c r="F29" i="462" s="1"/>
  <c r="S294" i="388"/>
  <c r="Q295" i="388"/>
  <c r="S295" i="388" s="1"/>
  <c r="R5" i="454" l="1"/>
  <c r="T5" i="454" l="1"/>
  <c r="P103" i="454"/>
  <c r="T103" i="454" s="1"/>
  <c r="R103" i="454"/>
  <c r="U103" i="454" s="1"/>
  <c r="U5" i="454"/>
  <c r="P1" i="454" l="1"/>
  <c r="R1" i="454"/>
</calcChain>
</file>

<file path=xl/sharedStrings.xml><?xml version="1.0" encoding="utf-8"?>
<sst xmlns="http://schemas.openxmlformats.org/spreadsheetml/2006/main" count="2980" uniqueCount="669">
  <si>
    <t>PRESENTE MES</t>
  </si>
  <si>
    <t>Ítem</t>
  </si>
  <si>
    <t>DESCRIPCIÓN</t>
  </si>
  <si>
    <t xml:space="preserve">MONTO Bs. </t>
  </si>
  <si>
    <t>CONTROL DEL ANTICIPO</t>
  </si>
  <si>
    <r>
      <t>M</t>
    </r>
    <r>
      <rPr>
        <sz val="8"/>
        <rFont val="Arial Narrow"/>
        <family val="2"/>
      </rPr>
      <t>ONTO DE</t>
    </r>
    <r>
      <rPr>
        <sz val="9"/>
        <rFont val="Arial Narrow"/>
        <family val="2"/>
      </rPr>
      <t xml:space="preserve"> C</t>
    </r>
    <r>
      <rPr>
        <sz val="8"/>
        <rFont val="Arial Narrow"/>
        <family val="2"/>
      </rPr>
      <t>ONTRATO</t>
    </r>
    <r>
      <rPr>
        <sz val="9"/>
        <rFont val="Arial Narrow"/>
        <family val="2"/>
      </rPr>
      <t xml:space="preserve"> O</t>
    </r>
    <r>
      <rPr>
        <sz val="8"/>
        <rFont val="Arial Narrow"/>
        <family val="2"/>
      </rPr>
      <t>RIGINAL</t>
    </r>
  </si>
  <si>
    <t>TOTAL GENERAL</t>
  </si>
  <si>
    <t>ADMINISTRADORA BOLIVIANA DE CARRETERAS</t>
  </si>
  <si>
    <t>SUPERVISION:</t>
  </si>
  <si>
    <t>A</t>
  </si>
  <si>
    <t>CANTIDADES</t>
  </si>
  <si>
    <t>OBSERVACIONES</t>
  </si>
  <si>
    <t>CONTRATISTA:</t>
  </si>
  <si>
    <t>ITEMES , CANTIDADES Y PRECIOS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</si>
  <si>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</si>
  <si>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</si>
  <si>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</si>
  <si>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</si>
  <si>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</si>
  <si>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</si>
  <si>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</si>
  <si>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</si>
  <si>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</si>
  <si>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</si>
  <si>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AL</t>
  </si>
  <si>
    <t>MES ANTERIOR</t>
  </si>
  <si>
    <t>A LA FECHA</t>
  </si>
  <si>
    <t>SECTOR DE TRAB.</t>
  </si>
  <si>
    <t>DE PROG.</t>
  </si>
  <si>
    <t>A PROG.</t>
  </si>
  <si>
    <t>CERT.
Nº</t>
  </si>
  <si>
    <t>PLANILLA DE AVANCE FISICO DE OBRA</t>
  </si>
  <si>
    <t>Descripción:</t>
  </si>
  <si>
    <t>Unidad:</t>
  </si>
  <si>
    <t>PORCENTAJE DE AVANCE</t>
  </si>
  <si>
    <t>Ítem:</t>
  </si>
  <si>
    <t>MONTO</t>
  </si>
  <si>
    <t>EJECUTADO</t>
  </si>
  <si>
    <t>PERIODO</t>
  </si>
  <si>
    <t>MONTO DE ANTICIPO:</t>
  </si>
  <si>
    <t>LIQUIDO PAGABLE</t>
  </si>
  <si>
    <t>NUMERO DE POLIZA</t>
  </si>
  <si>
    <t>VIGENCIA</t>
  </si>
  <si>
    <t>%</t>
  </si>
  <si>
    <t>TOTALES</t>
  </si>
  <si>
    <t>ORGANISMO CONTRATANTE:</t>
  </si>
  <si>
    <t>ORGANISMO FINANCIADOR:</t>
  </si>
  <si>
    <t>CONTRATO:</t>
  </si>
  <si>
    <t>CERTIFICADO DE PAGO</t>
  </si>
  <si>
    <t>MES:</t>
  </si>
  <si>
    <t>DIRECCIÓN:</t>
  </si>
  <si>
    <t>PLAZO DE CONTRATO ORIGINAL:</t>
  </si>
  <si>
    <t>PLAZO VIGENTE DE CONTRATO:</t>
  </si>
  <si>
    <t>FECHA DE ORDEN DE PROCEDER:</t>
  </si>
  <si>
    <t>TIEMPO TRANSCURRIDO DEL CONTRATO:</t>
  </si>
  <si>
    <t>Administradora Boliviana de Carreteras</t>
  </si>
  <si>
    <r>
      <t>M</t>
    </r>
    <r>
      <rPr>
        <sz val="8"/>
        <rFont val="Arial Narrow"/>
        <family val="2"/>
      </rPr>
      <t xml:space="preserve">ONTO  ACTUALIZADO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>ONTRATO</t>
    </r>
  </si>
  <si>
    <t>IMPORTE DE SERVICIO EJECUTADO Y ACUMULADO HASTA LA FECHA (B+C)</t>
  </si>
  <si>
    <t>IMPORTE DE SERVICIO EJECUTADO Y ACUMULADO HASTA EL MES ANTERIOR</t>
  </si>
  <si>
    <t>IMPORTE DE SERVICIO DEL PRESENTE PERIODO</t>
  </si>
  <si>
    <t>MULTAS Y/O DEDUCCIONES ACUMULADAS HASTA EL MES ANTERIOR</t>
  </si>
  <si>
    <t>MULTAS Y/O DEDUCCIONES CONTRACTUALES EN EL PRESENTE PERIODO</t>
  </si>
  <si>
    <t>Monto restituido hasta el mes anterior</t>
  </si>
  <si>
    <t>Monto restituido en el presente periodo</t>
  </si>
  <si>
    <t>Monto restituido a la fecha</t>
  </si>
  <si>
    <t>Saldo Anticipo</t>
  </si>
  <si>
    <t>AL MES ANTERIOR</t>
  </si>
  <si>
    <t>EN EL PERIODO</t>
  </si>
  <si>
    <t>% DE AVANCE FINANCIERO</t>
  </si>
  <si>
    <t>Razón Social</t>
  </si>
  <si>
    <t>Banco</t>
  </si>
  <si>
    <t>NIT</t>
  </si>
  <si>
    <t>Liquido pagable en el presente certificado</t>
  </si>
  <si>
    <t>Son: (Bs):</t>
  </si>
  <si>
    <t>PLANILLA DE AVANCE DE OBRA</t>
  </si>
  <si>
    <t>EMISOR</t>
  </si>
  <si>
    <t>DETALLE DOCUMENTOS DE GARANTIA BOLETA Ó POLIZA</t>
  </si>
  <si>
    <t>CONTRATISTA</t>
  </si>
  <si>
    <t>MES</t>
  </si>
  <si>
    <t>PROGRAMADO</t>
  </si>
  <si>
    <t>PORCENTAJE</t>
  </si>
  <si>
    <t>PARCIAL</t>
  </si>
  <si>
    <t>ACUMULADO</t>
  </si>
  <si>
    <t>ACUM.</t>
  </si>
  <si>
    <t>MOVIMIENTO DE TIERRAS</t>
  </si>
  <si>
    <t>M3</t>
  </si>
  <si>
    <t>M2</t>
  </si>
  <si>
    <t>OBRAS DE DRENAJE</t>
  </si>
  <si>
    <t>ML</t>
  </si>
  <si>
    <t>PZA</t>
  </si>
  <si>
    <t>KG</t>
  </si>
  <si>
    <t>GLB</t>
  </si>
  <si>
    <t>SUMAS TOTALES</t>
  </si>
  <si>
    <t>CERO</t>
  </si>
  <si>
    <t>DIEZ</t>
  </si>
  <si>
    <t>CIENTO</t>
  </si>
  <si>
    <t>UNO</t>
  </si>
  <si>
    <t>VEINTE</t>
  </si>
  <si>
    <t>DOSCIENTOS</t>
  </si>
  <si>
    <t>DOS</t>
  </si>
  <si>
    <t>TREINTA</t>
  </si>
  <si>
    <t>TRESCIENTOS</t>
  </si>
  <si>
    <t>TRES</t>
  </si>
  <si>
    <t>CUARENTA</t>
  </si>
  <si>
    <t>CUATROCIENTOS</t>
  </si>
  <si>
    <t>CUATRO</t>
  </si>
  <si>
    <t>CINCUENTA</t>
  </si>
  <si>
    <t>QUINIENTOS</t>
  </si>
  <si>
    <t>CINCO</t>
  </si>
  <si>
    <t>SESENTA</t>
  </si>
  <si>
    <t>SEISCIENTOS</t>
  </si>
  <si>
    <t>SEIS</t>
  </si>
  <si>
    <t>SETENTA</t>
  </si>
  <si>
    <t>SETECIENTOS</t>
  </si>
  <si>
    <t>SIETE</t>
  </si>
  <si>
    <t>OCHENTA</t>
  </si>
  <si>
    <t>OCHOCIENTOS</t>
  </si>
  <si>
    <t>OCHO</t>
  </si>
  <si>
    <t>NOVENTA</t>
  </si>
  <si>
    <t>NOVECIENTOS</t>
  </si>
  <si>
    <t>NUEVE</t>
  </si>
  <si>
    <t>MIL</t>
  </si>
  <si>
    <t>ONCE</t>
  </si>
  <si>
    <t>DOCE</t>
  </si>
  <si>
    <t>TRECE</t>
  </si>
  <si>
    <t>CATORCE</t>
  </si>
  <si>
    <t>QUINCE</t>
  </si>
  <si>
    <t>DIECISEIS</t>
  </si>
  <si>
    <t>DIECISIETE</t>
  </si>
  <si>
    <t>DIECIOCHO</t>
  </si>
  <si>
    <t>Literal Nº 1</t>
  </si>
  <si>
    <t>DIECINUEVE</t>
  </si>
  <si>
    <t>Decimales</t>
  </si>
  <si>
    <t>Número de dígitos</t>
  </si>
  <si>
    <t>VEINTIUNO</t>
  </si>
  <si>
    <t>VEINTIDOS</t>
  </si>
  <si>
    <t>Dígito</t>
  </si>
  <si>
    <t>Complemento millares</t>
  </si>
  <si>
    <t>Complemento de millones</t>
  </si>
  <si>
    <t>Complemento de mil millones</t>
  </si>
  <si>
    <t>VEINTITRES</t>
  </si>
  <si>
    <t>Un solo dígito</t>
  </si>
  <si>
    <t>/100 BOLIVIANOS</t>
  </si>
  <si>
    <t>VEINTICUATRO</t>
  </si>
  <si>
    <t>Dígitos del 0 al 29</t>
  </si>
  <si>
    <t>VEINTICINCO</t>
  </si>
  <si>
    <t>Dígitos del 30 al 99</t>
  </si>
  <si>
    <t>VEINTISEIS</t>
  </si>
  <si>
    <t>Dígitos del 100 al 999</t>
  </si>
  <si>
    <t>VEINTISIETE</t>
  </si>
  <si>
    <t>Dígitos del 1000 al 9999</t>
  </si>
  <si>
    <t>Dígitos millones</t>
  </si>
  <si>
    <t>Dígitos mil millones</t>
  </si>
  <si>
    <t>Dígitos Millardos</t>
  </si>
  <si>
    <t>VEINTIOCHO</t>
  </si>
  <si>
    <t>VEINTINUEVE</t>
  </si>
  <si>
    <t>Literal Nº 2</t>
  </si>
  <si>
    <t>Literal Nº 3</t>
  </si>
  <si>
    <t>Literal Nº 4</t>
  </si>
  <si>
    <t>Literal Nº 5</t>
  </si>
  <si>
    <t>Literal Nº 6</t>
  </si>
  <si>
    <t>Literal Nº 7</t>
  </si>
  <si>
    <t>Literal Nº 8</t>
  </si>
  <si>
    <t>Literal Nº 9</t>
  </si>
  <si>
    <t>Literal Nº 10</t>
  </si>
  <si>
    <t>Literal Nº 11</t>
  </si>
  <si>
    <t>Literal Nº 12</t>
  </si>
  <si>
    <t>Literal Nº 13</t>
  </si>
  <si>
    <t>Literal Nº 14</t>
  </si>
  <si>
    <t>Literal Nº 15</t>
  </si>
  <si>
    <t>Literal Nº 16</t>
  </si>
  <si>
    <t>Literal Nº 17</t>
  </si>
  <si>
    <t>Literal Nº 18</t>
  </si>
  <si>
    <t>Literal Nº 19</t>
  </si>
  <si>
    <t>Literal Nº 20</t>
  </si>
  <si>
    <t>Literal Nº 21</t>
  </si>
  <si>
    <t>Literal Nº 22</t>
  </si>
  <si>
    <t>Literal Nº 23</t>
  </si>
  <si>
    <t>CANTIDAD</t>
  </si>
  <si>
    <t>INGRESO AL 75%</t>
  </si>
  <si>
    <t>Cantidad de contrato:</t>
  </si>
  <si>
    <t xml:space="preserve"> RESUMEN DE ESTADO DE AVANCE FÍSICO-FINANCIERO</t>
  </si>
  <si>
    <t>CERT.</t>
  </si>
  <si>
    <t>[Bs]</t>
  </si>
  <si>
    <t>[Mes]</t>
  </si>
  <si>
    <t>[No]</t>
  </si>
  <si>
    <t>[ % ]</t>
  </si>
  <si>
    <t>MATERIALES ALMACENADOS EN OBRA</t>
  </si>
  <si>
    <t>SUMA MATERIALES [ + ]</t>
  </si>
  <si>
    <t>DEVOLUCIÓN DE RETENCIÓN [ + ]</t>
  </si>
  <si>
    <t>DEVOLUCIÓN A 75%</t>
  </si>
  <si>
    <t>SUPERVISIÓN:</t>
  </si>
  <si>
    <t>RETENCIÓN POR
ATRASO [ - ]</t>
  </si>
  <si>
    <t>UNIDAD</t>
  </si>
  <si>
    <t>PRECIO UNITARIO</t>
  </si>
  <si>
    <t>HASTA EL MES ANTERIOR</t>
  </si>
  <si>
    <t>EN EL PRESENTE MES</t>
  </si>
  <si>
    <t>HASTA LA FECHA</t>
  </si>
  <si>
    <t>SALDOS</t>
  </si>
  <si>
    <t>ACTUAL</t>
  </si>
  <si>
    <t>No</t>
  </si>
  <si>
    <t>CARGO A DESEMPEÑAR</t>
  </si>
  <si>
    <t>NOMBRE APELLIDO</t>
  </si>
  <si>
    <t>FECHA FINAL</t>
  </si>
  <si>
    <t>OBSERVACIONES/CAMBIO DE PERSONAL</t>
  </si>
  <si>
    <t>Ing. Civil</t>
  </si>
  <si>
    <t>PLANILLA PERSONAL TÉCNICO CLAVE DEL PROYECTO</t>
  </si>
  <si>
    <t>FORMACIÓN</t>
  </si>
  <si>
    <t>FECHA DE INCORPORACIÓN AL PROYECTO</t>
  </si>
  <si>
    <t>Especialista en Carreteras y Pavimentos</t>
  </si>
  <si>
    <t>PLANILLA N°</t>
  </si>
  <si>
    <t>CUADRO RESUMEN POR MULTAS</t>
  </si>
  <si>
    <t>MULTAS ACUMULADAS
[ Bs. ]</t>
  </si>
  <si>
    <t>DEL</t>
  </si>
  <si>
    <t>VALOR CAUCIONADO
[ Bs. ]</t>
  </si>
  <si>
    <t>PORCENTAJE DE LA BOLETA
( % )</t>
  </si>
  <si>
    <t>SUPERVISOR:</t>
  </si>
  <si>
    <t>FISCALIZACION:</t>
  </si>
  <si>
    <t>MONTO ACTUALIZADO A CAUCIONAR (Bs)</t>
  </si>
  <si>
    <t>AJUSTE POR DECIMALES</t>
  </si>
  <si>
    <t>TOTAL:</t>
  </si>
  <si>
    <t>AMORTIZACIÓN DE ANTICIPO [ - ]</t>
  </si>
  <si>
    <t>TELÉFONO/FAX:</t>
  </si>
  <si>
    <t>% DE AVANCE FÍSICO</t>
  </si>
  <si>
    <t>CRONOGRAMA DE DESEMBOLSOS</t>
  </si>
  <si>
    <t>CONTRATO MODIFICATORIO N° 1:</t>
  </si>
  <si>
    <t>AVANCE FINANCIERO</t>
  </si>
  <si>
    <t>INFORMACIÓN DE LOS BENEFICIARIOS SIGEP</t>
  </si>
  <si>
    <t>EMPRESA ESTRATÉGICA BOLIVIANA DE CONSTRUCCIÓN Y CONSERVACIÓN DE INFRAESTRUCTURA CIVIL (EBC)</t>
  </si>
  <si>
    <t>2244624 / 2242524</t>
  </si>
  <si>
    <t>EBC</t>
  </si>
  <si>
    <t>BANCO UNION S.A.</t>
  </si>
  <si>
    <t>RETENCION CUMPLIMIENTO DE CONTRATO</t>
  </si>
  <si>
    <t>E. B. C.</t>
  </si>
  <si>
    <t>Contratista</t>
  </si>
  <si>
    <t>PLANILLA DE AMORTIZACION DE ANTICIPO</t>
  </si>
  <si>
    <t>HAS</t>
  </si>
  <si>
    <t xml:space="preserve">Sub Total = </t>
  </si>
  <si>
    <t>PINTADO DE LA SUPERFICIE DE RODADURA 0.12 M DE ANCHO</t>
  </si>
  <si>
    <t>H*D</t>
  </si>
  <si>
    <t>V*M</t>
  </si>
  <si>
    <t>MEDIDAS DE MITIGACION AMBIENTAL</t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</si>
  <si>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1</t>
    </r>
  </si>
  <si>
    <t>MULTAS Y/O DEDUCCIONES/PENALIDADES HASTA LA FECHA</t>
  </si>
  <si>
    <t>RETENCION POR CUMPLIMIENTO DE CONTRATO  [ - ]</t>
  </si>
  <si>
    <t>Especialista en Suelos, Materiales y Geotecnia</t>
  </si>
  <si>
    <t>BONO DEL TESORO NO NEGOCIABLE Y RENOVABLE</t>
  </si>
  <si>
    <t>Estado Plurinacional de Bolivia (Tesoro General de la Nacion)</t>
  </si>
  <si>
    <t>MONTO A SER RETENIDO:</t>
  </si>
  <si>
    <t>PREFECTURA DEL DEPARTAMENTO DE ORURO</t>
  </si>
  <si>
    <t>INDICE</t>
  </si>
  <si>
    <t>ITEM:</t>
  </si>
  <si>
    <t>FINANCIAMIENTO:</t>
  </si>
  <si>
    <t>FISCAL:</t>
  </si>
  <si>
    <t>PROCESO DE REVISION Y APROBACION</t>
  </si>
  <si>
    <t>HOJA 1</t>
  </si>
  <si>
    <t xml:space="preserve">PROYECTO: </t>
  </si>
  <si>
    <t>MES - AÑO:</t>
  </si>
  <si>
    <t xml:space="preserve">CONTRATISTA:  </t>
  </si>
  <si>
    <t>No.</t>
  </si>
  <si>
    <t>OFICINA</t>
  </si>
  <si>
    <t>NOMBRE</t>
  </si>
  <si>
    <t>FIRMA</t>
  </si>
  <si>
    <t>FECHA Y HORA</t>
  </si>
  <si>
    <t>DEVUELTO</t>
  </si>
  <si>
    <t>RECEPCION</t>
  </si>
  <si>
    <t>DESPACHO</t>
  </si>
  <si>
    <t>SUPERVISION</t>
  </si>
  <si>
    <t>FISCALIZACIÓN</t>
  </si>
  <si>
    <t xml:space="preserve"> </t>
  </si>
  <si>
    <t>GERENCIA REGIONAL A.B.C.</t>
  </si>
  <si>
    <t>Monto Total a Retener</t>
  </si>
  <si>
    <t>Monto retenido hasta el mes anterior</t>
  </si>
  <si>
    <t>Monto restenido en el presente periodo</t>
  </si>
  <si>
    <t>Monto retenido a la fecha</t>
  </si>
  <si>
    <t>Saldo por Retener</t>
  </si>
  <si>
    <t>HOJA DE CONTENIDO</t>
  </si>
  <si>
    <t>Pag.</t>
  </si>
  <si>
    <t>NO CORRESPONDE</t>
  </si>
  <si>
    <t>ANEXOS</t>
  </si>
  <si>
    <t>INFORME DEL SUPERVISOR</t>
  </si>
  <si>
    <t>PERSONAL TÉCNICO CLAVE</t>
  </si>
  <si>
    <t>PLANILLA DE DOCUMENTOS DE GARANTÍA</t>
  </si>
  <si>
    <t>RESUMEN DE CANTIDADES</t>
  </si>
  <si>
    <t>CÓMPUTOS MÉTRICOS</t>
  </si>
  <si>
    <t>FOTOGRAFÍAS EXPLICATIVAS</t>
  </si>
  <si>
    <t>ORDEN DE PROCEDER</t>
  </si>
  <si>
    <t>COPIA DE LIBRO DE ORDENES</t>
  </si>
  <si>
    <t>POLIZA DE GARANTIA DE CORRECTA INVERSION DE ANTICIPO</t>
  </si>
  <si>
    <t xml:space="preserve"> SIGEP</t>
  </si>
  <si>
    <t>Monto desembolsado Anticipo</t>
  </si>
  <si>
    <t>ABC - REGIONAL TARIJA</t>
  </si>
  <si>
    <t>FISCAL DE OBRA</t>
  </si>
  <si>
    <t>CONSTRUCCION Y REHABILITACION TRAMO CARRETERO VILLA MONTES - LA VERTIENTE - PALO MARCADO</t>
  </si>
  <si>
    <t>ABC N° 818/19 GNT-SCT-OBR-TGN</t>
  </si>
  <si>
    <t>TARIJA - BOLIVIA</t>
  </si>
  <si>
    <t>DESBROCE, DESTRONQUE Y LIMPIEZA</t>
  </si>
  <si>
    <t xml:space="preserve">IMPRIMACION BITUMINOSA CALZADA Y BERMA -EJECUCION               </t>
  </si>
  <si>
    <t>RECONFORMACION DE CAPA BASE - CALZADA (E=20 CM)</t>
  </si>
  <si>
    <t>RECONFORMACION DE CAPA BASE - BERMAS (E=20 CM)</t>
  </si>
  <si>
    <t>TRANSPORTE DE CAPA BASE REMOVIDA DMT 12.70 KM</t>
  </si>
  <si>
    <t>REPOSICION DE CAPA BASE GRANULAR (CALZADA Y BERMAS)</t>
  </si>
  <si>
    <t>CONCRETO ASFALTICO CON POLIMEROS CALZADA - EJECUCION</t>
  </si>
  <si>
    <t xml:space="preserve">SUMINISTRO DE ASF. DILUIDO/EMULSION P/IMPRIMACION    </t>
  </si>
  <si>
    <t>SUMINISTRO DE CEMENTO ASFALTICO MODIFICADO C/ POLIMEROS P/CALZADA</t>
  </si>
  <si>
    <t>TON</t>
  </si>
  <si>
    <t>TRANSPORTE DE AGREGADOS PARA CARPETA ASFALTICA</t>
  </si>
  <si>
    <t>TRANSPORTE DE CAPA BASE (PUESTO UNO) DMT=29.30 KM</t>
  </si>
  <si>
    <t>PAVIMENTACION</t>
  </si>
  <si>
    <t>REHABILITACION Y MANTENIMIENTO</t>
  </si>
  <si>
    <t>SELLO DE FISURAS Y GRIETAS</t>
  </si>
  <si>
    <t>BACHEO SUPERFICIAL (E=5 CM)</t>
  </si>
  <si>
    <t>SUMINISTRO DE CEMENTO ASFALTICO CONVENCIONAL P/SELLO DE GRIETAS</t>
  </si>
  <si>
    <t>SUMINISTRO DE CEMENTO ASFALTICO CONVENCIONAL P/BACHEOS</t>
  </si>
  <si>
    <t>SELLO DOBLE SLURRY ESPESOR 12 MM</t>
  </si>
  <si>
    <t>SELLO SLURRY ESPESOR 6 MM (BERMAS)</t>
  </si>
  <si>
    <t>DESBROCE Y DESTRONQUE</t>
  </si>
  <si>
    <t>EXCAVACION PARA ESTRUCTURAS MENOSRES Y ALCANTARILLAS</t>
  </si>
  <si>
    <t>RELLENO ESTRUCTURAL</t>
  </si>
  <si>
    <t>HORMIGON SIMPLE TIPO "A" PARA OBRAS DE DRENAJE MENOR (FCK=210 KG/CM2)</t>
  </si>
  <si>
    <t>ACERO ESTRUCTURAL (FY=4200 KG/M2)</t>
  </si>
  <si>
    <t>HORMIGON SIMPLE TIPO "B" PARA OBRAS DE DRENAJE MENOR (FCK=180 KG/CM2)</t>
  </si>
  <si>
    <t>HORMIGON CICLOPEO PARA OBRAS DE DRENAJE MENOR</t>
  </si>
  <si>
    <t>PROVISION Y COLOCCION TUBERIA DE H°A° D=1000 MM</t>
  </si>
  <si>
    <t>HORMIGON SIMPLE TIPO "E" PARA OBRAS DE DRENAJE MENOR (FCK=110 KG/CM2)</t>
  </si>
  <si>
    <t>CUNETA LATERAL DE CORTE, REVESTIDA DE H°S° TIPO "C" (FCK=160 KG/CM2)</t>
  </si>
  <si>
    <t>CUNETA DE PIE DE TERRAPLEN H°S° TIPO "C" (FCK=160 KG/CM2)</t>
  </si>
  <si>
    <t>CUNETA EN BANQUINA EN CORTE Y TERRAPLEN H°S° TIPO "C" (FCK=160 KG/CM2)</t>
  </si>
  <si>
    <t>ZANJAS DE CORONAMIENTO DE H°S° TIPO "C" MENOR (FCK=160 KG/CM2)</t>
  </si>
  <si>
    <t>CORDON CUNETA H°S° TIPO C (FCK=160 KG/CM2)</t>
  </si>
  <si>
    <t>CUNETAS FALTANTES H°S° TIPO "C" (FCK=160 KG/CM2)</t>
  </si>
  <si>
    <t xml:space="preserve">SUBDREN LONGITUDINAL, INCLUYE EXCAVACION     </t>
  </si>
  <si>
    <t>PROVISION Y COLOCADO DE ALCANTARILLA ARMCO GALVANIZADA D=1.0 M E= 2 MM.</t>
  </si>
  <si>
    <t>EXCAVACION DE ENCAUCES Y CANALIZACIONES</t>
  </si>
  <si>
    <t xml:space="preserve">ESCOLLERADO CON PIEDRA ACOMODADA (E=0.20 M)           </t>
  </si>
  <si>
    <t>GAVIONES TIPO CAJON PARA OBRAS COMPLEMENTARIAS</t>
  </si>
  <si>
    <t>GAVIONES TIPO COLCHON PARA OBRAS COMPLEMENTARIAS 6X2X3</t>
  </si>
  <si>
    <t xml:space="preserve">CAPA DRENANTE                          </t>
  </si>
  <si>
    <t xml:space="preserve">ZAMPEADO DE PIEDRA C/MORTERO CEMENTO (E=0.30 M)       </t>
  </si>
  <si>
    <t xml:space="preserve">ESCOLLERADO CON PIEDRA ACOMODADA (E=0.60 M)           </t>
  </si>
  <si>
    <t>RELLENO Y COMPACTADO PARA OBRAS DE DRENAJE MENOR</t>
  </si>
  <si>
    <t>PROTECCIÓN DE TALUDES CON GEOMEMBRANA</t>
  </si>
  <si>
    <t>GEOTEXTIL 200</t>
  </si>
  <si>
    <t>GEOTEXTIL 150</t>
  </si>
  <si>
    <t>CONFORMACION DE SUELO CEMENTO</t>
  </si>
  <si>
    <t xml:space="preserve">TUBOS DE DRENAJE PVC  D=4"                             </t>
  </si>
  <si>
    <t>DEMOLICION DE ESTRUCTURAS DE HORMIGON SIMPLE</t>
  </si>
  <si>
    <t>DEMOLICION DE ESTRUCTURAS DE HORMIGON ARMADO</t>
  </si>
  <si>
    <t>DEMOLICION DE ESTRUCTURAS DE HORMIGON CICLOPEO</t>
  </si>
  <si>
    <t>DEMOLICION DE ESTRUCTURAS DE MAMPOSTERIA DE PIEDRA</t>
  </si>
  <si>
    <t>DEMOLICION DE ESTRUCTURAS DE ZAMPEADO DE PIEDRA</t>
  </si>
  <si>
    <t>REMOCION DE PAVIMENTO</t>
  </si>
  <si>
    <t>REMOCION DE ALCANTARILLA ARMCO GALVANIZADA D=1.0 E=2MM</t>
  </si>
  <si>
    <t>SELLADO DE JUNTAS Y GRIETAS CON MATERIAL BITUMINOSO E=15 MM</t>
  </si>
  <si>
    <t>RETIRO DE ESCOMBROS SOBREACARREO PARA D&gt;300 M</t>
  </si>
  <si>
    <t>SEÑALIZACION Y SEGURIDAD VIAL</t>
  </si>
  <si>
    <t xml:space="preserve">DEFENSAS LATERALES METALICAS, INCLUYE TERMINALES     </t>
  </si>
  <si>
    <t>PINTADO DE LA SUPERFICIE DE RODADURA 0.15 M DE ANCHO</t>
  </si>
  <si>
    <t>SEÑALIZACION HORIZONTAL CON SIMBOLOS Y LETRAS</t>
  </si>
  <si>
    <t xml:space="preserve">SENAL PREVENTIVA CUADRANGULAR (0.6 X 0.6 M)        </t>
  </si>
  <si>
    <t>UND</t>
  </si>
  <si>
    <t>SENAL REGLAMENTARIA OCTOGONAL "PARE" 0.6 M DE ALTURA</t>
  </si>
  <si>
    <t xml:space="preserve">SENAL REGLAMENTARIA TRIANGULAR "CEDA" 1.20 M DE LADO  </t>
  </si>
  <si>
    <t xml:space="preserve">SENAL REGLAMENTARIA (0.60 X 0.90 M)        </t>
  </si>
  <si>
    <t xml:space="preserve">SENAL INFORMATIVA  DE DESTINO 2.20 X 1.10M                </t>
  </si>
  <si>
    <t xml:space="preserve">SENAL INFORMATIVA  DE DESTINO 2.20 X 0.60M                </t>
  </si>
  <si>
    <t xml:space="preserve">SENAL INFORMATIVA  DE DESTINO 2.40 X 1.10M                </t>
  </si>
  <si>
    <t xml:space="preserve">SENAL INFORMATIVA  DE DESTINO 2.80 X 1.10M                </t>
  </si>
  <si>
    <t xml:space="preserve">SENAL INFORMATIVA  DE DESTINO 1.60X1.10M                </t>
  </si>
  <si>
    <t xml:space="preserve">SENAL INFORMATIVA  DE SERVICIO (0.50X0.50 M) </t>
  </si>
  <si>
    <t xml:space="preserve">TACHAS REFLECTIVAS BIDIRECCIONALES                    </t>
  </si>
  <si>
    <t>REMOCION DE SEÑALIZACION VERTICAL</t>
  </si>
  <si>
    <t>SERVICIOS PARA EL INGENIERO</t>
  </si>
  <si>
    <t xml:space="preserve">SERVICIO DE ALIMENTACION                             </t>
  </si>
  <si>
    <t>PROVISION DE VAGONETA DOBLE TRACCION</t>
  </si>
  <si>
    <t xml:space="preserve">PROVISION DE CAMIONETA DOBLE TRACCION, CABINA DOBLE </t>
  </si>
  <si>
    <t xml:space="preserve">MANTENIMIENTO, LUBRICANTES Y COMBUSTIBLE             </t>
  </si>
  <si>
    <t>ALQUILER DE OFICINAS  VIVIENDAS Y OTRAS INSTALACIONES</t>
  </si>
  <si>
    <t>GRUPO ELECTROGENO</t>
  </si>
  <si>
    <t>UN*DIA</t>
  </si>
  <si>
    <t>DESCRIPCION</t>
  </si>
  <si>
    <t>3</t>
  </si>
  <si>
    <t>1</t>
  </si>
  <si>
    <t>2</t>
  </si>
  <si>
    <t>GERENTE REGIONAL TARIJA - ABC</t>
  </si>
  <si>
    <t>GERENCIA REGIONAL TARIJA</t>
  </si>
  <si>
    <t>Anticipo de Obra (20%)</t>
  </si>
  <si>
    <t>PORCENTAJE (%)</t>
  </si>
  <si>
    <t>MES ANTERIOR (Bs.)</t>
  </si>
  <si>
    <t>PRESENTE MES (Bs.)</t>
  </si>
  <si>
    <t>ACUM. A LA FECHA (Bs.)</t>
  </si>
  <si>
    <t>RESTITUCION</t>
  </si>
  <si>
    <t>SALDO POR RESTITUIR
(Bs.)</t>
  </si>
  <si>
    <t>PLANILLA Nº</t>
  </si>
  <si>
    <t>ANTICIPO</t>
  </si>
  <si>
    <t>Ing. Hernan Vasquez Iriarte</t>
  </si>
  <si>
    <t>Ing. Casiano Nuñez Alave</t>
  </si>
  <si>
    <t>Especialista en Drenaje Vial e Hidrologia</t>
  </si>
  <si>
    <t>Especialista en Estructuras y Control y Calidad</t>
  </si>
  <si>
    <t>Ing. Jorge Tellez Pino</t>
  </si>
  <si>
    <t>Especialista Ambiental</t>
  </si>
  <si>
    <t>TGNEBC-G22D-1-19</t>
  </si>
  <si>
    <t>TGNEBC-G22E-1-19</t>
  </si>
  <si>
    <t>Ing. Marco Antonio Ortiz Tapia</t>
  </si>
  <si>
    <t>Caduca, posteriormente renovada</t>
  </si>
  <si>
    <t>PLANILLA DE DOCUMENTOS DE GARANTIA</t>
  </si>
  <si>
    <t xml:space="preserve">CERTIFICADO DE PAGO Nº </t>
  </si>
  <si>
    <t>TGN (70%) Gobierno Autonomo Reginal Gran Chaco (30%)</t>
  </si>
  <si>
    <t>Av. Brasil # 1636 Zona Miraflores, La Paz - Bolivia</t>
  </si>
  <si>
    <t>PLAZO ADICIONAL S/CONTRATO MODIFICATORIO N° 1:</t>
  </si>
  <si>
    <t>PERRIODO:</t>
  </si>
  <si>
    <t>PERIODO:</t>
  </si>
  <si>
    <t>SALDO TIEMPO PARA CONCLUSION DE OBRA:</t>
  </si>
  <si>
    <t>SALDO</t>
  </si>
  <si>
    <t>sep-19 a sep-20</t>
  </si>
  <si>
    <t>IMPORTE                 (Bs.)</t>
  </si>
  <si>
    <t>Sin Observaciones</t>
  </si>
  <si>
    <t>Ambos Lados</t>
  </si>
  <si>
    <t>ABC Nº 341/20 GTJ-MOD-TGN</t>
  </si>
  <si>
    <t xml:space="preserve">CONTRATO MOD. Nº1: </t>
  </si>
  <si>
    <t xml:space="preserve">CONTRATO : </t>
  </si>
  <si>
    <t>M2*M</t>
  </si>
  <si>
    <t>M3*KM</t>
  </si>
  <si>
    <t>PLAZO ADICIONAL S/CONTRATO MODIFICATORIO N° 2 (COVID-19):</t>
  </si>
  <si>
    <t>FECHA DE CONCLUSIÓN DE OBRA SEGÚN C.M. Nº 1:</t>
  </si>
  <si>
    <t>FECHA DE CONCLUSIÓN DE OBRA SEGÚN C.M. Nº 2:</t>
  </si>
  <si>
    <t>dic-20 a feb-21</t>
  </si>
  <si>
    <t>TESORO GENERAL DE LA NACION (70%)</t>
  </si>
  <si>
    <t>Tarija, ____ /___ /2021</t>
  </si>
  <si>
    <t>TGNEBC-G22F-1-19</t>
  </si>
  <si>
    <t>VIGENTE</t>
  </si>
  <si>
    <t>De dic-20 a feb-21</t>
  </si>
  <si>
    <t>Ambos Lados tramos (16+685 a 18+500) y (20+500 a 23+500)</t>
  </si>
  <si>
    <t>Ambos Lados tramos (23+500 a 26+500); (28+000 a 29+000) y (33+000 a 34+000)</t>
  </si>
  <si>
    <t>Ambos Lados tramos (18+500 a 20+500); (26+500 a 28+000) y (29+000 a 33+000)</t>
  </si>
  <si>
    <t>PORCENTAJES</t>
  </si>
  <si>
    <t>HOJA DE CONTROL</t>
  </si>
  <si>
    <t>*</t>
  </si>
  <si>
    <r>
      <t xml:space="preserve">GERENCIA A CARGO DEL PROYECTO:   </t>
    </r>
    <r>
      <rPr>
        <sz val="10"/>
        <rFont val="Arial"/>
        <family val="2"/>
      </rPr>
      <t>GERENCIA REGIONAL TARIJA</t>
    </r>
  </si>
  <si>
    <t>1a</t>
  </si>
  <si>
    <t>EXCAVACION COMUN</t>
  </si>
  <si>
    <t>1b</t>
  </si>
  <si>
    <t>TERRAPLEN CON MATERIAL DE PRESTAMO</t>
  </si>
  <si>
    <t>1c</t>
  </si>
  <si>
    <t>M3-KM</t>
  </si>
  <si>
    <t>11a</t>
  </si>
  <si>
    <t>REMOCIÓN DE MATERIAL DE CAPA BASE (e.= 20 cm)</t>
  </si>
  <si>
    <t>11b</t>
  </si>
  <si>
    <t>REMOCIÓN DE MATERIAL DE CAPA SUBBASE (e.= 25 cm)</t>
  </si>
  <si>
    <t>11c</t>
  </si>
  <si>
    <t>11d</t>
  </si>
  <si>
    <t>RECONFORMACION DE CAPA SUB-BASE</t>
  </si>
  <si>
    <t>11e</t>
  </si>
  <si>
    <t>11f</t>
  </si>
  <si>
    <t>57a</t>
  </si>
  <si>
    <t>LIMPIEZA DE ESCOMBROS EN CUNETAS, ZANJAS EXISTENTES</t>
  </si>
  <si>
    <t>SEGÚN  CONTRATO MODIFICATORIO Nº 3</t>
  </si>
  <si>
    <t>SEGÚN CONTRATO INICIAL</t>
  </si>
  <si>
    <t>SEGÚN MODIFICACIONES</t>
  </si>
  <si>
    <t>DOC/MOD</t>
  </si>
  <si>
    <t>ABRIL 2021</t>
  </si>
  <si>
    <t>SEPTIEMBRE 2020</t>
  </si>
  <si>
    <t>OCTUBRE 2020</t>
  </si>
  <si>
    <t>NOVIEMBRE 2020</t>
  </si>
  <si>
    <t>DICIEMBRE 2020, ENERO 2021 Y FEBRERO 2021</t>
  </si>
  <si>
    <t>MARZO 2021</t>
  </si>
  <si>
    <t>MAYO 2021</t>
  </si>
  <si>
    <t>JUNIO 2021</t>
  </si>
  <si>
    <t>JULIO 2021</t>
  </si>
  <si>
    <t>AGOSTO 2021</t>
  </si>
  <si>
    <t>SEPTIEMBRE 2021</t>
  </si>
  <si>
    <t>OCTUBRE 2021</t>
  </si>
  <si>
    <t>NOVIEMBRE 2021</t>
  </si>
  <si>
    <t>DICIEMBRE 2021</t>
  </si>
  <si>
    <t xml:space="preserve">CONTRATO MOD. Nº2: </t>
  </si>
  <si>
    <t>ABC Nº 255/21 GTJ-MOD-TGN</t>
  </si>
  <si>
    <t>MULTAS</t>
  </si>
  <si>
    <t>PROYECTO: CONSTRUCCION Y REHABILITACION TRAMO CARRETERO
VILLA MONTES - LA VERTIENTE - PALO MARCADO</t>
  </si>
  <si>
    <t>GOBIERNO AUTONOMO REGIONAL DEL GRAN CHACO (30%)</t>
  </si>
  <si>
    <t>Ing. Marco Antonio Ortiz Tapia
GERENTE REGIONAL
ABC - REGIONAL TARIJA</t>
  </si>
  <si>
    <t>CONTRATO MODIFICATORIO N° 2:</t>
  </si>
  <si>
    <t>CONTRATO MODIFICATORIO N° 3:</t>
  </si>
  <si>
    <t>FECHA DE CONCLUSIÓN DE OBRA SEGÚN C.M. Nº 3:</t>
  </si>
  <si>
    <t>PLAZO ADICIONAL S/CONTRATO MODIFICATORIO N° 3:</t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</si>
  <si>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2</t>
    </r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</si>
  <si>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3</t>
    </r>
    <r>
      <rPr>
        <sz val="11"/>
        <color theme="1"/>
        <rFont val="Calibri"/>
        <family val="2"/>
        <scheme val="minor"/>
      </rPr>
      <t/>
    </r>
  </si>
  <si>
    <t>ANCHO DE COLUMNA 33</t>
  </si>
  <si>
    <t>RETENCIÓN (7%) POR GARANTÍA CUMPLIMIENTO DE CONTRATO HASTA LA FECHA (H+I)</t>
  </si>
  <si>
    <t>RETENCIÓN (7%) POR GARANTÍA CUMPLIMIENTO DE CONTRATO ACUMULADA HASTA EL ANTERIOR PERIODO</t>
  </si>
  <si>
    <t>RETENCIÓN (7%) POR GARANTÍA CUMPLIMIENTO DE CONTRATO EN EL PRESENTE PERIODO</t>
  </si>
  <si>
    <t>DEVOLUCIÓN (20%) DE ANTICIPO HASTA LA FECHA (K+L)</t>
  </si>
  <si>
    <t>DEVOLUCIÓN (20%) DE ANTICIPO EN EL PRESENTE MES</t>
  </si>
  <si>
    <t>1-sep.-2021</t>
  </si>
  <si>
    <t>30-sep.-2021</t>
  </si>
  <si>
    <t>1-oct.-2021</t>
  </si>
  <si>
    <t>31-oct.-2021</t>
  </si>
  <si>
    <t>1-nov.-2021</t>
  </si>
  <si>
    <t>30-nov.-2021</t>
  </si>
  <si>
    <t>1-dic.-2021</t>
  </si>
  <si>
    <t>31-dic.-2021</t>
  </si>
  <si>
    <t>1-mar.-2022</t>
  </si>
  <si>
    <t>31-mar.-2022</t>
  </si>
  <si>
    <t>1-abr.-2022</t>
  </si>
  <si>
    <t>30-abr.-2022</t>
  </si>
  <si>
    <t>1-may.-2022</t>
  </si>
  <si>
    <t>31-may.-2022</t>
  </si>
  <si>
    <t>1-jun.-2022</t>
  </si>
  <si>
    <t>30-jun.-2022</t>
  </si>
  <si>
    <t>1-jul.-2022</t>
  </si>
  <si>
    <t>31-jul.-2022</t>
  </si>
  <si>
    <t>1-ago.-2022</t>
  </si>
  <si>
    <t>31-ago.-2022</t>
  </si>
  <si>
    <t>1-sep.-2022</t>
  </si>
  <si>
    <t>30-sep.-2022</t>
  </si>
  <si>
    <t>1-oct.-2022</t>
  </si>
  <si>
    <t>31-oct.-2022</t>
  </si>
  <si>
    <t>1-nov.-2022</t>
  </si>
  <si>
    <t>30-nov.-2022</t>
  </si>
  <si>
    <t>1-dic.-2022</t>
  </si>
  <si>
    <t>31-dic.-2022</t>
  </si>
  <si>
    <t>INIO</t>
  </si>
  <si>
    <t>FIN</t>
  </si>
  <si>
    <t>ENERO 2022</t>
  </si>
  <si>
    <t>FEBRERO 2022</t>
  </si>
  <si>
    <t>MARZO 2022</t>
  </si>
  <si>
    <t>ABRIL 2022</t>
  </si>
  <si>
    <t>MAYO 2022</t>
  </si>
  <si>
    <t>JUNIO 2022</t>
  </si>
  <si>
    <t>JULIO 2022</t>
  </si>
  <si>
    <t>AGOSTO 2022</t>
  </si>
  <si>
    <t>SEPTIEMBRE 2022</t>
  </si>
  <si>
    <t>OCTUBRE 2022</t>
  </si>
  <si>
    <t>NOVIEMBRE 2022</t>
  </si>
  <si>
    <t>DICIEMBRE 2022</t>
  </si>
  <si>
    <t>1-sep.-2020</t>
  </si>
  <si>
    <t>30-sep.-2020</t>
  </si>
  <si>
    <t>1-oct.-2020</t>
  </si>
  <si>
    <t>31-oct.-2020</t>
  </si>
  <si>
    <t>1-nov.-2020</t>
  </si>
  <si>
    <t>30-nov.-2020</t>
  </si>
  <si>
    <t>1-dic.-2020</t>
  </si>
  <si>
    <t>31-dic.-2020</t>
  </si>
  <si>
    <t>1-mar.-2021</t>
  </si>
  <si>
    <t>31-mar.-2021</t>
  </si>
  <si>
    <t>1-abr.-2021</t>
  </si>
  <si>
    <t>30-abr.-2021</t>
  </si>
  <si>
    <t>1-may.-2021</t>
  </si>
  <si>
    <t>31-may.-2021</t>
  </si>
  <si>
    <t>1-jun.-2021</t>
  </si>
  <si>
    <t>30-jun.-2021</t>
  </si>
  <si>
    <t>1-jul.-2021</t>
  </si>
  <si>
    <t>31-jul.-2021</t>
  </si>
  <si>
    <t>1-ago.-2021</t>
  </si>
  <si>
    <t>31-ago.-2021</t>
  </si>
  <si>
    <t>1-ene.-2022</t>
  </si>
  <si>
    <t>31-ene.-2022</t>
  </si>
  <si>
    <t>1-feb.-2022</t>
  </si>
  <si>
    <t>28-feb.-2022</t>
  </si>
  <si>
    <t>ANCHO DE COLUMNA 55 PUNTOS</t>
  </si>
  <si>
    <t>SUMINISTRO DE CEMENTO ASFALTICO CONVENCIONAL
P/SELLO DE GRIETAS</t>
  </si>
  <si>
    <t>CONSERVACIÓN DE INFRAESTRUCTURA CIVIL (EBC)</t>
  </si>
  <si>
    <t xml:space="preserve">EMPRESA ESTRATÉGICA BOLIVIANA DE CONSTRUCCIÓN Y </t>
  </si>
  <si>
    <t>Vehículo de Supervisión/Fiscalizacion</t>
  </si>
  <si>
    <t>Vivienda, Oficina, Comedor y Parqueo</t>
  </si>
  <si>
    <t>Ing. Dennys Marcel Arcienega Flores</t>
  </si>
  <si>
    <t>EMPRESA ESTRATÉGICA BOLIVIANA DE CONSTRUCCIÓN
Y CONSERVACIÓN DE INFRAESTRUCTURA CIVIL (EBC)</t>
  </si>
  <si>
    <t>Ing. Pedro Alberto Barreto Gutierrez</t>
  </si>
  <si>
    <t xml:space="preserve">GERENTE SUPERVISION TECNICA </t>
  </si>
  <si>
    <t>TGNEBC-G22G-1-19</t>
  </si>
  <si>
    <t>Estado Plurinacional de Bolivia (Tesoro General
de la Nacion)</t>
  </si>
  <si>
    <t>PLANILLA DE RETENCION DE 7 % POR
CUMPLIMIENTO DE CONTRATO</t>
  </si>
  <si>
    <t>ESTADO PLURINACIONAL DE BOLIVIA</t>
  </si>
  <si>
    <t>MINISTERIO DE OBRAS PÚBLICAS SERVICIOS Y VIVIENDA</t>
  </si>
  <si>
    <t>Tarija, ____ /____ /2021</t>
  </si>
  <si>
    <t>No Cuenta</t>
  </si>
  <si>
    <t>Ing. L. Enrique Valdez Nieto</t>
  </si>
  <si>
    <t>JEFE TECNICO</t>
  </si>
  <si>
    <t>Ing. Eyber Lopez Lopez</t>
  </si>
  <si>
    <t>Ing. Herlan Ramos Estrada</t>
  </si>
  <si>
    <t>INGENIERO RESPONSABLE DE TRAMO</t>
  </si>
  <si>
    <t>MONTO TOTAL S/CONTRATO INICIAL (Bs.):</t>
  </si>
  <si>
    <t>MULTAS ACUMULADAS A LA FECHA
[ Bs. ]</t>
  </si>
  <si>
    <t>MONTO ORIGINAL (Bs.) :</t>
  </si>
  <si>
    <t>MONTO S/CM Nº3 (Bs.) :</t>
  </si>
  <si>
    <t>MONTO TOTAL S/CM Nº 3 (Bs.):</t>
  </si>
  <si>
    <t>PERIODO DE CIERRE</t>
  </si>
  <si>
    <t>Remocion de capa base</t>
  </si>
  <si>
    <t>metros</t>
  </si>
  <si>
    <t>vol</t>
  </si>
  <si>
    <t>espesor</t>
  </si>
  <si>
    <t>long</t>
  </si>
  <si>
    <t>ancho</t>
  </si>
  <si>
    <t>TRANSPORTE DE MATERIAL HASTA 16,00 km</t>
  </si>
  <si>
    <t>REPOSICION DE CAPA SUB-BASE CON MATERIAL PROCESADO (CALZADA Y BERMAS)</t>
  </si>
  <si>
    <t>TRANSPORTE DE CAPA SUB-BASE REMOVIDA  HASTA 16,00 KM</t>
  </si>
  <si>
    <t>TRANSPORTE DE CAPA SUB-BASE PROCESADA HASTA 16,00 KM</t>
  </si>
  <si>
    <t>Restitucion de cantidades</t>
  </si>
  <si>
    <t>-</t>
  </si>
  <si>
    <t>Reconformacion de subbase e=0.25 m.</t>
  </si>
  <si>
    <t>Alimentacion Periodo Mayo 2021</t>
  </si>
  <si>
    <t>Alimentacion Periodo Junio 2021</t>
  </si>
  <si>
    <t>Alimentacion Periodo Julio 2021</t>
  </si>
  <si>
    <t>TGNEBC-G22H-1-19</t>
  </si>
  <si>
    <t xml:space="preserve">CONTRATO MOD. Nº3: </t>
  </si>
  <si>
    <t>ABC Nº 597/21 GTJ-MOD-TGN</t>
  </si>
  <si>
    <t>PERIODO DE CERTIFICACION:</t>
  </si>
  <si>
    <t>LONG.</t>
  </si>
  <si>
    <t>AREA</t>
  </si>
  <si>
    <t>VOLUMEN</t>
  </si>
  <si>
    <t>ANEXOS (CONTROL TECNOLOGICO)</t>
  </si>
  <si>
    <t>INFOME DE ACTIVIDADES Y GESTION DE CALIDAD</t>
  </si>
  <si>
    <t>Ing. Ernesto Vargas Amezaga</t>
  </si>
  <si>
    <t>SUPERINTENDENTE DE OBRA a.i.</t>
  </si>
  <si>
    <t>Superintendente de Obra a.i.</t>
  </si>
  <si>
    <t>Remocion de capa base, en los tramos (28+100 a 28+300; 29+200 a 29+500)</t>
  </si>
  <si>
    <t xml:space="preserve">Transporte de capa Subbase Removida de prog. 28+100 a 28+300 a Area Industrial </t>
  </si>
  <si>
    <t>Transporte de Subbase Procesada del Area Industrial  a prog. 28+100 a 28+300</t>
  </si>
  <si>
    <t>PLANILLA DE RETENCION DE CUMPLIMIENTO DE CONTRATO</t>
  </si>
  <si>
    <t>GARANTIA DE CORRECTA INVERSION DE ANTICIPO</t>
  </si>
  <si>
    <t>PÓLIZA DE SEGURO DE OBRA, CONTRA ACCIDENTES PERSONALES, RESPONSABILIDAD CIVIL</t>
  </si>
  <si>
    <t>CONTRATOS</t>
  </si>
  <si>
    <t>PLANILLA AMORTIZACIÓN DE ANTICIPO</t>
  </si>
  <si>
    <r>
      <t xml:space="preserve">Ing. L. Enrique Valdez Nieto
</t>
    </r>
    <r>
      <rPr>
        <sz val="7"/>
        <rFont val="Arial"/>
        <family val="2"/>
      </rPr>
      <t>INGENIERO RESPONSABLE DE TRAMO</t>
    </r>
    <r>
      <rPr>
        <sz val="8"/>
        <rFont val="Arial"/>
        <family val="2"/>
      </rPr>
      <t xml:space="preserve">
ABC - REGIONAL TARIJA</t>
    </r>
  </si>
  <si>
    <t>Ing.Jefferson Israel Alcoba Romero</t>
  </si>
  <si>
    <t>Limpieza de Cunetas tramos:
(33+950 a 34+200) Ambos Lados
y (34+450 a 34+600)LI</t>
  </si>
  <si>
    <t>Reposicion de subbase, en los tramos (28+100 a 28+300; 29+200 a 29+500)</t>
  </si>
  <si>
    <t>Reconformacion de subbase tramos: (25+300 a 28+100; 29+500 a 33+200).</t>
  </si>
  <si>
    <t>fecha inicio</t>
  </si>
  <si>
    <t>fecha final</t>
  </si>
  <si>
    <t>Movilizacion</t>
  </si>
  <si>
    <t>Ejecucion de obras</t>
  </si>
  <si>
    <t>adicional CM1</t>
  </si>
  <si>
    <t>adicional CM2</t>
  </si>
  <si>
    <t>adicional CM3</t>
  </si>
  <si>
    <t>Cierre</t>
  </si>
  <si>
    <t>Ejecucion de Contrato</t>
  </si>
  <si>
    <t>adicional CM4</t>
  </si>
  <si>
    <t>DESFASE</t>
  </si>
  <si>
    <t>S/CM 4</t>
  </si>
  <si>
    <t>TGNEBC-G22I-1-19</t>
  </si>
  <si>
    <t>MONTO DEL CONTRATO INICIAL [Bs]</t>
  </si>
  <si>
    <t>Remocion de capa base, tramo (40+300 a 40+350) lado izquierdo</t>
  </si>
  <si>
    <t>Reposicion de subbase, tramo (40+300 a 40+350) lado izquierdo</t>
  </si>
  <si>
    <t>Reconformacion de subbase tramos: (23+600 a 25+300; 33+200 a 33+800; 34+300 a 35+100; 35+800 a 36+900; 40+000 a 40+300; 40+300 a 40+350 LI; 40+350 a 41+200).</t>
  </si>
  <si>
    <t>Transporte de Subbase Procesada Area Industrial a prog. 40+300 a 40+350 LI</t>
  </si>
  <si>
    <t>Limpieza de Cunetas tramos:
(34+400 a 37+760) Ambos Lados</t>
  </si>
  <si>
    <t>Alimentacion Periodo Septiembre 2021</t>
  </si>
  <si>
    <t>Alimentacion Periodo Agosto 2021</t>
  </si>
  <si>
    <t>HASTA FIN 2021</t>
  </si>
  <si>
    <t xml:space="preserve">              -  </t>
  </si>
  <si>
    <t>1. MOVIMIENTO DE TIERRAS</t>
  </si>
  <si>
    <t>CM 3</t>
  </si>
  <si>
    <t>2. PAVIMENTACION</t>
  </si>
  <si>
    <t>3. REHABILITACION Y MANTENIMIENTO</t>
  </si>
  <si>
    <t>4. OBRAS DE DRENAJE</t>
  </si>
  <si>
    <t>5. SEÑALIZACION Y SEGURIDAD VIAL</t>
  </si>
  <si>
    <t>6. MEDIDAS DE MITIGACION AMBIENTAL</t>
  </si>
  <si>
    <t>7. SERVICIOS PARA EL INGENIERO</t>
  </si>
  <si>
    <t xml:space="preserve">ESTADO DE SITUACIÓN FÍSICA-FINANCIERA DEL PROYECTO: CONSTRUCCION Y REHABILITACION TRAMO CARRETERO VILLA MONTES – LA VERTIENTE – PALO MARCADO </t>
  </si>
  <si>
    <t xml:space="preserve">AL 15 DE OCTUBRE DE 2021 </t>
  </si>
  <si>
    <t xml:space="preserve"> CONTRATO OFICIAL MONTO</t>
  </si>
  <si>
    <t>CONTRATO MODIFICATORIO N° 3 MONTO</t>
  </si>
  <si>
    <t>HASTA LA FECHA 15 DE OCTUBRE MONTO</t>
  </si>
  <si>
    <t>HASTA FINAL 2021 MONTO</t>
  </si>
  <si>
    <t>SALDOS MONTO PARA 2022</t>
  </si>
  <si>
    <t>7</t>
  </si>
  <si>
    <t>6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</si>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</sst>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1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  <numFmt numFmtId="166" formatCode="_ * #,##0.00_ ;_ * \-#,##0.00_ ;_ * &quot;-&quot;??_ ;_ @_ "/>
    <numFmt numFmtId="167" formatCode="#,###.0"/>
    <numFmt numFmtId="168" formatCode="_([$€]* #,##0.00_);_([$€]* \(#,##0.00\);_([$€]* &quot;-&quot;??_);_(@_)"/>
    <numFmt numFmtId="169" formatCode="_-* #,##0.000\ _€_-;\-* #,##0.000\ _€_-;_-* &quot;-&quot;??\ _€_-;_-@_-"/>
    <numFmt numFmtId="170" formatCode="#,##0\ &quot;d.c.&quot;;[Red]\-#,##0\ &quot;$us&quot;"/>
    <numFmt numFmtId="171" formatCode="#.##0,"/>
    <numFmt numFmtId="172" formatCode="mmmm\ \-\ yyyy"/>
    <numFmt numFmtId="173" formatCode="0\+000"/>
    <numFmt numFmtId="174" formatCode="&quot;Bs.  &quot;#,##0.00"/>
    <numFmt numFmtId="175" formatCode="_ * #,##0.00_ ;_ * \-#,##0.0_ ;_ * &quot;-&quot;??_ ;_ @_ "/>
    <numFmt numFmtId="176" formatCode="#,##0.00&quot;   &quot;"/>
    <numFmt numFmtId="177" formatCode="General_)"/>
    <numFmt numFmtId="178" formatCode="&quot;Son.  &quot;#,##0.00"/>
    <numFmt numFmtId="179" formatCode="[$-400A]d&quot; de &quot;mmmm&quot; de &quot;yyyy;@"/>
    <numFmt numFmtId="180" formatCode="_-* #,##0.0000_-;\-* #,##0.0000_-;_-* &quot;-&quot;??_-;_-@_-"/>
    <numFmt numFmtId="181" formatCode="#,##0.00000000"/>
    <numFmt numFmtId="182" formatCode="#,##0.00_ ;[Red]\-#,##0.00\ "/>
    <numFmt numFmtId="183" formatCode="#,##0.000000"/>
    <numFmt numFmtId="184" formatCode="0.0000"/>
    <numFmt numFmtId="185" formatCode="_ * #,##0.0000000_ ;_ * \-#,##0.0000000_ ;_ * &quot;-&quot;??_ ;_ @_ "/>
    <numFmt numFmtId="186" formatCode="#,##0_ ;[Red]\-#,##0\ "/>
    <numFmt numFmtId="187" formatCode="0.000"/>
    <numFmt numFmtId="188" formatCode="_(* #,##0.0000_);_(* \(#,##0.0000\);_(* &quot;-&quot;??_);_(@_)"/>
    <numFmt numFmtId="189" formatCode="&quot;CERTIFICADO DE PAGO: No. &quot;0\ "/>
    <numFmt numFmtId="190" formatCode="&quot;CERTIFICADO DE PAGO: No. &quot;"/>
    <numFmt numFmtId="191" formatCode="&quot;AL&quot;\ [$-C0A]d\ &quot;de&quot;\ mmmm\ &quot;de&quot;\ yyyy;@"/>
    <numFmt numFmtId="192" formatCode="#,##0\ &quot;Días Calendario&quot;;"/>
    <numFmt numFmtId="193" formatCode="dd\-mmm\-yyyy"/>
    <numFmt numFmtId="194" formatCode="0.0000000000"/>
    <numFmt numFmtId="195" formatCode="[$-C0A]d\-mmm\-yyyy;@"/>
    <numFmt numFmtId="196" formatCode="mmm\.\-yy"/>
    <numFmt numFmtId="197" formatCode="_ * #,##0.000_ ;_ * \-#,##0.00_ ;_ * &quot;-&quot;??_ ;_ @_ "/>
    <numFmt numFmtId="198" formatCode="[$-C0A]dd\-mmm\-yy;@"/>
    <numFmt numFmtId="199" formatCode="dd/mm/yyyy;@"/>
    <numFmt numFmtId="200" formatCode="_ * #,##0.0000_ ;_ * \-#,##0.0000_ ;_ * &quot;-&quot;??_ ;_ @_ "/>
    <numFmt numFmtId="201" formatCode="#,##0.0000000000000000000000000"/>
    <numFmt numFmtId="202" formatCode="0.000000%"/>
    <numFmt numFmtId="203" formatCode="0.0%"/>
  </numFmts>
  <fonts count="14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GeoSlab703 Lt BT"/>
    </font>
    <font>
      <i/>
      <sz val="1"/>
      <color indexed="8"/>
      <name val="Courier"/>
      <family val="3"/>
    </font>
    <font>
      <sz val="11"/>
      <color indexed="20"/>
      <name val="Calibri"/>
      <family val="2"/>
    </font>
    <font>
      <sz val="10"/>
      <name val="Arial"/>
      <family val="2"/>
    </font>
    <font>
      <sz val="10"/>
      <name val="AvantGarde Bk BT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i/>
      <sz val="11"/>
      <name val="Arial Narrow"/>
      <family val="2"/>
    </font>
    <font>
      <sz val="9"/>
      <name val="Arial Narrow"/>
      <family val="2"/>
    </font>
    <font>
      <b/>
      <i/>
      <sz val="28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i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Bookman Old Style"/>
      <family val="1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u/>
      <sz val="10"/>
      <color theme="10"/>
      <name val="Arial"/>
      <family val="2"/>
    </font>
    <font>
      <sz val="9"/>
      <name val="Arial MT"/>
    </font>
    <font>
      <b/>
      <sz val="14"/>
      <name val="Arial Narrow"/>
      <family val="2"/>
    </font>
    <font>
      <b/>
      <sz val="10"/>
      <color indexed="8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 Narrow"/>
      <family val="2"/>
    </font>
    <font>
      <sz val="9"/>
      <color indexed="8"/>
      <name val="Arial Narrow"/>
      <family val="2"/>
    </font>
    <font>
      <b/>
      <sz val="36"/>
      <name val="Arial Narrow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1"/>
      <name val="Arial Narrow"/>
      <family val="2"/>
    </font>
    <font>
      <sz val="36"/>
      <color rgb="FFFF0000"/>
      <name val="Arial Narrow"/>
      <family val="2"/>
    </font>
    <font>
      <sz val="10"/>
      <color rgb="FFFF0000"/>
      <name val="Arial Narrow"/>
      <family val="2"/>
    </font>
    <font>
      <b/>
      <sz val="10"/>
      <color indexed="9"/>
      <name val="Arial Narrow"/>
      <family val="2"/>
    </font>
    <font>
      <sz val="10"/>
      <color indexed="57"/>
      <name val="Arial Narrow"/>
      <family val="2"/>
    </font>
    <font>
      <sz val="10"/>
      <color indexed="10"/>
      <name val="Arial Narrow"/>
      <family val="2"/>
    </font>
    <font>
      <sz val="10"/>
      <color indexed="12"/>
      <name val="Arial Narrow"/>
      <family val="2"/>
    </font>
    <font>
      <sz val="10"/>
      <color indexed="49"/>
      <name val="Arial Narrow"/>
      <family val="2"/>
    </font>
    <font>
      <sz val="9"/>
      <color theme="1"/>
      <name val="Arial Narrow"/>
      <family val="2"/>
    </font>
    <font>
      <u/>
      <sz val="5.6"/>
      <color theme="10"/>
      <name val="Arial"/>
      <family val="2"/>
    </font>
    <font>
      <b/>
      <sz val="11"/>
      <color indexed="8"/>
      <name val="Arial Narrow"/>
      <family val="2"/>
    </font>
    <font>
      <sz val="24"/>
      <name val="Arial Narrow"/>
      <family val="2"/>
    </font>
    <font>
      <sz val="8.5"/>
      <name val="Arial Narrow"/>
      <family val="2"/>
    </font>
    <font>
      <b/>
      <sz val="10"/>
      <color theme="1"/>
      <name val="Arial Narrow"/>
      <family val="2"/>
    </font>
    <font>
      <sz val="9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b/>
      <sz val="1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11"/>
      <name val="Calibri"/>
      <family val="2"/>
    </font>
    <font>
      <b/>
      <i/>
      <sz val="24"/>
      <name val="Cooper Black"/>
      <family val="1"/>
    </font>
    <font>
      <sz val="11"/>
      <color theme="1"/>
      <name val="Arial"/>
      <family val="2"/>
    </font>
    <font>
      <b/>
      <sz val="8"/>
      <color theme="0"/>
      <name val="Arial Narrow"/>
      <family val="2"/>
    </font>
    <font>
      <sz val="10"/>
      <name val="Century Gothic"/>
      <family val="2"/>
    </font>
    <font>
      <b/>
      <i/>
      <sz val="20"/>
      <name val="Century Gothic"/>
      <family val="2"/>
    </font>
    <font>
      <b/>
      <i/>
      <sz val="16"/>
      <name val="Century Gothic"/>
      <family val="2"/>
    </font>
    <font>
      <b/>
      <i/>
      <sz val="14"/>
      <name val="Century Gothic"/>
      <family val="2"/>
    </font>
    <font>
      <b/>
      <i/>
      <sz val="21"/>
      <name val="Century Gothic"/>
      <family val="2"/>
    </font>
    <font>
      <i/>
      <sz val="11"/>
      <name val="Century Gothic"/>
      <family val="2"/>
    </font>
    <font>
      <sz val="9"/>
      <color rgb="FF002060"/>
      <name val="Arial Narrow"/>
      <family val="2"/>
    </font>
    <font>
      <b/>
      <sz val="9"/>
      <color rgb="FF002060"/>
      <name val="Arial Narrow"/>
      <family val="2"/>
    </font>
    <font>
      <b/>
      <sz val="11"/>
      <color theme="1"/>
      <name val="Arial"/>
      <family val="2"/>
    </font>
    <font>
      <b/>
      <sz val="12"/>
      <color theme="4" tint="-0.249977111117893"/>
      <name val="Arial"/>
      <family val="2"/>
    </font>
    <font>
      <sz val="10"/>
      <color theme="1"/>
      <name val="Arial Narrow"/>
      <family val="2"/>
    </font>
    <font>
      <b/>
      <sz val="8.5"/>
      <name val="Arial Narrow"/>
      <family val="2"/>
    </font>
    <font>
      <b/>
      <sz val="10"/>
      <color theme="3"/>
      <name val="Arial Narrow"/>
      <family val="2"/>
    </font>
    <font>
      <sz val="8"/>
      <color indexed="8"/>
      <name val="Arial Narrow"/>
      <family val="2"/>
    </font>
    <font>
      <b/>
      <sz val="12"/>
      <color theme="0"/>
      <name val="Arial"/>
      <family val="2"/>
    </font>
    <font>
      <b/>
      <sz val="8"/>
      <name val="Arial"/>
      <family val="2"/>
    </font>
    <font>
      <b/>
      <sz val="9"/>
      <color theme="0"/>
      <name val="Arial"/>
      <family val="2"/>
    </font>
    <font>
      <b/>
      <i/>
      <sz val="22"/>
      <name val="Century Gothic"/>
      <family val="2"/>
    </font>
    <font>
      <b/>
      <i/>
      <sz val="24"/>
      <name val="Century Gothic"/>
      <family val="2"/>
    </font>
    <font>
      <b/>
      <i/>
      <sz val="11"/>
      <name val="Century Gothic"/>
      <family val="2"/>
    </font>
    <font>
      <b/>
      <i/>
      <sz val="12"/>
      <name val="Arial Narrow"/>
      <family val="2"/>
    </font>
    <font>
      <b/>
      <sz val="10"/>
      <color theme="0" tint="-0.34998626667073579"/>
      <name val="Arial Narrow"/>
      <family val="2"/>
    </font>
    <font>
      <b/>
      <u/>
      <sz val="12"/>
      <name val="Arial"/>
      <family val="2"/>
    </font>
    <font>
      <b/>
      <i/>
      <sz val="9"/>
      <name val="Arial"/>
      <family val="2"/>
    </font>
    <font>
      <b/>
      <sz val="13"/>
      <name val="Arial"/>
      <family val="2"/>
    </font>
    <font>
      <b/>
      <i/>
      <sz val="9"/>
      <name val="Arial Narrow"/>
      <family val="2"/>
    </font>
    <font>
      <i/>
      <sz val="9"/>
      <name val="Arial Narrow"/>
      <family val="2"/>
    </font>
    <font>
      <b/>
      <sz val="8"/>
      <name val="Calibri"/>
      <family val="2"/>
      <scheme val="minor"/>
    </font>
    <font>
      <b/>
      <sz val="14"/>
      <name val="Arial Black"/>
      <family val="2"/>
    </font>
    <font>
      <sz val="10.5"/>
      <name val="Arial"/>
      <family val="2"/>
    </font>
    <font>
      <b/>
      <sz val="9"/>
      <name val="Arial Black"/>
      <family val="2"/>
    </font>
    <font>
      <sz val="9"/>
      <name val="Arial Black"/>
      <family val="2"/>
    </font>
    <font>
      <b/>
      <sz val="11"/>
      <name val="Arial"/>
      <family val="2"/>
    </font>
    <font>
      <sz val="10"/>
      <color theme="0" tint="-0.34998626667073579"/>
      <name val="Arial Narrow"/>
      <family val="2"/>
    </font>
    <font>
      <b/>
      <sz val="6"/>
      <name val="Arial Narrow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2"/>
      <color rgb="FFFF0000"/>
      <name val="Arial Narrow"/>
      <family val="2"/>
    </font>
    <font>
      <sz val="12"/>
      <color rgb="FF002060"/>
      <name val="Arial Narrow"/>
      <family val="2"/>
    </font>
    <font>
      <b/>
      <sz val="12"/>
      <color rgb="FF002060"/>
      <name val="Arial Narrow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sz val="9"/>
      <color rgb="FFFF0000"/>
      <name val="Arial Narrow"/>
      <family val="2"/>
    </font>
    <font>
      <b/>
      <sz val="9"/>
      <color rgb="FF002060"/>
      <name val="Arial"/>
      <family val="2"/>
    </font>
    <font>
      <b/>
      <sz val="9"/>
      <color theme="1"/>
      <name val="Arial Narrow"/>
      <family val="2"/>
    </font>
    <font>
      <b/>
      <sz val="8"/>
      <color theme="1"/>
      <name val="Century Gothic"/>
      <family val="2"/>
    </font>
    <font>
      <b/>
      <sz val="8"/>
      <name val="Century Gothic"/>
      <family val="2"/>
    </font>
    <font>
      <b/>
      <sz val="8"/>
      <color rgb="FF002060"/>
      <name val="Century Gothic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874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4" borderId="0" applyNumberFormat="0" applyBorder="0" applyAlignment="0" applyProtection="0"/>
    <xf numFmtId="0" fontId="17" fillId="16" borderId="1" applyNumberFormat="0" applyAlignment="0" applyProtection="0"/>
    <xf numFmtId="0" fontId="18" fillId="17" borderId="2" applyNumberFormat="0" applyAlignment="0" applyProtection="0"/>
    <xf numFmtId="0" fontId="19" fillId="0" borderId="3" applyNumberFormat="0" applyFill="0" applyAlignment="0" applyProtection="0"/>
    <xf numFmtId="165" fontId="14" fillId="0" borderId="0" applyFont="0" applyFill="0" applyBorder="0" applyAlignment="0" applyProtection="0"/>
    <xf numFmtId="0" fontId="20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22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21" borderId="0" applyNumberFormat="0" applyBorder="0" applyAlignment="0" applyProtection="0"/>
    <xf numFmtId="0" fontId="23" fillId="7" borderId="1" applyNumberFormat="0" applyAlignment="0" applyProtection="0"/>
    <xf numFmtId="168" fontId="24" fillId="0" borderId="0" applyFont="0" applyFill="0" applyBorder="0" applyAlignment="0" applyProtection="0"/>
    <xf numFmtId="171" fontId="20" fillId="0" borderId="0">
      <protection locked="0"/>
    </xf>
    <xf numFmtId="171" fontId="20" fillId="0" borderId="0">
      <protection locked="0"/>
    </xf>
    <xf numFmtId="171" fontId="25" fillId="0" borderId="0">
      <protection locked="0"/>
    </xf>
    <xf numFmtId="171" fontId="20" fillId="0" borderId="0">
      <protection locked="0"/>
    </xf>
    <xf numFmtId="171" fontId="20" fillId="0" borderId="0">
      <protection locked="0"/>
    </xf>
    <xf numFmtId="171" fontId="20" fillId="0" borderId="0">
      <protection locked="0"/>
    </xf>
    <xf numFmtId="171" fontId="20" fillId="0" borderId="0">
      <protection locked="0"/>
    </xf>
    <xf numFmtId="0" fontId="20" fillId="0" borderId="0">
      <protection locked="0"/>
    </xf>
    <xf numFmtId="4" fontId="20" fillId="0" borderId="0">
      <protection locked="0"/>
    </xf>
    <xf numFmtId="0" fontId="26" fillId="3" borderId="0" applyNumberFormat="0" applyBorder="0" applyAlignment="0" applyProtection="0"/>
    <xf numFmtId="165" fontId="27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20" fillId="0" borderId="0">
      <protection locked="0"/>
    </xf>
    <xf numFmtId="0" fontId="29" fillId="22" borderId="0" applyNumberFormat="0" applyBorder="0" applyAlignment="0" applyProtection="0"/>
    <xf numFmtId="0" fontId="30" fillId="0" borderId="0"/>
    <xf numFmtId="0" fontId="28" fillId="0" borderId="0"/>
    <xf numFmtId="0" fontId="14" fillId="0" borderId="0"/>
    <xf numFmtId="0" fontId="14" fillId="0" borderId="0"/>
    <xf numFmtId="0" fontId="14" fillId="0" borderId="0"/>
    <xf numFmtId="0" fontId="30" fillId="0" borderId="0"/>
    <xf numFmtId="0" fontId="27" fillId="23" borderId="4" applyNumberFormat="0" applyFont="0" applyAlignment="0" applyProtection="0"/>
    <xf numFmtId="9" fontId="1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31" fillId="16" borderId="5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6" applyNumberFormat="0" applyFill="0" applyAlignment="0" applyProtection="0"/>
    <xf numFmtId="0" fontId="36" fillId="0" borderId="7" applyNumberFormat="0" applyFill="0" applyAlignment="0" applyProtection="0"/>
    <xf numFmtId="0" fontId="22" fillId="0" borderId="8" applyNumberFormat="0" applyFill="0" applyAlignment="0" applyProtection="0"/>
    <xf numFmtId="0" fontId="37" fillId="0" borderId="9" applyNumberFormat="0" applyFill="0" applyAlignment="0" applyProtection="0"/>
    <xf numFmtId="0" fontId="30" fillId="0" borderId="0"/>
    <xf numFmtId="0" fontId="3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21" borderId="0" applyNumberFormat="0" applyBorder="0" applyAlignment="0" applyProtection="0"/>
    <xf numFmtId="0" fontId="26" fillId="3" borderId="0" applyNumberFormat="0" applyBorder="0" applyAlignment="0" applyProtection="0"/>
    <xf numFmtId="0" fontId="17" fillId="16" borderId="1" applyNumberFormat="0" applyAlignment="0" applyProtection="0"/>
    <xf numFmtId="0" fontId="18" fillId="17" borderId="2" applyNumberFormat="0" applyAlignment="0" applyProtection="0"/>
    <xf numFmtId="0" fontId="33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35" fillId="0" borderId="6" applyNumberFormat="0" applyFill="0" applyAlignment="0" applyProtection="0"/>
    <xf numFmtId="0" fontId="36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1" applyNumberFormat="0" applyAlignment="0" applyProtection="0"/>
    <xf numFmtId="0" fontId="19" fillId="0" borderId="3" applyNumberFormat="0" applyFill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30" fillId="0" borderId="0"/>
    <xf numFmtId="0" fontId="3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0"/>
    <xf numFmtId="0" fontId="30" fillId="23" borderId="4" applyNumberFormat="0" applyFont="0" applyAlignment="0" applyProtection="0"/>
    <xf numFmtId="0" fontId="31" fillId="16" borderId="5" applyNumberFormat="0" applyAlignment="0" applyProtection="0"/>
    <xf numFmtId="0" fontId="3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/>
    <xf numFmtId="0" fontId="53" fillId="0" borderId="0" applyNumberFormat="0" applyFill="0" applyBorder="0" applyAlignment="0" applyProtection="0"/>
    <xf numFmtId="0" fontId="30" fillId="0" borderId="0"/>
    <xf numFmtId="0" fontId="30" fillId="0" borderId="0"/>
    <xf numFmtId="166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77" fontId="54" fillId="0" borderId="0"/>
    <xf numFmtId="0" fontId="12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8" fillId="17" borderId="70" applyNumberFormat="0" applyAlignment="0" applyProtection="0"/>
    <xf numFmtId="0" fontId="18" fillId="17" borderId="70" applyNumberFormat="0" applyAlignment="0" applyProtection="0"/>
    <xf numFmtId="0" fontId="18" fillId="17" borderId="70" applyNumberFormat="0" applyAlignment="0" applyProtection="0"/>
    <xf numFmtId="0" fontId="18" fillId="17" borderId="70" applyNumberFormat="0" applyAlignment="0" applyProtection="0"/>
    <xf numFmtId="0" fontId="18" fillId="17" borderId="70" applyNumberFormat="0" applyAlignment="0" applyProtection="0"/>
    <xf numFmtId="0" fontId="18" fillId="17" borderId="70" applyNumberFormat="0" applyAlignment="0" applyProtection="0"/>
    <xf numFmtId="0" fontId="18" fillId="17" borderId="70" applyNumberFormat="0" applyAlignment="0" applyProtection="0"/>
    <xf numFmtId="0" fontId="18" fillId="17" borderId="70" applyNumberFormat="0" applyAlignment="0" applyProtection="0"/>
    <xf numFmtId="0" fontId="18" fillId="17" borderId="70" applyNumberFormat="0" applyAlignment="0" applyProtection="0"/>
    <xf numFmtId="0" fontId="18" fillId="17" borderId="70" applyNumberFormat="0" applyAlignment="0" applyProtection="0"/>
    <xf numFmtId="0" fontId="18" fillId="17" borderId="70" applyNumberFormat="0" applyAlignment="0" applyProtection="0"/>
    <xf numFmtId="0" fontId="18" fillId="17" borderId="70" applyNumberFormat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3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8" fillId="0" borderId="0"/>
    <xf numFmtId="0" fontId="38" fillId="0" borderId="0"/>
    <xf numFmtId="0" fontId="3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2" fillId="0" borderId="0"/>
    <xf numFmtId="0" fontId="12" fillId="0" borderId="0"/>
    <xf numFmtId="0" fontId="30" fillId="0" borderId="0"/>
    <xf numFmtId="0" fontId="30" fillId="0" borderId="0"/>
    <xf numFmtId="0" fontId="12" fillId="0" borderId="0"/>
    <xf numFmtId="0" fontId="12" fillId="0" borderId="0"/>
    <xf numFmtId="0" fontId="30" fillId="0" borderId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9" fontId="3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7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7" fillId="0" borderId="0"/>
    <xf numFmtId="0" fontId="27" fillId="0" borderId="0"/>
    <xf numFmtId="0" fontId="6" fillId="0" borderId="0"/>
    <xf numFmtId="0" fontId="5" fillId="0" borderId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28" fillId="0" borderId="0" applyFont="0" applyFill="0" applyBorder="0" applyAlignment="0" applyProtection="0"/>
  </cellStyleXfs>
  <cellXfs count="1969">
    <xf numFmtId="0" fontId="0" fillId="0" borderId="0" xfId="0"/>
    <xf numFmtId="0" fontId="45" fillId="24" borderId="0" xfId="56" applyFont="1" applyFill="1" applyAlignment="1">
      <alignment vertical="center"/>
    </xf>
    <xf numFmtId="0" fontId="45" fillId="24" borderId="0" xfId="56" applyFont="1" applyFill="1" applyAlignment="1">
      <alignment horizontal="center" vertical="center"/>
    </xf>
    <xf numFmtId="167" fontId="45" fillId="0" borderId="10" xfId="52" applyNumberFormat="1" applyFont="1" applyFill="1" applyBorder="1" applyAlignment="1" applyProtection="1">
      <alignment horizontal="center" vertical="center" wrapText="1"/>
      <protection locked="0"/>
    </xf>
    <xf numFmtId="167" fontId="45" fillId="0" borderId="13" xfId="52" applyNumberFormat="1" applyFont="1" applyFill="1" applyBorder="1" applyAlignment="1" applyProtection="1">
      <alignment horizontal="center" vertical="center" wrapText="1"/>
      <protection locked="0"/>
    </xf>
    <xf numFmtId="0" fontId="45" fillId="0" borderId="0" xfId="52" applyFont="1" applyFill="1" applyBorder="1" applyAlignment="1">
      <alignment vertical="center" wrapText="1"/>
    </xf>
    <xf numFmtId="0" fontId="45" fillId="0" borderId="0" xfId="52" applyFont="1" applyFill="1" applyBorder="1" applyAlignment="1">
      <alignment horizontal="center" vertical="center" wrapText="1"/>
    </xf>
    <xf numFmtId="164" fontId="45" fillId="0" borderId="0" xfId="47" applyFont="1" applyFill="1" applyBorder="1" applyAlignment="1">
      <alignment horizontal="right" vertical="center" wrapText="1"/>
    </xf>
    <xf numFmtId="164" fontId="45" fillId="24" borderId="0" xfId="47" applyFont="1" applyFill="1" applyBorder="1" applyAlignment="1">
      <alignment horizontal="right" vertical="center"/>
    </xf>
    <xf numFmtId="164" fontId="45" fillId="24" borderId="0" xfId="47" applyNumberFormat="1" applyFont="1" applyFill="1" applyBorder="1" applyAlignment="1">
      <alignment horizontal="right" vertical="center"/>
    </xf>
    <xf numFmtId="169" fontId="45" fillId="24" borderId="0" xfId="47" applyNumberFormat="1" applyFont="1" applyFill="1" applyBorder="1" applyAlignment="1">
      <alignment horizontal="right" vertical="center"/>
    </xf>
    <xf numFmtId="164" fontId="45" fillId="24" borderId="14" xfId="47" applyNumberFormat="1" applyFont="1" applyFill="1" applyBorder="1" applyAlignment="1">
      <alignment horizontal="right" vertical="center"/>
    </xf>
    <xf numFmtId="0" fontId="45" fillId="24" borderId="0" xfId="56" applyFont="1" applyFill="1" applyBorder="1" applyAlignment="1">
      <alignment vertical="center"/>
    </xf>
    <xf numFmtId="0" fontId="45" fillId="0" borderId="0" xfId="52" applyFont="1" applyFill="1" applyBorder="1" applyAlignment="1">
      <alignment horizontal="right" vertical="center" wrapText="1"/>
    </xf>
    <xf numFmtId="0" fontId="45" fillId="24" borderId="0" xfId="56" applyFont="1" applyFill="1" applyBorder="1" applyAlignment="1">
      <alignment horizontal="right" vertical="center"/>
    </xf>
    <xf numFmtId="0" fontId="45" fillId="24" borderId="14" xfId="56" applyFont="1" applyFill="1" applyBorder="1" applyAlignment="1">
      <alignment horizontal="right" vertical="center"/>
    </xf>
    <xf numFmtId="0" fontId="45" fillId="24" borderId="0" xfId="56" applyFont="1" applyFill="1" applyAlignment="1">
      <alignment horizontal="right" vertical="center"/>
    </xf>
    <xf numFmtId="43" fontId="45" fillId="0" borderId="27" xfId="47" applyNumberFormat="1" applyFont="1" applyFill="1" applyBorder="1" applyAlignment="1" applyProtection="1">
      <alignment horizontal="right" vertical="center" wrapText="1"/>
      <protection locked="0"/>
    </xf>
    <xf numFmtId="43" fontId="45" fillId="24" borderId="29" xfId="47" applyNumberFormat="1" applyFont="1" applyFill="1" applyBorder="1" applyAlignment="1">
      <alignment horizontal="right" vertical="center"/>
    </xf>
    <xf numFmtId="43" fontId="45" fillId="0" borderId="27" xfId="47" applyNumberFormat="1" applyFont="1" applyFill="1" applyBorder="1" applyAlignment="1">
      <alignment horizontal="right" vertical="center" wrapText="1"/>
    </xf>
    <xf numFmtId="43" fontId="45" fillId="0" borderId="63" xfId="47" applyNumberFormat="1" applyFont="1" applyFill="1" applyBorder="1" applyAlignment="1" applyProtection="1">
      <alignment horizontal="right" vertical="center" wrapText="1"/>
      <protection locked="0"/>
    </xf>
    <xf numFmtId="43" fontId="45" fillId="24" borderId="53" xfId="47" applyNumberFormat="1" applyFont="1" applyFill="1" applyBorder="1" applyAlignment="1">
      <alignment horizontal="right" vertical="center"/>
    </xf>
    <xf numFmtId="43" fontId="45" fillId="0" borderId="57" xfId="47" applyNumberFormat="1" applyFont="1" applyFill="1" applyBorder="1" applyAlignment="1" applyProtection="1">
      <alignment horizontal="right" vertical="center" wrapText="1"/>
      <protection locked="0"/>
    </xf>
    <xf numFmtId="43" fontId="45" fillId="0" borderId="25" xfId="47" applyNumberFormat="1" applyFont="1" applyFill="1" applyBorder="1" applyAlignment="1" applyProtection="1">
      <alignment horizontal="right" vertical="center" wrapText="1"/>
      <protection locked="0"/>
    </xf>
    <xf numFmtId="43" fontId="45" fillId="0" borderId="26" xfId="47" applyNumberFormat="1" applyFont="1" applyFill="1" applyBorder="1" applyAlignment="1" applyProtection="1">
      <alignment horizontal="right" vertical="center" wrapText="1"/>
      <protection locked="0"/>
    </xf>
    <xf numFmtId="43" fontId="45" fillId="0" borderId="58" xfId="47" applyNumberFormat="1" applyFont="1" applyFill="1" applyBorder="1" applyAlignment="1" applyProtection="1">
      <alignment horizontal="right" vertical="center" wrapText="1"/>
      <protection locked="0"/>
    </xf>
    <xf numFmtId="43" fontId="45" fillId="0" borderId="29" xfId="47" applyNumberFormat="1" applyFont="1" applyFill="1" applyBorder="1" applyAlignment="1" applyProtection="1">
      <alignment horizontal="right" vertical="center" wrapText="1"/>
      <protection locked="0"/>
    </xf>
    <xf numFmtId="43" fontId="45" fillId="0" borderId="62" xfId="47" applyNumberFormat="1" applyFont="1" applyFill="1" applyBorder="1" applyAlignment="1" applyProtection="1">
      <alignment horizontal="right" vertical="center" wrapText="1"/>
      <protection locked="0"/>
    </xf>
    <xf numFmtId="43" fontId="45" fillId="24" borderId="44" xfId="47" applyNumberFormat="1" applyFont="1" applyFill="1" applyBorder="1" applyAlignment="1">
      <alignment horizontal="right" vertical="center"/>
    </xf>
    <xf numFmtId="43" fontId="45" fillId="24" borderId="57" xfId="47" applyNumberFormat="1" applyFont="1" applyFill="1" applyBorder="1" applyAlignment="1">
      <alignment horizontal="right" vertical="center"/>
    </xf>
    <xf numFmtId="43" fontId="45" fillId="24" borderId="26" xfId="47" applyNumberFormat="1" applyFont="1" applyFill="1" applyBorder="1" applyAlignment="1">
      <alignment horizontal="right" vertical="center"/>
    </xf>
    <xf numFmtId="0" fontId="46" fillId="24" borderId="0" xfId="56" applyFont="1" applyFill="1" applyAlignment="1">
      <alignment vertical="center"/>
    </xf>
    <xf numFmtId="0" fontId="45" fillId="24" borderId="13" xfId="56" applyFont="1" applyFill="1" applyBorder="1" applyAlignment="1">
      <alignment horizontal="center" vertical="center"/>
    </xf>
    <xf numFmtId="0" fontId="51" fillId="0" borderId="0" xfId="0" applyFont="1"/>
    <xf numFmtId="0" fontId="52" fillId="0" borderId="0" xfId="0" applyFont="1"/>
    <xf numFmtId="0" fontId="49" fillId="0" borderId="0" xfId="0" applyFont="1"/>
    <xf numFmtId="0" fontId="49" fillId="0" borderId="13" xfId="0" applyFont="1" applyBorder="1"/>
    <xf numFmtId="0" fontId="49" fillId="0" borderId="14" xfId="0" applyFont="1" applyBorder="1"/>
    <xf numFmtId="0" fontId="49" fillId="0" borderId="15" xfId="0" applyFont="1" applyBorder="1"/>
    <xf numFmtId="0" fontId="44" fillId="0" borderId="13" xfId="0" applyFont="1" applyBorder="1" applyAlignment="1"/>
    <xf numFmtId="0" fontId="49" fillId="0" borderId="54" xfId="0" applyFont="1" applyBorder="1"/>
    <xf numFmtId="0" fontId="49" fillId="0" borderId="55" xfId="0" applyFont="1" applyBorder="1"/>
    <xf numFmtId="0" fontId="49" fillId="0" borderId="56" xfId="0" applyFont="1" applyBorder="1"/>
    <xf numFmtId="0" fontId="49" fillId="0" borderId="35" xfId="0" applyFont="1" applyBorder="1" applyAlignment="1">
      <alignment horizontal="center"/>
    </xf>
    <xf numFmtId="0" fontId="44" fillId="0" borderId="20" xfId="0" applyFont="1" applyBorder="1"/>
    <xf numFmtId="0" fontId="44" fillId="0" borderId="22" xfId="0" applyFont="1" applyBorder="1"/>
    <xf numFmtId="43" fontId="49" fillId="0" borderId="33" xfId="0" applyNumberFormat="1" applyFont="1" applyBorder="1"/>
    <xf numFmtId="43" fontId="49" fillId="0" borderId="25" xfId="0" applyNumberFormat="1" applyFont="1" applyBorder="1"/>
    <xf numFmtId="43" fontId="49" fillId="0" borderId="46" xfId="0" applyNumberFormat="1" applyFont="1" applyBorder="1"/>
    <xf numFmtId="43" fontId="49" fillId="0" borderId="23" xfId="0" applyNumberFormat="1" applyFont="1" applyBorder="1"/>
    <xf numFmtId="43" fontId="49" fillId="0" borderId="27" xfId="0" applyNumberFormat="1" applyFont="1" applyBorder="1"/>
    <xf numFmtId="43" fontId="49" fillId="0" borderId="44" xfId="0" applyNumberFormat="1" applyFont="1" applyBorder="1"/>
    <xf numFmtId="43" fontId="49" fillId="0" borderId="52" xfId="0" applyNumberFormat="1" applyFont="1" applyBorder="1"/>
    <xf numFmtId="43" fontId="49" fillId="0" borderId="63" xfId="0" applyNumberFormat="1" applyFont="1" applyBorder="1"/>
    <xf numFmtId="43" fontId="49" fillId="0" borderId="66" xfId="0" applyNumberFormat="1" applyFont="1" applyBorder="1"/>
    <xf numFmtId="43" fontId="44" fillId="0" borderId="33" xfId="0" applyNumberFormat="1" applyFont="1" applyBorder="1"/>
    <xf numFmtId="43" fontId="44" fillId="0" borderId="25" xfId="0" applyNumberFormat="1" applyFont="1" applyBorder="1"/>
    <xf numFmtId="43" fontId="44" fillId="0" borderId="46" xfId="0" applyNumberFormat="1" applyFont="1" applyBorder="1"/>
    <xf numFmtId="0" fontId="49" fillId="0" borderId="11" xfId="0" applyFont="1" applyBorder="1"/>
    <xf numFmtId="0" fontId="49" fillId="0" borderId="12" xfId="0" applyFont="1" applyBorder="1"/>
    <xf numFmtId="0" fontId="49" fillId="0" borderId="0" xfId="0" applyFont="1" applyBorder="1"/>
    <xf numFmtId="0" fontId="44" fillId="0" borderId="10" xfId="0" applyFont="1" applyBorder="1"/>
    <xf numFmtId="0" fontId="49" fillId="0" borderId="0" xfId="0" applyFont="1" applyBorder="1" applyAlignment="1">
      <alignment horizontal="left"/>
    </xf>
    <xf numFmtId="0" fontId="49" fillId="0" borderId="0" xfId="0" applyFont="1" applyBorder="1" applyAlignment="1"/>
    <xf numFmtId="0" fontId="44" fillId="0" borderId="15" xfId="0" applyFont="1" applyBorder="1" applyAlignment="1"/>
    <xf numFmtId="0" fontId="49" fillId="0" borderId="16" xfId="0" applyFont="1" applyBorder="1" applyAlignment="1"/>
    <xf numFmtId="173" fontId="49" fillId="0" borderId="57" xfId="0" applyNumberFormat="1" applyFont="1" applyBorder="1" applyAlignment="1">
      <alignment horizontal="center"/>
    </xf>
    <xf numFmtId="173" fontId="49" fillId="0" borderId="26" xfId="0" applyNumberFormat="1" applyFont="1" applyBorder="1" applyAlignment="1">
      <alignment horizontal="center"/>
    </xf>
    <xf numFmtId="173" fontId="49" fillId="0" borderId="58" xfId="0" applyNumberFormat="1" applyFont="1" applyBorder="1" applyAlignment="1">
      <alignment horizontal="center"/>
    </xf>
    <xf numFmtId="173" fontId="49" fillId="0" borderId="29" xfId="0" applyNumberFormat="1" applyFont="1" applyBorder="1" applyAlignment="1">
      <alignment horizontal="center"/>
    </xf>
    <xf numFmtId="173" fontId="49" fillId="0" borderId="62" xfId="0" applyNumberFormat="1" applyFont="1" applyBorder="1" applyAlignment="1">
      <alignment horizontal="center"/>
    </xf>
    <xf numFmtId="173" fontId="49" fillId="0" borderId="64" xfId="0" applyNumberFormat="1" applyFont="1" applyBorder="1" applyAlignment="1">
      <alignment horizontal="center"/>
    </xf>
    <xf numFmtId="0" fontId="49" fillId="0" borderId="28" xfId="0" applyFont="1" applyBorder="1" applyAlignment="1">
      <alignment horizontal="center"/>
    </xf>
    <xf numFmtId="0" fontId="49" fillId="0" borderId="51" xfId="0" applyFont="1" applyBorder="1" applyAlignment="1">
      <alignment horizontal="center"/>
    </xf>
    <xf numFmtId="0" fontId="49" fillId="0" borderId="0" xfId="141" applyFont="1" applyAlignment="1">
      <alignment vertical="center"/>
    </xf>
    <xf numFmtId="0" fontId="49" fillId="0" borderId="0" xfId="141" applyFont="1" applyBorder="1" applyAlignment="1">
      <alignment vertical="center"/>
    </xf>
    <xf numFmtId="0" fontId="44" fillId="0" borderId="0" xfId="141" applyFont="1" applyFill="1" applyBorder="1" applyAlignment="1">
      <alignment horizontal="left" vertical="center" wrapText="1"/>
    </xf>
    <xf numFmtId="177" fontId="49" fillId="0" borderId="0" xfId="145" applyFont="1" applyFill="1" applyBorder="1" applyAlignment="1">
      <alignment horizontal="centerContinuous" vertical="center"/>
    </xf>
    <xf numFmtId="0" fontId="49" fillId="0" borderId="0" xfId="141" applyFont="1" applyBorder="1" applyAlignment="1">
      <alignment horizontal="centerContinuous" vertical="center"/>
    </xf>
    <xf numFmtId="0" fontId="44" fillId="0" borderId="0" xfId="141" applyFont="1" applyFill="1" applyBorder="1" applyAlignment="1">
      <alignment horizontal="center" vertical="center"/>
    </xf>
    <xf numFmtId="0" fontId="44" fillId="0" borderId="0" xfId="141" applyFont="1" applyBorder="1" applyAlignment="1">
      <alignment vertical="center"/>
    </xf>
    <xf numFmtId="175" fontId="49" fillId="0" borderId="55" xfId="141" applyNumberFormat="1" applyFont="1" applyBorder="1" applyAlignment="1">
      <alignment horizontal="center" vertical="center"/>
    </xf>
    <xf numFmtId="0" fontId="44" fillId="0" borderId="0" xfId="141" applyFont="1" applyFill="1" applyBorder="1" applyAlignment="1">
      <alignment horizontal="left" vertical="center"/>
    </xf>
    <xf numFmtId="0" fontId="44" fillId="0" borderId="0" xfId="141" applyFont="1" applyFill="1" applyBorder="1" applyAlignment="1">
      <alignment vertical="center"/>
    </xf>
    <xf numFmtId="0" fontId="44" fillId="0" borderId="0" xfId="141" applyFont="1" applyFill="1" applyBorder="1" applyAlignment="1">
      <alignment horizontal="centerContinuous" vertical="center"/>
    </xf>
    <xf numFmtId="0" fontId="44" fillId="0" borderId="13" xfId="141" applyFont="1" applyFill="1" applyBorder="1" applyAlignment="1">
      <alignment horizontal="left" vertical="center"/>
    </xf>
    <xf numFmtId="0" fontId="44" fillId="0" borderId="14" xfId="141" applyFont="1" applyFill="1" applyBorder="1" applyAlignment="1">
      <alignment horizontal="left" vertical="center" wrapText="1"/>
    </xf>
    <xf numFmtId="0" fontId="44" fillId="0" borderId="13" xfId="141" applyFont="1" applyFill="1" applyBorder="1" applyAlignment="1">
      <alignment horizontal="center" vertical="center"/>
    </xf>
    <xf numFmtId="0" fontId="49" fillId="0" borderId="14" xfId="141" applyFont="1" applyBorder="1" applyAlignment="1">
      <alignment vertical="center"/>
    </xf>
    <xf numFmtId="0" fontId="44" fillId="0" borderId="13" xfId="141" applyFont="1" applyFill="1" applyBorder="1" applyAlignment="1">
      <alignment vertical="center"/>
    </xf>
    <xf numFmtId="0" fontId="44" fillId="0" borderId="15" xfId="141" applyFont="1" applyFill="1" applyBorder="1" applyAlignment="1">
      <alignment vertical="center"/>
    </xf>
    <xf numFmtId="0" fontId="49" fillId="0" borderId="16" xfId="141" applyFont="1" applyBorder="1" applyAlignment="1">
      <alignment horizontal="centerContinuous" vertical="center"/>
    </xf>
    <xf numFmtId="0" fontId="49" fillId="0" borderId="16" xfId="141" applyFont="1" applyBorder="1" applyAlignment="1">
      <alignment vertical="center"/>
    </xf>
    <xf numFmtId="0" fontId="44" fillId="0" borderId="16" xfId="141" applyFont="1" applyFill="1" applyBorder="1" applyAlignment="1">
      <alignment horizontal="center" vertical="center"/>
    </xf>
    <xf numFmtId="0" fontId="49" fillId="0" borderId="13" xfId="141" applyFont="1" applyBorder="1" applyAlignment="1">
      <alignment vertical="center"/>
    </xf>
    <xf numFmtId="0" fontId="44" fillId="0" borderId="13" xfId="141" applyFont="1" applyBorder="1" applyAlignment="1">
      <alignment horizontal="right" vertical="center"/>
    </xf>
    <xf numFmtId="0" fontId="44" fillId="0" borderId="19" xfId="141" applyFont="1" applyBorder="1" applyAlignment="1">
      <alignment horizontal="left" vertical="center"/>
    </xf>
    <xf numFmtId="0" fontId="44" fillId="0" borderId="13" xfId="141" applyFont="1" applyBorder="1" applyAlignment="1">
      <alignment vertical="center"/>
    </xf>
    <xf numFmtId="0" fontId="44" fillId="0" borderId="14" xfId="141" applyFont="1" applyBorder="1" applyAlignment="1">
      <alignment vertical="center"/>
    </xf>
    <xf numFmtId="0" fontId="49" fillId="0" borderId="10" xfId="141" applyFont="1" applyBorder="1" applyAlignment="1">
      <alignment vertical="center"/>
    </xf>
    <xf numFmtId="175" fontId="49" fillId="0" borderId="27" xfId="141" applyNumberFormat="1" applyFont="1" applyBorder="1" applyAlignment="1" applyProtection="1">
      <alignment horizontal="right" vertical="center"/>
    </xf>
    <xf numFmtId="0" fontId="49" fillId="0" borderId="0" xfId="141" applyFont="1" applyBorder="1" applyAlignment="1">
      <alignment horizontal="center" vertical="center"/>
    </xf>
    <xf numFmtId="0" fontId="49" fillId="0" borderId="0" xfId="141" applyFont="1" applyFill="1" applyBorder="1" applyAlignment="1">
      <alignment horizontal="center" vertical="center"/>
    </xf>
    <xf numFmtId="0" fontId="12" fillId="0" borderId="0" xfId="631"/>
    <xf numFmtId="0" fontId="57" fillId="0" borderId="0" xfId="631" applyFont="1" applyBorder="1"/>
    <xf numFmtId="0" fontId="60" fillId="0" borderId="0" xfId="631" applyFont="1"/>
    <xf numFmtId="0" fontId="61" fillId="0" borderId="0" xfId="631" applyFont="1"/>
    <xf numFmtId="0" fontId="12" fillId="0" borderId="0" xfId="631" applyFont="1"/>
    <xf numFmtId="0" fontId="62" fillId="0" borderId="0" xfId="631" applyFont="1"/>
    <xf numFmtId="4" fontId="62" fillId="0" borderId="0" xfId="631" applyNumberFormat="1" applyFont="1"/>
    <xf numFmtId="4" fontId="12" fillId="0" borderId="0" xfId="631" applyNumberFormat="1"/>
    <xf numFmtId="0" fontId="63" fillId="0" borderId="0" xfId="141" applyFont="1" applyBorder="1" applyAlignment="1">
      <alignment vertical="center"/>
    </xf>
    <xf numFmtId="0" fontId="48" fillId="0" borderId="0" xfId="141" applyFont="1" applyBorder="1" applyAlignment="1">
      <alignment horizontal="right" vertical="center"/>
    </xf>
    <xf numFmtId="4" fontId="59" fillId="0" borderId="0" xfId="631" applyNumberFormat="1" applyFont="1" applyBorder="1"/>
    <xf numFmtId="0" fontId="61" fillId="0" borderId="14" xfId="631" applyFont="1" applyBorder="1"/>
    <xf numFmtId="0" fontId="58" fillId="0" borderId="10" xfId="631" applyFont="1" applyBorder="1"/>
    <xf numFmtId="0" fontId="58" fillId="0" borderId="13" xfId="631" applyFont="1" applyBorder="1"/>
    <xf numFmtId="0" fontId="48" fillId="0" borderId="14" xfId="141" applyFont="1" applyBorder="1" applyAlignment="1">
      <alignment horizontal="center" vertical="center"/>
    </xf>
    <xf numFmtId="0" fontId="57" fillId="0" borderId="14" xfId="631" applyFont="1" applyBorder="1"/>
    <xf numFmtId="4" fontId="57" fillId="0" borderId="0" xfId="631" applyNumberFormat="1" applyFont="1" applyBorder="1"/>
    <xf numFmtId="0" fontId="59" fillId="0" borderId="0" xfId="631" applyFont="1" applyBorder="1"/>
    <xf numFmtId="0" fontId="59" fillId="0" borderId="14" xfId="631" applyFont="1" applyBorder="1"/>
    <xf numFmtId="0" fontId="57" fillId="0" borderId="0" xfId="631" applyFont="1" applyBorder="1" applyAlignment="1">
      <alignment horizontal="center"/>
    </xf>
    <xf numFmtId="0" fontId="59" fillId="0" borderId="0" xfId="631" applyFont="1" applyBorder="1" applyAlignment="1">
      <alignment horizontal="center"/>
    </xf>
    <xf numFmtId="0" fontId="12" fillId="0" borderId="16" xfId="631" applyFont="1" applyBorder="1"/>
    <xf numFmtId="0" fontId="59" fillId="0" borderId="16" xfId="631" applyFont="1" applyBorder="1" applyAlignment="1">
      <alignment horizontal="center"/>
    </xf>
    <xf numFmtId="0" fontId="12" fillId="0" borderId="17" xfId="631" applyFont="1" applyBorder="1"/>
    <xf numFmtId="17" fontId="57" fillId="0" borderId="61" xfId="631" applyNumberFormat="1" applyFont="1" applyBorder="1" applyAlignment="1">
      <alignment horizontal="center" vertical="center"/>
    </xf>
    <xf numFmtId="0" fontId="64" fillId="0" borderId="10" xfId="53" applyFont="1" applyBorder="1" applyAlignment="1">
      <alignment horizontal="left" vertical="center"/>
    </xf>
    <xf numFmtId="0" fontId="60" fillId="0" borderId="16" xfId="631" applyFont="1" applyBorder="1"/>
    <xf numFmtId="166" fontId="57" fillId="0" borderId="0" xfId="631" applyNumberFormat="1" applyFont="1" applyBorder="1" applyAlignment="1">
      <alignment horizontal="center"/>
    </xf>
    <xf numFmtId="0" fontId="49" fillId="0" borderId="0" xfId="633" applyFont="1" applyAlignment="1">
      <alignment vertical="center"/>
    </xf>
    <xf numFmtId="0" fontId="49" fillId="0" borderId="0" xfId="633" applyFont="1" applyBorder="1" applyAlignment="1">
      <alignment vertical="center"/>
    </xf>
    <xf numFmtId="0" fontId="55" fillId="0" borderId="0" xfId="633" applyFont="1" applyBorder="1" applyAlignment="1">
      <alignment horizontal="center" vertical="center"/>
    </xf>
    <xf numFmtId="0" fontId="44" fillId="0" borderId="0" xfId="633" applyFont="1" applyBorder="1" applyAlignment="1">
      <alignment horizontal="right" vertical="center"/>
    </xf>
    <xf numFmtId="4" fontId="49" fillId="0" borderId="0" xfId="633" applyNumberFormat="1" applyFont="1" applyAlignment="1">
      <alignment vertical="center"/>
    </xf>
    <xf numFmtId="4" fontId="49" fillId="0" borderId="55" xfId="633" applyNumberFormat="1" applyFont="1" applyFill="1" applyBorder="1" applyAlignment="1">
      <alignment horizontal="right" vertical="center"/>
    </xf>
    <xf numFmtId="4" fontId="49" fillId="0" borderId="55" xfId="141" applyNumberFormat="1" applyFont="1" applyFill="1" applyBorder="1" applyAlignment="1">
      <alignment horizontal="right" vertical="center"/>
    </xf>
    <xf numFmtId="175" fontId="49" fillId="0" borderId="55" xfId="633" applyNumberFormat="1" applyFont="1" applyBorder="1" applyAlignment="1">
      <alignment horizontal="center" vertical="center"/>
    </xf>
    <xf numFmtId="175" fontId="49" fillId="0" borderId="56" xfId="633" applyNumberFormat="1" applyFont="1" applyBorder="1" applyAlignment="1">
      <alignment horizontal="center" vertical="center"/>
    </xf>
    <xf numFmtId="0" fontId="44" fillId="0" borderId="0" xfId="633" applyFont="1" applyFill="1" applyBorder="1" applyAlignment="1">
      <alignment vertical="center"/>
    </xf>
    <xf numFmtId="4" fontId="44" fillId="0" borderId="0" xfId="633" applyNumberFormat="1" applyFont="1" applyFill="1" applyBorder="1" applyAlignment="1">
      <alignment vertical="center"/>
    </xf>
    <xf numFmtId="0" fontId="49" fillId="0" borderId="0" xfId="633" applyFont="1" applyFill="1" applyBorder="1" applyAlignment="1">
      <alignment vertical="center"/>
    </xf>
    <xf numFmtId="0" fontId="44" fillId="0" borderId="0" xfId="633" applyFont="1" applyFill="1" applyBorder="1" applyAlignment="1">
      <alignment horizontal="left" vertical="center" indent="2"/>
    </xf>
    <xf numFmtId="0" fontId="44" fillId="0" borderId="0" xfId="633" applyFont="1" applyFill="1" applyBorder="1" applyAlignment="1">
      <alignment horizontal="left" vertical="center"/>
    </xf>
    <xf numFmtId="177" fontId="49" fillId="0" borderId="0" xfId="145" applyFont="1" applyFill="1" applyBorder="1" applyAlignment="1">
      <alignment vertical="center"/>
    </xf>
    <xf numFmtId="0" fontId="44" fillId="0" borderId="0" xfId="633" applyFont="1" applyBorder="1" applyAlignment="1">
      <alignment vertical="center"/>
    </xf>
    <xf numFmtId="0" fontId="44" fillId="0" borderId="0" xfId="633" applyFont="1" applyFill="1" applyBorder="1" applyAlignment="1">
      <alignment horizontal="left" vertical="center" wrapText="1"/>
    </xf>
    <xf numFmtId="0" fontId="44" fillId="0" borderId="0" xfId="633" applyFont="1" applyFill="1" applyBorder="1" applyAlignment="1">
      <alignment horizontal="center" vertical="center" wrapText="1"/>
    </xf>
    <xf numFmtId="165" fontId="44" fillId="0" borderId="0" xfId="633" applyNumberFormat="1" applyFont="1" applyFill="1" applyBorder="1" applyAlignment="1">
      <alignment horizontal="left" vertical="center" wrapText="1"/>
    </xf>
    <xf numFmtId="0" fontId="44" fillId="0" borderId="0" xfId="633" applyFont="1" applyFill="1" applyBorder="1" applyAlignment="1">
      <alignment horizontal="center" vertical="center"/>
    </xf>
    <xf numFmtId="0" fontId="56" fillId="0" borderId="0" xfId="633" applyFont="1" applyFill="1" applyBorder="1" applyAlignment="1">
      <alignment vertical="center"/>
    </xf>
    <xf numFmtId="0" fontId="49" fillId="0" borderId="0" xfId="633" applyFont="1" applyBorder="1" applyAlignment="1">
      <alignment horizontal="centerContinuous" vertical="center"/>
    </xf>
    <xf numFmtId="0" fontId="56" fillId="0" borderId="0" xfId="633" applyFont="1" applyFill="1" applyBorder="1" applyAlignment="1">
      <alignment horizontal="center" vertical="center"/>
    </xf>
    <xf numFmtId="0" fontId="49" fillId="0" borderId="11" xfId="633" applyFont="1" applyBorder="1" applyAlignment="1">
      <alignment vertical="center"/>
    </xf>
    <xf numFmtId="0" fontId="49" fillId="0" borderId="13" xfId="633" applyFont="1" applyBorder="1" applyAlignment="1">
      <alignment vertical="center"/>
    </xf>
    <xf numFmtId="0" fontId="44" fillId="0" borderId="13" xfId="633" applyFont="1" applyBorder="1" applyAlignment="1">
      <alignment horizontal="right" vertical="center"/>
    </xf>
    <xf numFmtId="0" fontId="44" fillId="0" borderId="14" xfId="633" applyFont="1" applyBorder="1" applyAlignment="1">
      <alignment vertical="center"/>
    </xf>
    <xf numFmtId="0" fontId="44" fillId="0" borderId="14" xfId="633" applyFont="1" applyBorder="1" applyAlignment="1">
      <alignment horizontal="center" vertical="center"/>
    </xf>
    <xf numFmtId="0" fontId="49" fillId="0" borderId="24" xfId="633" applyFont="1" applyBorder="1" applyAlignment="1">
      <alignment vertical="center"/>
    </xf>
    <xf numFmtId="0" fontId="44" fillId="0" borderId="24" xfId="633" applyFont="1" applyBorder="1" applyAlignment="1">
      <alignment horizontal="center" vertical="center"/>
    </xf>
    <xf numFmtId="0" fontId="44" fillId="0" borderId="10" xfId="633" applyFont="1" applyFill="1" applyBorder="1" applyAlignment="1">
      <alignment horizontal="center" vertical="center"/>
    </xf>
    <xf numFmtId="0" fontId="44" fillId="0" borderId="11" xfId="633" applyFont="1" applyFill="1" applyBorder="1" applyAlignment="1">
      <alignment horizontal="center" vertical="center"/>
    </xf>
    <xf numFmtId="0" fontId="44" fillId="0" borderId="11" xfId="633" applyFont="1" applyFill="1" applyBorder="1" applyAlignment="1">
      <alignment vertical="center"/>
    </xf>
    <xf numFmtId="0" fontId="44" fillId="0" borderId="12" xfId="633" applyFont="1" applyFill="1" applyBorder="1" applyAlignment="1">
      <alignment vertical="center"/>
    </xf>
    <xf numFmtId="0" fontId="44" fillId="0" borderId="13" xfId="633" applyFont="1" applyFill="1" applyBorder="1" applyAlignment="1">
      <alignment horizontal="left" vertical="center" indent="2"/>
    </xf>
    <xf numFmtId="0" fontId="44" fillId="0" borderId="14" xfId="633" applyFont="1" applyFill="1" applyBorder="1" applyAlignment="1">
      <alignment horizontal="left" vertical="center" wrapText="1"/>
    </xf>
    <xf numFmtId="0" fontId="44" fillId="0" borderId="13" xfId="633" applyFont="1" applyFill="1" applyBorder="1" applyAlignment="1">
      <alignment horizontal="left" vertical="center"/>
    </xf>
    <xf numFmtId="0" fontId="44" fillId="0" borderId="13" xfId="633" applyFont="1" applyFill="1" applyBorder="1" applyAlignment="1">
      <alignment horizontal="center" vertical="center"/>
    </xf>
    <xf numFmtId="0" fontId="44" fillId="0" borderId="14" xfId="633" applyFont="1" applyFill="1" applyBorder="1" applyAlignment="1">
      <alignment vertical="center"/>
    </xf>
    <xf numFmtId="0" fontId="56" fillId="0" borderId="13" xfId="633" applyFont="1" applyFill="1" applyBorder="1" applyAlignment="1">
      <alignment vertical="center"/>
    </xf>
    <xf numFmtId="0" fontId="44" fillId="0" borderId="14" xfId="633" applyFont="1" applyFill="1" applyBorder="1" applyAlignment="1">
      <alignment horizontal="center" vertical="center"/>
    </xf>
    <xf numFmtId="0" fontId="44" fillId="0" borderId="13" xfId="633" applyFont="1" applyFill="1" applyBorder="1" applyAlignment="1">
      <alignment vertical="center"/>
    </xf>
    <xf numFmtId="0" fontId="49" fillId="0" borderId="16" xfId="633" applyFont="1" applyBorder="1" applyAlignment="1">
      <alignment vertical="center"/>
    </xf>
    <xf numFmtId="0" fontId="44" fillId="0" borderId="17" xfId="633" applyFont="1" applyFill="1" applyBorder="1" applyAlignment="1">
      <alignment horizontal="center" vertical="center"/>
    </xf>
    <xf numFmtId="0" fontId="49" fillId="0" borderId="58" xfId="633" applyFont="1" applyBorder="1" applyAlignment="1">
      <alignment horizontal="center" vertical="center" wrapText="1"/>
    </xf>
    <xf numFmtId="0" fontId="49" fillId="0" borderId="58" xfId="141" applyFont="1" applyBorder="1" applyAlignment="1">
      <alignment horizontal="center" vertical="center" wrapText="1"/>
    </xf>
    <xf numFmtId="0" fontId="49" fillId="0" borderId="64" xfId="141" applyFont="1" applyBorder="1" applyAlignment="1">
      <alignment horizontal="center" vertical="center" wrapText="1"/>
    </xf>
    <xf numFmtId="0" fontId="49" fillId="0" borderId="62" xfId="141" applyFont="1" applyBorder="1" applyAlignment="1">
      <alignment horizontal="center" vertical="center" wrapText="1"/>
    </xf>
    <xf numFmtId="176" fontId="49" fillId="0" borderId="55" xfId="633" applyNumberFormat="1" applyFont="1" applyBorder="1" applyAlignment="1">
      <alignment vertical="center" wrapText="1"/>
    </xf>
    <xf numFmtId="176" fontId="49" fillId="0" borderId="55" xfId="633" applyNumberFormat="1" applyFont="1" applyBorder="1" applyAlignment="1">
      <alignment vertical="center"/>
    </xf>
    <xf numFmtId="176" fontId="49" fillId="0" borderId="55" xfId="633" applyNumberFormat="1" applyFont="1" applyFill="1" applyBorder="1" applyAlignment="1">
      <alignment vertical="center"/>
    </xf>
    <xf numFmtId="176" fontId="49" fillId="0" borderId="56" xfId="633" applyNumberFormat="1" applyFont="1" applyBorder="1" applyAlignment="1">
      <alignment vertical="center"/>
    </xf>
    <xf numFmtId="0" fontId="49" fillId="0" borderId="14" xfId="633" applyFont="1" applyBorder="1" applyAlignment="1">
      <alignment vertical="center"/>
    </xf>
    <xf numFmtId="175" fontId="49" fillId="0" borderId="45" xfId="633" applyNumberFormat="1" applyFont="1" applyBorder="1" applyAlignment="1" applyProtection="1">
      <alignment horizontal="right" vertical="center"/>
    </xf>
    <xf numFmtId="175" fontId="49" fillId="0" borderId="45" xfId="141" applyNumberFormat="1" applyFont="1" applyBorder="1" applyAlignment="1" applyProtection="1">
      <alignment horizontal="right" vertical="center"/>
    </xf>
    <xf numFmtId="175" fontId="49" fillId="0" borderId="57" xfId="633" applyNumberFormat="1" applyFont="1" applyBorder="1" applyAlignment="1" applyProtection="1">
      <alignment horizontal="right" vertical="center"/>
    </xf>
    <xf numFmtId="175" fontId="49" fillId="0" borderId="25" xfId="633" applyNumberFormat="1" applyFont="1" applyFill="1" applyBorder="1" applyAlignment="1" applyProtection="1">
      <alignment horizontal="right" vertical="center"/>
    </xf>
    <xf numFmtId="175" fontId="49" fillId="0" borderId="26" xfId="633" applyNumberFormat="1" applyFont="1" applyBorder="1" applyAlignment="1" applyProtection="1">
      <alignment horizontal="right" vertical="center"/>
    </xf>
    <xf numFmtId="175" fontId="49" fillId="0" borderId="58" xfId="141" applyNumberFormat="1" applyFont="1" applyBorder="1" applyAlignment="1" applyProtection="1">
      <alignment horizontal="right" vertical="center"/>
    </xf>
    <xf numFmtId="175" fontId="49" fillId="0" borderId="29" xfId="141" applyNumberFormat="1" applyFont="1" applyBorder="1" applyAlignment="1" applyProtection="1">
      <alignment horizontal="right" vertical="center"/>
    </xf>
    <xf numFmtId="175" fontId="49" fillId="0" borderId="27" xfId="141" applyNumberFormat="1" applyFont="1" applyBorder="1" applyAlignment="1" applyProtection="1">
      <alignment horizontal="left" vertical="center"/>
    </xf>
    <xf numFmtId="175" fontId="49" fillId="0" borderId="63" xfId="141" applyNumberFormat="1" applyFont="1" applyBorder="1" applyAlignment="1" applyProtection="1">
      <alignment horizontal="left" vertical="center"/>
    </xf>
    <xf numFmtId="0" fontId="59" fillId="0" borderId="38" xfId="631" applyFont="1" applyBorder="1" applyAlignment="1">
      <alignment horizontal="center" vertical="center"/>
    </xf>
    <xf numFmtId="0" fontId="59" fillId="0" borderId="31" xfId="631" applyFont="1" applyBorder="1" applyAlignment="1">
      <alignment horizontal="center" vertical="center"/>
    </xf>
    <xf numFmtId="0" fontId="59" fillId="0" borderId="50" xfId="631" applyFont="1" applyBorder="1" applyAlignment="1">
      <alignment horizontal="center" vertical="center"/>
    </xf>
    <xf numFmtId="176" fontId="49" fillId="0" borderId="18" xfId="633" applyNumberFormat="1" applyFont="1" applyBorder="1" applyAlignment="1">
      <alignment vertical="center"/>
    </xf>
    <xf numFmtId="175" fontId="44" fillId="0" borderId="41" xfId="141" applyNumberFormat="1" applyFont="1" applyBorder="1" applyAlignment="1" applyProtection="1">
      <alignment horizontal="right" vertical="center"/>
    </xf>
    <xf numFmtId="175" fontId="44" fillId="0" borderId="42" xfId="141" applyNumberFormat="1" applyFont="1" applyBorder="1" applyAlignment="1" applyProtection="1">
      <alignment horizontal="left" vertical="center"/>
    </xf>
    <xf numFmtId="175" fontId="44" fillId="0" borderId="43" xfId="141" applyNumberFormat="1" applyFont="1" applyBorder="1" applyAlignment="1" applyProtection="1">
      <alignment horizontal="right" vertical="center"/>
    </xf>
    <xf numFmtId="175" fontId="44" fillId="0" borderId="21" xfId="141" applyNumberFormat="1" applyFont="1" applyBorder="1" applyAlignment="1" applyProtection="1">
      <alignment horizontal="right" vertical="center"/>
    </xf>
    <xf numFmtId="0" fontId="46" fillId="0" borderId="17" xfId="139" applyFont="1" applyBorder="1" applyAlignment="1">
      <alignment horizontal="center" vertical="center" wrapText="1"/>
    </xf>
    <xf numFmtId="0" fontId="46" fillId="0" borderId="15" xfId="139" applyFont="1" applyBorder="1" applyAlignment="1">
      <alignment horizontal="center" vertical="center" wrapText="1"/>
    </xf>
    <xf numFmtId="0" fontId="46" fillId="0" borderId="30" xfId="139" applyFont="1" applyBorder="1" applyAlignment="1">
      <alignment horizontal="center" vertical="center" wrapText="1"/>
    </xf>
    <xf numFmtId="0" fontId="43" fillId="0" borderId="15" xfId="139" applyFont="1" applyBorder="1" applyAlignment="1">
      <alignment horizontal="center" vertical="center" wrapText="1" shrinkToFit="1"/>
    </xf>
    <xf numFmtId="0" fontId="43" fillId="0" borderId="31" xfId="139" applyFont="1" applyBorder="1" applyAlignment="1">
      <alignment horizontal="center" vertical="center"/>
    </xf>
    <xf numFmtId="0" fontId="45" fillId="0" borderId="10" xfId="52" applyFont="1" applyFill="1" applyBorder="1" applyAlignment="1">
      <alignment horizontal="center" vertical="center" wrapText="1"/>
    </xf>
    <xf numFmtId="0" fontId="45" fillId="24" borderId="15" xfId="56" applyFont="1" applyFill="1" applyBorder="1" applyAlignment="1">
      <alignment horizontal="center" vertical="center"/>
    </xf>
    <xf numFmtId="0" fontId="45" fillId="24" borderId="16" xfId="56" applyFont="1" applyFill="1" applyBorder="1" applyAlignment="1">
      <alignment horizontal="right" vertical="center"/>
    </xf>
    <xf numFmtId="0" fontId="45" fillId="24" borderId="17" xfId="56" applyFont="1" applyFill="1" applyBorder="1" applyAlignment="1">
      <alignment horizontal="right" vertical="center"/>
    </xf>
    <xf numFmtId="166" fontId="57" fillId="0" borderId="0" xfId="631" applyNumberFormat="1" applyFont="1" applyBorder="1"/>
    <xf numFmtId="0" fontId="57" fillId="0" borderId="0" xfId="631" applyFont="1" applyBorder="1" applyAlignment="1"/>
    <xf numFmtId="165" fontId="51" fillId="0" borderId="0" xfId="0" applyNumberFormat="1" applyFont="1"/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164" fontId="49" fillId="0" borderId="0" xfId="0" applyNumberFormat="1" applyFont="1"/>
    <xf numFmtId="0" fontId="0" fillId="0" borderId="80" xfId="0" applyBorder="1"/>
    <xf numFmtId="0" fontId="0" fillId="0" borderId="81" xfId="0" applyBorder="1"/>
    <xf numFmtId="43" fontId="45" fillId="24" borderId="0" xfId="56" applyNumberFormat="1" applyFont="1" applyFill="1" applyAlignment="1">
      <alignment horizontal="right" vertical="center"/>
    </xf>
    <xf numFmtId="4" fontId="40" fillId="0" borderId="63" xfId="46" applyNumberFormat="1" applyFont="1" applyFill="1" applyBorder="1" applyAlignment="1">
      <alignment vertical="center"/>
    </xf>
    <xf numFmtId="0" fontId="69" fillId="0" borderId="0" xfId="857" applyFont="1" applyAlignment="1">
      <alignment vertical="center"/>
    </xf>
    <xf numFmtId="43" fontId="45" fillId="0" borderId="50" xfId="47" applyNumberFormat="1" applyFont="1" applyFill="1" applyBorder="1" applyAlignment="1" applyProtection="1">
      <alignment horizontal="right" vertical="center" wrapText="1"/>
      <protection locked="0"/>
    </xf>
    <xf numFmtId="4" fontId="40" fillId="0" borderId="27" xfId="59" applyNumberFormat="1" applyFont="1" applyFill="1" applyBorder="1" applyAlignment="1">
      <alignment vertical="center"/>
    </xf>
    <xf numFmtId="0" fontId="46" fillId="0" borderId="0" xfId="52" applyFont="1" applyFill="1" applyBorder="1" applyAlignment="1">
      <alignment horizontal="center" vertical="center" wrapText="1"/>
    </xf>
    <xf numFmtId="0" fontId="49" fillId="0" borderId="80" xfId="141" applyFont="1" applyBorder="1" applyAlignment="1">
      <alignment vertical="center"/>
    </xf>
    <xf numFmtId="0" fontId="44" fillId="0" borderId="50" xfId="141" applyFont="1" applyBorder="1" applyAlignment="1">
      <alignment horizontal="center" vertical="center"/>
    </xf>
    <xf numFmtId="0" fontId="44" fillId="0" borderId="31" xfId="141" applyFont="1" applyFill="1" applyBorder="1" applyAlignment="1">
      <alignment horizontal="center" vertical="center"/>
    </xf>
    <xf numFmtId="17" fontId="44" fillId="0" borderId="32" xfId="141" applyNumberFormat="1" applyFont="1" applyBorder="1" applyAlignment="1">
      <alignment horizontal="center" vertical="center" wrapText="1"/>
    </xf>
    <xf numFmtId="0" fontId="49" fillId="0" borderId="81" xfId="141" applyFont="1" applyBorder="1" applyAlignment="1">
      <alignment vertical="center"/>
    </xf>
    <xf numFmtId="0" fontId="49" fillId="0" borderId="17" xfId="141" applyFont="1" applyBorder="1" applyAlignment="1">
      <alignment vertical="center"/>
    </xf>
    <xf numFmtId="183" fontId="49" fillId="0" borderId="0" xfId="633" applyNumberFormat="1" applyFont="1" applyAlignment="1">
      <alignment vertical="center"/>
    </xf>
    <xf numFmtId="175" fontId="49" fillId="0" borderId="62" xfId="141" applyNumberFormat="1" applyFont="1" applyBorder="1" applyAlignment="1" applyProtection="1">
      <alignment horizontal="left" vertical="center"/>
    </xf>
    <xf numFmtId="175" fontId="49" fillId="0" borderId="58" xfId="633" applyNumberFormat="1" applyFont="1" applyFill="1" applyBorder="1" applyAlignment="1" applyProtection="1">
      <alignment horizontal="right" vertical="center"/>
    </xf>
    <xf numFmtId="4" fontId="49" fillId="0" borderId="58" xfId="141" applyNumberFormat="1" applyFont="1" applyBorder="1" applyAlignment="1" applyProtection="1">
      <alignment horizontal="right" vertical="center"/>
    </xf>
    <xf numFmtId="182" fontId="71" fillId="26" borderId="0" xfId="859" applyNumberFormat="1" applyFont="1" applyFill="1" applyAlignment="1">
      <alignment vertical="center"/>
    </xf>
    <xf numFmtId="0" fontId="45" fillId="0" borderId="0" xfId="859" applyFont="1" applyAlignment="1">
      <alignment vertical="center"/>
    </xf>
    <xf numFmtId="0" fontId="27" fillId="0" borderId="0" xfId="859"/>
    <xf numFmtId="0" fontId="27" fillId="0" borderId="0" xfId="859" applyFill="1"/>
    <xf numFmtId="0" fontId="49" fillId="0" borderId="0" xfId="859" applyFont="1" applyAlignment="1">
      <alignment vertical="center"/>
    </xf>
    <xf numFmtId="0" fontId="72" fillId="0" borderId="0" xfId="859" applyFont="1" applyAlignment="1">
      <alignment vertical="center"/>
    </xf>
    <xf numFmtId="0" fontId="45" fillId="0" borderId="0" xfId="859" applyFont="1" applyAlignment="1">
      <alignment horizontal="center" vertical="center"/>
    </xf>
    <xf numFmtId="0" fontId="73" fillId="0" borderId="0" xfId="859" applyFont="1" applyAlignment="1">
      <alignment vertical="center"/>
    </xf>
    <xf numFmtId="186" fontId="49" fillId="0" borderId="0" xfId="859" applyNumberFormat="1" applyFont="1" applyAlignment="1">
      <alignment vertical="center"/>
    </xf>
    <xf numFmtId="0" fontId="49" fillId="0" borderId="106" xfId="859" applyFont="1" applyBorder="1" applyAlignment="1" applyProtection="1">
      <alignment vertical="center"/>
    </xf>
    <xf numFmtId="0" fontId="49" fillId="0" borderId="106" xfId="859" applyFont="1" applyBorder="1" applyAlignment="1">
      <alignment vertical="center"/>
    </xf>
    <xf numFmtId="0" fontId="49" fillId="0" borderId="109" xfId="859" applyFont="1" applyBorder="1" applyAlignment="1">
      <alignment vertical="center"/>
    </xf>
    <xf numFmtId="0" fontId="49" fillId="0" borderId="110" xfId="859" applyFont="1" applyBorder="1" applyAlignment="1">
      <alignment vertical="center"/>
    </xf>
    <xf numFmtId="0" fontId="49" fillId="0" borderId="111" xfId="859" applyFont="1" applyBorder="1" applyAlignment="1">
      <alignment horizontal="center" vertical="center"/>
    </xf>
    <xf numFmtId="0" fontId="73" fillId="0" borderId="109" xfId="859" applyFont="1" applyBorder="1" applyAlignment="1">
      <alignment vertical="center"/>
    </xf>
    <xf numFmtId="0" fontId="73" fillId="0" borderId="110" xfId="859" applyFont="1" applyBorder="1" applyAlignment="1">
      <alignment vertical="center"/>
    </xf>
    <xf numFmtId="0" fontId="73" fillId="0" borderId="111" xfId="859" applyFont="1" applyBorder="1" applyAlignment="1">
      <alignment horizontal="center" vertical="center"/>
    </xf>
    <xf numFmtId="0" fontId="74" fillId="0" borderId="109" xfId="859" applyFont="1" applyBorder="1" applyAlignment="1">
      <alignment vertical="center"/>
    </xf>
    <xf numFmtId="0" fontId="74" fillId="0" borderId="110" xfId="859" applyFont="1" applyBorder="1" applyAlignment="1">
      <alignment vertical="center"/>
    </xf>
    <xf numFmtId="0" fontId="74" fillId="0" borderId="111" xfId="859" applyFont="1" applyBorder="1" applyAlignment="1">
      <alignment horizontal="center" vertical="center"/>
    </xf>
    <xf numFmtId="0" fontId="72" fillId="0" borderId="109" xfId="859" applyFont="1" applyBorder="1" applyAlignment="1">
      <alignment vertical="center"/>
    </xf>
    <xf numFmtId="0" fontId="72" fillId="0" borderId="110" xfId="859" applyFont="1" applyBorder="1" applyAlignment="1">
      <alignment vertical="center"/>
    </xf>
    <xf numFmtId="0" fontId="72" fillId="0" borderId="111" xfId="859" applyFont="1" applyBorder="1" applyAlignment="1">
      <alignment horizontal="center" vertical="center"/>
    </xf>
    <xf numFmtId="0" fontId="75" fillId="0" borderId="109" xfId="859" applyFont="1" applyBorder="1" applyAlignment="1">
      <alignment vertical="center"/>
    </xf>
    <xf numFmtId="0" fontId="75" fillId="0" borderId="110" xfId="859" applyFont="1" applyBorder="1" applyAlignment="1">
      <alignment vertical="center"/>
    </xf>
    <xf numFmtId="0" fontId="75" fillId="0" borderId="111" xfId="859" applyFont="1" applyBorder="1" applyAlignment="1">
      <alignment horizontal="center" vertical="center"/>
    </xf>
    <xf numFmtId="0" fontId="49" fillId="0" borderId="0" xfId="859" quotePrefix="1" applyFont="1" applyAlignment="1">
      <alignment vertical="center"/>
    </xf>
    <xf numFmtId="0" fontId="49" fillId="0" borderId="112" xfId="859" applyFont="1" applyBorder="1" applyAlignment="1">
      <alignment vertical="center"/>
    </xf>
    <xf numFmtId="0" fontId="49" fillId="0" borderId="113" xfId="859" applyFont="1" applyBorder="1" applyAlignment="1">
      <alignment vertical="center"/>
    </xf>
    <xf numFmtId="0" fontId="49" fillId="0" borderId="114" xfId="859" applyFont="1" applyBorder="1" applyAlignment="1">
      <alignment horizontal="center" vertical="center"/>
    </xf>
    <xf numFmtId="0" fontId="73" fillId="0" borderId="112" xfId="859" applyFont="1" applyBorder="1" applyAlignment="1">
      <alignment vertical="center"/>
    </xf>
    <xf numFmtId="0" fontId="73" fillId="0" borderId="113" xfId="859" applyFont="1" applyBorder="1" applyAlignment="1">
      <alignment vertical="center"/>
    </xf>
    <xf numFmtId="0" fontId="73" fillId="0" borderId="114" xfId="859" applyFont="1" applyBorder="1" applyAlignment="1">
      <alignment horizontal="center" vertical="center"/>
    </xf>
    <xf numFmtId="0" fontId="74" fillId="0" borderId="112" xfId="859" applyFont="1" applyBorder="1" applyAlignment="1">
      <alignment vertical="center"/>
    </xf>
    <xf numFmtId="0" fontId="74" fillId="0" borderId="113" xfId="859" applyFont="1" applyBorder="1" applyAlignment="1">
      <alignment vertical="center"/>
    </xf>
    <xf numFmtId="0" fontId="74" fillId="0" borderId="114" xfId="859" applyFont="1" applyBorder="1" applyAlignment="1">
      <alignment horizontal="center" vertical="center"/>
    </xf>
    <xf numFmtId="0" fontId="72" fillId="0" borderId="112" xfId="859" applyFont="1" applyBorder="1" applyAlignment="1">
      <alignment vertical="center"/>
    </xf>
    <xf numFmtId="0" fontId="72" fillId="0" borderId="113" xfId="859" applyFont="1" applyBorder="1" applyAlignment="1">
      <alignment vertical="center"/>
    </xf>
    <xf numFmtId="0" fontId="72" fillId="0" borderId="114" xfId="859" applyFont="1" applyBorder="1" applyAlignment="1">
      <alignment horizontal="center" vertical="center"/>
    </xf>
    <xf numFmtId="0" fontId="75" fillId="0" borderId="112" xfId="859" applyFont="1" applyBorder="1" applyAlignment="1">
      <alignment vertical="center"/>
    </xf>
    <xf numFmtId="0" fontId="75" fillId="0" borderId="113" xfId="859" applyFont="1" applyBorder="1" applyAlignment="1">
      <alignment vertical="center"/>
    </xf>
    <xf numFmtId="0" fontId="75" fillId="0" borderId="114" xfId="859" applyFont="1" applyBorder="1" applyAlignment="1">
      <alignment horizontal="center" vertical="center"/>
    </xf>
    <xf numFmtId="0" fontId="74" fillId="0" borderId="0" xfId="859" applyFont="1" applyAlignment="1">
      <alignment vertical="center"/>
    </xf>
    <xf numFmtId="0" fontId="44" fillId="0" borderId="16" xfId="0" applyFont="1" applyBorder="1" applyAlignment="1">
      <alignment horizontal="right"/>
    </xf>
    <xf numFmtId="0" fontId="10" fillId="0" borderId="0" xfId="631" applyFont="1"/>
    <xf numFmtId="187" fontId="45" fillId="24" borderId="0" xfId="56" applyNumberFormat="1" applyFont="1" applyFill="1" applyAlignment="1">
      <alignment horizontal="right" vertical="center"/>
    </xf>
    <xf numFmtId="165" fontId="45" fillId="24" borderId="0" xfId="56" applyNumberFormat="1" applyFont="1" applyFill="1" applyAlignment="1">
      <alignment horizontal="right" vertical="center"/>
    </xf>
    <xf numFmtId="2" fontId="45" fillId="24" borderId="0" xfId="56" applyNumberFormat="1" applyFont="1" applyFill="1" applyAlignment="1">
      <alignment horizontal="right" vertical="center"/>
    </xf>
    <xf numFmtId="0" fontId="59" fillId="0" borderId="48" xfId="631" applyFont="1" applyBorder="1" applyAlignment="1">
      <alignment horizontal="center" vertical="center"/>
    </xf>
    <xf numFmtId="0" fontId="63" fillId="0" borderId="13" xfId="141" applyFont="1" applyBorder="1" applyAlignment="1">
      <alignment horizontal="center" vertical="center"/>
    </xf>
    <xf numFmtId="0" fontId="48" fillId="0" borderId="13" xfId="141" applyFont="1" applyBorder="1" applyAlignment="1">
      <alignment horizontal="center" vertical="center"/>
    </xf>
    <xf numFmtId="0" fontId="59" fillId="0" borderId="50" xfId="631" applyFont="1" applyBorder="1" applyAlignment="1">
      <alignment horizontal="center" vertical="center" wrapText="1"/>
    </xf>
    <xf numFmtId="0" fontId="57" fillId="0" borderId="13" xfId="631" applyFont="1" applyBorder="1" applyAlignment="1">
      <alignment horizontal="center"/>
    </xf>
    <xf numFmtId="0" fontId="62" fillId="0" borderId="0" xfId="631" applyFont="1" applyAlignment="1">
      <alignment horizontal="center"/>
    </xf>
    <xf numFmtId="0" fontId="59" fillId="0" borderId="13" xfId="631" applyFont="1" applyBorder="1" applyAlignment="1">
      <alignment horizontal="left"/>
    </xf>
    <xf numFmtId="0" fontId="59" fillId="0" borderId="0" xfId="631" applyFont="1" applyBorder="1" applyAlignment="1">
      <alignment horizontal="right"/>
    </xf>
    <xf numFmtId="0" fontId="48" fillId="0" borderId="14" xfId="141" applyFont="1" applyBorder="1" applyAlignment="1">
      <alignment horizontal="center" wrapText="1"/>
    </xf>
    <xf numFmtId="0" fontId="61" fillId="0" borderId="0" xfId="631" applyFont="1" applyBorder="1"/>
    <xf numFmtId="0" fontId="44" fillId="0" borderId="81" xfId="141" applyFont="1" applyBorder="1" applyAlignment="1">
      <alignment horizontal="center" vertical="center" wrapText="1"/>
    </xf>
    <xf numFmtId="0" fontId="59" fillId="0" borderId="36" xfId="631" applyFont="1" applyBorder="1" applyAlignment="1">
      <alignment horizontal="center" vertical="center"/>
    </xf>
    <xf numFmtId="0" fontId="59" fillId="0" borderId="37" xfId="631" applyFont="1" applyBorder="1" applyAlignment="1">
      <alignment horizontal="center" vertical="center"/>
    </xf>
    <xf numFmtId="0" fontId="59" fillId="0" borderId="30" xfId="631" applyFont="1" applyBorder="1" applyAlignment="1">
      <alignment horizontal="center" vertical="center"/>
    </xf>
    <xf numFmtId="0" fontId="58" fillId="0" borderId="80" xfId="631" applyFont="1" applyBorder="1"/>
    <xf numFmtId="0" fontId="58" fillId="0" borderId="0" xfId="631" applyFont="1" applyBorder="1"/>
    <xf numFmtId="0" fontId="63" fillId="0" borderId="81" xfId="141" applyFont="1" applyBorder="1" applyAlignment="1">
      <alignment vertical="center"/>
    </xf>
    <xf numFmtId="0" fontId="12" fillId="0" borderId="0" xfId="631" applyFont="1" applyBorder="1"/>
    <xf numFmtId="0" fontId="60" fillId="0" borderId="0" xfId="631" applyFont="1" applyBorder="1"/>
    <xf numFmtId="0" fontId="48" fillId="0" borderId="0" xfId="141" applyFont="1" applyBorder="1" applyAlignment="1">
      <alignment horizontal="center" vertical="center"/>
    </xf>
    <xf numFmtId="0" fontId="48" fillId="0" borderId="13" xfId="141" applyFont="1" applyBorder="1" applyAlignment="1">
      <alignment wrapText="1"/>
    </xf>
    <xf numFmtId="0" fontId="48" fillId="0" borderId="0" xfId="141" applyFont="1" applyBorder="1" applyAlignment="1">
      <alignment wrapText="1"/>
    </xf>
    <xf numFmtId="0" fontId="63" fillId="0" borderId="80" xfId="141" applyFont="1" applyBorder="1" applyAlignment="1">
      <alignment vertical="center"/>
    </xf>
    <xf numFmtId="0" fontId="45" fillId="0" borderId="80" xfId="52" applyFont="1" applyFill="1" applyBorder="1" applyAlignment="1">
      <alignment vertical="center" wrapText="1"/>
    </xf>
    <xf numFmtId="43" fontId="45" fillId="0" borderId="80" xfId="47" applyNumberFormat="1" applyFont="1" applyFill="1" applyBorder="1" applyAlignment="1" applyProtection="1">
      <alignment horizontal="right" vertical="center" wrapText="1"/>
      <protection locked="0"/>
    </xf>
    <xf numFmtId="0" fontId="64" fillId="0" borderId="81" xfId="53" applyFont="1" applyBorder="1" applyAlignment="1">
      <alignment vertical="center"/>
    </xf>
    <xf numFmtId="0" fontId="45" fillId="0" borderId="10" xfId="0" applyFont="1" applyBorder="1" applyAlignment="1">
      <alignment horizontal="center"/>
    </xf>
    <xf numFmtId="0" fontId="46" fillId="0" borderId="80" xfId="0" applyFont="1" applyBorder="1" applyAlignment="1">
      <alignment horizontal="center"/>
    </xf>
    <xf numFmtId="0" fontId="45" fillId="0" borderId="80" xfId="0" applyFont="1" applyBorder="1" applyAlignment="1">
      <alignment horizontal="center"/>
    </xf>
    <xf numFmtId="0" fontId="45" fillId="0" borderId="81" xfId="0" applyFont="1" applyBorder="1" applyAlignment="1">
      <alignment horizontal="center"/>
    </xf>
    <xf numFmtId="0" fontId="45" fillId="0" borderId="0" xfId="0" applyFont="1" applyBorder="1" applyAlignment="1"/>
    <xf numFmtId="0" fontId="68" fillId="0" borderId="0" xfId="0" applyFont="1" applyAlignment="1">
      <alignment horizontal="center" vertical="center" wrapText="1"/>
    </xf>
    <xf numFmtId="0" fontId="68" fillId="0" borderId="55" xfId="0" applyFont="1" applyBorder="1" applyAlignment="1">
      <alignment horizontal="center" vertical="center" wrapText="1"/>
    </xf>
    <xf numFmtId="0" fontId="68" fillId="0" borderId="0" xfId="633" applyFont="1" applyAlignment="1">
      <alignment vertical="center"/>
    </xf>
    <xf numFmtId="0" fontId="68" fillId="0" borderId="0" xfId="633" applyFont="1" applyBorder="1" applyAlignment="1">
      <alignment vertical="center"/>
    </xf>
    <xf numFmtId="0" fontId="42" fillId="0" borderId="80" xfId="633" applyFont="1" applyBorder="1" applyAlignment="1">
      <alignment vertical="center"/>
    </xf>
    <xf numFmtId="4" fontId="42" fillId="0" borderId="80" xfId="633" applyNumberFormat="1" applyFont="1" applyBorder="1" applyAlignment="1">
      <alignment vertical="center"/>
    </xf>
    <xf numFmtId="4" fontId="68" fillId="0" borderId="0" xfId="633" applyNumberFormat="1" applyFont="1" applyAlignment="1">
      <alignment vertical="center"/>
    </xf>
    <xf numFmtId="175" fontId="68" fillId="0" borderId="55" xfId="633" applyNumberFormat="1" applyFont="1" applyBorder="1" applyAlignment="1" applyProtection="1">
      <alignment horizontal="right" vertical="center"/>
    </xf>
    <xf numFmtId="4" fontId="68" fillId="0" borderId="28" xfId="141" applyNumberFormat="1" applyFont="1" applyBorder="1" applyAlignment="1" applyProtection="1">
      <alignment horizontal="right" vertical="center"/>
    </xf>
    <xf numFmtId="0" fontId="42" fillId="0" borderId="80" xfId="633" applyFont="1" applyFill="1" applyBorder="1" applyAlignment="1">
      <alignment horizontal="center" vertical="center"/>
    </xf>
    <xf numFmtId="0" fontId="42" fillId="0" borderId="0" xfId="633" applyFont="1" applyFill="1" applyBorder="1" applyAlignment="1">
      <alignment vertical="center"/>
    </xf>
    <xf numFmtId="4" fontId="42" fillId="0" borderId="0" xfId="633" applyNumberFormat="1" applyFont="1" applyFill="1" applyBorder="1" applyAlignment="1">
      <alignment vertical="center"/>
    </xf>
    <xf numFmtId="0" fontId="68" fillId="0" borderId="0" xfId="633" applyFont="1" applyFill="1" applyBorder="1" applyAlignment="1">
      <alignment vertical="center"/>
    </xf>
    <xf numFmtId="0" fontId="42" fillId="0" borderId="0" xfId="633" applyFont="1" applyFill="1" applyBorder="1" applyAlignment="1">
      <alignment horizontal="left" vertical="center"/>
    </xf>
    <xf numFmtId="0" fontId="42" fillId="0" borderId="0" xfId="633" applyFont="1" applyFill="1" applyBorder="1" applyAlignment="1">
      <alignment horizontal="left" vertical="center" wrapText="1"/>
    </xf>
    <xf numFmtId="0" fontId="42" fillId="0" borderId="0" xfId="633" applyFont="1" applyFill="1" applyBorder="1" applyAlignment="1">
      <alignment horizontal="center" vertical="center"/>
    </xf>
    <xf numFmtId="0" fontId="78" fillId="0" borderId="0" xfId="633" applyFont="1" applyFill="1" applyBorder="1" applyAlignment="1">
      <alignment horizontal="center" vertical="center"/>
    </xf>
    <xf numFmtId="0" fontId="42" fillId="0" borderId="80" xfId="633" applyFont="1" applyFill="1" applyBorder="1" applyAlignment="1">
      <alignment vertical="center"/>
    </xf>
    <xf numFmtId="17" fontId="9" fillId="0" borderId="34" xfId="631" applyNumberFormat="1" applyFont="1" applyBorder="1" applyAlignment="1">
      <alignment horizontal="center" vertical="center"/>
    </xf>
    <xf numFmtId="0" fontId="68" fillId="0" borderId="0" xfId="857" applyFont="1" applyAlignment="1">
      <alignment vertical="center"/>
    </xf>
    <xf numFmtId="4" fontId="68" fillId="0" borderId="0" xfId="857" applyNumberFormat="1" applyFont="1" applyAlignment="1">
      <alignment vertical="center"/>
    </xf>
    <xf numFmtId="49" fontId="68" fillId="0" borderId="50" xfId="857" applyNumberFormat="1" applyFont="1" applyBorder="1" applyAlignment="1" applyProtection="1">
      <alignment horizontal="center" vertical="center"/>
    </xf>
    <xf numFmtId="0" fontId="68" fillId="0" borderId="48" xfId="857" applyFont="1" applyBorder="1" applyAlignment="1">
      <alignment horizontal="center" vertical="center" wrapText="1"/>
    </xf>
    <xf numFmtId="4" fontId="68" fillId="0" borderId="69" xfId="857" applyNumberFormat="1" applyFont="1" applyBorder="1" applyAlignment="1">
      <alignment horizontal="center" vertical="center"/>
    </xf>
    <xf numFmtId="4" fontId="68" fillId="0" borderId="36" xfId="857" applyNumberFormat="1" applyFont="1" applyBorder="1" applyAlignment="1">
      <alignment horizontal="center" vertical="center"/>
    </xf>
    <xf numFmtId="4" fontId="68" fillId="0" borderId="50" xfId="857" applyNumberFormat="1" applyFont="1" applyBorder="1" applyAlignment="1" applyProtection="1">
      <alignment horizontal="right" vertical="center"/>
    </xf>
    <xf numFmtId="4" fontId="68" fillId="0" borderId="48" xfId="857" applyNumberFormat="1" applyFont="1" applyBorder="1" applyAlignment="1" applyProtection="1">
      <alignment horizontal="right" vertical="center" indent="1"/>
    </xf>
    <xf numFmtId="179" fontId="68" fillId="0" borderId="50" xfId="857" applyNumberFormat="1" applyFont="1" applyBorder="1" applyAlignment="1" applyProtection="1">
      <alignment horizontal="center" vertical="center"/>
    </xf>
    <xf numFmtId="179" fontId="68" fillId="0" borderId="48" xfId="857" applyNumberFormat="1" applyFont="1" applyBorder="1" applyAlignment="1" applyProtection="1">
      <alignment horizontal="center" vertical="center"/>
    </xf>
    <xf numFmtId="0" fontId="68" fillId="0" borderId="0" xfId="857" applyFont="1" applyBorder="1" applyAlignment="1">
      <alignment horizontal="center" vertical="center" wrapText="1"/>
    </xf>
    <xf numFmtId="49" fontId="68" fillId="0" borderId="0" xfId="857" applyNumberFormat="1" applyFont="1" applyBorder="1" applyAlignment="1" applyProtection="1">
      <alignment horizontal="center" vertical="center"/>
    </xf>
    <xf numFmtId="179" fontId="68" fillId="0" borderId="0" xfId="857" applyNumberFormat="1" applyFont="1" applyBorder="1" applyAlignment="1" applyProtection="1">
      <alignment horizontal="center" vertical="center"/>
    </xf>
    <xf numFmtId="0" fontId="68" fillId="0" borderId="0" xfId="857" applyFont="1" applyBorder="1" applyAlignment="1">
      <alignment vertical="center"/>
    </xf>
    <xf numFmtId="0" fontId="68" fillId="24" borderId="0" xfId="858" applyFont="1" applyFill="1" applyBorder="1" applyAlignment="1">
      <alignment vertical="center"/>
    </xf>
    <xf numFmtId="0" fontId="68" fillId="24" borderId="0" xfId="858" applyFont="1" applyFill="1" applyBorder="1" applyAlignment="1">
      <alignment horizontal="right" vertical="center"/>
    </xf>
    <xf numFmtId="14" fontId="68" fillId="0" borderId="0" xfId="857" applyNumberFormat="1" applyFont="1" applyBorder="1" applyAlignment="1">
      <alignment vertical="center"/>
    </xf>
    <xf numFmtId="2" fontId="68" fillId="0" borderId="0" xfId="857" applyNumberFormat="1" applyFont="1" applyBorder="1" applyAlignment="1">
      <alignment vertical="center"/>
    </xf>
    <xf numFmtId="0" fontId="79" fillId="0" borderId="0" xfId="857" applyFont="1" applyAlignment="1">
      <alignment vertical="center"/>
    </xf>
    <xf numFmtId="0" fontId="79" fillId="0" borderId="0" xfId="857" applyFont="1" applyBorder="1" applyAlignment="1">
      <alignment vertical="center"/>
    </xf>
    <xf numFmtId="0" fontId="79" fillId="24" borderId="0" xfId="858" applyFont="1" applyFill="1" applyBorder="1" applyAlignment="1">
      <alignment horizontal="right" vertical="center"/>
    </xf>
    <xf numFmtId="4" fontId="68" fillId="0" borderId="0" xfId="857" applyNumberFormat="1" applyFont="1" applyBorder="1" applyAlignment="1">
      <alignment horizontal="center" vertical="center"/>
    </xf>
    <xf numFmtId="4" fontId="68" fillId="0" borderId="0" xfId="857" applyNumberFormat="1" applyFont="1" applyBorder="1" applyAlignment="1" applyProtection="1">
      <alignment horizontal="right" vertical="center"/>
    </xf>
    <xf numFmtId="4" fontId="68" fillId="0" borderId="0" xfId="857" applyNumberFormat="1" applyFont="1" applyBorder="1" applyAlignment="1" applyProtection="1">
      <alignment horizontal="right" vertical="center" indent="1"/>
    </xf>
    <xf numFmtId="4" fontId="68" fillId="0" borderId="0" xfId="857" applyNumberFormat="1" applyFont="1" applyBorder="1" applyAlignment="1">
      <alignment horizontal="left" vertical="center"/>
    </xf>
    <xf numFmtId="179" fontId="68" fillId="0" borderId="0" xfId="857" applyNumberFormat="1" applyFont="1" applyBorder="1" applyAlignment="1" applyProtection="1">
      <alignment horizontal="left" vertical="center"/>
    </xf>
    <xf numFmtId="179" fontId="9" fillId="0" borderId="28" xfId="631" applyNumberFormat="1" applyFont="1" applyBorder="1" applyAlignment="1">
      <alignment horizontal="center" vertical="center"/>
    </xf>
    <xf numFmtId="179" fontId="9" fillId="0" borderId="45" xfId="631" applyNumberFormat="1" applyFont="1" applyBorder="1" applyAlignment="1">
      <alignment horizontal="center" vertical="center"/>
    </xf>
    <xf numFmtId="43" fontId="45" fillId="24" borderId="80" xfId="47" applyNumberFormat="1" applyFont="1" applyFill="1" applyBorder="1" applyAlignment="1" applyProtection="1">
      <alignment horizontal="right" vertical="center"/>
      <protection locked="0"/>
    </xf>
    <xf numFmtId="0" fontId="48" fillId="0" borderId="14" xfId="631" applyFont="1" applyBorder="1"/>
    <xf numFmtId="0" fontId="44" fillId="0" borderId="11" xfId="633" applyFont="1" applyBorder="1" applyAlignment="1">
      <alignment vertical="center"/>
    </xf>
    <xf numFmtId="43" fontId="45" fillId="24" borderId="19" xfId="47" applyNumberFormat="1" applyFont="1" applyFill="1" applyBorder="1" applyAlignment="1" applyProtection="1">
      <alignment horizontal="right" vertical="center"/>
      <protection locked="0"/>
    </xf>
    <xf numFmtId="43" fontId="45" fillId="24" borderId="19" xfId="47" applyNumberFormat="1" applyFont="1" applyFill="1" applyBorder="1" applyAlignment="1">
      <alignment horizontal="right" vertical="center"/>
    </xf>
    <xf numFmtId="0" fontId="68" fillId="0" borderId="13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14" xfId="0" applyFont="1" applyBorder="1" applyAlignment="1">
      <alignment horizontal="center" vertical="center" wrapText="1"/>
    </xf>
    <xf numFmtId="0" fontId="68" fillId="0" borderId="15" xfId="0" applyFont="1" applyBorder="1" applyAlignment="1">
      <alignment horizontal="center" vertical="center" wrapText="1"/>
    </xf>
    <xf numFmtId="165" fontId="12" fillId="0" borderId="0" xfId="631" applyNumberFormat="1" applyFont="1"/>
    <xf numFmtId="166" fontId="12" fillId="0" borderId="0" xfId="631" applyNumberFormat="1" applyFont="1"/>
    <xf numFmtId="166" fontId="62" fillId="0" borderId="0" xfId="631" applyNumberFormat="1" applyFont="1"/>
    <xf numFmtId="165" fontId="62" fillId="0" borderId="0" xfId="631" applyNumberFormat="1" applyFont="1"/>
    <xf numFmtId="179" fontId="9" fillId="0" borderId="51" xfId="631" applyNumberFormat="1" applyFont="1" applyBorder="1" applyAlignment="1">
      <alignment horizontal="center" vertical="center"/>
    </xf>
    <xf numFmtId="17" fontId="9" fillId="0" borderId="79" xfId="631" applyNumberFormat="1" applyFont="1" applyBorder="1" applyAlignment="1">
      <alignment horizontal="center" vertical="center"/>
    </xf>
    <xf numFmtId="179" fontId="9" fillId="0" borderId="117" xfId="631" applyNumberFormat="1" applyFont="1" applyBorder="1" applyAlignment="1">
      <alignment horizontal="center" vertical="center"/>
    </xf>
    <xf numFmtId="175" fontId="68" fillId="0" borderId="56" xfId="633" applyNumberFormat="1" applyFont="1" applyBorder="1" applyAlignment="1" applyProtection="1">
      <alignment horizontal="right" vertical="center"/>
    </xf>
    <xf numFmtId="4" fontId="68" fillId="0" borderId="51" xfId="141" applyNumberFormat="1" applyFont="1" applyBorder="1" applyAlignment="1" applyProtection="1">
      <alignment horizontal="right" vertical="center"/>
    </xf>
    <xf numFmtId="166" fontId="12" fillId="0" borderId="0" xfId="631" applyNumberFormat="1"/>
    <xf numFmtId="0" fontId="44" fillId="0" borderId="13" xfId="141" applyFont="1" applyBorder="1" applyAlignment="1">
      <alignment vertical="center" wrapText="1"/>
    </xf>
    <xf numFmtId="0" fontId="44" fillId="0" borderId="14" xfId="141" applyFont="1" applyBorder="1" applyAlignment="1">
      <alignment vertical="center" wrapText="1"/>
    </xf>
    <xf numFmtId="0" fontId="49" fillId="0" borderId="10" xfId="141" applyFont="1" applyFill="1" applyBorder="1" applyAlignment="1">
      <alignment horizontal="left" vertical="center"/>
    </xf>
    <xf numFmtId="0" fontId="44" fillId="0" borderId="80" xfId="141" applyFont="1" applyFill="1" applyBorder="1" applyAlignment="1">
      <alignment horizontal="left" vertical="center"/>
    </xf>
    <xf numFmtId="0" fontId="49" fillId="0" borderId="32" xfId="141" applyFont="1" applyBorder="1" applyAlignment="1">
      <alignment vertical="center"/>
    </xf>
    <xf numFmtId="0" fontId="49" fillId="0" borderId="15" xfId="141" applyFont="1" applyBorder="1" applyAlignment="1">
      <alignment vertical="center"/>
    </xf>
    <xf numFmtId="14" fontId="49" fillId="0" borderId="0" xfId="141" applyNumberFormat="1" applyFont="1" applyAlignment="1">
      <alignment vertical="center"/>
    </xf>
    <xf numFmtId="2" fontId="49" fillId="0" borderId="0" xfId="141" applyNumberFormat="1" applyFont="1" applyAlignment="1">
      <alignment vertical="center"/>
    </xf>
    <xf numFmtId="180" fontId="45" fillId="24" borderId="0" xfId="56" applyNumberFormat="1" applyFont="1" applyFill="1" applyAlignment="1">
      <alignment horizontal="right" vertical="center"/>
    </xf>
    <xf numFmtId="184" fontId="45" fillId="24" borderId="0" xfId="56" applyNumberFormat="1" applyFont="1" applyFill="1" applyAlignment="1">
      <alignment horizontal="right" vertical="center"/>
    </xf>
    <xf numFmtId="188" fontId="45" fillId="24" borderId="0" xfId="56" applyNumberFormat="1" applyFont="1" applyFill="1" applyAlignment="1">
      <alignment horizontal="right" vertical="center"/>
    </xf>
    <xf numFmtId="2" fontId="62" fillId="0" borderId="0" xfId="631" applyNumberFormat="1" applyFont="1"/>
    <xf numFmtId="17" fontId="8" fillId="0" borderId="34" xfId="631" applyNumberFormat="1" applyFont="1" applyBorder="1" applyAlignment="1">
      <alignment horizontal="center" vertical="center"/>
    </xf>
    <xf numFmtId="176" fontId="49" fillId="0" borderId="55" xfId="633" applyNumberFormat="1" applyFont="1" applyBorder="1" applyAlignment="1">
      <alignment horizontal="center" vertical="center" wrapText="1"/>
    </xf>
    <xf numFmtId="165" fontId="45" fillId="24" borderId="0" xfId="56" applyNumberFormat="1" applyFont="1" applyFill="1" applyAlignment="1">
      <alignment vertical="center"/>
    </xf>
    <xf numFmtId="0" fontId="44" fillId="0" borderId="0" xfId="141" applyFont="1" applyBorder="1" applyAlignment="1">
      <alignment vertical="center" wrapText="1"/>
    </xf>
    <xf numFmtId="0" fontId="44" fillId="0" borderId="40" xfId="141" applyFont="1" applyFill="1" applyBorder="1" applyAlignment="1">
      <alignment horizontal="center" vertical="center"/>
    </xf>
    <xf numFmtId="174" fontId="44" fillId="24" borderId="32" xfId="142" applyNumberFormat="1" applyFont="1" applyFill="1" applyBorder="1" applyAlignment="1">
      <alignment horizontal="center" vertical="center"/>
    </xf>
    <xf numFmtId="0" fontId="44" fillId="0" borderId="0" xfId="141" applyFont="1" applyBorder="1" applyAlignment="1">
      <alignment horizontal="center" vertical="center"/>
    </xf>
    <xf numFmtId="0" fontId="44" fillId="0" borderId="0" xfId="141" applyFont="1" applyBorder="1" applyAlignment="1">
      <alignment horizontal="center" vertical="center" wrapText="1"/>
    </xf>
    <xf numFmtId="0" fontId="44" fillId="0" borderId="14" xfId="141" applyFont="1" applyBorder="1" applyAlignment="1">
      <alignment horizontal="center" vertical="center" wrapText="1"/>
    </xf>
    <xf numFmtId="0" fontId="49" fillId="0" borderId="14" xfId="141" applyFont="1" applyFill="1" applyBorder="1" applyAlignment="1">
      <alignment vertical="center"/>
    </xf>
    <xf numFmtId="0" fontId="44" fillId="0" borderId="14" xfId="141" applyFont="1" applyFill="1" applyBorder="1" applyAlignment="1">
      <alignment horizontal="center" vertical="center"/>
    </xf>
    <xf numFmtId="0" fontId="44" fillId="0" borderId="17" xfId="141" applyFont="1" applyFill="1" applyBorder="1" applyAlignment="1">
      <alignment horizontal="center" vertical="center"/>
    </xf>
    <xf numFmtId="43" fontId="45" fillId="0" borderId="23" xfId="47" applyNumberFormat="1" applyFont="1" applyFill="1" applyBorder="1" applyAlignment="1" applyProtection="1">
      <alignment horizontal="right" vertical="center" wrapText="1"/>
      <protection locked="0"/>
    </xf>
    <xf numFmtId="43" fontId="45" fillId="0" borderId="33" xfId="47" applyNumberFormat="1" applyFont="1" applyFill="1" applyBorder="1" applyAlignment="1" applyProtection="1">
      <alignment horizontal="right" vertical="center" wrapText="1"/>
      <protection locked="0"/>
    </xf>
    <xf numFmtId="43" fontId="45" fillId="0" borderId="52" xfId="47" applyNumberFormat="1" applyFont="1" applyFill="1" applyBorder="1" applyAlignment="1" applyProtection="1">
      <alignment horizontal="right" vertical="center" wrapText="1"/>
      <protection locked="0"/>
    </xf>
    <xf numFmtId="0" fontId="45" fillId="0" borderId="44" xfId="52" applyFont="1" applyFill="1" applyBorder="1" applyAlignment="1">
      <alignment vertical="center" wrapText="1"/>
    </xf>
    <xf numFmtId="0" fontId="45" fillId="0" borderId="35" xfId="52" applyFont="1" applyFill="1" applyBorder="1" applyAlignment="1">
      <alignment horizontal="center" vertical="center" wrapText="1"/>
    </xf>
    <xf numFmtId="43" fontId="45" fillId="0" borderId="81" xfId="47" applyNumberFormat="1" applyFont="1" applyFill="1" applyBorder="1" applyAlignment="1">
      <alignment horizontal="right" vertical="center" wrapText="1"/>
    </xf>
    <xf numFmtId="0" fontId="45" fillId="0" borderId="28" xfId="52" applyFont="1" applyFill="1" applyBorder="1" applyAlignment="1">
      <alignment horizontal="center" vertical="center" wrapText="1"/>
    </xf>
    <xf numFmtId="0" fontId="45" fillId="0" borderId="65" xfId="52" applyFont="1" applyFill="1" applyBorder="1" applyAlignment="1">
      <alignment vertical="center" wrapText="1"/>
    </xf>
    <xf numFmtId="0" fontId="45" fillId="0" borderId="66" xfId="52" applyFont="1" applyFill="1" applyBorder="1" applyAlignment="1">
      <alignment vertical="center" wrapText="1"/>
    </xf>
    <xf numFmtId="0" fontId="45" fillId="0" borderId="51" xfId="52" applyFont="1" applyFill="1" applyBorder="1" applyAlignment="1">
      <alignment horizontal="center" vertical="center" wrapText="1"/>
    </xf>
    <xf numFmtId="0" fontId="45" fillId="0" borderId="44" xfId="52" applyFont="1" applyFill="1" applyBorder="1" applyAlignment="1">
      <alignment vertical="center"/>
    </xf>
    <xf numFmtId="0" fontId="45" fillId="0" borderId="15" xfId="0" applyFont="1" applyBorder="1" applyAlignment="1">
      <alignment horizontal="center"/>
    </xf>
    <xf numFmtId="0" fontId="45" fillId="0" borderId="17" xfId="0" applyFont="1" applyBorder="1" applyAlignment="1">
      <alignment horizontal="center"/>
    </xf>
    <xf numFmtId="0" fontId="45" fillId="24" borderId="0" xfId="56" applyFont="1" applyFill="1" applyBorder="1" applyAlignment="1">
      <alignment horizontal="center" vertical="center"/>
    </xf>
    <xf numFmtId="0" fontId="27" fillId="0" borderId="0" xfId="0" applyFont="1"/>
    <xf numFmtId="10" fontId="49" fillId="0" borderId="62" xfId="59" applyNumberFormat="1" applyFont="1" applyBorder="1" applyAlignment="1" applyProtection="1">
      <alignment horizontal="center" vertical="center"/>
    </xf>
    <xf numFmtId="0" fontId="68" fillId="0" borderId="80" xfId="633" applyFont="1" applyBorder="1" applyAlignment="1">
      <alignment vertical="center"/>
    </xf>
    <xf numFmtId="0" fontId="45" fillId="0" borderId="80" xfId="0" applyFont="1" applyBorder="1" applyAlignment="1">
      <alignment horizontal="right"/>
    </xf>
    <xf numFmtId="0" fontId="46" fillId="0" borderId="80" xfId="0" applyFont="1" applyBorder="1" applyAlignment="1">
      <alignment horizontal="left"/>
    </xf>
    <xf numFmtId="165" fontId="46" fillId="24" borderId="0" xfId="56" applyNumberFormat="1" applyFont="1" applyFill="1" applyAlignment="1">
      <alignment vertical="center"/>
    </xf>
    <xf numFmtId="10" fontId="45" fillId="24" borderId="53" xfId="59" applyNumberFormat="1" applyFont="1" applyFill="1" applyBorder="1" applyAlignment="1">
      <alignment horizontal="right" vertical="center"/>
    </xf>
    <xf numFmtId="165" fontId="45" fillId="24" borderId="0" xfId="56" applyNumberFormat="1" applyFont="1" applyFill="1" applyBorder="1" applyAlignment="1">
      <alignment vertical="center"/>
    </xf>
    <xf numFmtId="0" fontId="45" fillId="0" borderId="57" xfId="52" applyFont="1" applyFill="1" applyBorder="1" applyAlignment="1">
      <alignment horizontal="center" vertical="center" wrapText="1"/>
    </xf>
    <xf numFmtId="0" fontId="68" fillId="24" borderId="0" xfId="858" applyFont="1" applyFill="1" applyBorder="1" applyAlignment="1">
      <alignment horizontal="center" vertical="center"/>
    </xf>
    <xf numFmtId="0" fontId="27" fillId="0" borderId="74" xfId="863" applyBorder="1"/>
    <xf numFmtId="0" fontId="27" fillId="0" borderId="75" xfId="863" applyBorder="1"/>
    <xf numFmtId="0" fontId="27" fillId="0" borderId="83" xfId="863" applyBorder="1"/>
    <xf numFmtId="0" fontId="27" fillId="0" borderId="0" xfId="863"/>
    <xf numFmtId="0" fontId="27" fillId="0" borderId="76" xfId="863" applyBorder="1"/>
    <xf numFmtId="0" fontId="27" fillId="0" borderId="0" xfId="863" applyBorder="1"/>
    <xf numFmtId="0" fontId="27" fillId="0" borderId="84" xfId="863" applyBorder="1"/>
    <xf numFmtId="0" fontId="27" fillId="0" borderId="85" xfId="863" applyBorder="1"/>
    <xf numFmtId="0" fontId="27" fillId="0" borderId="87" xfId="863" applyBorder="1"/>
    <xf numFmtId="0" fontId="27" fillId="0" borderId="86" xfId="863" applyBorder="1"/>
    <xf numFmtId="0" fontId="27" fillId="0" borderId="0" xfId="863" applyBorder="1" applyAlignment="1"/>
    <xf numFmtId="0" fontId="27" fillId="0" borderId="76" xfId="863" applyBorder="1" applyAlignment="1"/>
    <xf numFmtId="0" fontId="27" fillId="0" borderId="84" xfId="863" applyBorder="1" applyAlignment="1"/>
    <xf numFmtId="0" fontId="27" fillId="0" borderId="0" xfId="863" applyBorder="1" applyAlignment="1">
      <alignment horizontal="right"/>
    </xf>
    <xf numFmtId="0" fontId="27" fillId="0" borderId="0" xfId="863" applyFont="1" applyBorder="1" applyAlignment="1"/>
    <xf numFmtId="0" fontId="85" fillId="0" borderId="76" xfId="863" applyFont="1" applyFill="1" applyBorder="1" applyAlignment="1"/>
    <xf numFmtId="49" fontId="83" fillId="0" borderId="76" xfId="863" applyNumberFormat="1" applyFont="1" applyFill="1" applyBorder="1" applyAlignment="1"/>
    <xf numFmtId="17" fontId="83" fillId="0" borderId="0" xfId="863" applyNumberFormat="1" applyFont="1" applyFill="1" applyBorder="1" applyAlignment="1"/>
    <xf numFmtId="17" fontId="83" fillId="0" borderId="84" xfId="863" applyNumberFormat="1" applyFont="1" applyFill="1" applyBorder="1" applyAlignment="1"/>
    <xf numFmtId="0" fontId="87" fillId="0" borderId="87" xfId="863" applyFont="1" applyBorder="1"/>
    <xf numFmtId="0" fontId="27" fillId="0" borderId="87" xfId="863" applyFont="1" applyBorder="1"/>
    <xf numFmtId="0" fontId="86" fillId="0" borderId="0" xfId="863" applyFont="1" applyBorder="1" applyAlignment="1"/>
    <xf numFmtId="0" fontId="83" fillId="0" borderId="76" xfId="863" applyFont="1" applyBorder="1" applyAlignment="1">
      <alignment horizontal="center"/>
    </xf>
    <xf numFmtId="0" fontId="83" fillId="0" borderId="0" xfId="863" applyFont="1" applyBorder="1" applyAlignment="1">
      <alignment horizontal="center"/>
    </xf>
    <xf numFmtId="0" fontId="83" fillId="0" borderId="84" xfId="863" applyFont="1" applyBorder="1" applyAlignment="1">
      <alignment horizontal="center"/>
    </xf>
    <xf numFmtId="0" fontId="84" fillId="0" borderId="0" xfId="863" applyFont="1" applyBorder="1"/>
    <xf numFmtId="0" fontId="27" fillId="0" borderId="0" xfId="864"/>
    <xf numFmtId="0" fontId="27" fillId="0" borderId="0" xfId="864" applyAlignment="1">
      <alignment horizontal="left"/>
    </xf>
    <xf numFmtId="0" fontId="27" fillId="0" borderId="0" xfId="864" applyFont="1"/>
    <xf numFmtId="0" fontId="27" fillId="0" borderId="76" xfId="864" applyFont="1" applyBorder="1" applyAlignment="1"/>
    <xf numFmtId="0" fontId="27" fillId="0" borderId="0" xfId="864" applyFont="1" applyBorder="1" applyAlignment="1"/>
    <xf numFmtId="0" fontId="27" fillId="0" borderId="101" xfId="864" applyBorder="1" applyAlignment="1">
      <alignment horizontal="center"/>
    </xf>
    <xf numFmtId="0" fontId="27" fillId="0" borderId="76" xfId="864" applyFont="1" applyBorder="1"/>
    <xf numFmtId="0" fontId="27" fillId="0" borderId="0" xfId="864" applyFont="1" applyBorder="1"/>
    <xf numFmtId="0" fontId="27" fillId="0" borderId="84" xfId="864" applyFont="1" applyBorder="1"/>
    <xf numFmtId="0" fontId="27" fillId="0" borderId="85" xfId="864" applyFont="1" applyBorder="1"/>
    <xf numFmtId="0" fontId="27" fillId="0" borderId="87" xfId="864" applyFont="1" applyBorder="1"/>
    <xf numFmtId="0" fontId="27" fillId="0" borderId="86" xfId="864" applyFont="1" applyBorder="1"/>
    <xf numFmtId="190" fontId="27" fillId="0" borderId="0" xfId="864" applyNumberFormat="1" applyFont="1"/>
    <xf numFmtId="0" fontId="27" fillId="0" borderId="120" xfId="864" applyFont="1" applyBorder="1"/>
    <xf numFmtId="0" fontId="67" fillId="0" borderId="0" xfId="864" applyFont="1" applyAlignment="1">
      <alignment wrapText="1"/>
    </xf>
    <xf numFmtId="0" fontId="67" fillId="0" borderId="0" xfId="864" applyFont="1"/>
    <xf numFmtId="0" fontId="27" fillId="0" borderId="130" xfId="864" applyFont="1" applyBorder="1"/>
    <xf numFmtId="0" fontId="82" fillId="0" borderId="54" xfId="864" applyFont="1" applyBorder="1" applyAlignment="1">
      <alignment vertical="center"/>
    </xf>
    <xf numFmtId="0" fontId="82" fillId="0" borderId="132" xfId="864" applyFont="1" applyBorder="1" applyAlignment="1">
      <alignment vertical="center"/>
    </xf>
    <xf numFmtId="0" fontId="82" fillId="0" borderId="55" xfId="864" applyFont="1" applyBorder="1" applyAlignment="1">
      <alignment vertical="center"/>
    </xf>
    <xf numFmtId="0" fontId="82" fillId="0" borderId="78" xfId="864" applyFont="1" applyBorder="1" applyAlignment="1">
      <alignment vertical="center"/>
    </xf>
    <xf numFmtId="0" fontId="82" fillId="0" borderId="69" xfId="864" applyFont="1" applyBorder="1" applyAlignment="1">
      <alignment vertical="center"/>
    </xf>
    <xf numFmtId="0" fontId="82" fillId="0" borderId="115" xfId="864" applyFont="1" applyBorder="1" applyAlignment="1">
      <alignment vertical="center"/>
    </xf>
    <xf numFmtId="0" fontId="82" fillId="0" borderId="135" xfId="864" applyFont="1" applyBorder="1" applyAlignment="1">
      <alignment vertical="center"/>
    </xf>
    <xf numFmtId="0" fontId="82" fillId="0" borderId="136" xfId="864" applyFont="1" applyBorder="1" applyAlignment="1">
      <alignment vertical="center"/>
    </xf>
    <xf numFmtId="49" fontId="27" fillId="0" borderId="0" xfId="864" applyNumberFormat="1" applyFont="1"/>
    <xf numFmtId="0" fontId="5" fillId="0" borderId="0" xfId="866" applyAlignment="1">
      <alignment horizontal="right"/>
    </xf>
    <xf numFmtId="0" fontId="5" fillId="0" borderId="0" xfId="866"/>
    <xf numFmtId="0" fontId="27" fillId="0" borderId="121" xfId="864" applyBorder="1" applyAlignment="1">
      <alignment horizontal="right"/>
    </xf>
    <xf numFmtId="0" fontId="27" fillId="0" borderId="122" xfId="864" applyBorder="1" applyAlignment="1">
      <alignment horizontal="right"/>
    </xf>
    <xf numFmtId="0" fontId="27" fillId="0" borderId="122" xfId="864" applyBorder="1"/>
    <xf numFmtId="0" fontId="27" fillId="0" borderId="123" xfId="864" applyBorder="1"/>
    <xf numFmtId="0" fontId="27" fillId="0" borderId="124" xfId="864" applyBorder="1" applyAlignment="1">
      <alignment horizontal="center" vertical="center"/>
    </xf>
    <xf numFmtId="0" fontId="27" fillId="0" borderId="0" xfId="864" applyBorder="1" applyAlignment="1">
      <alignment horizontal="center" vertical="center"/>
    </xf>
    <xf numFmtId="0" fontId="27" fillId="0" borderId="125" xfId="864" applyBorder="1" applyAlignment="1">
      <alignment horizontal="center" vertical="center"/>
    </xf>
    <xf numFmtId="0" fontId="27" fillId="0" borderId="124" xfId="864" applyBorder="1" applyAlignment="1">
      <alignment horizontal="right"/>
    </xf>
    <xf numFmtId="0" fontId="27" fillId="0" borderId="0" xfId="864" applyBorder="1" applyAlignment="1">
      <alignment horizontal="right"/>
    </xf>
    <xf numFmtId="0" fontId="27" fillId="0" borderId="0" xfId="864" applyBorder="1"/>
    <xf numFmtId="0" fontId="66" fillId="0" borderId="0" xfId="864" applyFont="1" applyBorder="1"/>
    <xf numFmtId="0" fontId="66" fillId="0" borderId="125" xfId="864" applyFont="1" applyBorder="1"/>
    <xf numFmtId="0" fontId="27" fillId="0" borderId="0" xfId="864" applyFont="1" applyBorder="1" applyAlignment="1">
      <alignment horizontal="left"/>
    </xf>
    <xf numFmtId="0" fontId="66" fillId="0" borderId="0" xfId="864" applyFont="1" applyBorder="1" applyAlignment="1"/>
    <xf numFmtId="0" fontId="66" fillId="0" borderId="125" xfId="864" applyFont="1" applyBorder="1" applyAlignment="1"/>
    <xf numFmtId="0" fontId="95" fillId="0" borderId="124" xfId="864" applyFont="1" applyBorder="1" applyAlignment="1">
      <alignment horizontal="right"/>
    </xf>
    <xf numFmtId="0" fontId="91" fillId="0" borderId="0" xfId="864" applyFont="1" applyBorder="1" applyAlignment="1">
      <alignment horizontal="left"/>
    </xf>
    <xf numFmtId="0" fontId="95" fillId="0" borderId="0" xfId="864" applyFont="1" applyBorder="1" applyAlignment="1">
      <alignment horizontal="right"/>
    </xf>
    <xf numFmtId="0" fontId="27" fillId="0" borderId="126" xfId="864" applyBorder="1" applyAlignment="1">
      <alignment horizontal="right"/>
    </xf>
    <xf numFmtId="0" fontId="27" fillId="0" borderId="127" xfId="864" applyBorder="1" applyAlignment="1">
      <alignment horizontal="right"/>
    </xf>
    <xf numFmtId="0" fontId="27" fillId="0" borderId="127" xfId="864" applyBorder="1" applyAlignment="1"/>
    <xf numFmtId="0" fontId="27" fillId="0" borderId="128" xfId="864" applyBorder="1" applyAlignment="1"/>
    <xf numFmtId="0" fontId="27" fillId="0" borderId="125" xfId="864" applyBorder="1"/>
    <xf numFmtId="0" fontId="27" fillId="0" borderId="0" xfId="864" applyBorder="1" applyAlignment="1">
      <alignment horizontal="left"/>
    </xf>
    <xf numFmtId="0" fontId="27" fillId="0" borderId="0" xfId="864" applyBorder="1" applyAlignment="1"/>
    <xf numFmtId="0" fontId="27" fillId="0" borderId="125" xfId="864" applyBorder="1" applyAlignment="1"/>
    <xf numFmtId="0" fontId="97" fillId="0" borderId="0" xfId="0" applyFont="1" applyFill="1" applyAlignment="1">
      <alignment horizontal="center"/>
    </xf>
    <xf numFmtId="0" fontId="97" fillId="27" borderId="0" xfId="0" applyFont="1" applyFill="1" applyAlignment="1">
      <alignment horizontal="center"/>
    </xf>
    <xf numFmtId="0" fontId="97" fillId="27" borderId="0" xfId="0" applyFont="1" applyFill="1"/>
    <xf numFmtId="0" fontId="97" fillId="0" borderId="0" xfId="0" applyFont="1" applyAlignment="1">
      <alignment horizontal="center"/>
    </xf>
    <xf numFmtId="0" fontId="97" fillId="0" borderId="0" xfId="0" applyFont="1"/>
    <xf numFmtId="43" fontId="45" fillId="0" borderId="140" xfId="47" applyNumberFormat="1" applyFont="1" applyFill="1" applyBorder="1" applyAlignment="1">
      <alignment horizontal="right" vertical="center" wrapText="1"/>
    </xf>
    <xf numFmtId="43" fontId="45" fillId="24" borderId="61" xfId="47" applyNumberFormat="1" applyFont="1" applyFill="1" applyBorder="1" applyAlignment="1">
      <alignment horizontal="right" vertical="center"/>
    </xf>
    <xf numFmtId="43" fontId="45" fillId="24" borderId="0" xfId="56" applyNumberFormat="1" applyFont="1" applyFill="1" applyAlignment="1">
      <alignment vertical="center"/>
    </xf>
    <xf numFmtId="0" fontId="45" fillId="0" borderId="0" xfId="0" applyFont="1" applyBorder="1" applyAlignment="1">
      <alignment horizontal="center"/>
    </xf>
    <xf numFmtId="0" fontId="46" fillId="25" borderId="0" xfId="56" applyFont="1" applyFill="1" applyBorder="1" applyAlignment="1">
      <alignment horizontal="center" vertical="center" wrapText="1"/>
    </xf>
    <xf numFmtId="10" fontId="46" fillId="24" borderId="0" xfId="59" applyNumberFormat="1" applyFont="1" applyFill="1" applyBorder="1" applyAlignment="1">
      <alignment horizontal="right" vertical="center"/>
    </xf>
    <xf numFmtId="2" fontId="45" fillId="24" borderId="0" xfId="59" applyNumberFormat="1" applyFont="1" applyFill="1" applyBorder="1" applyAlignment="1">
      <alignment horizontal="right" vertical="center"/>
    </xf>
    <xf numFmtId="0" fontId="46" fillId="0" borderId="140" xfId="52" applyNumberFormat="1" applyFont="1" applyFill="1" applyBorder="1" applyAlignment="1" applyProtection="1">
      <alignment vertical="center"/>
    </xf>
    <xf numFmtId="43" fontId="46" fillId="0" borderId="140" xfId="0" applyNumberFormat="1" applyFont="1" applyFill="1" applyBorder="1" applyAlignment="1" applyProtection="1">
      <alignment vertical="center" wrapText="1"/>
    </xf>
    <xf numFmtId="43" fontId="45" fillId="24" borderId="137" xfId="47" applyNumberFormat="1" applyFont="1" applyFill="1" applyBorder="1" applyAlignment="1" applyProtection="1">
      <alignment horizontal="right" vertical="center"/>
      <protection locked="0"/>
    </xf>
    <xf numFmtId="43" fontId="45" fillId="24" borderId="140" xfId="47" applyNumberFormat="1" applyFont="1" applyFill="1" applyBorder="1" applyAlignment="1" applyProtection="1">
      <alignment horizontal="right" vertical="center"/>
      <protection locked="0"/>
    </xf>
    <xf numFmtId="0" fontId="82" fillId="0" borderId="0" xfId="863" applyFont="1" applyBorder="1" applyAlignment="1">
      <alignment horizontal="right" vertical="center"/>
    </xf>
    <xf numFmtId="17" fontId="89" fillId="0" borderId="0" xfId="863" applyNumberFormat="1" applyFont="1" applyFill="1" applyBorder="1" applyAlignment="1">
      <alignment vertical="center"/>
    </xf>
    <xf numFmtId="0" fontId="27" fillId="0" borderId="0" xfId="864" applyFont="1" applyBorder="1" applyAlignment="1">
      <alignment horizontal="right" vertical="center"/>
    </xf>
    <xf numFmtId="0" fontId="67" fillId="0" borderId="140" xfId="864" applyFont="1" applyBorder="1" applyAlignment="1">
      <alignment vertical="center"/>
    </xf>
    <xf numFmtId="0" fontId="67" fillId="0" borderId="140" xfId="864" applyFont="1" applyBorder="1"/>
    <xf numFmtId="0" fontId="45" fillId="0" borderId="118" xfId="52" applyFont="1" applyFill="1" applyBorder="1" applyAlignment="1">
      <alignment horizontal="center" vertical="center" wrapText="1"/>
    </xf>
    <xf numFmtId="43" fontId="45" fillId="0" borderId="60" xfId="47" applyNumberFormat="1" applyFont="1" applyFill="1" applyBorder="1" applyAlignment="1" applyProtection="1">
      <alignment horizontal="right" vertical="center" wrapText="1"/>
      <protection locked="0"/>
    </xf>
    <xf numFmtId="43" fontId="45" fillId="0" borderId="53" xfId="47" applyNumberFormat="1" applyFont="1" applyFill="1" applyBorder="1" applyAlignment="1" applyProtection="1">
      <alignment horizontal="right" vertical="center" wrapText="1"/>
      <protection locked="0"/>
    </xf>
    <xf numFmtId="43" fontId="45" fillId="24" borderId="59" xfId="47" applyNumberFormat="1" applyFont="1" applyFill="1" applyBorder="1" applyAlignment="1">
      <alignment horizontal="right" vertical="center"/>
    </xf>
    <xf numFmtId="10" fontId="45" fillId="24" borderId="146" xfId="59" applyNumberFormat="1" applyFont="1" applyFill="1" applyBorder="1" applyAlignment="1">
      <alignment horizontal="right" vertical="center"/>
    </xf>
    <xf numFmtId="0" fontId="45" fillId="0" borderId="58" xfId="52" applyFont="1" applyFill="1" applyBorder="1" applyAlignment="1">
      <alignment horizontal="center" vertical="center" wrapText="1"/>
    </xf>
    <xf numFmtId="49" fontId="46" fillId="0" borderId="19" xfId="52" applyNumberFormat="1" applyFont="1" applyFill="1" applyBorder="1" applyAlignment="1" applyProtection="1">
      <alignment horizontal="center" vertical="center"/>
    </xf>
    <xf numFmtId="49" fontId="45" fillId="0" borderId="58" xfId="140" applyNumberFormat="1" applyFont="1" applyFill="1" applyBorder="1" applyAlignment="1" applyProtection="1">
      <alignment horizontal="center" vertical="center" wrapText="1"/>
      <protection locked="0"/>
    </xf>
    <xf numFmtId="49" fontId="46" fillId="0" borderId="19" xfId="52" applyNumberFormat="1" applyFont="1" applyFill="1" applyBorder="1" applyAlignment="1" applyProtection="1">
      <alignment horizontal="center" vertical="center" wrapText="1"/>
      <protection locked="0"/>
    </xf>
    <xf numFmtId="49" fontId="45" fillId="0" borderId="62" xfId="140" applyNumberFormat="1" applyFont="1" applyFill="1" applyBorder="1" applyAlignment="1" applyProtection="1">
      <alignment horizontal="center" vertical="center" wrapText="1"/>
      <protection locked="0"/>
    </xf>
    <xf numFmtId="49" fontId="27" fillId="0" borderId="0" xfId="863" applyNumberFormat="1"/>
    <xf numFmtId="0" fontId="99" fillId="0" borderId="122" xfId="863" applyFont="1" applyBorder="1"/>
    <xf numFmtId="0" fontId="99" fillId="0" borderId="0" xfId="863" applyFont="1" applyBorder="1"/>
    <xf numFmtId="0" fontId="100" fillId="0" borderId="0" xfId="863" applyFont="1" applyBorder="1"/>
    <xf numFmtId="0" fontId="100" fillId="0" borderId="0" xfId="863" applyFont="1" applyBorder="1" applyAlignment="1">
      <alignment vertical="center" wrapText="1"/>
    </xf>
    <xf numFmtId="0" fontId="99" fillId="0" borderId="127" xfId="863" applyFont="1" applyBorder="1"/>
    <xf numFmtId="0" fontId="104" fillId="0" borderId="0" xfId="863" applyFont="1" applyBorder="1" applyAlignment="1">
      <alignment horizontal="right" vertical="center"/>
    </xf>
    <xf numFmtId="0" fontId="104" fillId="0" borderId="0" xfId="863" applyFont="1" applyBorder="1" applyAlignment="1">
      <alignment horizontal="center" vertical="center"/>
    </xf>
    <xf numFmtId="0" fontId="46" fillId="29" borderId="19" xfId="52" applyFont="1" applyFill="1" applyBorder="1" applyAlignment="1">
      <alignment horizontal="center" vertical="center" wrapText="1"/>
    </xf>
    <xf numFmtId="43" fontId="46" fillId="29" borderId="140" xfId="47" applyNumberFormat="1" applyFont="1" applyFill="1" applyBorder="1" applyAlignment="1" applyProtection="1">
      <alignment horizontal="right" vertical="center" wrapText="1"/>
      <protection locked="0"/>
    </xf>
    <xf numFmtId="43" fontId="46" fillId="29" borderId="140" xfId="47" applyNumberFormat="1" applyFont="1" applyFill="1" applyBorder="1" applyAlignment="1">
      <alignment horizontal="right" vertical="center" wrapText="1"/>
    </xf>
    <xf numFmtId="43" fontId="46" fillId="29" borderId="137" xfId="47" applyNumberFormat="1" applyFont="1" applyFill="1" applyBorder="1" applyAlignment="1">
      <alignment horizontal="right" vertical="center" wrapText="1"/>
    </xf>
    <xf numFmtId="43" fontId="46" fillId="29" borderId="140" xfId="47" applyNumberFormat="1" applyFont="1" applyFill="1" applyBorder="1" applyAlignment="1">
      <alignment horizontal="right" vertical="center"/>
    </xf>
    <xf numFmtId="43" fontId="46" fillId="29" borderId="19" xfId="47" applyNumberFormat="1" applyFont="1" applyFill="1" applyBorder="1" applyAlignment="1">
      <alignment horizontal="right" vertical="center"/>
    </xf>
    <xf numFmtId="43" fontId="45" fillId="0" borderId="60" xfId="47" applyNumberFormat="1" applyFont="1" applyFill="1" applyBorder="1" applyAlignment="1" applyProtection="1">
      <alignment horizontal="center" vertical="center" wrapText="1"/>
      <protection locked="0"/>
    </xf>
    <xf numFmtId="0" fontId="60" fillId="0" borderId="16" xfId="631" applyFont="1" applyBorder="1" applyAlignment="1">
      <alignment horizontal="center" vertical="top"/>
    </xf>
    <xf numFmtId="0" fontId="68" fillId="0" borderId="54" xfId="0" applyFont="1" applyBorder="1" applyAlignment="1">
      <alignment horizontal="center" vertical="center" wrapText="1"/>
    </xf>
    <xf numFmtId="0" fontId="68" fillId="0" borderId="69" xfId="0" applyFont="1" applyBorder="1" applyAlignment="1">
      <alignment horizontal="center" vertical="center" wrapText="1"/>
    </xf>
    <xf numFmtId="17" fontId="49" fillId="0" borderId="54" xfId="141" applyNumberFormat="1" applyFont="1" applyBorder="1" applyAlignment="1">
      <alignment horizontal="center" vertical="center" wrapText="1"/>
    </xf>
    <xf numFmtId="17" fontId="49" fillId="0" borderId="55" xfId="141" applyNumberFormat="1" applyFont="1" applyBorder="1" applyAlignment="1">
      <alignment horizontal="center" vertical="center" wrapText="1"/>
    </xf>
    <xf numFmtId="0" fontId="44" fillId="0" borderId="16" xfId="141" applyFont="1" applyFill="1" applyBorder="1" applyAlignment="1">
      <alignment horizontal="center" vertical="top"/>
    </xf>
    <xf numFmtId="0" fontId="44" fillId="0" borderId="0" xfId="141" applyFont="1" applyFill="1" applyBorder="1" applyAlignment="1">
      <alignment horizontal="right" vertical="center"/>
    </xf>
    <xf numFmtId="165" fontId="49" fillId="0" borderId="57" xfId="46" applyFont="1" applyBorder="1" applyAlignment="1">
      <alignment vertical="center"/>
    </xf>
    <xf numFmtId="165" fontId="49" fillId="0" borderId="26" xfId="46" applyFont="1" applyFill="1" applyBorder="1" applyAlignment="1">
      <alignment horizontal="right" vertical="center"/>
    </xf>
    <xf numFmtId="165" fontId="49" fillId="0" borderId="58" xfId="46" applyFont="1" applyBorder="1" applyAlignment="1">
      <alignment vertical="center"/>
    </xf>
    <xf numFmtId="165" fontId="49" fillId="0" borderId="29" xfId="46" applyFont="1" applyFill="1" applyBorder="1" applyAlignment="1">
      <alignment horizontal="right" vertical="center"/>
    </xf>
    <xf numFmtId="165" fontId="49" fillId="0" borderId="50" xfId="46" applyFont="1" applyBorder="1" applyAlignment="1">
      <alignment vertical="center"/>
    </xf>
    <xf numFmtId="165" fontId="49" fillId="0" borderId="31" xfId="46" applyFont="1" applyFill="1" applyBorder="1" applyAlignment="1">
      <alignment horizontal="right" vertical="center"/>
    </xf>
    <xf numFmtId="165" fontId="49" fillId="0" borderId="0" xfId="46" applyFont="1" applyAlignment="1">
      <alignment vertical="center"/>
    </xf>
    <xf numFmtId="165" fontId="12" fillId="0" borderId="0" xfId="46" applyFont="1"/>
    <xf numFmtId="165" fontId="10" fillId="0" borderId="0" xfId="46" applyFont="1"/>
    <xf numFmtId="10" fontId="46" fillId="29" borderId="41" xfId="59" applyNumberFormat="1" applyFont="1" applyFill="1" applyBorder="1" applyAlignment="1">
      <alignment horizontal="right" vertical="center"/>
    </xf>
    <xf numFmtId="43" fontId="45" fillId="24" borderId="31" xfId="47" applyNumberFormat="1" applyFont="1" applyFill="1" applyBorder="1" applyAlignment="1">
      <alignment horizontal="right" vertical="center"/>
    </xf>
    <xf numFmtId="43" fontId="45" fillId="0" borderId="41" xfId="47" applyNumberFormat="1" applyFont="1" applyFill="1" applyBorder="1" applyAlignment="1" applyProtection="1">
      <alignment horizontal="right" vertical="center" wrapText="1"/>
      <protection locked="0"/>
    </xf>
    <xf numFmtId="43" fontId="45" fillId="24" borderId="43" xfId="47" applyNumberFormat="1" applyFont="1" applyFill="1" applyBorder="1" applyAlignment="1">
      <alignment horizontal="right" vertical="center"/>
    </xf>
    <xf numFmtId="9" fontId="49" fillId="0" borderId="0" xfId="59" applyFont="1" applyAlignment="1">
      <alignment vertical="center"/>
    </xf>
    <xf numFmtId="167" fontId="105" fillId="29" borderId="19" xfId="52" applyNumberFormat="1" applyFont="1" applyFill="1" applyBorder="1" applyAlignment="1" applyProtection="1">
      <alignment horizontal="center" vertical="center" wrapText="1"/>
      <protection locked="0"/>
    </xf>
    <xf numFmtId="0" fontId="106" fillId="29" borderId="140" xfId="52" applyFont="1" applyFill="1" applyBorder="1" applyAlignment="1">
      <alignment vertical="center" wrapText="1"/>
    </xf>
    <xf numFmtId="0" fontId="106" fillId="29" borderId="140" xfId="52" applyFont="1" applyFill="1" applyBorder="1" applyAlignment="1">
      <alignment horizontal="center" vertical="center" wrapText="1"/>
    </xf>
    <xf numFmtId="43" fontId="106" fillId="29" borderId="140" xfId="47" applyNumberFormat="1" applyFont="1" applyFill="1" applyBorder="1" applyAlignment="1" applyProtection="1">
      <alignment horizontal="right" vertical="center" wrapText="1"/>
      <protection locked="0"/>
    </xf>
    <xf numFmtId="43" fontId="106" fillId="29" borderId="140" xfId="47" applyNumberFormat="1" applyFont="1" applyFill="1" applyBorder="1" applyAlignment="1">
      <alignment horizontal="right" vertical="center" wrapText="1"/>
    </xf>
    <xf numFmtId="43" fontId="106" fillId="29" borderId="140" xfId="47" applyNumberFormat="1" applyFont="1" applyFill="1" applyBorder="1" applyAlignment="1" applyProtection="1">
      <alignment horizontal="right" vertical="center"/>
      <protection locked="0"/>
    </xf>
    <xf numFmtId="43" fontId="106" fillId="29" borderId="19" xfId="47" applyNumberFormat="1" applyFont="1" applyFill="1" applyBorder="1" applyAlignment="1" applyProtection="1">
      <alignment horizontal="right" vertical="center"/>
      <protection locked="0"/>
    </xf>
    <xf numFmtId="0" fontId="40" fillId="24" borderId="0" xfId="56" applyFont="1" applyFill="1" applyBorder="1" applyAlignment="1">
      <alignment horizontal="right" vertical="center"/>
    </xf>
    <xf numFmtId="0" fontId="43" fillId="24" borderId="16" xfId="56" applyFont="1" applyFill="1" applyBorder="1" applyAlignment="1">
      <alignment horizontal="center" vertical="center" wrapText="1"/>
    </xf>
    <xf numFmtId="0" fontId="40" fillId="24" borderId="16" xfId="56" applyFont="1" applyFill="1" applyBorder="1" applyAlignment="1">
      <alignment horizontal="center" vertical="center"/>
    </xf>
    <xf numFmtId="0" fontId="40" fillId="24" borderId="16" xfId="56" applyFont="1" applyFill="1" applyBorder="1" applyAlignment="1">
      <alignment horizontal="right" vertical="center"/>
    </xf>
    <xf numFmtId="10" fontId="49" fillId="0" borderId="58" xfId="59" applyNumberFormat="1" applyFont="1" applyBorder="1" applyAlignment="1">
      <alignment horizontal="right" vertical="center" indent="1"/>
    </xf>
    <xf numFmtId="10" fontId="49" fillId="0" borderId="29" xfId="59" applyNumberFormat="1" applyFont="1" applyFill="1" applyBorder="1" applyAlignment="1">
      <alignment horizontal="right" vertical="center" indent="1"/>
    </xf>
    <xf numFmtId="10" fontId="49" fillId="0" borderId="26" xfId="59" applyNumberFormat="1" applyFont="1" applyFill="1" applyBorder="1" applyAlignment="1">
      <alignment horizontal="right" vertical="center" indent="1"/>
    </xf>
    <xf numFmtId="165" fontId="49" fillId="0" borderId="58" xfId="46" applyFont="1" applyBorder="1" applyAlignment="1">
      <alignment horizontal="right" vertical="center" indent="1"/>
    </xf>
    <xf numFmtId="165" fontId="49" fillId="0" borderId="29" xfId="46" applyFont="1" applyFill="1" applyBorder="1" applyAlignment="1">
      <alignment horizontal="right" vertical="center" indent="1"/>
    </xf>
    <xf numFmtId="10" fontId="49" fillId="0" borderId="57" xfId="59" applyNumberFormat="1" applyFont="1" applyBorder="1" applyAlignment="1">
      <alignment horizontal="right" vertical="center" indent="1"/>
    </xf>
    <xf numFmtId="10" fontId="49" fillId="0" borderId="50" xfId="59" applyNumberFormat="1" applyFont="1" applyBorder="1" applyAlignment="1">
      <alignment horizontal="right" vertical="center" indent="1"/>
    </xf>
    <xf numFmtId="10" fontId="49" fillId="0" borderId="31" xfId="59" applyNumberFormat="1" applyFont="1" applyFill="1" applyBorder="1" applyAlignment="1">
      <alignment horizontal="right" vertical="center" indent="1"/>
    </xf>
    <xf numFmtId="0" fontId="42" fillId="0" borderId="0" xfId="857" applyFont="1" applyBorder="1" applyAlignment="1"/>
    <xf numFmtId="4" fontId="49" fillId="0" borderId="17" xfId="46" applyNumberFormat="1" applyFont="1" applyBorder="1" applyAlignment="1">
      <alignment horizontal="left" indent="1"/>
    </xf>
    <xf numFmtId="0" fontId="81" fillId="0" borderId="67" xfId="631" applyFont="1" applyBorder="1" applyAlignment="1">
      <alignment horizontal="center" vertical="center" wrapText="1"/>
    </xf>
    <xf numFmtId="0" fontId="81" fillId="0" borderId="63" xfId="631" applyFont="1" applyBorder="1" applyAlignment="1">
      <alignment horizontal="center" vertical="center"/>
    </xf>
    <xf numFmtId="0" fontId="43" fillId="0" borderId="20" xfId="633" applyFont="1" applyBorder="1" applyAlignment="1">
      <alignment horizontal="center" vertical="center"/>
    </xf>
    <xf numFmtId="0" fontId="44" fillId="0" borderId="16" xfId="633" applyFont="1" applyFill="1" applyBorder="1" applyAlignment="1">
      <alignment horizontal="center" vertical="top"/>
    </xf>
    <xf numFmtId="0" fontId="44" fillId="0" borderId="80" xfId="633" applyFont="1" applyFill="1" applyBorder="1" applyAlignment="1">
      <alignment horizontal="center" vertical="center"/>
    </xf>
    <xf numFmtId="0" fontId="43" fillId="0" borderId="22" xfId="633" applyFont="1" applyBorder="1" applyAlignment="1">
      <alignment horizontal="center" vertical="center" wrapText="1"/>
    </xf>
    <xf numFmtId="0" fontId="43" fillId="30" borderId="138" xfId="633" applyFont="1" applyFill="1" applyBorder="1" applyAlignment="1">
      <alignment horizontal="center" vertical="center" wrapText="1"/>
    </xf>
    <xf numFmtId="0" fontId="43" fillId="0" borderId="10" xfId="633" applyFont="1" applyBorder="1" applyAlignment="1"/>
    <xf numFmtId="0" fontId="44" fillId="0" borderId="13" xfId="633" applyFont="1" applyBorder="1" applyAlignment="1">
      <alignment vertical="center"/>
    </xf>
    <xf numFmtId="0" fontId="44" fillId="0" borderId="14" xfId="633" applyFont="1" applyBorder="1" applyAlignment="1">
      <alignment horizontal="right" vertical="center"/>
    </xf>
    <xf numFmtId="0" fontId="44" fillId="0" borderId="80" xfId="633" applyFont="1" applyBorder="1" applyAlignment="1">
      <alignment vertical="center"/>
    </xf>
    <xf numFmtId="0" fontId="49" fillId="0" borderId="81" xfId="633" applyFont="1" applyBorder="1" applyAlignment="1">
      <alignment vertical="center"/>
    </xf>
    <xf numFmtId="0" fontId="44" fillId="0" borderId="24" xfId="633" applyFont="1" applyBorder="1" applyAlignment="1">
      <alignment wrapText="1"/>
    </xf>
    <xf numFmtId="0" fontId="43" fillId="0" borderId="22" xfId="633" applyFont="1" applyBorder="1" applyAlignment="1">
      <alignment horizontal="center" wrapText="1"/>
    </xf>
    <xf numFmtId="0" fontId="48" fillId="0" borderId="0" xfId="633" applyFont="1" applyBorder="1" applyAlignment="1">
      <alignment horizontal="center" vertical="top"/>
    </xf>
    <xf numFmtId="0" fontId="44" fillId="0" borderId="13" xfId="0" applyFont="1" applyBorder="1" applyAlignment="1">
      <alignment horizontal="center"/>
    </xf>
    <xf numFmtId="0" fontId="108" fillId="0" borderId="0" xfId="0" applyFont="1" applyAlignment="1">
      <alignment horizontal="left"/>
    </xf>
    <xf numFmtId="0" fontId="67" fillId="0" borderId="0" xfId="0" applyFont="1"/>
    <xf numFmtId="0" fontId="67" fillId="0" borderId="0" xfId="0" applyFont="1" applyAlignment="1">
      <alignment horizontal="right"/>
    </xf>
    <xf numFmtId="0" fontId="109" fillId="0" borderId="59" xfId="631" applyFont="1" applyBorder="1" applyAlignment="1">
      <alignment horizontal="center" vertical="center" wrapText="1"/>
    </xf>
    <xf numFmtId="15" fontId="68" fillId="0" borderId="54" xfId="0" applyNumberFormat="1" applyFont="1" applyBorder="1" applyAlignment="1">
      <alignment horizontal="center" vertical="center" wrapText="1"/>
    </xf>
    <xf numFmtId="15" fontId="68" fillId="0" borderId="55" xfId="0" applyNumberFormat="1" applyFont="1" applyBorder="1" applyAlignment="1">
      <alignment horizontal="center" vertical="center" wrapText="1"/>
    </xf>
    <xf numFmtId="15" fontId="68" fillId="0" borderId="69" xfId="0" applyNumberFormat="1" applyFont="1" applyBorder="1" applyAlignment="1">
      <alignment horizontal="center" vertical="center" wrapText="1"/>
    </xf>
    <xf numFmtId="49" fontId="68" fillId="0" borderId="57" xfId="857" applyNumberFormat="1" applyFont="1" applyBorder="1" applyAlignment="1" applyProtection="1">
      <alignment horizontal="center" vertical="center"/>
    </xf>
    <xf numFmtId="0" fontId="49" fillId="0" borderId="47" xfId="857" applyFont="1" applyBorder="1" applyAlignment="1">
      <alignment horizontal="center" vertical="center" wrapText="1"/>
    </xf>
    <xf numFmtId="4" fontId="68" fillId="0" borderId="54" xfId="857" applyNumberFormat="1" applyFont="1" applyBorder="1" applyAlignment="1">
      <alignment horizontal="center" vertical="center"/>
    </xf>
    <xf numFmtId="4" fontId="68" fillId="0" borderId="35" xfId="857" applyNumberFormat="1" applyFont="1" applyBorder="1" applyAlignment="1">
      <alignment horizontal="center" vertical="center"/>
    </xf>
    <xf numFmtId="4" fontId="68" fillId="0" borderId="57" xfId="857" applyNumberFormat="1" applyFont="1" applyBorder="1" applyAlignment="1" applyProtection="1">
      <alignment horizontal="right" vertical="center"/>
    </xf>
    <xf numFmtId="4" fontId="68" fillId="0" borderId="47" xfId="857" applyNumberFormat="1" applyFont="1" applyBorder="1" applyAlignment="1" applyProtection="1">
      <alignment horizontal="right" vertical="center" indent="1"/>
    </xf>
    <xf numFmtId="15" fontId="68" fillId="0" borderId="57" xfId="857" applyNumberFormat="1" applyFont="1" applyBorder="1" applyAlignment="1" applyProtection="1">
      <alignment horizontal="center" vertical="center"/>
    </xf>
    <xf numFmtId="15" fontId="68" fillId="0" borderId="26" xfId="857" applyNumberFormat="1" applyFont="1" applyBorder="1" applyAlignment="1" applyProtection="1">
      <alignment horizontal="center" vertical="center"/>
    </xf>
    <xf numFmtId="0" fontId="44" fillId="29" borderId="137" xfId="857" applyFont="1" applyFill="1" applyBorder="1" applyAlignment="1">
      <alignment horizontal="center" vertical="center" wrapText="1"/>
    </xf>
    <xf numFmtId="0" fontId="44" fillId="29" borderId="138" xfId="857" applyFont="1" applyFill="1" applyBorder="1" applyAlignment="1">
      <alignment horizontal="center" vertical="center"/>
    </xf>
    <xf numFmtId="0" fontId="42" fillId="31" borderId="140" xfId="857" applyFont="1" applyFill="1" applyBorder="1" applyAlignment="1">
      <alignment vertical="center" wrapText="1"/>
    </xf>
    <xf numFmtId="0" fontId="42" fillId="31" borderId="140" xfId="857" applyFont="1" applyFill="1" applyBorder="1" applyAlignment="1">
      <alignment horizontal="left" vertical="center" indent="1"/>
    </xf>
    <xf numFmtId="4" fontId="42" fillId="31" borderId="140" xfId="857" applyNumberFormat="1" applyFont="1" applyFill="1" applyBorder="1" applyAlignment="1">
      <alignment vertical="center" wrapText="1"/>
    </xf>
    <xf numFmtId="4" fontId="42" fillId="31" borderId="140" xfId="857" applyNumberFormat="1" applyFont="1" applyFill="1" applyBorder="1" applyAlignment="1" applyProtection="1">
      <alignment horizontal="right" vertical="center" indent="1"/>
    </xf>
    <xf numFmtId="179" fontId="68" fillId="31" borderId="140" xfId="857" applyNumberFormat="1" applyFont="1" applyFill="1" applyBorder="1" applyAlignment="1" applyProtection="1">
      <alignment horizontal="center" vertical="center"/>
    </xf>
    <xf numFmtId="0" fontId="49" fillId="24" borderId="0" xfId="858" applyFont="1" applyFill="1" applyBorder="1" applyAlignment="1">
      <alignment horizontal="right" vertical="center"/>
    </xf>
    <xf numFmtId="0" fontId="49" fillId="0" borderId="0" xfId="857" applyFont="1" applyBorder="1" applyAlignment="1">
      <alignment vertical="center"/>
    </xf>
    <xf numFmtId="0" fontId="112" fillId="0" borderId="10" xfId="53" applyFont="1" applyBorder="1" applyAlignment="1">
      <alignment vertical="center"/>
    </xf>
    <xf numFmtId="0" fontId="27" fillId="0" borderId="0" xfId="0" applyFont="1" applyAlignment="1">
      <alignment horizontal="center"/>
    </xf>
    <xf numFmtId="49" fontId="0" fillId="0" borderId="0" xfId="0" applyNumberFormat="1"/>
    <xf numFmtId="49" fontId="113" fillId="31" borderId="0" xfId="0" applyNumberFormat="1" applyFont="1" applyFill="1" applyAlignment="1">
      <alignment horizontal="center"/>
    </xf>
    <xf numFmtId="43" fontId="45" fillId="24" borderId="80" xfId="47" applyNumberFormat="1" applyFont="1" applyFill="1" applyBorder="1" applyAlignment="1">
      <alignment horizontal="right" vertical="center"/>
    </xf>
    <xf numFmtId="10" fontId="46" fillId="29" borderId="42" xfId="59" applyNumberFormat="1" applyFont="1" applyFill="1" applyBorder="1" applyAlignment="1">
      <alignment horizontal="right" vertical="center"/>
    </xf>
    <xf numFmtId="10" fontId="106" fillId="29" borderId="42" xfId="59" applyNumberFormat="1" applyFont="1" applyFill="1" applyBorder="1" applyAlignment="1">
      <alignment horizontal="right" vertical="center"/>
    </xf>
    <xf numFmtId="10" fontId="106" fillId="29" borderId="41" xfId="59" applyNumberFormat="1" applyFont="1" applyFill="1" applyBorder="1" applyAlignment="1">
      <alignment horizontal="right" vertical="center"/>
    </xf>
    <xf numFmtId="43" fontId="106" fillId="29" borderId="137" xfId="47" applyNumberFormat="1" applyFont="1" applyFill="1" applyBorder="1" applyAlignment="1">
      <alignment horizontal="right" vertical="center" wrapText="1"/>
    </xf>
    <xf numFmtId="17" fontId="109" fillId="0" borderId="61" xfId="631" applyNumberFormat="1" applyFont="1" applyBorder="1" applyAlignment="1">
      <alignment horizontal="center" vertical="center"/>
    </xf>
    <xf numFmtId="166" fontId="109" fillId="0" borderId="59" xfId="631" applyNumberFormat="1" applyFont="1" applyBorder="1" applyAlignment="1">
      <alignment horizontal="center" vertical="center"/>
    </xf>
    <xf numFmtId="166" fontId="109" fillId="0" borderId="71" xfId="631" applyNumberFormat="1" applyFont="1" applyBorder="1" applyAlignment="1">
      <alignment horizontal="center" vertical="center"/>
    </xf>
    <xf numFmtId="166" fontId="109" fillId="0" borderId="60" xfId="631" applyNumberFormat="1" applyFont="1" applyBorder="1" applyAlignment="1">
      <alignment horizontal="center" vertical="center"/>
    </xf>
    <xf numFmtId="166" fontId="109" fillId="0" borderId="72" xfId="631" applyNumberFormat="1" applyFont="1" applyBorder="1" applyAlignment="1">
      <alignment horizontal="center" vertical="center"/>
    </xf>
    <xf numFmtId="166" fontId="109" fillId="0" borderId="53" xfId="631" applyNumberFormat="1" applyFont="1" applyBorder="1" applyAlignment="1">
      <alignment horizontal="center" vertical="center"/>
    </xf>
    <xf numFmtId="166" fontId="109" fillId="0" borderId="57" xfId="631" applyNumberFormat="1" applyFont="1" applyBorder="1" applyAlignment="1">
      <alignment horizontal="center" vertical="center"/>
    </xf>
    <xf numFmtId="166" fontId="109" fillId="0" borderId="57" xfId="631" applyNumberFormat="1" applyFont="1" applyFill="1" applyBorder="1" applyAlignment="1">
      <alignment vertical="center"/>
    </xf>
    <xf numFmtId="10" fontId="109" fillId="0" borderId="29" xfId="59" applyNumberFormat="1" applyFont="1" applyFill="1" applyBorder="1" applyAlignment="1">
      <alignment vertical="center"/>
    </xf>
    <xf numFmtId="0" fontId="109" fillId="0" borderId="58" xfId="631" applyFont="1" applyBorder="1" applyAlignment="1">
      <alignment horizontal="center" vertical="center"/>
    </xf>
    <xf numFmtId="166" fontId="49" fillId="0" borderId="58" xfId="631" applyNumberFormat="1" applyFont="1" applyFill="1" applyBorder="1" applyAlignment="1">
      <alignment vertical="center"/>
    </xf>
    <xf numFmtId="10" fontId="49" fillId="0" borderId="34" xfId="59" applyNumberFormat="1" applyFont="1" applyFill="1" applyBorder="1" applyAlignment="1">
      <alignment vertical="center"/>
    </xf>
    <xf numFmtId="166" fontId="109" fillId="0" borderId="58" xfId="631" applyNumberFormat="1" applyFont="1" applyFill="1" applyBorder="1" applyAlignment="1">
      <alignment vertical="center"/>
    </xf>
    <xf numFmtId="166" fontId="109" fillId="0" borderId="27" xfId="631" applyNumberFormat="1" applyFont="1" applyFill="1" applyBorder="1" applyAlignment="1">
      <alignment vertical="center"/>
    </xf>
    <xf numFmtId="166" fontId="109" fillId="0" borderId="34" xfId="631" applyNumberFormat="1" applyFont="1" applyFill="1" applyBorder="1" applyAlignment="1">
      <alignment vertical="center"/>
    </xf>
    <xf numFmtId="10" fontId="109" fillId="0" borderId="45" xfId="59" applyNumberFormat="1" applyFont="1" applyFill="1" applyBorder="1" applyAlignment="1">
      <alignment vertical="center"/>
    </xf>
    <xf numFmtId="166" fontId="109" fillId="0" borderId="23" xfId="631" applyNumberFormat="1" applyFont="1" applyFill="1" applyBorder="1" applyAlignment="1">
      <alignment vertical="center"/>
    </xf>
    <xf numFmtId="166" fontId="109" fillId="0" borderId="45" xfId="631" applyNumberFormat="1" applyFont="1" applyFill="1" applyBorder="1" applyAlignment="1">
      <alignment vertical="center"/>
    </xf>
    <xf numFmtId="4" fontId="81" fillId="0" borderId="116" xfId="631" applyNumberFormat="1" applyFont="1" applyBorder="1" applyAlignment="1">
      <alignment vertical="center"/>
    </xf>
    <xf numFmtId="10" fontId="81" fillId="0" borderId="43" xfId="59" applyNumberFormat="1" applyFont="1" applyBorder="1" applyAlignment="1">
      <alignment vertical="center"/>
    </xf>
    <xf numFmtId="4" fontId="81" fillId="0" borderId="42" xfId="631" applyNumberFormat="1" applyFont="1" applyBorder="1" applyAlignment="1">
      <alignment vertical="center"/>
    </xf>
    <xf numFmtId="165" fontId="81" fillId="0" borderId="42" xfId="46" applyFont="1" applyBorder="1" applyAlignment="1">
      <alignment vertical="center"/>
    </xf>
    <xf numFmtId="165" fontId="81" fillId="0" borderId="43" xfId="46" applyFont="1" applyBorder="1" applyAlignment="1">
      <alignment vertical="center"/>
    </xf>
    <xf numFmtId="165" fontId="81" fillId="0" borderId="116" xfId="46" applyFont="1" applyBorder="1" applyAlignment="1">
      <alignment vertical="center"/>
    </xf>
    <xf numFmtId="0" fontId="49" fillId="0" borderId="0" xfId="633" applyFont="1" applyFill="1" applyBorder="1" applyAlignment="1">
      <alignment horizontal="center" vertical="center"/>
    </xf>
    <xf numFmtId="0" fontId="59" fillId="0" borderId="15" xfId="631" applyFont="1" applyBorder="1" applyAlignment="1">
      <alignment wrapText="1"/>
    </xf>
    <xf numFmtId="0" fontId="40" fillId="24" borderId="16" xfId="56" applyFont="1" applyFill="1" applyBorder="1" applyAlignment="1">
      <alignment horizontal="right" vertical="top"/>
    </xf>
    <xf numFmtId="0" fontId="45" fillId="24" borderId="16" xfId="56" applyFont="1" applyFill="1" applyBorder="1" applyAlignment="1">
      <alignment vertical="top"/>
    </xf>
    <xf numFmtId="0" fontId="45" fillId="24" borderId="16" xfId="56" applyFont="1" applyFill="1" applyBorder="1" applyAlignment="1">
      <alignment horizontal="right" vertical="top"/>
    </xf>
    <xf numFmtId="15" fontId="49" fillId="0" borderId="0" xfId="141" applyNumberFormat="1" applyFont="1" applyAlignment="1">
      <alignment vertical="center"/>
    </xf>
    <xf numFmtId="0" fontId="44" fillId="0" borderId="13" xfId="0" applyFont="1" applyBorder="1" applyAlignment="1">
      <alignment horizontal="center"/>
    </xf>
    <xf numFmtId="0" fontId="48" fillId="0" borderId="10" xfId="0" applyFont="1" applyBorder="1" applyAlignment="1">
      <alignment vertical="center" wrapText="1"/>
    </xf>
    <xf numFmtId="0" fontId="48" fillId="0" borderId="81" xfId="0" applyFont="1" applyBorder="1" applyAlignment="1">
      <alignment vertical="center" wrapText="1"/>
    </xf>
    <xf numFmtId="0" fontId="68" fillId="0" borderId="17" xfId="0" applyFont="1" applyBorder="1" applyAlignment="1">
      <alignment horizontal="center" vertical="center" wrapText="1"/>
    </xf>
    <xf numFmtId="0" fontId="48" fillId="0" borderId="20" xfId="0" applyFont="1" applyBorder="1" applyAlignment="1">
      <alignment vertical="center" wrapText="1"/>
    </xf>
    <xf numFmtId="0" fontId="68" fillId="0" borderId="24" xfId="0" applyFont="1" applyBorder="1" applyAlignment="1">
      <alignment horizontal="center" vertical="center" wrapText="1"/>
    </xf>
    <xf numFmtId="0" fontId="48" fillId="0" borderId="13" xfId="0" applyFont="1" applyBorder="1" applyAlignment="1">
      <alignment vertical="center" wrapText="1"/>
    </xf>
    <xf numFmtId="0" fontId="48" fillId="0" borderId="14" xfId="0" applyFont="1" applyBorder="1" applyAlignment="1">
      <alignment vertical="center" wrapText="1"/>
    </xf>
    <xf numFmtId="0" fontId="48" fillId="0" borderId="24" xfId="0" applyFont="1" applyBorder="1" applyAlignment="1">
      <alignment vertical="center" wrapText="1"/>
    </xf>
    <xf numFmtId="0" fontId="40" fillId="0" borderId="22" xfId="0" applyFont="1" applyBorder="1" applyAlignment="1">
      <alignment horizontal="center" vertical="center" wrapText="1"/>
    </xf>
    <xf numFmtId="0" fontId="68" fillId="0" borderId="55" xfId="0" applyFont="1" applyBorder="1" applyAlignment="1">
      <alignment horizontal="left" vertical="center" wrapText="1" indent="1"/>
    </xf>
    <xf numFmtId="0" fontId="68" fillId="0" borderId="69" xfId="0" applyFont="1" applyBorder="1" applyAlignment="1">
      <alignment horizontal="left" vertical="center" wrapText="1" indent="1"/>
    </xf>
    <xf numFmtId="0" fontId="68" fillId="0" borderId="54" xfId="0" applyFont="1" applyBorder="1" applyAlignment="1">
      <alignment horizontal="left" vertical="center" wrapText="1" indent="1"/>
    </xf>
    <xf numFmtId="0" fontId="42" fillId="29" borderId="18" xfId="0" applyFont="1" applyFill="1" applyBorder="1" applyAlignment="1">
      <alignment horizontal="center" vertical="center" wrapText="1"/>
    </xf>
    <xf numFmtId="0" fontId="48" fillId="0" borderId="80" xfId="0" applyFont="1" applyBorder="1" applyAlignment="1">
      <alignment vertical="center" wrapText="1"/>
    </xf>
    <xf numFmtId="0" fontId="68" fillId="0" borderId="16" xfId="0" applyFont="1" applyBorder="1" applyAlignment="1">
      <alignment horizontal="center" vertical="center" wrapText="1"/>
    </xf>
    <xf numFmtId="0" fontId="42" fillId="0" borderId="138" xfId="633" applyFont="1" applyBorder="1" applyAlignment="1">
      <alignment horizontal="center" vertical="center" wrapText="1"/>
    </xf>
    <xf numFmtId="179" fontId="9" fillId="0" borderId="140" xfId="631" applyNumberFormat="1" applyFont="1" applyBorder="1" applyAlignment="1">
      <alignment horizontal="center" vertical="center"/>
    </xf>
    <xf numFmtId="17" fontId="9" fillId="0" borderId="140" xfId="631" applyNumberFormat="1" applyFont="1" applyBorder="1" applyAlignment="1">
      <alignment horizontal="center" vertical="center"/>
    </xf>
    <xf numFmtId="179" fontId="59" fillId="0" borderId="140" xfId="631" applyNumberFormat="1" applyFont="1" applyBorder="1" applyAlignment="1">
      <alignment horizontal="right" vertical="center"/>
    </xf>
    <xf numFmtId="0" fontId="49" fillId="0" borderId="55" xfId="0" applyFont="1" applyBorder="1" applyAlignment="1">
      <alignment horizontal="center"/>
    </xf>
    <xf numFmtId="0" fontId="49" fillId="0" borderId="54" xfId="0" applyFont="1" applyBorder="1" applyAlignment="1">
      <alignment horizontal="center"/>
    </xf>
    <xf numFmtId="49" fontId="68" fillId="0" borderId="58" xfId="857" applyNumberFormat="1" applyFont="1" applyBorder="1" applyAlignment="1" applyProtection="1">
      <alignment horizontal="center" vertical="center"/>
    </xf>
    <xf numFmtId="0" fontId="49" fillId="0" borderId="45" xfId="857" applyFont="1" applyBorder="1" applyAlignment="1">
      <alignment horizontal="center" vertical="center" wrapText="1"/>
    </xf>
    <xf numFmtId="4" fontId="68" fillId="0" borderId="55" xfId="857" applyNumberFormat="1" applyFont="1" applyBorder="1" applyAlignment="1">
      <alignment horizontal="center" vertical="center"/>
    </xf>
    <xf numFmtId="4" fontId="68" fillId="0" borderId="28" xfId="857" applyNumberFormat="1" applyFont="1" applyBorder="1" applyAlignment="1">
      <alignment horizontal="center" vertical="center"/>
    </xf>
    <xf numFmtId="4" fontId="68" fillId="0" borderId="58" xfId="857" applyNumberFormat="1" applyFont="1" applyBorder="1" applyAlignment="1" applyProtection="1">
      <alignment horizontal="right" vertical="center"/>
    </xf>
    <xf numFmtId="4" fontId="68" fillId="0" borderId="45" xfId="857" applyNumberFormat="1" applyFont="1" applyBorder="1" applyAlignment="1" applyProtection="1">
      <alignment horizontal="right" vertical="center" indent="1"/>
    </xf>
    <xf numFmtId="15" fontId="68" fillId="0" borderId="58" xfId="857" applyNumberFormat="1" applyFont="1" applyBorder="1" applyAlignment="1" applyProtection="1">
      <alignment horizontal="center" vertical="center"/>
    </xf>
    <xf numFmtId="15" fontId="68" fillId="0" borderId="29" xfId="857" applyNumberFormat="1" applyFont="1" applyBorder="1" applyAlignment="1" applyProtection="1">
      <alignment horizontal="center" vertical="center"/>
    </xf>
    <xf numFmtId="0" fontId="46" fillId="0" borderId="15" xfId="0" applyFont="1" applyBorder="1" applyAlignment="1"/>
    <xf numFmtId="0" fontId="46" fillId="0" borderId="16" xfId="0" applyFont="1" applyBorder="1" applyAlignment="1"/>
    <xf numFmtId="0" fontId="46" fillId="0" borderId="17" xfId="0" applyFont="1" applyBorder="1" applyAlignment="1"/>
    <xf numFmtId="0" fontId="45" fillId="0" borderId="13" xfId="0" applyFont="1" applyBorder="1" applyAlignment="1"/>
    <xf numFmtId="0" fontId="45" fillId="0" borderId="14" xfId="0" applyFont="1" applyBorder="1" applyAlignment="1"/>
    <xf numFmtId="0" fontId="40" fillId="0" borderId="0" xfId="0" applyFont="1" applyBorder="1" applyAlignment="1">
      <alignment horizontal="center"/>
    </xf>
    <xf numFmtId="10" fontId="44" fillId="0" borderId="37" xfId="59" applyNumberFormat="1" applyFont="1" applyBorder="1"/>
    <xf numFmtId="10" fontId="44" fillId="0" borderId="30" xfId="59" applyNumberFormat="1" applyFont="1" applyBorder="1"/>
    <xf numFmtId="10" fontId="44" fillId="0" borderId="40" xfId="59" applyNumberFormat="1" applyFont="1" applyBorder="1"/>
    <xf numFmtId="165" fontId="49" fillId="0" borderId="58" xfId="46" applyNumberFormat="1" applyFont="1" applyBorder="1" applyAlignment="1">
      <alignment vertical="center"/>
    </xf>
    <xf numFmtId="0" fontId="45" fillId="0" borderId="13" xfId="52" applyFont="1" applyFill="1" applyBorder="1" applyAlignment="1">
      <alignment horizontal="center" vertical="center" wrapText="1"/>
    </xf>
    <xf numFmtId="0" fontId="46" fillId="0" borderId="13" xfId="52" applyFont="1" applyFill="1" applyBorder="1" applyAlignment="1">
      <alignment horizontal="center" vertical="center" wrapText="1"/>
    </xf>
    <xf numFmtId="0" fontId="46" fillId="0" borderId="14" xfId="52" applyFont="1" applyFill="1" applyBorder="1" applyAlignment="1">
      <alignment horizontal="center" vertical="center" wrapText="1"/>
    </xf>
    <xf numFmtId="0" fontId="98" fillId="28" borderId="138" xfId="56" applyFont="1" applyFill="1" applyBorder="1" applyAlignment="1">
      <alignment horizontal="center" vertical="center" wrapText="1"/>
    </xf>
    <xf numFmtId="0" fontId="98" fillId="28" borderId="138" xfId="56" applyFont="1" applyFill="1" applyBorder="1" applyAlignment="1">
      <alignment horizontal="center" vertical="center"/>
    </xf>
    <xf numFmtId="0" fontId="98" fillId="28" borderId="138" xfId="52" applyFont="1" applyFill="1" applyBorder="1" applyAlignment="1">
      <alignment horizontal="center" vertical="center" wrapText="1"/>
    </xf>
    <xf numFmtId="0" fontId="43" fillId="24" borderId="0" xfId="56" applyFont="1" applyFill="1" applyBorder="1" applyAlignment="1">
      <alignment horizontal="center" vertical="center"/>
    </xf>
    <xf numFmtId="0" fontId="43" fillId="24" borderId="16" xfId="56" applyFont="1" applyFill="1" applyBorder="1" applyAlignment="1">
      <alignment horizontal="center" vertical="top"/>
    </xf>
    <xf numFmtId="0" fontId="40" fillId="24" borderId="0" xfId="56" applyFont="1" applyFill="1" applyBorder="1" applyAlignment="1">
      <alignment horizontal="center" vertical="center"/>
    </xf>
    <xf numFmtId="164" fontId="45" fillId="24" borderId="0" xfId="47" applyFont="1" applyFill="1" applyBorder="1" applyAlignment="1">
      <alignment horizontal="center" vertical="center"/>
    </xf>
    <xf numFmtId="49" fontId="90" fillId="0" borderId="0" xfId="863" applyNumberFormat="1" applyFont="1" applyFill="1" applyBorder="1" applyAlignment="1">
      <alignment horizontal="left" vertical="center" wrapText="1"/>
    </xf>
    <xf numFmtId="0" fontId="98" fillId="28" borderId="19" xfId="56" applyFont="1" applyFill="1" applyBorder="1" applyAlignment="1">
      <alignment horizontal="center" vertical="center" wrapText="1"/>
    </xf>
    <xf numFmtId="10" fontId="46" fillId="29" borderId="49" xfId="59" applyNumberFormat="1" applyFont="1" applyFill="1" applyBorder="1" applyAlignment="1">
      <alignment horizontal="right" vertical="center"/>
    </xf>
    <xf numFmtId="10" fontId="45" fillId="24" borderId="71" xfId="59" applyNumberFormat="1" applyFont="1" applyFill="1" applyBorder="1" applyAlignment="1">
      <alignment horizontal="right" vertical="center"/>
    </xf>
    <xf numFmtId="10" fontId="45" fillId="24" borderId="0" xfId="59" applyNumberFormat="1" applyFont="1" applyFill="1" applyBorder="1" applyAlignment="1">
      <alignment horizontal="right" vertical="center"/>
    </xf>
    <xf numFmtId="10" fontId="106" fillId="29" borderId="140" xfId="59" applyNumberFormat="1" applyFont="1" applyFill="1" applyBorder="1" applyAlignment="1">
      <alignment horizontal="right" vertical="center"/>
    </xf>
    <xf numFmtId="0" fontId="44" fillId="32" borderId="147" xfId="56" applyFont="1" applyFill="1" applyBorder="1" applyAlignment="1">
      <alignment horizontal="center" vertical="center"/>
    </xf>
    <xf numFmtId="0" fontId="44" fillId="32" borderId="148" xfId="56" applyFont="1" applyFill="1" applyBorder="1" applyAlignment="1">
      <alignment horizontal="center" vertical="center"/>
    </xf>
    <xf numFmtId="0" fontId="44" fillId="32" borderId="149" xfId="56" applyFont="1" applyFill="1" applyBorder="1" applyAlignment="1">
      <alignment horizontal="center" vertical="center"/>
    </xf>
    <xf numFmtId="17" fontId="44" fillId="24" borderId="92" xfId="56" applyNumberFormat="1" applyFont="1" applyFill="1" applyBorder="1" applyAlignment="1">
      <alignment horizontal="center" vertical="center"/>
    </xf>
    <xf numFmtId="10" fontId="44" fillId="24" borderId="93" xfId="59" applyNumberFormat="1" applyFont="1" applyFill="1" applyBorder="1" applyAlignment="1">
      <alignment horizontal="center" vertical="center"/>
    </xf>
    <xf numFmtId="0" fontId="67" fillId="32" borderId="147" xfId="56" applyFont="1" applyFill="1" applyBorder="1" applyAlignment="1">
      <alignment horizontal="center" vertical="center"/>
    </xf>
    <xf numFmtId="0" fontId="67" fillId="32" borderId="148" xfId="56" applyFont="1" applyFill="1" applyBorder="1" applyAlignment="1">
      <alignment horizontal="center" vertical="center"/>
    </xf>
    <xf numFmtId="0" fontId="67" fillId="32" borderId="149" xfId="56" applyFont="1" applyFill="1" applyBorder="1" applyAlignment="1">
      <alignment horizontal="center" vertical="center"/>
    </xf>
    <xf numFmtId="10" fontId="67" fillId="24" borderId="93" xfId="59" applyNumberFormat="1" applyFont="1" applyFill="1" applyBorder="1" applyAlignment="1">
      <alignment horizontal="center" vertical="center"/>
    </xf>
    <xf numFmtId="165" fontId="114" fillId="29" borderId="96" xfId="46" applyFont="1" applyFill="1" applyBorder="1" applyAlignment="1">
      <alignment horizontal="right" vertical="center" wrapText="1"/>
    </xf>
    <xf numFmtId="165" fontId="114" fillId="29" borderId="27" xfId="46" applyFont="1" applyFill="1" applyBorder="1" applyAlignment="1">
      <alignment horizontal="right" vertical="center"/>
    </xf>
    <xf numFmtId="10" fontId="114" fillId="29" borderId="97" xfId="59" applyNumberFormat="1" applyFont="1" applyFill="1" applyBorder="1" applyAlignment="1">
      <alignment horizontal="right" vertical="center" wrapText="1"/>
    </xf>
    <xf numFmtId="165" fontId="38" fillId="24" borderId="94" xfId="46" applyFont="1" applyFill="1" applyBorder="1" applyAlignment="1">
      <alignment vertical="center"/>
    </xf>
    <xf numFmtId="165" fontId="38" fillId="24" borderId="60" xfId="46" applyFont="1" applyFill="1" applyBorder="1" applyAlignment="1">
      <alignment vertical="center"/>
    </xf>
    <xf numFmtId="10" fontId="38" fillId="24" borderId="95" xfId="59" applyNumberFormat="1" applyFont="1" applyFill="1" applyBorder="1" applyAlignment="1">
      <alignment vertical="center"/>
    </xf>
    <xf numFmtId="165" fontId="38" fillId="24" borderId="96" xfId="46" applyFont="1" applyFill="1" applyBorder="1" applyAlignment="1">
      <alignment vertical="center"/>
    </xf>
    <xf numFmtId="165" fontId="38" fillId="24" borderId="27" xfId="46" applyFont="1" applyFill="1" applyBorder="1" applyAlignment="1">
      <alignment vertical="center"/>
    </xf>
    <xf numFmtId="10" fontId="38" fillId="24" borderId="97" xfId="59" applyNumberFormat="1" applyFont="1" applyFill="1" applyBorder="1" applyAlignment="1">
      <alignment vertical="center"/>
    </xf>
    <xf numFmtId="165" fontId="115" fillId="33" borderId="63" xfId="46" applyFont="1" applyFill="1" applyBorder="1" applyAlignment="1">
      <alignment horizontal="center" vertical="center"/>
    </xf>
    <xf numFmtId="165" fontId="38" fillId="24" borderId="103" xfId="46" applyFont="1" applyFill="1" applyBorder="1" applyAlignment="1">
      <alignment vertical="center"/>
    </xf>
    <xf numFmtId="165" fontId="38" fillId="24" borderId="105" xfId="46" applyFont="1" applyFill="1" applyBorder="1" applyAlignment="1">
      <alignment vertical="center"/>
    </xf>
    <xf numFmtId="10" fontId="38" fillId="24" borderId="102" xfId="59" applyNumberFormat="1" applyFont="1" applyFill="1" applyBorder="1" applyAlignment="1">
      <alignment vertical="center"/>
    </xf>
    <xf numFmtId="17" fontId="46" fillId="24" borderId="92" xfId="56" applyNumberFormat="1" applyFont="1" applyFill="1" applyBorder="1" applyAlignment="1">
      <alignment horizontal="center" vertical="center" wrapText="1"/>
    </xf>
    <xf numFmtId="0" fontId="49" fillId="0" borderId="55" xfId="0" applyFont="1" applyBorder="1" applyAlignment="1">
      <alignment horizontal="center" vertical="center"/>
    </xf>
    <xf numFmtId="10" fontId="49" fillId="0" borderId="0" xfId="59" applyNumberFormat="1" applyFont="1" applyAlignment="1">
      <alignment vertical="center"/>
    </xf>
    <xf numFmtId="49" fontId="90" fillId="0" borderId="0" xfId="863" applyNumberFormat="1" applyFont="1" applyFill="1" applyBorder="1" applyAlignment="1">
      <alignment vertical="center" wrapText="1"/>
    </xf>
    <xf numFmtId="17" fontId="82" fillId="0" borderId="0" xfId="863" applyNumberFormat="1" applyFont="1" applyFill="1" applyBorder="1" applyAlignment="1">
      <alignment vertical="center"/>
    </xf>
    <xf numFmtId="0" fontId="49" fillId="24" borderId="0" xfId="858" applyFont="1" applyFill="1" applyBorder="1" applyAlignment="1">
      <alignment horizontal="center" vertical="center"/>
    </xf>
    <xf numFmtId="0" fontId="44" fillId="24" borderId="0" xfId="858" applyFont="1" applyFill="1" applyBorder="1" applyAlignment="1">
      <alignment horizontal="center" vertical="center"/>
    </xf>
    <xf numFmtId="10" fontId="49" fillId="0" borderId="0" xfId="59" applyNumberFormat="1" applyFont="1" applyAlignment="1">
      <alignment horizontal="left" vertical="center"/>
    </xf>
    <xf numFmtId="0" fontId="87" fillId="0" borderId="0" xfId="864" applyFont="1" applyBorder="1" applyAlignment="1">
      <alignment horizontal="left"/>
    </xf>
    <xf numFmtId="0" fontId="118" fillId="0" borderId="0" xfId="863" applyFont="1" applyBorder="1" applyAlignment="1">
      <alignment horizontal="right" vertical="center"/>
    </xf>
    <xf numFmtId="0" fontId="118" fillId="0" borderId="0" xfId="863" applyFont="1" applyBorder="1" applyAlignment="1">
      <alignment horizontal="center" vertical="center"/>
    </xf>
    <xf numFmtId="165" fontId="45" fillId="24" borderId="0" xfId="46" applyFont="1" applyFill="1" applyAlignment="1">
      <alignment vertical="center"/>
    </xf>
    <xf numFmtId="164" fontId="46" fillId="0" borderId="0" xfId="0" applyNumberFormat="1" applyFont="1" applyBorder="1" applyAlignment="1">
      <alignment horizontal="center"/>
    </xf>
    <xf numFmtId="0" fontId="40" fillId="24" borderId="0" xfId="56" applyFont="1" applyFill="1" applyBorder="1" applyAlignment="1">
      <alignment horizontal="right" vertical="top"/>
    </xf>
    <xf numFmtId="0" fontId="45" fillId="24" borderId="0" xfId="56" applyFont="1" applyFill="1" applyBorder="1" applyAlignment="1">
      <alignment vertical="top"/>
    </xf>
    <xf numFmtId="0" fontId="43" fillId="24" borderId="0" xfId="56" applyFont="1" applyFill="1" applyBorder="1" applyAlignment="1">
      <alignment horizontal="center" vertical="top"/>
    </xf>
    <xf numFmtId="0" fontId="45" fillId="24" borderId="0" xfId="56" applyFont="1" applyFill="1" applyBorder="1" applyAlignment="1">
      <alignment horizontal="right" vertical="top"/>
    </xf>
    <xf numFmtId="0" fontId="45" fillId="24" borderId="16" xfId="56" applyFont="1" applyFill="1" applyBorder="1" applyAlignment="1">
      <alignment vertical="center"/>
    </xf>
    <xf numFmtId="0" fontId="45" fillId="24" borderId="16" xfId="56" applyFont="1" applyFill="1" applyBorder="1" applyAlignment="1">
      <alignment horizontal="center" vertical="center"/>
    </xf>
    <xf numFmtId="0" fontId="42" fillId="0" borderId="80" xfId="140" applyFont="1" applyBorder="1" applyAlignment="1">
      <alignment vertical="center"/>
    </xf>
    <xf numFmtId="0" fontId="42" fillId="0" borderId="81" xfId="140" applyFont="1" applyBorder="1" applyAlignment="1">
      <alignment vertical="center"/>
    </xf>
    <xf numFmtId="0" fontId="42" fillId="0" borderId="14" xfId="140" applyFont="1" applyBorder="1" applyAlignment="1">
      <alignment vertical="center"/>
    </xf>
    <xf numFmtId="0" fontId="42" fillId="0" borderId="10" xfId="857" applyFont="1" applyBorder="1" applyAlignment="1"/>
    <xf numFmtId="0" fontId="68" fillId="0" borderId="13" xfId="857" applyFont="1" applyBorder="1" applyAlignment="1">
      <alignment vertical="center"/>
    </xf>
    <xf numFmtId="0" fontId="42" fillId="0" borderId="13" xfId="857" applyFont="1" applyBorder="1" applyAlignment="1">
      <alignment horizontal="right" vertical="center" indent="11"/>
    </xf>
    <xf numFmtId="0" fontId="43" fillId="0" borderId="15" xfId="857" applyFont="1" applyBorder="1" applyAlignment="1">
      <alignment horizontal="center" vertical="center"/>
    </xf>
    <xf numFmtId="0" fontId="42" fillId="0" borderId="0" xfId="140" applyFont="1" applyBorder="1" applyAlignment="1">
      <alignment vertical="center"/>
    </xf>
    <xf numFmtId="0" fontId="42" fillId="0" borderId="10" xfId="140" applyFont="1" applyBorder="1" applyAlignment="1">
      <alignment vertical="center"/>
    </xf>
    <xf numFmtId="0" fontId="44" fillId="31" borderId="19" xfId="857" applyFont="1" applyFill="1" applyBorder="1" applyAlignment="1">
      <alignment horizontal="left" vertical="center" indent="1"/>
    </xf>
    <xf numFmtId="176" fontId="68" fillId="31" borderId="137" xfId="857" applyNumberFormat="1" applyFont="1" applyFill="1" applyBorder="1" applyAlignment="1">
      <alignment vertical="center"/>
    </xf>
    <xf numFmtId="0" fontId="49" fillId="0" borderId="54" xfId="857" applyFont="1" applyBorder="1" applyAlignment="1">
      <alignment horizontal="center" vertical="center" wrapText="1"/>
    </xf>
    <xf numFmtId="176" fontId="68" fillId="0" borderId="54" xfId="857" applyNumberFormat="1" applyFont="1" applyBorder="1" applyAlignment="1">
      <alignment horizontal="center" vertical="center" wrapText="1"/>
    </xf>
    <xf numFmtId="0" fontId="49" fillId="0" borderId="55" xfId="857" applyFont="1" applyBorder="1" applyAlignment="1">
      <alignment horizontal="center" vertical="center" wrapText="1"/>
    </xf>
    <xf numFmtId="4" fontId="68" fillId="0" borderId="45" xfId="857" applyNumberFormat="1" applyFont="1" applyBorder="1" applyAlignment="1" applyProtection="1">
      <alignment horizontal="center" vertical="center" wrapText="1"/>
    </xf>
    <xf numFmtId="49" fontId="40" fillId="0" borderId="69" xfId="857" applyNumberFormat="1" applyFont="1" applyBorder="1" applyAlignment="1">
      <alignment horizontal="left" vertical="center" wrapText="1"/>
    </xf>
    <xf numFmtId="176" fontId="68" fillId="0" borderId="69" xfId="857" applyNumberFormat="1" applyFont="1" applyBorder="1" applyAlignment="1">
      <alignment horizontal="center" vertical="center"/>
    </xf>
    <xf numFmtId="0" fontId="68" fillId="0" borderId="13" xfId="857" applyFont="1" applyBorder="1" applyAlignment="1">
      <alignment horizontal="left" vertical="center" wrapText="1"/>
    </xf>
    <xf numFmtId="176" fontId="68" fillId="0" borderId="14" xfId="857" applyNumberFormat="1" applyFont="1" applyBorder="1" applyAlignment="1">
      <alignment vertical="center" wrapText="1"/>
    </xf>
    <xf numFmtId="0" fontId="68" fillId="0" borderId="13" xfId="857" applyFont="1" applyBorder="1" applyAlignment="1">
      <alignment horizontal="center" vertical="center" wrapText="1"/>
    </xf>
    <xf numFmtId="0" fontId="68" fillId="0" borderId="14" xfId="857" applyFont="1" applyBorder="1" applyAlignment="1">
      <alignment vertical="center"/>
    </xf>
    <xf numFmtId="0" fontId="68" fillId="24" borderId="13" xfId="858" applyFont="1" applyFill="1" applyBorder="1" applyAlignment="1">
      <alignment horizontal="center" vertical="center"/>
    </xf>
    <xf numFmtId="0" fontId="68" fillId="24" borderId="14" xfId="858" applyFont="1" applyFill="1" applyBorder="1" applyAlignment="1">
      <alignment horizontal="right" vertical="center"/>
    </xf>
    <xf numFmtId="0" fontId="49" fillId="24" borderId="14" xfId="858" applyFont="1" applyFill="1" applyBorder="1" applyAlignment="1">
      <alignment horizontal="right" vertical="center"/>
    </xf>
    <xf numFmtId="0" fontId="44" fillId="24" borderId="0" xfId="858" applyFont="1" applyFill="1" applyBorder="1" applyAlignment="1">
      <alignment horizontal="center" vertical="top"/>
    </xf>
    <xf numFmtId="0" fontId="49" fillId="24" borderId="0" xfId="858" applyFont="1" applyFill="1" applyBorder="1" applyAlignment="1">
      <alignment horizontal="right" vertical="top"/>
    </xf>
    <xf numFmtId="0" fontId="49" fillId="0" borderId="0" xfId="857" applyFont="1" applyBorder="1" applyAlignment="1">
      <alignment vertical="top"/>
    </xf>
    <xf numFmtId="0" fontId="68" fillId="0" borderId="15" xfId="857" applyFont="1" applyBorder="1" applyAlignment="1">
      <alignment vertical="center"/>
    </xf>
    <xf numFmtId="0" fontId="68" fillId="0" borderId="16" xfId="857" applyFont="1" applyBorder="1" applyAlignment="1">
      <alignment vertical="center"/>
    </xf>
    <xf numFmtId="0" fontId="68" fillId="0" borderId="17" xfId="857" applyFont="1" applyBorder="1" applyAlignment="1">
      <alignment vertical="center"/>
    </xf>
    <xf numFmtId="0" fontId="68" fillId="0" borderId="13" xfId="857" applyFont="1" applyBorder="1" applyAlignment="1">
      <alignment horizontal="right"/>
    </xf>
    <xf numFmtId="0" fontId="42" fillId="0" borderId="14" xfId="857" applyFont="1" applyBorder="1" applyAlignment="1"/>
    <xf numFmtId="194" fontId="49" fillId="0" borderId="0" xfId="46" applyNumberFormat="1" applyFont="1" applyAlignment="1">
      <alignment vertical="center"/>
    </xf>
    <xf numFmtId="17" fontId="40" fillId="0" borderId="55" xfId="141" applyNumberFormat="1" applyFont="1" applyBorder="1" applyAlignment="1">
      <alignment horizontal="center" vertical="center" wrapText="1"/>
    </xf>
    <xf numFmtId="0" fontId="27" fillId="0" borderId="90" xfId="864" applyFont="1" applyBorder="1"/>
    <xf numFmtId="0" fontId="49" fillId="0" borderId="35" xfId="0" applyFont="1" applyBorder="1" applyAlignment="1">
      <alignment horizontal="center" vertical="center"/>
    </xf>
    <xf numFmtId="173" fontId="49" fillId="0" borderId="57" xfId="0" applyNumberFormat="1" applyFont="1" applyBorder="1" applyAlignment="1">
      <alignment horizontal="center" vertical="center"/>
    </xf>
    <xf numFmtId="173" fontId="49" fillId="0" borderId="26" xfId="0" applyNumberFormat="1" applyFont="1" applyBorder="1" applyAlignment="1">
      <alignment horizontal="center" vertical="center"/>
    </xf>
    <xf numFmtId="43" fontId="49" fillId="0" borderId="33" xfId="0" applyNumberFormat="1" applyFont="1" applyBorder="1" applyAlignment="1">
      <alignment horizontal="center" vertical="center"/>
    </xf>
    <xf numFmtId="43" fontId="49" fillId="0" borderId="25" xfId="0" applyNumberFormat="1" applyFont="1" applyBorder="1" applyAlignment="1">
      <alignment horizontal="center" vertical="center"/>
    </xf>
    <xf numFmtId="43" fontId="49" fillId="0" borderId="46" xfId="0" applyNumberFormat="1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9" fillId="0" borderId="55" xfId="0" applyFont="1" applyBorder="1" applyAlignment="1">
      <alignment horizontal="center" vertical="center" wrapText="1"/>
    </xf>
    <xf numFmtId="0" fontId="49" fillId="0" borderId="28" xfId="0" applyFont="1" applyBorder="1" applyAlignment="1">
      <alignment horizontal="center" vertical="center"/>
    </xf>
    <xf numFmtId="173" fontId="49" fillId="0" borderId="58" xfId="0" applyNumberFormat="1" applyFont="1" applyBorder="1" applyAlignment="1">
      <alignment horizontal="center" vertical="center"/>
    </xf>
    <xf numFmtId="173" fontId="49" fillId="0" borderId="29" xfId="0" applyNumberFormat="1" applyFont="1" applyBorder="1" applyAlignment="1">
      <alignment horizontal="center" vertical="center"/>
    </xf>
    <xf numFmtId="43" fontId="49" fillId="0" borderId="23" xfId="0" applyNumberFormat="1" applyFont="1" applyBorder="1" applyAlignment="1">
      <alignment vertical="center"/>
    </xf>
    <xf numFmtId="43" fontId="49" fillId="0" borderId="27" xfId="0" applyNumberFormat="1" applyFont="1" applyBorder="1" applyAlignment="1">
      <alignment vertical="center"/>
    </xf>
    <xf numFmtId="43" fontId="49" fillId="0" borderId="44" xfId="0" applyNumberFormat="1" applyFont="1" applyBorder="1" applyAlignment="1">
      <alignment vertical="center"/>
    </xf>
    <xf numFmtId="43" fontId="49" fillId="0" borderId="23" xfId="0" applyNumberFormat="1" applyFont="1" applyBorder="1" applyAlignment="1">
      <alignment horizontal="center" vertical="center"/>
    </xf>
    <xf numFmtId="43" fontId="49" fillId="0" borderId="27" xfId="0" applyNumberFormat="1" applyFont="1" applyBorder="1" applyAlignment="1">
      <alignment horizontal="center" vertical="center"/>
    </xf>
    <xf numFmtId="43" fontId="49" fillId="0" borderId="44" xfId="0" applyNumberFormat="1" applyFont="1" applyBorder="1" applyAlignment="1">
      <alignment horizontal="center" vertical="center"/>
    </xf>
    <xf numFmtId="164" fontId="49" fillId="0" borderId="0" xfId="0" applyNumberFormat="1" applyFont="1" applyAlignment="1">
      <alignment horizontal="center" vertical="center"/>
    </xf>
    <xf numFmtId="0" fontId="49" fillId="0" borderId="0" xfId="0" applyFont="1" applyAlignment="1">
      <alignment horizontal="right" vertical="center"/>
    </xf>
    <xf numFmtId="0" fontId="49" fillId="0" borderId="0" xfId="0" applyFont="1" applyAlignment="1">
      <alignment horizontal="right"/>
    </xf>
    <xf numFmtId="10" fontId="44" fillId="0" borderId="41" xfId="59" applyNumberFormat="1" applyFont="1" applyBorder="1" applyAlignment="1" applyProtection="1">
      <alignment horizontal="right" vertical="center"/>
    </xf>
    <xf numFmtId="0" fontId="67" fillId="0" borderId="98" xfId="864" applyFont="1" applyBorder="1" applyAlignment="1">
      <alignment vertical="center"/>
    </xf>
    <xf numFmtId="0" fontId="67" fillId="0" borderId="145" xfId="864" applyFont="1" applyBorder="1"/>
    <xf numFmtId="0" fontId="67" fillId="0" borderId="0" xfId="864" applyFont="1" applyBorder="1" applyAlignment="1">
      <alignment horizontal="center" vertical="center"/>
    </xf>
    <xf numFmtId="0" fontId="67" fillId="0" borderId="0" xfId="864" applyFont="1" applyBorder="1" applyAlignment="1">
      <alignment horizontal="center"/>
    </xf>
    <xf numFmtId="0" fontId="67" fillId="0" borderId="129" xfId="864" applyFont="1" applyBorder="1" applyAlignment="1">
      <alignment vertical="center"/>
    </xf>
    <xf numFmtId="10" fontId="45" fillId="24" borderId="57" xfId="59" applyNumberFormat="1" applyFont="1" applyFill="1" applyBorder="1" applyAlignment="1">
      <alignment horizontal="right" vertical="center"/>
    </xf>
    <xf numFmtId="10" fontId="45" fillId="24" borderId="25" xfId="59" applyNumberFormat="1" applyFont="1" applyFill="1" applyBorder="1" applyAlignment="1">
      <alignment horizontal="right" vertical="center"/>
    </xf>
    <xf numFmtId="0" fontId="45" fillId="0" borderId="0" xfId="52" applyFont="1" applyFill="1" applyBorder="1" applyAlignment="1">
      <alignment vertical="center"/>
    </xf>
    <xf numFmtId="10" fontId="45" fillId="24" borderId="91" xfId="59" applyNumberFormat="1" applyFont="1" applyFill="1" applyBorder="1" applyAlignment="1">
      <alignment horizontal="right" vertical="center"/>
    </xf>
    <xf numFmtId="10" fontId="45" fillId="24" borderId="58" xfId="59" applyNumberFormat="1" applyFont="1" applyFill="1" applyBorder="1" applyAlignment="1">
      <alignment horizontal="right" vertical="center"/>
    </xf>
    <xf numFmtId="10" fontId="45" fillId="24" borderId="27" xfId="59" applyNumberFormat="1" applyFont="1" applyFill="1" applyBorder="1" applyAlignment="1">
      <alignment horizontal="right" vertical="center"/>
    </xf>
    <xf numFmtId="10" fontId="45" fillId="24" borderId="97" xfId="59" applyNumberFormat="1" applyFont="1" applyFill="1" applyBorder="1" applyAlignment="1">
      <alignment horizontal="right" vertical="center"/>
    </xf>
    <xf numFmtId="10" fontId="45" fillId="24" borderId="50" xfId="59" applyNumberFormat="1" applyFont="1" applyFill="1" applyBorder="1" applyAlignment="1">
      <alignment horizontal="right" vertical="center"/>
    </xf>
    <xf numFmtId="10" fontId="45" fillId="24" borderId="30" xfId="59" applyNumberFormat="1" applyFont="1" applyFill="1" applyBorder="1" applyAlignment="1">
      <alignment horizontal="right" vertical="center"/>
    </xf>
    <xf numFmtId="10" fontId="45" fillId="24" borderId="104" xfId="59" applyNumberFormat="1" applyFont="1" applyFill="1" applyBorder="1" applyAlignment="1">
      <alignment horizontal="right" vertical="center"/>
    </xf>
    <xf numFmtId="0" fontId="38" fillId="24" borderId="97" xfId="59" applyNumberFormat="1" applyFont="1" applyFill="1" applyBorder="1" applyAlignment="1">
      <alignment vertical="center"/>
    </xf>
    <xf numFmtId="0" fontId="46" fillId="0" borderId="81" xfId="52" applyFont="1" applyFill="1" applyBorder="1" applyAlignment="1">
      <alignment vertical="center"/>
    </xf>
    <xf numFmtId="0" fontId="46" fillId="0" borderId="14" xfId="52" applyFont="1" applyFill="1" applyBorder="1" applyAlignment="1">
      <alignment vertical="center"/>
    </xf>
    <xf numFmtId="0" fontId="27" fillId="0" borderId="127" xfId="864" applyFont="1" applyBorder="1" applyAlignment="1">
      <alignment horizontal="left"/>
    </xf>
    <xf numFmtId="0" fontId="44" fillId="0" borderId="15" xfId="633" applyFont="1" applyFill="1" applyBorder="1" applyAlignment="1">
      <alignment horizontal="center" vertical="top" wrapText="1"/>
    </xf>
    <xf numFmtId="0" fontId="44" fillId="0" borderId="16" xfId="633" applyFont="1" applyFill="1" applyBorder="1" applyAlignment="1">
      <alignment horizontal="center" vertical="top" wrapText="1"/>
    </xf>
    <xf numFmtId="0" fontId="44" fillId="0" borderId="0" xfId="633" applyFont="1" applyFill="1" applyBorder="1" applyAlignment="1">
      <alignment horizontal="center" vertical="center"/>
    </xf>
    <xf numFmtId="49" fontId="27" fillId="0" borderId="0" xfId="0" applyNumberFormat="1" applyFont="1"/>
    <xf numFmtId="0" fontId="108" fillId="0" borderId="0" xfId="0" applyNumberFormat="1" applyFont="1" applyAlignment="1">
      <alignment horizontal="left"/>
    </xf>
    <xf numFmtId="17" fontId="89" fillId="0" borderId="0" xfId="863" applyNumberFormat="1" applyFont="1" applyFill="1" applyBorder="1" applyAlignment="1">
      <alignment horizontal="right" vertical="center"/>
    </xf>
    <xf numFmtId="0" fontId="82" fillId="0" borderId="0" xfId="863" applyFont="1" applyBorder="1"/>
    <xf numFmtId="0" fontId="82" fillId="0" borderId="84" xfId="863" applyFont="1" applyBorder="1"/>
    <xf numFmtId="0" fontId="122" fillId="0" borderId="0" xfId="863" applyFont="1" applyBorder="1" applyAlignment="1"/>
    <xf numFmtId="0" fontId="89" fillId="0" borderId="0" xfId="863" applyFont="1" applyBorder="1" applyAlignment="1">
      <alignment horizontal="right"/>
    </xf>
    <xf numFmtId="0" fontId="89" fillId="0" borderId="0" xfId="863" applyFont="1" applyBorder="1" applyAlignment="1">
      <alignment horizontal="right" vertical="top"/>
    </xf>
    <xf numFmtId="165" fontId="49" fillId="0" borderId="29" xfId="46" applyFont="1" applyFill="1" applyBorder="1" applyAlignment="1">
      <alignment vertical="center"/>
    </xf>
    <xf numFmtId="165" fontId="49" fillId="0" borderId="31" xfId="46" applyFont="1" applyFill="1" applyBorder="1" applyAlignment="1">
      <alignment vertical="center"/>
    </xf>
    <xf numFmtId="165" fontId="49" fillId="0" borderId="26" xfId="46" applyFont="1" applyFill="1" applyBorder="1" applyAlignment="1">
      <alignment vertical="center"/>
    </xf>
    <xf numFmtId="165" fontId="44" fillId="0" borderId="31" xfId="46" applyFont="1" applyFill="1" applyBorder="1" applyAlignment="1">
      <alignment vertical="center"/>
    </xf>
    <xf numFmtId="165" fontId="49" fillId="0" borderId="61" xfId="46" applyFont="1" applyFill="1" applyBorder="1" applyAlignment="1">
      <alignment vertical="center"/>
    </xf>
    <xf numFmtId="0" fontId="44" fillId="0" borderId="0" xfId="633" applyFont="1" applyFill="1" applyBorder="1" applyAlignment="1">
      <alignment horizontal="center" vertical="top" wrapText="1"/>
    </xf>
    <xf numFmtId="0" fontId="44" fillId="0" borderId="0" xfId="633" applyFont="1" applyFill="1" applyBorder="1" applyAlignment="1">
      <alignment horizontal="center" vertical="top"/>
    </xf>
    <xf numFmtId="0" fontId="44" fillId="0" borderId="13" xfId="633" applyFont="1" applyFill="1" applyBorder="1" applyAlignment="1">
      <alignment horizontal="center" vertical="top" wrapText="1"/>
    </xf>
    <xf numFmtId="195" fontId="0" fillId="0" borderId="0" xfId="0" applyNumberFormat="1"/>
    <xf numFmtId="0" fontId="27" fillId="0" borderId="0" xfId="0" applyFont="1" applyAlignment="1">
      <alignment horizontal="right" vertical="center"/>
    </xf>
    <xf numFmtId="49" fontId="113" fillId="0" borderId="0" xfId="0" applyNumberFormat="1" applyFont="1" applyFill="1" applyAlignment="1">
      <alignment horizontal="center"/>
    </xf>
    <xf numFmtId="0" fontId="108" fillId="0" borderId="0" xfId="0" applyNumberFormat="1" applyFont="1" applyAlignment="1">
      <alignment horizontal="center"/>
    </xf>
    <xf numFmtId="14" fontId="67" fillId="0" borderId="0" xfId="0" applyNumberFormat="1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164" fontId="45" fillId="24" borderId="0" xfId="47" applyFont="1" applyFill="1" applyBorder="1" applyAlignment="1">
      <alignment horizontal="center" vertical="center"/>
    </xf>
    <xf numFmtId="0" fontId="40" fillId="24" borderId="0" xfId="56" applyFont="1" applyFill="1" applyBorder="1" applyAlignment="1">
      <alignment horizontal="center" vertical="center"/>
    </xf>
    <xf numFmtId="0" fontId="43" fillId="24" borderId="0" xfId="56" applyFont="1" applyFill="1" applyBorder="1" applyAlignment="1">
      <alignment horizontal="center" vertical="center"/>
    </xf>
    <xf numFmtId="0" fontId="43" fillId="34" borderId="138" xfId="56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27" fillId="0" borderId="0" xfId="0" applyNumberFormat="1" applyFont="1" applyAlignment="1">
      <alignment vertical="center"/>
    </xf>
    <xf numFmtId="0" fontId="44" fillId="0" borderId="13" xfId="0" applyFont="1" applyBorder="1" applyAlignment="1">
      <alignment horizontal="center"/>
    </xf>
    <xf numFmtId="0" fontId="38" fillId="24" borderId="0" xfId="56" applyFont="1" applyFill="1" applyAlignment="1">
      <alignment horizontal="center" vertical="center"/>
    </xf>
    <xf numFmtId="165" fontId="38" fillId="36" borderId="96" xfId="46" applyFont="1" applyFill="1" applyBorder="1" applyAlignment="1">
      <alignment vertical="center"/>
    </xf>
    <xf numFmtId="165" fontId="38" fillId="36" borderId="27" xfId="46" applyFont="1" applyFill="1" applyBorder="1" applyAlignment="1">
      <alignment vertical="center"/>
    </xf>
    <xf numFmtId="10" fontId="38" fillId="36" borderId="97" xfId="59" applyNumberFormat="1" applyFont="1" applyFill="1" applyBorder="1" applyAlignment="1">
      <alignment vertical="center"/>
    </xf>
    <xf numFmtId="0" fontId="38" fillId="0" borderId="10" xfId="52" applyFont="1" applyFill="1" applyBorder="1" applyAlignment="1">
      <alignment horizontal="center" vertical="center" wrapText="1"/>
    </xf>
    <xf numFmtId="0" fontId="38" fillId="0" borderId="80" xfId="52" applyFont="1" applyFill="1" applyBorder="1" applyAlignment="1">
      <alignment horizontal="center" vertical="center" wrapText="1"/>
    </xf>
    <xf numFmtId="43" fontId="38" fillId="0" borderId="80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81" xfId="47" applyNumberFormat="1" applyFont="1" applyFill="1" applyBorder="1" applyAlignment="1">
      <alignment horizontal="right" vertical="center" wrapText="1"/>
    </xf>
    <xf numFmtId="43" fontId="38" fillId="0" borderId="80" xfId="47" applyNumberFormat="1" applyFont="1" applyFill="1" applyBorder="1" applyAlignment="1">
      <alignment horizontal="right" vertical="center" wrapText="1"/>
    </xf>
    <xf numFmtId="43" fontId="38" fillId="0" borderId="137" xfId="47" applyNumberFormat="1" applyFont="1" applyFill="1" applyBorder="1" applyAlignment="1">
      <alignment horizontal="right" vertical="center" wrapText="1"/>
    </xf>
    <xf numFmtId="43" fontId="38" fillId="24" borderId="80" xfId="47" applyNumberFormat="1" applyFont="1" applyFill="1" applyBorder="1" applyAlignment="1" applyProtection="1">
      <alignment horizontal="right" vertical="center"/>
      <protection locked="0"/>
    </xf>
    <xf numFmtId="43" fontId="38" fillId="24" borderId="19" xfId="47" applyNumberFormat="1" applyFont="1" applyFill="1" applyBorder="1" applyAlignment="1" applyProtection="1">
      <alignment horizontal="right" vertical="center"/>
      <protection locked="0"/>
    </xf>
    <xf numFmtId="43" fontId="38" fillId="24" borderId="137" xfId="47" applyNumberFormat="1" applyFont="1" applyFill="1" applyBorder="1" applyAlignment="1" applyProtection="1">
      <alignment horizontal="right" vertical="center"/>
      <protection locked="0"/>
    </xf>
    <xf numFmtId="43" fontId="38" fillId="24" borderId="140" xfId="47" applyNumberFormat="1" applyFont="1" applyFill="1" applyBorder="1" applyAlignment="1" applyProtection="1">
      <alignment horizontal="right" vertical="center"/>
      <protection locked="0"/>
    </xf>
    <xf numFmtId="43" fontId="38" fillId="24" borderId="19" xfId="47" applyNumberFormat="1" applyFont="1" applyFill="1" applyBorder="1" applyAlignment="1">
      <alignment horizontal="right" vertical="center"/>
    </xf>
    <xf numFmtId="43" fontId="38" fillId="24" borderId="80" xfId="47" applyNumberFormat="1" applyFont="1" applyFill="1" applyBorder="1" applyAlignment="1">
      <alignment horizontal="right" vertical="center"/>
    </xf>
    <xf numFmtId="43" fontId="38" fillId="24" borderId="81" xfId="47" applyNumberFormat="1" applyFont="1" applyFill="1" applyBorder="1" applyAlignment="1">
      <alignment horizontal="right" vertical="center"/>
    </xf>
    <xf numFmtId="0" fontId="40" fillId="0" borderId="65" xfId="52" applyFont="1" applyFill="1" applyBorder="1" applyAlignment="1">
      <alignment vertical="center" wrapText="1"/>
    </xf>
    <xf numFmtId="49" fontId="43" fillId="0" borderId="19" xfId="52" applyNumberFormat="1" applyFont="1" applyFill="1" applyBorder="1" applyAlignment="1" applyProtection="1">
      <alignment horizontal="center" vertical="center"/>
    </xf>
    <xf numFmtId="49" fontId="40" fillId="0" borderId="58" xfId="140" applyNumberFormat="1" applyFont="1" applyFill="1" applyBorder="1" applyAlignment="1" applyProtection="1">
      <alignment horizontal="center" vertical="center" wrapText="1"/>
      <protection locked="0"/>
    </xf>
    <xf numFmtId="0" fontId="40" fillId="0" borderId="54" xfId="52" applyFont="1" applyFill="1" applyBorder="1" applyAlignment="1">
      <alignment horizontal="center" vertical="center" wrapText="1"/>
    </xf>
    <xf numFmtId="0" fontId="40" fillId="0" borderId="152" xfId="52" applyFont="1" applyFill="1" applyBorder="1" applyAlignment="1">
      <alignment horizontal="center" vertical="center" wrapText="1"/>
    </xf>
    <xf numFmtId="0" fontId="40" fillId="0" borderId="22" xfId="52" applyFont="1" applyFill="1" applyBorder="1" applyAlignment="1">
      <alignment horizontal="center" vertical="center" wrapText="1"/>
    </xf>
    <xf numFmtId="49" fontId="43" fillId="29" borderId="19" xfId="52" applyNumberFormat="1" applyFont="1" applyFill="1" applyBorder="1" applyAlignment="1" applyProtection="1">
      <alignment horizontal="center" vertical="center" wrapText="1"/>
      <protection locked="0"/>
    </xf>
    <xf numFmtId="0" fontId="124" fillId="29" borderId="140" xfId="52" applyFont="1" applyFill="1" applyBorder="1" applyAlignment="1">
      <alignment horizontal="right" vertical="center" wrapText="1"/>
    </xf>
    <xf numFmtId="0" fontId="43" fillId="29" borderId="19" xfId="52" applyFont="1" applyFill="1" applyBorder="1" applyAlignment="1">
      <alignment horizontal="center" vertical="center" wrapText="1"/>
    </xf>
    <xf numFmtId="0" fontId="43" fillId="0" borderId="140" xfId="52" applyNumberFormat="1" applyFont="1" applyFill="1" applyBorder="1" applyAlignment="1" applyProtection="1">
      <alignment vertical="center" wrapText="1"/>
    </xf>
    <xf numFmtId="0" fontId="124" fillId="0" borderId="140" xfId="52" applyNumberFormat="1" applyFont="1" applyFill="1" applyBorder="1" applyAlignment="1" applyProtection="1">
      <alignment horizontal="center" vertical="center" wrapText="1"/>
    </xf>
    <xf numFmtId="0" fontId="40" fillId="0" borderId="44" xfId="52" applyFont="1" applyFill="1" applyBorder="1" applyAlignment="1">
      <alignment vertical="center" wrapText="1"/>
    </xf>
    <xf numFmtId="0" fontId="40" fillId="0" borderId="55" xfId="52" applyFont="1" applyFill="1" applyBorder="1" applyAlignment="1">
      <alignment horizontal="center" vertical="center" wrapText="1"/>
    </xf>
    <xf numFmtId="0" fontId="40" fillId="0" borderId="69" xfId="52" applyFont="1" applyFill="1" applyBorder="1" applyAlignment="1">
      <alignment horizontal="center" vertical="center" wrapText="1"/>
    </xf>
    <xf numFmtId="49" fontId="40" fillId="0" borderId="62" xfId="140" applyNumberFormat="1" applyFont="1" applyFill="1" applyBorder="1" applyAlignment="1" applyProtection="1">
      <alignment horizontal="center" vertical="center" wrapText="1"/>
      <protection locked="0"/>
    </xf>
    <xf numFmtId="0" fontId="40" fillId="0" borderId="66" xfId="52" applyFont="1" applyFill="1" applyBorder="1" applyAlignment="1">
      <alignment vertical="center" wrapText="1"/>
    </xf>
    <xf numFmtId="0" fontId="40" fillId="0" borderId="56" xfId="52" applyFont="1" applyFill="1" applyBorder="1" applyAlignment="1">
      <alignment horizontal="center" vertical="center" wrapText="1"/>
    </xf>
    <xf numFmtId="49" fontId="40" fillId="0" borderId="59" xfId="140" applyNumberFormat="1" applyFont="1" applyFill="1" applyBorder="1" applyAlignment="1" applyProtection="1">
      <alignment horizontal="center" vertical="center" wrapText="1"/>
      <protection locked="0"/>
    </xf>
    <xf numFmtId="49" fontId="43" fillId="0" borderId="19" xfId="52" applyNumberFormat="1" applyFont="1" applyFill="1" applyBorder="1" applyAlignment="1" applyProtection="1">
      <alignment horizontal="center" vertical="center" wrapText="1"/>
      <protection locked="0"/>
    </xf>
    <xf numFmtId="43" fontId="43" fillId="0" borderId="140" xfId="0" applyNumberFormat="1" applyFont="1" applyFill="1" applyBorder="1" applyAlignment="1" applyProtection="1">
      <alignment vertical="center" wrapText="1"/>
    </xf>
    <xf numFmtId="0" fontId="40" fillId="0" borderId="140" xfId="52" applyFont="1" applyFill="1" applyBorder="1" applyAlignment="1">
      <alignment horizontal="center" vertical="center" wrapText="1"/>
    </xf>
    <xf numFmtId="43" fontId="40" fillId="24" borderId="53" xfId="47" applyNumberFormat="1" applyFont="1" applyFill="1" applyBorder="1" applyAlignment="1">
      <alignment horizontal="right" vertical="center"/>
    </xf>
    <xf numFmtId="43" fontId="40" fillId="0" borderId="57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53" xfId="47" applyNumberFormat="1" applyFont="1" applyFill="1" applyBorder="1" applyAlignment="1">
      <alignment horizontal="center" vertical="center"/>
    </xf>
    <xf numFmtId="43" fontId="40" fillId="0" borderId="29" xfId="47" applyNumberFormat="1" applyFont="1" applyFill="1" applyBorder="1" applyAlignment="1" applyProtection="1">
      <alignment horizontal="right" vertical="center" wrapText="1"/>
      <protection locked="0"/>
    </xf>
    <xf numFmtId="43" fontId="40" fillId="35" borderId="57" xfId="47" applyNumberFormat="1" applyFont="1" applyFill="1" applyBorder="1" applyAlignment="1">
      <alignment horizontal="right" vertical="center"/>
    </xf>
    <xf numFmtId="43" fontId="40" fillId="35" borderId="26" xfId="47" applyNumberFormat="1" applyFont="1" applyFill="1" applyBorder="1" applyAlignment="1">
      <alignment horizontal="right" vertical="center"/>
    </xf>
    <xf numFmtId="43" fontId="40" fillId="24" borderId="26" xfId="47" applyNumberFormat="1" applyFont="1" applyFill="1" applyBorder="1" applyAlignment="1">
      <alignment horizontal="right" vertical="center"/>
    </xf>
    <xf numFmtId="10" fontId="40" fillId="24" borderId="57" xfId="59" applyNumberFormat="1" applyFont="1" applyFill="1" applyBorder="1" applyAlignment="1">
      <alignment horizontal="right" vertical="center"/>
    </xf>
    <xf numFmtId="10" fontId="40" fillId="24" borderId="25" xfId="59" applyNumberFormat="1" applyFont="1" applyFill="1" applyBorder="1" applyAlignment="1">
      <alignment horizontal="right" vertical="center"/>
    </xf>
    <xf numFmtId="10" fontId="40" fillId="24" borderId="26" xfId="59" applyNumberFormat="1" applyFont="1" applyFill="1" applyBorder="1" applyAlignment="1">
      <alignment horizontal="right" vertical="center"/>
    </xf>
    <xf numFmtId="43" fontId="40" fillId="0" borderId="53" xfId="47" applyNumberFormat="1" applyFont="1" applyFill="1" applyBorder="1" applyAlignment="1">
      <alignment horizontal="right" vertical="center"/>
    </xf>
    <xf numFmtId="43" fontId="40" fillId="0" borderId="58" xfId="47" applyNumberFormat="1" applyFont="1" applyFill="1" applyBorder="1" applyAlignment="1" applyProtection="1">
      <alignment horizontal="right" vertical="center" wrapText="1"/>
      <protection locked="0"/>
    </xf>
    <xf numFmtId="43" fontId="40" fillId="35" borderId="59" xfId="47" applyNumberFormat="1" applyFont="1" applyFill="1" applyBorder="1" applyAlignment="1">
      <alignment horizontal="right" vertical="center"/>
    </xf>
    <xf numFmtId="43" fontId="40" fillId="35" borderId="61" xfId="47" applyNumberFormat="1" applyFont="1" applyFill="1" applyBorder="1" applyAlignment="1">
      <alignment horizontal="right" vertical="center"/>
    </xf>
    <xf numFmtId="43" fontId="40" fillId="24" borderId="61" xfId="47" applyNumberFormat="1" applyFont="1" applyFill="1" applyBorder="1" applyAlignment="1">
      <alignment horizontal="right" vertical="center"/>
    </xf>
    <xf numFmtId="10" fontId="40" fillId="24" borderId="53" xfId="59" applyNumberFormat="1" applyFont="1" applyFill="1" applyBorder="1" applyAlignment="1">
      <alignment horizontal="right" vertical="center"/>
    </xf>
    <xf numFmtId="10" fontId="40" fillId="24" borderId="72" xfId="59" applyNumberFormat="1" applyFont="1" applyFill="1" applyBorder="1" applyAlignment="1">
      <alignment horizontal="right" vertical="center"/>
    </xf>
    <xf numFmtId="43" fontId="40" fillId="0" borderId="50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31" xfId="47" applyNumberFormat="1" applyFont="1" applyFill="1" applyBorder="1" applyAlignment="1" applyProtection="1">
      <alignment horizontal="right" vertical="center" wrapText="1"/>
      <protection locked="0"/>
    </xf>
    <xf numFmtId="10" fontId="40" fillId="24" borderId="146" xfId="59" applyNumberFormat="1" applyFont="1" applyFill="1" applyBorder="1" applyAlignment="1">
      <alignment horizontal="right" vertical="center"/>
    </xf>
    <xf numFmtId="10" fontId="40" fillId="24" borderId="14" xfId="59" applyNumberFormat="1" applyFont="1" applyFill="1" applyBorder="1" applyAlignment="1">
      <alignment horizontal="right" vertical="center"/>
    </xf>
    <xf numFmtId="0" fontId="43" fillId="29" borderId="140" xfId="52" applyFont="1" applyFill="1" applyBorder="1" applyAlignment="1">
      <alignment horizontal="center" vertical="center" wrapText="1"/>
    </xf>
    <xf numFmtId="43" fontId="43" fillId="29" borderId="140" xfId="47" applyNumberFormat="1" applyFont="1" applyFill="1" applyBorder="1" applyAlignment="1" applyProtection="1">
      <alignment horizontal="right" vertical="center" wrapText="1"/>
      <protection locked="0"/>
    </xf>
    <xf numFmtId="43" fontId="43" fillId="29" borderId="137" xfId="47" applyNumberFormat="1" applyFont="1" applyFill="1" applyBorder="1" applyAlignment="1">
      <alignment horizontal="right" vertical="center" wrapText="1"/>
    </xf>
    <xf numFmtId="43" fontId="43" fillId="29" borderId="140" xfId="47" applyNumberFormat="1" applyFont="1" applyFill="1" applyBorder="1" applyAlignment="1">
      <alignment horizontal="right" vertical="center" wrapText="1"/>
    </xf>
    <xf numFmtId="43" fontId="43" fillId="29" borderId="140" xfId="47" applyNumberFormat="1" applyFont="1" applyFill="1" applyBorder="1" applyAlignment="1">
      <alignment horizontal="right" vertical="center"/>
    </xf>
    <xf numFmtId="43" fontId="43" fillId="29" borderId="19" xfId="47" applyNumberFormat="1" applyFont="1" applyFill="1" applyBorder="1" applyAlignment="1">
      <alignment horizontal="right" vertical="center"/>
    </xf>
    <xf numFmtId="10" fontId="43" fillId="29" borderId="41" xfId="59" applyNumberFormat="1" applyFont="1" applyFill="1" applyBorder="1" applyAlignment="1">
      <alignment horizontal="right" vertical="center"/>
    </xf>
    <xf numFmtId="10" fontId="43" fillId="29" borderId="42" xfId="59" applyNumberFormat="1" applyFont="1" applyFill="1" applyBorder="1" applyAlignment="1">
      <alignment horizontal="right" vertical="center"/>
    </xf>
    <xf numFmtId="10" fontId="43" fillId="29" borderId="43" xfId="59" applyNumberFormat="1" applyFont="1" applyFill="1" applyBorder="1" applyAlignment="1">
      <alignment horizontal="right" vertical="center"/>
    </xf>
    <xf numFmtId="43" fontId="125" fillId="0" borderId="140" xfId="47" applyNumberFormat="1" applyFont="1" applyFill="1" applyBorder="1" applyAlignment="1" applyProtection="1">
      <alignment horizontal="right" vertical="center" wrapText="1"/>
    </xf>
    <xf numFmtId="43" fontId="40" fillId="0" borderId="140" xfId="47" applyNumberFormat="1" applyFont="1" applyFill="1" applyBorder="1" applyAlignment="1">
      <alignment horizontal="right" vertical="center" wrapText="1"/>
    </xf>
    <xf numFmtId="43" fontId="40" fillId="24" borderId="140" xfId="47" applyNumberFormat="1" applyFont="1" applyFill="1" applyBorder="1" applyAlignment="1">
      <alignment horizontal="right" vertical="center"/>
    </xf>
    <xf numFmtId="43" fontId="40" fillId="24" borderId="140" xfId="47" applyNumberFormat="1" applyFont="1" applyFill="1" applyBorder="1" applyAlignment="1">
      <alignment horizontal="right" vertical="center" wrapText="1"/>
    </xf>
    <xf numFmtId="43" fontId="40" fillId="24" borderId="137" xfId="47" applyNumberFormat="1" applyFont="1" applyFill="1" applyBorder="1" applyAlignment="1">
      <alignment horizontal="right" vertical="center" wrapText="1"/>
    </xf>
    <xf numFmtId="43" fontId="40" fillId="0" borderId="26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61" xfId="47" applyNumberFormat="1" applyFont="1" applyFill="1" applyBorder="1" applyAlignment="1">
      <alignment horizontal="right" vertical="center"/>
    </xf>
    <xf numFmtId="10" fontId="40" fillId="0" borderId="53" xfId="59" applyNumberFormat="1" applyFont="1" applyFill="1" applyBorder="1" applyAlignment="1">
      <alignment horizontal="right" vertical="center"/>
    </xf>
    <xf numFmtId="10" fontId="40" fillId="0" borderId="72" xfId="59" applyNumberFormat="1" applyFont="1" applyFill="1" applyBorder="1" applyAlignment="1">
      <alignment horizontal="right" vertical="center"/>
    </xf>
    <xf numFmtId="10" fontId="40" fillId="0" borderId="58" xfId="59" applyNumberFormat="1" applyFont="1" applyFill="1" applyBorder="1" applyAlignment="1">
      <alignment horizontal="right" vertical="center"/>
    </xf>
    <xf numFmtId="10" fontId="40" fillId="0" borderId="23" xfId="59" applyNumberFormat="1" applyFont="1" applyFill="1" applyBorder="1" applyAlignment="1">
      <alignment horizontal="right" vertical="center"/>
    </xf>
    <xf numFmtId="10" fontId="40" fillId="0" borderId="45" xfId="59" applyNumberFormat="1" applyFont="1" applyFill="1" applyBorder="1" applyAlignment="1">
      <alignment horizontal="right" vertical="center"/>
    </xf>
    <xf numFmtId="43" fontId="40" fillId="0" borderId="23" xfId="47" applyNumberFormat="1" applyFont="1" applyFill="1" applyBorder="1" applyAlignment="1" applyProtection="1">
      <alignment horizontal="right" vertical="center" wrapText="1"/>
      <protection locked="0"/>
    </xf>
    <xf numFmtId="43" fontId="40" fillId="35" borderId="29" xfId="47" applyNumberFormat="1" applyFont="1" applyFill="1" applyBorder="1" applyAlignment="1">
      <alignment horizontal="right" vertical="center"/>
    </xf>
    <xf numFmtId="43" fontId="40" fillId="35" borderId="31" xfId="47" applyNumberFormat="1" applyFont="1" applyFill="1" applyBorder="1" applyAlignment="1">
      <alignment horizontal="right" vertical="center"/>
    </xf>
    <xf numFmtId="43" fontId="40" fillId="0" borderId="33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60" xfId="47" applyNumberFormat="1" applyFont="1" applyFill="1" applyBorder="1" applyAlignment="1" applyProtection="1">
      <alignment horizontal="right" vertical="center" wrapText="1"/>
      <protection locked="0"/>
    </xf>
    <xf numFmtId="0" fontId="40" fillId="24" borderId="25" xfId="56" applyFont="1" applyFill="1" applyBorder="1" applyAlignment="1">
      <alignment horizontal="center" vertical="center"/>
    </xf>
    <xf numFmtId="0" fontId="40" fillId="24" borderId="27" xfId="56" applyFont="1" applyFill="1" applyBorder="1" applyAlignment="1">
      <alignment horizontal="center" vertical="center"/>
    </xf>
    <xf numFmtId="43" fontId="40" fillId="0" borderId="27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52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62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64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25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23" xfId="47" applyNumberFormat="1" applyFont="1" applyFill="1" applyBorder="1" applyAlignment="1">
      <alignment horizontal="right" vertical="center"/>
    </xf>
    <xf numFmtId="43" fontId="40" fillId="35" borderId="58" xfId="47" applyNumberFormat="1" applyFont="1" applyFill="1" applyBorder="1" applyAlignment="1">
      <alignment horizontal="right" vertical="center"/>
    </xf>
    <xf numFmtId="43" fontId="40" fillId="0" borderId="29" xfId="47" applyNumberFormat="1" applyFont="1" applyFill="1" applyBorder="1" applyAlignment="1">
      <alignment horizontal="right" vertical="center"/>
    </xf>
    <xf numFmtId="43" fontId="40" fillId="0" borderId="53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61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59" xfId="47" applyNumberFormat="1" applyFont="1" applyFill="1" applyBorder="1" applyAlignment="1" applyProtection="1">
      <alignment horizontal="right" vertical="center" wrapText="1"/>
      <protection locked="0"/>
    </xf>
    <xf numFmtId="0" fontId="40" fillId="24" borderId="60" xfId="56" applyFont="1" applyFill="1" applyBorder="1" applyAlignment="1">
      <alignment horizontal="center" vertical="center"/>
    </xf>
    <xf numFmtId="43" fontId="40" fillId="0" borderId="151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150" xfId="47" applyNumberFormat="1" applyFont="1" applyFill="1" applyBorder="1" applyAlignment="1" applyProtection="1">
      <alignment horizontal="right" vertical="center" wrapText="1"/>
      <protection locked="0"/>
    </xf>
    <xf numFmtId="0" fontId="40" fillId="24" borderId="30" xfId="56" applyFont="1" applyFill="1" applyBorder="1" applyAlignment="1">
      <alignment horizontal="center" vertical="center"/>
    </xf>
    <xf numFmtId="43" fontId="40" fillId="0" borderId="73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140" xfId="47" applyNumberFormat="1" applyFont="1" applyFill="1" applyBorder="1" applyAlignment="1" applyProtection="1">
      <alignment horizontal="right" vertical="center" wrapText="1"/>
      <protection locked="0"/>
    </xf>
    <xf numFmtId="0" fontId="40" fillId="24" borderId="0" xfId="56" applyFont="1" applyFill="1" applyBorder="1" applyAlignment="1">
      <alignment vertical="center"/>
    </xf>
    <xf numFmtId="43" fontId="40" fillId="24" borderId="137" xfId="47" applyNumberFormat="1" applyFont="1" applyFill="1" applyBorder="1" applyAlignment="1">
      <alignment horizontal="right" vertical="center"/>
    </xf>
    <xf numFmtId="43" fontId="40" fillId="0" borderId="25" xfId="47" applyNumberFormat="1" applyFont="1" applyFill="1" applyBorder="1" applyAlignment="1">
      <alignment horizontal="center" vertical="center"/>
    </xf>
    <xf numFmtId="43" fontId="40" fillId="0" borderId="63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27" xfId="47" applyNumberFormat="1" applyFont="1" applyFill="1" applyBorder="1" applyAlignment="1" applyProtection="1">
      <alignment horizontal="center" vertical="center" wrapText="1"/>
      <protection locked="0"/>
    </xf>
    <xf numFmtId="43" fontId="40" fillId="0" borderId="63" xfId="47" applyNumberFormat="1" applyFont="1" applyFill="1" applyBorder="1" applyAlignment="1" applyProtection="1">
      <alignment horizontal="center" vertical="center" wrapText="1"/>
      <protection locked="0"/>
    </xf>
    <xf numFmtId="43" fontId="40" fillId="35" borderId="64" xfId="47" applyNumberFormat="1" applyFont="1" applyFill="1" applyBorder="1" applyAlignment="1">
      <alignment horizontal="right" vertical="center"/>
    </xf>
    <xf numFmtId="0" fontId="43" fillId="34" borderId="20" xfId="52" applyFont="1" applyFill="1" applyBorder="1" applyAlignment="1">
      <alignment horizontal="center" vertical="center" wrapText="1"/>
    </xf>
    <xf numFmtId="0" fontId="43" fillId="34" borderId="138" xfId="52" applyFont="1" applyFill="1" applyBorder="1" applyAlignment="1">
      <alignment horizontal="center" vertical="center" wrapText="1"/>
    </xf>
    <xf numFmtId="0" fontId="49" fillId="24" borderId="13" xfId="56" applyFont="1" applyFill="1" applyBorder="1" applyAlignment="1">
      <alignment horizontal="center" vertical="center"/>
    </xf>
    <xf numFmtId="0" fontId="49" fillId="24" borderId="0" xfId="56" applyFont="1" applyFill="1" applyAlignment="1">
      <alignment vertical="center"/>
    </xf>
    <xf numFmtId="0" fontId="49" fillId="24" borderId="0" xfId="56" applyFont="1" applyFill="1" applyBorder="1" applyAlignment="1">
      <alignment horizontal="center" vertical="center"/>
    </xf>
    <xf numFmtId="0" fontId="49" fillId="24" borderId="0" xfId="56" applyFont="1" applyFill="1" applyBorder="1" applyAlignment="1">
      <alignment horizontal="right" vertical="center"/>
    </xf>
    <xf numFmtId="0" fontId="49" fillId="24" borderId="0" xfId="56" applyFont="1" applyFill="1" applyBorder="1" applyAlignment="1">
      <alignment vertical="center"/>
    </xf>
    <xf numFmtId="0" fontId="49" fillId="24" borderId="14" xfId="56" applyFont="1" applyFill="1" applyBorder="1" applyAlignment="1">
      <alignment horizontal="right" vertical="center"/>
    </xf>
    <xf numFmtId="49" fontId="40" fillId="0" borderId="50" xfId="140" applyNumberFormat="1" applyFont="1" applyFill="1" applyBorder="1" applyAlignment="1" applyProtection="1">
      <alignment horizontal="center" vertical="center" wrapText="1"/>
      <protection locked="0"/>
    </xf>
    <xf numFmtId="0" fontId="40" fillId="0" borderId="40" xfId="52" applyFont="1" applyFill="1" applyBorder="1" applyAlignment="1">
      <alignment vertical="center" wrapText="1"/>
    </xf>
    <xf numFmtId="43" fontId="40" fillId="0" borderId="37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30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37" xfId="47" applyNumberFormat="1" applyFont="1" applyFill="1" applyBorder="1" applyAlignment="1">
      <alignment horizontal="right" vertical="center"/>
    </xf>
    <xf numFmtId="43" fontId="40" fillId="35" borderId="50" xfId="47" applyNumberFormat="1" applyFont="1" applyFill="1" applyBorder="1" applyAlignment="1">
      <alignment horizontal="right" vertical="center"/>
    </xf>
    <xf numFmtId="43" fontId="40" fillId="0" borderId="31" xfId="47" applyNumberFormat="1" applyFont="1" applyFill="1" applyBorder="1" applyAlignment="1">
      <alignment horizontal="right" vertical="center"/>
    </xf>
    <xf numFmtId="10" fontId="40" fillId="0" borderId="37" xfId="59" applyNumberFormat="1" applyFont="1" applyFill="1" applyBorder="1" applyAlignment="1">
      <alignment horizontal="right" vertical="center"/>
    </xf>
    <xf numFmtId="10" fontId="40" fillId="0" borderId="48" xfId="59" applyNumberFormat="1" applyFont="1" applyFill="1" applyBorder="1" applyAlignment="1">
      <alignment horizontal="right" vertical="center"/>
    </xf>
    <xf numFmtId="0" fontId="40" fillId="0" borderId="14" xfId="0" applyFont="1" applyBorder="1" applyAlignment="1">
      <alignment horizontal="right" vertical="center"/>
    </xf>
    <xf numFmtId="2" fontId="91" fillId="0" borderId="28" xfId="46" applyNumberFormat="1" applyFont="1" applyBorder="1" applyAlignment="1" applyProtection="1">
      <alignment horizontal="right" vertical="center" indent="1"/>
    </xf>
    <xf numFmtId="2" fontId="91" fillId="0" borderId="28" xfId="857" applyNumberFormat="1" applyFont="1" applyBorder="1" applyAlignment="1" applyProtection="1">
      <alignment horizontal="right" vertical="center" indent="1"/>
    </xf>
    <xf numFmtId="43" fontId="126" fillId="37" borderId="0" xfId="56" applyNumberFormat="1" applyFont="1" applyFill="1" applyAlignment="1">
      <alignment vertical="center"/>
    </xf>
    <xf numFmtId="0" fontId="126" fillId="37" borderId="0" xfId="56" applyFont="1" applyFill="1" applyAlignment="1">
      <alignment vertical="center"/>
    </xf>
    <xf numFmtId="0" fontId="111" fillId="24" borderId="10" xfId="56" applyFont="1" applyFill="1" applyBorder="1" applyAlignment="1">
      <alignment horizontal="left" vertical="center"/>
    </xf>
    <xf numFmtId="0" fontId="49" fillId="24" borderId="15" xfId="56" applyFont="1" applyFill="1" applyBorder="1" applyAlignment="1">
      <alignment horizontal="left" vertical="center"/>
    </xf>
    <xf numFmtId="0" fontId="44" fillId="24" borderId="13" xfId="56" applyFont="1" applyFill="1" applyBorder="1" applyAlignment="1">
      <alignment horizontal="left" vertical="center"/>
    </xf>
    <xf numFmtId="0" fontId="44" fillId="24" borderId="13" xfId="56" applyFont="1" applyFill="1" applyBorder="1" applyAlignment="1">
      <alignment vertical="center"/>
    </xf>
    <xf numFmtId="0" fontId="40" fillId="0" borderId="14" xfId="0" applyFont="1" applyFill="1" applyBorder="1" applyAlignment="1">
      <alignment horizontal="right" vertical="center"/>
    </xf>
    <xf numFmtId="0" fontId="68" fillId="0" borderId="55" xfId="0" applyFont="1" applyFill="1" applyBorder="1" applyAlignment="1">
      <alignment horizontal="left" vertical="center" wrapText="1" indent="1"/>
    </xf>
    <xf numFmtId="15" fontId="68" fillId="0" borderId="55" xfId="0" applyNumberFormat="1" applyFont="1" applyFill="1" applyBorder="1" applyAlignment="1">
      <alignment horizontal="center" vertical="center" wrapText="1"/>
    </xf>
    <xf numFmtId="0" fontId="68" fillId="0" borderId="55" xfId="0" applyFont="1" applyFill="1" applyBorder="1" applyAlignment="1">
      <alignment horizontal="center" vertical="center" wrapText="1"/>
    </xf>
    <xf numFmtId="0" fontId="46" fillId="24" borderId="15" xfId="56" applyFont="1" applyFill="1" applyBorder="1" applyAlignment="1">
      <alignment horizontal="left" vertical="center"/>
    </xf>
    <xf numFmtId="0" fontId="82" fillId="0" borderId="0" xfId="863" applyFont="1" applyFill="1" applyBorder="1"/>
    <xf numFmtId="0" fontId="27" fillId="0" borderId="0" xfId="0" applyFont="1" applyAlignment="1">
      <alignment vertical="center"/>
    </xf>
    <xf numFmtId="0" fontId="49" fillId="0" borderId="29" xfId="857" applyFont="1" applyBorder="1" applyAlignment="1">
      <alignment horizontal="center" vertical="center" wrapText="1"/>
    </xf>
    <xf numFmtId="4" fontId="63" fillId="0" borderId="55" xfId="857" applyNumberFormat="1" applyFont="1" applyBorder="1" applyAlignment="1">
      <alignment horizontal="center" vertical="center"/>
    </xf>
    <xf numFmtId="4" fontId="63" fillId="0" borderId="58" xfId="857" applyNumberFormat="1" applyFont="1" applyBorder="1" applyAlignment="1" applyProtection="1">
      <alignment horizontal="right" vertical="center"/>
    </xf>
    <xf numFmtId="4" fontId="63" fillId="0" borderId="45" xfId="857" applyNumberFormat="1" applyFont="1" applyBorder="1" applyAlignment="1" applyProtection="1">
      <alignment horizontal="right" vertical="center" indent="1"/>
    </xf>
    <xf numFmtId="15" fontId="63" fillId="0" borderId="58" xfId="857" applyNumberFormat="1" applyFont="1" applyBorder="1" applyAlignment="1" applyProtection="1">
      <alignment horizontal="center" vertical="center"/>
    </xf>
    <xf numFmtId="15" fontId="63" fillId="0" borderId="29" xfId="857" applyNumberFormat="1" applyFont="1" applyBorder="1" applyAlignment="1" applyProtection="1">
      <alignment horizontal="center" vertical="center"/>
    </xf>
    <xf numFmtId="4" fontId="63" fillId="0" borderId="62" xfId="857" applyNumberFormat="1" applyFont="1" applyBorder="1" applyAlignment="1" applyProtection="1">
      <alignment horizontal="right" vertical="center"/>
    </xf>
    <xf numFmtId="0" fontId="38" fillId="0" borderId="0" xfId="0" applyFont="1" applyBorder="1" applyAlignment="1"/>
    <xf numFmtId="0" fontId="38" fillId="0" borderId="84" xfId="0" applyFont="1" applyBorder="1" applyAlignment="1"/>
    <xf numFmtId="165" fontId="44" fillId="0" borderId="64" xfId="46" applyFont="1" applyFill="1" applyBorder="1" applyAlignment="1">
      <alignment vertical="center"/>
    </xf>
    <xf numFmtId="10" fontId="45" fillId="24" borderId="0" xfId="47" applyNumberFormat="1" applyFont="1" applyFill="1" applyBorder="1" applyAlignment="1">
      <alignment horizontal="right" vertical="center"/>
    </xf>
    <xf numFmtId="17" fontId="7" fillId="0" borderId="34" xfId="631" applyNumberFormat="1" applyFont="1" applyBorder="1" applyAlignment="1">
      <alignment horizontal="center" vertical="center"/>
    </xf>
    <xf numFmtId="164" fontId="45" fillId="24" borderId="0" xfId="47" applyFont="1" applyFill="1" applyBorder="1" applyAlignment="1">
      <alignment horizontal="center" vertical="center"/>
    </xf>
    <xf numFmtId="0" fontId="39" fillId="24" borderId="81" xfId="863" applyFont="1" applyFill="1" applyBorder="1" applyAlignment="1">
      <alignment horizontal="center" vertical="center" wrapText="1"/>
    </xf>
    <xf numFmtId="0" fontId="40" fillId="0" borderId="0" xfId="863" applyFont="1" applyFill="1" applyAlignment="1">
      <alignment vertical="center"/>
    </xf>
    <xf numFmtId="0" fontId="39" fillId="24" borderId="13" xfId="863" applyFont="1" applyFill="1" applyBorder="1" applyAlignment="1">
      <alignment horizontal="center" vertical="center" wrapText="1"/>
    </xf>
    <xf numFmtId="0" fontId="39" fillId="24" borderId="14" xfId="863" applyFont="1" applyFill="1" applyBorder="1" applyAlignment="1">
      <alignment horizontal="center" vertical="center" wrapText="1"/>
    </xf>
    <xf numFmtId="0" fontId="65" fillId="0" borderId="13" xfId="863" applyFont="1" applyFill="1" applyBorder="1" applyAlignment="1" applyProtection="1">
      <alignment horizontal="center" vertical="center"/>
    </xf>
    <xf numFmtId="0" fontId="65" fillId="0" borderId="14" xfId="863" applyFont="1" applyFill="1" applyBorder="1" applyAlignment="1" applyProtection="1">
      <alignment horizontal="center" vertical="center"/>
    </xf>
    <xf numFmtId="49" fontId="40" fillId="0" borderId="0" xfId="863" applyNumberFormat="1" applyFont="1" applyFill="1" applyAlignment="1">
      <alignment vertical="center"/>
    </xf>
    <xf numFmtId="0" fontId="43" fillId="0" borderId="13" xfId="863" applyFont="1" applyFill="1" applyBorder="1" applyAlignment="1" applyProtection="1">
      <alignment vertical="center"/>
    </xf>
    <xf numFmtId="0" fontId="43" fillId="0" borderId="14" xfId="863" applyFont="1" applyFill="1" applyBorder="1" applyAlignment="1" applyProtection="1">
      <alignment vertical="center"/>
    </xf>
    <xf numFmtId="0" fontId="40" fillId="0" borderId="15" xfId="863" applyFont="1" applyFill="1" applyBorder="1" applyAlignment="1">
      <alignment vertical="center"/>
    </xf>
    <xf numFmtId="0" fontId="40" fillId="0" borderId="16" xfId="863" applyFont="1" applyFill="1" applyBorder="1" applyAlignment="1">
      <alignment vertical="center"/>
    </xf>
    <xf numFmtId="0" fontId="40" fillId="0" borderId="17" xfId="863" applyFont="1" applyFill="1" applyBorder="1" applyAlignment="1">
      <alignment vertical="center"/>
    </xf>
    <xf numFmtId="0" fontId="40" fillId="0" borderId="0" xfId="863" applyFont="1" applyFill="1" applyAlignment="1">
      <alignment horizontal="left" vertical="center"/>
    </xf>
    <xf numFmtId="0" fontId="44" fillId="24" borderId="10" xfId="863" applyFont="1" applyFill="1" applyBorder="1" applyAlignment="1">
      <alignment horizontal="left" vertical="center" indent="1"/>
    </xf>
    <xf numFmtId="0" fontId="44" fillId="24" borderId="80" xfId="863" applyFont="1" applyFill="1" applyBorder="1" applyAlignment="1">
      <alignment horizontal="center" vertical="center"/>
    </xf>
    <xf numFmtId="0" fontId="49" fillId="0" borderId="80" xfId="863" applyFont="1" applyFill="1" applyBorder="1" applyAlignment="1">
      <alignment vertical="center"/>
    </xf>
    <xf numFmtId="0" fontId="49" fillId="0" borderId="81" xfId="863" applyFont="1" applyFill="1" applyBorder="1" applyAlignment="1">
      <alignment vertical="center"/>
    </xf>
    <xf numFmtId="0" fontId="49" fillId="0" borderId="10" xfId="863" applyFont="1" applyFill="1" applyBorder="1" applyAlignment="1">
      <alignment vertical="center"/>
    </xf>
    <xf numFmtId="0" fontId="44" fillId="0" borderId="80" xfId="863" applyFont="1" applyFill="1" applyBorder="1" applyAlignment="1">
      <alignment horizontal="right" vertical="center"/>
    </xf>
    <xf numFmtId="14" fontId="49" fillId="0" borderId="80" xfId="863" applyNumberFormat="1" applyFont="1" applyFill="1" applyBorder="1" applyAlignment="1" applyProtection="1">
      <alignment vertical="center"/>
    </xf>
    <xf numFmtId="0" fontId="49" fillId="0" borderId="0" xfId="863" applyFont="1" applyFill="1" applyAlignment="1">
      <alignment vertical="center"/>
    </xf>
    <xf numFmtId="0" fontId="43" fillId="0" borderId="80" xfId="863" applyFont="1" applyFill="1" applyBorder="1" applyAlignment="1">
      <alignment horizontal="right" vertical="center"/>
    </xf>
    <xf numFmtId="0" fontId="40" fillId="0" borderId="81" xfId="863" applyNumberFormat="1" applyFont="1" applyFill="1" applyBorder="1" applyAlignment="1">
      <alignment horizontal="left" vertical="center"/>
    </xf>
    <xf numFmtId="0" fontId="44" fillId="24" borderId="13" xfId="863" applyFont="1" applyFill="1" applyBorder="1" applyAlignment="1">
      <alignment horizontal="left" vertical="center" indent="1"/>
    </xf>
    <xf numFmtId="0" fontId="47" fillId="24" borderId="0" xfId="863" applyFont="1" applyFill="1" applyBorder="1" applyAlignment="1">
      <alignment horizontal="center" vertical="center"/>
    </xf>
    <xf numFmtId="17" fontId="40" fillId="0" borderId="0" xfId="863" applyNumberFormat="1" applyFont="1" applyFill="1" applyBorder="1" applyAlignment="1">
      <alignment vertical="center"/>
    </xf>
    <xf numFmtId="0" fontId="49" fillId="0" borderId="0" xfId="863" applyFont="1" applyFill="1" applyBorder="1" applyAlignment="1">
      <alignment vertical="center"/>
    </xf>
    <xf numFmtId="0" fontId="49" fillId="0" borderId="14" xfId="863" applyFont="1" applyFill="1" applyBorder="1" applyAlignment="1">
      <alignment vertical="center"/>
    </xf>
    <xf numFmtId="0" fontId="49" fillId="0" borderId="13" xfId="863" applyFont="1" applyFill="1" applyBorder="1" applyAlignment="1">
      <alignment vertical="center"/>
    </xf>
    <xf numFmtId="0" fontId="44" fillId="0" borderId="0" xfId="863" applyFont="1" applyFill="1" applyBorder="1" applyAlignment="1">
      <alignment horizontal="right" vertical="center"/>
    </xf>
    <xf numFmtId="0" fontId="80" fillId="0" borderId="0" xfId="863" applyFont="1" applyFill="1" applyBorder="1" applyAlignment="1">
      <alignment vertical="center"/>
    </xf>
    <xf numFmtId="191" fontId="49" fillId="0" borderId="0" xfId="863" applyNumberFormat="1" applyFont="1" applyFill="1" applyBorder="1" applyAlignment="1" applyProtection="1">
      <alignment horizontal="center" vertical="center"/>
    </xf>
    <xf numFmtId="0" fontId="70" fillId="0" borderId="0" xfId="863" applyFont="1" applyFill="1" applyAlignment="1">
      <alignment vertical="center"/>
    </xf>
    <xf numFmtId="0" fontId="44" fillId="0" borderId="0" xfId="863" applyFont="1" applyFill="1" applyBorder="1" applyAlignment="1" applyProtection="1">
      <alignment vertical="center"/>
    </xf>
    <xf numFmtId="0" fontId="44" fillId="0" borderId="14" xfId="863" applyFont="1" applyFill="1" applyBorder="1" applyAlignment="1" applyProtection="1">
      <alignment vertical="center"/>
    </xf>
    <xf numFmtId="0" fontId="49" fillId="0" borderId="15" xfId="863" applyFont="1" applyFill="1" applyBorder="1" applyAlignment="1">
      <alignment vertical="center"/>
    </xf>
    <xf numFmtId="0" fontId="44" fillId="0" borderId="16" xfId="863" applyFont="1" applyFill="1" applyBorder="1" applyAlignment="1">
      <alignment horizontal="right" vertical="center"/>
    </xf>
    <xf numFmtId="0" fontId="49" fillId="0" borderId="16" xfId="863" applyFont="1" applyFill="1" applyBorder="1" applyAlignment="1">
      <alignment horizontal="left" vertical="center"/>
    </xf>
    <xf numFmtId="0" fontId="49" fillId="0" borderId="16" xfId="863" applyFont="1" applyFill="1" applyBorder="1" applyAlignment="1">
      <alignment vertical="center"/>
    </xf>
    <xf numFmtId="0" fontId="44" fillId="0" borderId="16" xfId="863" applyFont="1" applyFill="1" applyBorder="1" applyAlignment="1" applyProtection="1">
      <alignment vertical="center"/>
    </xf>
    <xf numFmtId="0" fontId="44" fillId="0" borderId="17" xfId="863" applyFont="1" applyFill="1" applyBorder="1" applyAlignment="1" applyProtection="1">
      <alignment vertical="center"/>
    </xf>
    <xf numFmtId="49" fontId="40" fillId="0" borderId="0" xfId="863" applyNumberFormat="1" applyFont="1" applyFill="1" applyAlignment="1">
      <alignment horizontal="left" vertical="center"/>
    </xf>
    <xf numFmtId="0" fontId="44" fillId="0" borderId="13" xfId="863" applyFont="1" applyFill="1" applyBorder="1" applyAlignment="1">
      <alignment horizontal="left" vertical="center" indent="1"/>
    </xf>
    <xf numFmtId="0" fontId="47" fillId="0" borderId="0" xfId="863" applyFont="1" applyFill="1" applyBorder="1" applyAlignment="1">
      <alignment horizontal="center" vertical="center"/>
    </xf>
    <xf numFmtId="0" fontId="130" fillId="35" borderId="140" xfId="863" applyFont="1" applyFill="1" applyBorder="1" applyAlignment="1">
      <alignment vertical="center"/>
    </xf>
    <xf numFmtId="0" fontId="129" fillId="35" borderId="43" xfId="863" applyFont="1" applyFill="1" applyBorder="1" applyAlignment="1">
      <alignment horizontal="center" vertical="center"/>
    </xf>
    <xf numFmtId="0" fontId="47" fillId="0" borderId="0" xfId="863" applyFont="1" applyFill="1" applyBorder="1" applyAlignment="1">
      <alignment vertical="center"/>
    </xf>
    <xf numFmtId="0" fontId="70" fillId="0" borderId="0" xfId="863" applyFont="1" applyFill="1" applyBorder="1" applyAlignment="1">
      <alignment vertical="center"/>
    </xf>
    <xf numFmtId="0" fontId="47" fillId="0" borderId="14" xfId="863" applyFont="1" applyFill="1" applyBorder="1" applyAlignment="1">
      <alignment vertical="center"/>
    </xf>
    <xf numFmtId="0" fontId="40" fillId="0" borderId="71" xfId="863" applyFont="1" applyFill="1" applyBorder="1" applyAlignment="1">
      <alignment vertical="center"/>
    </xf>
    <xf numFmtId="0" fontId="40" fillId="0" borderId="34" xfId="863" applyFont="1" applyFill="1" applyBorder="1" applyAlignment="1">
      <alignment vertical="center"/>
    </xf>
    <xf numFmtId="0" fontId="40" fillId="0" borderId="38" xfId="863" applyFont="1" applyFill="1" applyBorder="1" applyAlignment="1">
      <alignment vertical="center"/>
    </xf>
    <xf numFmtId="0" fontId="40" fillId="0" borderId="28" xfId="863" applyFont="1" applyFill="1" applyBorder="1" applyAlignment="1">
      <alignment horizontal="left" vertical="center" indent="1"/>
    </xf>
    <xf numFmtId="0" fontId="40" fillId="0" borderId="34" xfId="863" applyFont="1" applyFill="1" applyBorder="1" applyAlignment="1">
      <alignment horizontal="left" vertical="center" indent="1"/>
    </xf>
    <xf numFmtId="0" fontId="40" fillId="0" borderId="23" xfId="863" applyFont="1" applyFill="1" applyBorder="1" applyAlignment="1">
      <alignment horizontal="left" vertical="center" indent="1"/>
    </xf>
    <xf numFmtId="0" fontId="43" fillId="0" borderId="35" xfId="863" applyFont="1" applyFill="1" applyBorder="1" applyAlignment="1">
      <alignment horizontal="center" vertical="center"/>
    </xf>
    <xf numFmtId="0" fontId="43" fillId="0" borderId="28" xfId="863" applyFont="1" applyFill="1" applyBorder="1" applyAlignment="1">
      <alignment horizontal="center" vertical="center"/>
    </xf>
    <xf numFmtId="0" fontId="43" fillId="0" borderId="36" xfId="863" applyFont="1" applyFill="1" applyBorder="1" applyAlignment="1">
      <alignment horizontal="center" vertical="center"/>
    </xf>
    <xf numFmtId="0" fontId="43" fillId="0" borderId="118" xfId="863" applyFont="1" applyFill="1" applyBorder="1" applyAlignment="1">
      <alignment horizontal="center" vertical="center"/>
    </xf>
    <xf numFmtId="0" fontId="43" fillId="0" borderId="51" xfId="863" applyFont="1" applyFill="1" applyBorder="1" applyAlignment="1">
      <alignment horizontal="center" vertical="center"/>
    </xf>
    <xf numFmtId="166" fontId="40" fillId="0" borderId="0" xfId="863" applyNumberFormat="1" applyFont="1" applyFill="1" applyAlignment="1">
      <alignment vertical="center"/>
    </xf>
    <xf numFmtId="0" fontId="40" fillId="0" borderId="36" xfId="863" applyFont="1" applyFill="1" applyBorder="1" applyAlignment="1">
      <alignment horizontal="left" vertical="center" indent="1"/>
    </xf>
    <xf numFmtId="0" fontId="40" fillId="0" borderId="38" xfId="863" applyFont="1" applyFill="1" applyBorder="1" applyAlignment="1">
      <alignment horizontal="left" vertical="center" indent="1"/>
    </xf>
    <xf numFmtId="0" fontId="40" fillId="0" borderId="37" xfId="863" applyFont="1" applyFill="1" applyBorder="1" applyAlignment="1">
      <alignment horizontal="left" vertical="center" indent="1"/>
    </xf>
    <xf numFmtId="0" fontId="46" fillId="0" borderId="35" xfId="863" applyFont="1" applyFill="1" applyBorder="1" applyAlignment="1">
      <alignment horizontal="center" vertical="center"/>
    </xf>
    <xf numFmtId="0" fontId="40" fillId="0" borderId="13" xfId="863" applyFont="1" applyFill="1" applyBorder="1" applyAlignment="1">
      <alignment horizontal="left" vertical="center" indent="1"/>
    </xf>
    <xf numFmtId="0" fontId="40" fillId="0" borderId="0" xfId="863" applyFont="1" applyFill="1" applyBorder="1" applyAlignment="1">
      <alignment horizontal="left" vertical="center" indent="1"/>
    </xf>
    <xf numFmtId="4" fontId="40" fillId="0" borderId="27" xfId="863" applyNumberFormat="1" applyFont="1" applyFill="1" applyBorder="1" applyAlignment="1" applyProtection="1">
      <alignment vertical="center"/>
    </xf>
    <xf numFmtId="170" fontId="40" fillId="0" borderId="68" xfId="863" applyNumberFormat="1" applyFont="1" applyFill="1" applyBorder="1" applyAlignment="1" applyProtection="1">
      <alignment vertical="center"/>
    </xf>
    <xf numFmtId="0" fontId="43" fillId="0" borderId="0" xfId="863" applyFont="1" applyFill="1" applyBorder="1" applyAlignment="1">
      <alignment vertical="center"/>
    </xf>
    <xf numFmtId="4" fontId="40" fillId="0" borderId="27" xfId="863" applyNumberFormat="1" applyFont="1" applyFill="1" applyBorder="1" applyAlignment="1">
      <alignment vertical="center"/>
    </xf>
    <xf numFmtId="185" fontId="40" fillId="0" borderId="0" xfId="863" applyNumberFormat="1" applyFont="1" applyFill="1" applyAlignment="1">
      <alignment vertical="center"/>
    </xf>
    <xf numFmtId="0" fontId="40" fillId="0" borderId="0" xfId="863" applyFont="1" applyFill="1" applyBorder="1" applyAlignment="1">
      <alignment vertical="center"/>
    </xf>
    <xf numFmtId="0" fontId="119" fillId="29" borderId="19" xfId="863" applyFont="1" applyFill="1" applyBorder="1" applyAlignment="1">
      <alignment vertical="center"/>
    </xf>
    <xf numFmtId="4" fontId="40" fillId="0" borderId="63" xfId="863" applyNumberFormat="1" applyFont="1" applyFill="1" applyBorder="1" applyAlignment="1">
      <alignment vertical="center"/>
    </xf>
    <xf numFmtId="0" fontId="40" fillId="0" borderId="10" xfId="863" applyFont="1" applyFill="1" applyBorder="1" applyAlignment="1">
      <alignment vertical="center"/>
    </xf>
    <xf numFmtId="0" fontId="40" fillId="0" borderId="80" xfId="863" applyFont="1" applyFill="1" applyBorder="1" applyAlignment="1">
      <alignment vertical="center"/>
    </xf>
    <xf numFmtId="0" fontId="40" fillId="0" borderId="81" xfId="863" applyFont="1" applyFill="1" applyBorder="1" applyAlignment="1">
      <alignment vertical="center"/>
    </xf>
    <xf numFmtId="0" fontId="40" fillId="0" borderId="13" xfId="863" applyFont="1" applyFill="1" applyBorder="1" applyAlignment="1">
      <alignment vertical="center"/>
    </xf>
    <xf numFmtId="0" fontId="40" fillId="0" borderId="14" xfId="863" applyFont="1" applyFill="1" applyBorder="1" applyAlignment="1">
      <alignment vertical="center"/>
    </xf>
    <xf numFmtId="166" fontId="40" fillId="0" borderId="0" xfId="863" applyNumberFormat="1" applyFont="1" applyFill="1" applyAlignment="1">
      <alignment horizontal="left" vertical="center" indent="1"/>
    </xf>
    <xf numFmtId="181" fontId="40" fillId="0" borderId="0" xfId="863" applyNumberFormat="1" applyFont="1" applyFill="1" applyAlignment="1">
      <alignment vertical="center"/>
    </xf>
    <xf numFmtId="170" fontId="40" fillId="0" borderId="45" xfId="863" applyNumberFormat="1" applyFont="1" applyFill="1" applyBorder="1" applyAlignment="1" applyProtection="1">
      <alignment vertical="center"/>
    </xf>
    <xf numFmtId="170" fontId="40" fillId="0" borderId="48" xfId="863" applyNumberFormat="1" applyFont="1" applyFill="1" applyBorder="1" applyAlignment="1" applyProtection="1">
      <alignment vertical="center"/>
    </xf>
    <xf numFmtId="0" fontId="43" fillId="0" borderId="13" xfId="863" applyFont="1" applyFill="1" applyBorder="1" applyAlignment="1">
      <alignment vertical="center"/>
    </xf>
    <xf numFmtId="0" fontId="43" fillId="0" borderId="14" xfId="863" applyFont="1" applyFill="1" applyBorder="1" applyAlignment="1">
      <alignment vertical="center"/>
    </xf>
    <xf numFmtId="165" fontId="47" fillId="0" borderId="0" xfId="863" applyNumberFormat="1" applyFont="1" applyFill="1" applyBorder="1" applyAlignment="1">
      <alignment vertical="center"/>
    </xf>
    <xf numFmtId="0" fontId="49" fillId="0" borderId="28" xfId="863" applyFont="1" applyFill="1" applyBorder="1" applyAlignment="1">
      <alignment horizontal="left" vertical="center" wrapText="1" indent="1"/>
    </xf>
    <xf numFmtId="0" fontId="49" fillId="0" borderId="23" xfId="863" applyFont="1" applyFill="1" applyBorder="1" applyAlignment="1">
      <alignment horizontal="left" vertical="center" wrapText="1"/>
    </xf>
    <xf numFmtId="0" fontId="49" fillId="0" borderId="44" xfId="863" applyFont="1" applyFill="1" applyBorder="1" applyAlignment="1">
      <alignment horizontal="left" vertical="center" wrapText="1" indent="1"/>
    </xf>
    <xf numFmtId="0" fontId="40" fillId="0" borderId="14" xfId="863" applyFont="1" applyFill="1" applyBorder="1" applyAlignment="1">
      <alignment vertical="center" wrapText="1"/>
    </xf>
    <xf numFmtId="0" fontId="40" fillId="0" borderId="13" xfId="863" applyFont="1" applyFill="1" applyBorder="1" applyAlignment="1">
      <alignment vertical="center" wrapText="1"/>
    </xf>
    <xf numFmtId="0" fontId="40" fillId="0" borderId="0" xfId="863" applyFont="1" applyFill="1" applyBorder="1" applyAlignment="1">
      <alignment horizontal="center" vertical="center"/>
    </xf>
    <xf numFmtId="0" fontId="49" fillId="0" borderId="36" xfId="863" applyFont="1" applyFill="1" applyBorder="1" applyAlignment="1">
      <alignment horizontal="left" vertical="center" wrapText="1" indent="1"/>
    </xf>
    <xf numFmtId="0" fontId="49" fillId="0" borderId="37" xfId="863" applyFont="1" applyFill="1" applyBorder="1" applyAlignment="1">
      <alignment horizontal="left" vertical="center" wrapText="1"/>
    </xf>
    <xf numFmtId="0" fontId="49" fillId="0" borderId="40" xfId="863" applyFont="1" applyFill="1" applyBorder="1" applyAlignment="1">
      <alignment horizontal="left" vertical="center" wrapText="1" indent="1"/>
    </xf>
    <xf numFmtId="1" fontId="49" fillId="0" borderId="37" xfId="863" applyNumberFormat="1" applyFont="1" applyFill="1" applyBorder="1" applyAlignment="1">
      <alignment horizontal="left" vertical="center" wrapText="1"/>
    </xf>
    <xf numFmtId="0" fontId="40" fillId="0" borderId="17" xfId="863" applyFont="1" applyFill="1" applyBorder="1" applyAlignment="1">
      <alignment horizontal="justify" vertical="center" wrapText="1"/>
    </xf>
    <xf numFmtId="0" fontId="40" fillId="0" borderId="15" xfId="863" applyFont="1" applyFill="1" applyBorder="1" applyAlignment="1">
      <alignment vertical="center" wrapText="1"/>
    </xf>
    <xf numFmtId="0" fontId="40" fillId="0" borderId="16" xfId="863" applyFont="1" applyFill="1" applyBorder="1" applyAlignment="1">
      <alignment horizontal="center" vertical="center"/>
    </xf>
    <xf numFmtId="0" fontId="40" fillId="0" borderId="17" xfId="863" applyFont="1" applyFill="1" applyBorder="1" applyAlignment="1">
      <alignment vertical="center" wrapText="1"/>
    </xf>
    <xf numFmtId="0" fontId="40" fillId="0" borderId="10" xfId="863" applyFont="1" applyFill="1" applyBorder="1" applyAlignment="1">
      <alignment horizontal="left" vertical="center" wrapText="1" indent="1"/>
    </xf>
    <xf numFmtId="0" fontId="40" fillId="0" borderId="80" xfId="863" applyFont="1" applyFill="1" applyBorder="1" applyAlignment="1">
      <alignment horizontal="left" vertical="center" wrapText="1"/>
    </xf>
    <xf numFmtId="0" fontId="40" fillId="0" borderId="10" xfId="863" applyFont="1" applyFill="1" applyBorder="1" applyAlignment="1">
      <alignment horizontal="left" vertical="center" wrapText="1"/>
    </xf>
    <xf numFmtId="0" fontId="40" fillId="0" borderId="13" xfId="863" applyFont="1" applyBorder="1" applyAlignment="1">
      <alignment horizontal="left" vertical="center" indent="1"/>
    </xf>
    <xf numFmtId="0" fontId="40" fillId="0" borderId="0" xfId="863" applyFont="1" applyBorder="1" applyAlignment="1">
      <alignment vertical="center"/>
    </xf>
    <xf numFmtId="0" fontId="40" fillId="0" borderId="0" xfId="863" applyFont="1" applyFill="1" applyBorder="1" applyAlignment="1">
      <alignment horizontal="left" vertical="center" wrapText="1"/>
    </xf>
    <xf numFmtId="0" fontId="40" fillId="0" borderId="13" xfId="863" applyFont="1" applyFill="1" applyBorder="1" applyAlignment="1">
      <alignment horizontal="left" vertical="center" wrapText="1"/>
    </xf>
    <xf numFmtId="0" fontId="40" fillId="0" borderId="0" xfId="863" applyFont="1" applyFill="1" applyBorder="1" applyAlignment="1">
      <alignment vertical="center" wrapText="1"/>
    </xf>
    <xf numFmtId="0" fontId="43" fillId="0" borderId="13" xfId="863" applyFont="1" applyFill="1" applyBorder="1" applyAlignment="1">
      <alignment horizontal="center" vertical="center"/>
    </xf>
    <xf numFmtId="0" fontId="43" fillId="0" borderId="0" xfId="863" applyFont="1" applyFill="1" applyBorder="1" applyAlignment="1">
      <alignment horizontal="center" vertical="center"/>
    </xf>
    <xf numFmtId="0" fontId="46" fillId="0" borderId="0" xfId="863" applyFont="1" applyFill="1" applyBorder="1" applyAlignment="1">
      <alignment vertical="center"/>
    </xf>
    <xf numFmtId="0" fontId="46" fillId="0" borderId="13" xfId="863" applyFont="1" applyFill="1" applyBorder="1" applyAlignment="1">
      <alignment vertical="center"/>
    </xf>
    <xf numFmtId="0" fontId="40" fillId="0" borderId="0" xfId="863" applyFont="1" applyFill="1" applyBorder="1" applyAlignment="1">
      <alignment horizontal="left" vertical="center"/>
    </xf>
    <xf numFmtId="0" fontId="45" fillId="0" borderId="0" xfId="863" applyFont="1" applyFill="1" applyBorder="1" applyAlignment="1">
      <alignment vertical="center"/>
    </xf>
    <xf numFmtId="0" fontId="45" fillId="0" borderId="0" xfId="863" applyFont="1" applyFill="1" applyBorder="1" applyAlignment="1">
      <alignment horizontal="center" vertical="center"/>
    </xf>
    <xf numFmtId="0" fontId="45" fillId="0" borderId="14" xfId="863" applyFont="1" applyFill="1" applyBorder="1" applyAlignment="1">
      <alignment vertical="center"/>
    </xf>
    <xf numFmtId="0" fontId="40" fillId="0" borderId="35" xfId="863" applyFont="1" applyFill="1" applyBorder="1" applyAlignment="1">
      <alignment horizontal="left" vertical="center" indent="1"/>
    </xf>
    <xf numFmtId="0" fontId="40" fillId="0" borderId="39" xfId="863" applyFont="1" applyFill="1" applyBorder="1" applyAlignment="1">
      <alignment horizontal="left" vertical="center" indent="1"/>
    </xf>
    <xf numFmtId="0" fontId="40" fillId="0" borderId="33" xfId="863" applyFont="1" applyFill="1" applyBorder="1" applyAlignment="1">
      <alignment horizontal="left" vertical="center" indent="1"/>
    </xf>
    <xf numFmtId="10" fontId="40" fillId="0" borderId="34" xfId="59" applyNumberFormat="1" applyFont="1" applyFill="1" applyBorder="1" applyAlignment="1">
      <alignment vertical="center"/>
    </xf>
    <xf numFmtId="10" fontId="40" fillId="0" borderId="38" xfId="59" applyNumberFormat="1" applyFont="1" applyFill="1" applyBorder="1" applyAlignment="1">
      <alignment vertical="center"/>
    </xf>
    <xf numFmtId="10" fontId="40" fillId="0" borderId="34" xfId="59" applyNumberFormat="1" applyFont="1" applyFill="1" applyBorder="1" applyAlignment="1">
      <alignment horizontal="right" vertical="center" indent="1"/>
    </xf>
    <xf numFmtId="10" fontId="40" fillId="0" borderId="38" xfId="59" applyNumberFormat="1" applyFont="1" applyFill="1" applyBorder="1" applyAlignment="1">
      <alignment horizontal="right" vertical="center" indent="1"/>
    </xf>
    <xf numFmtId="0" fontId="111" fillId="24" borderId="10" xfId="858" applyFont="1" applyFill="1" applyBorder="1" applyAlignment="1">
      <alignment horizontal="left" vertical="center"/>
    </xf>
    <xf numFmtId="0" fontId="49" fillId="24" borderId="13" xfId="858" applyFont="1" applyFill="1" applyBorder="1" applyAlignment="1">
      <alignment horizontal="left" vertical="center"/>
    </xf>
    <xf numFmtId="0" fontId="44" fillId="24" borderId="15" xfId="858" applyFont="1" applyFill="1" applyBorder="1" applyAlignment="1">
      <alignment horizontal="left" vertical="center"/>
    </xf>
    <xf numFmtId="0" fontId="107" fillId="0" borderId="124" xfId="0" applyFont="1" applyBorder="1" applyAlignment="1">
      <alignment horizontal="left" vertical="center"/>
    </xf>
    <xf numFmtId="165" fontId="38" fillId="0" borderId="96" xfId="46" applyFont="1" applyFill="1" applyBorder="1" applyAlignment="1">
      <alignment vertical="center"/>
    </xf>
    <xf numFmtId="165" fontId="38" fillId="0" borderId="27" xfId="46" applyFont="1" applyFill="1" applyBorder="1" applyAlignment="1">
      <alignment vertical="center"/>
    </xf>
    <xf numFmtId="10" fontId="38" fillId="0" borderId="97" xfId="59" applyNumberFormat="1" applyFont="1" applyFill="1" applyBorder="1" applyAlignment="1">
      <alignment vertical="center"/>
    </xf>
    <xf numFmtId="189" fontId="67" fillId="0" borderId="76" xfId="864" applyNumberFormat="1" applyFont="1" applyBorder="1" applyAlignment="1">
      <alignment horizontal="left" vertical="center"/>
    </xf>
    <xf numFmtId="189" fontId="67" fillId="0" borderId="0" xfId="864" applyNumberFormat="1" applyFont="1" applyBorder="1" applyAlignment="1">
      <alignment horizontal="left" vertical="center"/>
    </xf>
    <xf numFmtId="49" fontId="44" fillId="0" borderId="0" xfId="864" applyNumberFormat="1" applyFont="1" applyBorder="1" applyAlignment="1">
      <alignment horizontal="left" vertical="center"/>
    </xf>
    <xf numFmtId="0" fontId="44" fillId="0" borderId="0" xfId="864" applyNumberFormat="1" applyFont="1" applyBorder="1" applyAlignment="1">
      <alignment horizontal="left" vertical="center"/>
    </xf>
    <xf numFmtId="0" fontId="44" fillId="0" borderId="84" xfId="864" applyNumberFormat="1" applyFont="1" applyBorder="1" applyAlignment="1">
      <alignment horizontal="left" vertical="center"/>
    </xf>
    <xf numFmtId="0" fontId="57" fillId="0" borderId="0" xfId="631" applyFont="1" applyBorder="1" applyAlignment="1">
      <alignment horizontal="center"/>
    </xf>
    <xf numFmtId="0" fontId="59" fillId="0" borderId="0" xfId="631" applyFont="1" applyBorder="1" applyAlignment="1">
      <alignment horizontal="center"/>
    </xf>
    <xf numFmtId="10" fontId="57" fillId="0" borderId="0" xfId="59" applyNumberFormat="1" applyFont="1" applyBorder="1"/>
    <xf numFmtId="2" fontId="131" fillId="0" borderId="138" xfId="633" applyNumberFormat="1" applyFont="1" applyBorder="1" applyAlignment="1" applyProtection="1">
      <alignment horizontal="right" vertical="center" indent="1"/>
    </xf>
    <xf numFmtId="2" fontId="131" fillId="0" borderId="138" xfId="141" applyNumberFormat="1" applyFont="1" applyBorder="1" applyAlignment="1" applyProtection="1">
      <alignment horizontal="right" vertical="center" indent="1"/>
    </xf>
    <xf numFmtId="0" fontId="42" fillId="0" borderId="0" xfId="633" applyFont="1" applyFill="1" applyBorder="1" applyAlignment="1">
      <alignment horizontal="right" vertical="center"/>
    </xf>
    <xf numFmtId="4" fontId="44" fillId="0" borderId="16" xfId="633" applyNumberFormat="1" applyFont="1" applyBorder="1" applyAlignment="1">
      <alignment horizontal="left" vertical="center" indent="1"/>
    </xf>
    <xf numFmtId="0" fontId="49" fillId="0" borderId="15" xfId="633" applyFont="1" applyBorder="1" applyAlignment="1">
      <alignment horizontal="right" vertical="center"/>
    </xf>
    <xf numFmtId="4" fontId="49" fillId="0" borderId="16" xfId="633" applyNumberFormat="1" applyFont="1" applyBorder="1" applyAlignment="1">
      <alignment horizontal="left" vertical="center"/>
    </xf>
    <xf numFmtId="0" fontId="49" fillId="0" borderId="19" xfId="633" applyFont="1" applyBorder="1" applyAlignment="1">
      <alignment vertical="center"/>
    </xf>
    <xf numFmtId="0" fontId="49" fillId="0" borderId="140" xfId="633" applyFont="1" applyBorder="1" applyAlignment="1">
      <alignment horizontal="right" vertical="center"/>
    </xf>
    <xf numFmtId="0" fontId="57" fillId="0" borderId="0" xfId="631" applyFont="1" applyBorder="1" applyAlignment="1">
      <alignment vertical="center"/>
    </xf>
    <xf numFmtId="0" fontId="57" fillId="0" borderId="16" xfId="631" applyFont="1" applyBorder="1" applyAlignment="1">
      <alignment vertical="center"/>
    </xf>
    <xf numFmtId="0" fontId="57" fillId="0" borderId="14" xfId="631" applyFont="1" applyBorder="1" applyAlignment="1">
      <alignment vertical="center"/>
    </xf>
    <xf numFmtId="0" fontId="12" fillId="0" borderId="0" xfId="631" applyFont="1" applyAlignment="1">
      <alignment vertical="center"/>
    </xf>
    <xf numFmtId="0" fontId="7" fillId="0" borderId="13" xfId="631" applyFont="1" applyBorder="1" applyAlignment="1">
      <alignment horizontal="left" vertical="center"/>
    </xf>
    <xf numFmtId="0" fontId="7" fillId="0" borderId="0" xfId="631" applyFont="1" applyBorder="1" applyAlignment="1">
      <alignment vertical="center"/>
    </xf>
    <xf numFmtId="0" fontId="4" fillId="0" borderId="0" xfId="631" applyFont="1" applyBorder="1" applyAlignment="1">
      <alignment vertical="center"/>
    </xf>
    <xf numFmtId="4" fontId="7" fillId="0" borderId="0" xfId="631" applyNumberFormat="1" applyFont="1" applyBorder="1" applyAlignment="1">
      <alignment horizontal="left" vertical="center"/>
    </xf>
    <xf numFmtId="4" fontId="7" fillId="0" borderId="0" xfId="631" applyNumberFormat="1" applyFont="1" applyBorder="1" applyAlignment="1">
      <alignment vertical="center"/>
    </xf>
    <xf numFmtId="0" fontId="7" fillId="0" borderId="140" xfId="631" applyFont="1" applyBorder="1" applyAlignment="1">
      <alignment horizontal="right" vertical="center"/>
    </xf>
    <xf numFmtId="174" fontId="44" fillId="24" borderId="32" xfId="142" applyNumberFormat="1" applyFont="1" applyFill="1" applyBorder="1" applyAlignment="1">
      <alignment vertical="center"/>
    </xf>
    <xf numFmtId="0" fontId="49" fillId="0" borderId="0" xfId="141" applyFont="1" applyBorder="1" applyAlignment="1">
      <alignment horizontal="right" vertical="center"/>
    </xf>
    <xf numFmtId="165" fontId="49" fillId="24" borderId="32" xfId="46" applyFont="1" applyFill="1" applyBorder="1" applyAlignment="1">
      <alignment vertical="center"/>
    </xf>
    <xf numFmtId="17" fontId="44" fillId="0" borderId="55" xfId="141" applyNumberFormat="1" applyFont="1" applyBorder="1" applyAlignment="1">
      <alignment horizontal="center" vertical="center" wrapText="1"/>
    </xf>
    <xf numFmtId="165" fontId="44" fillId="0" borderId="58" xfId="46" applyFont="1" applyBorder="1" applyAlignment="1">
      <alignment vertical="center"/>
    </xf>
    <xf numFmtId="165" fontId="44" fillId="0" borderId="29" xfId="46" applyFont="1" applyFill="1" applyBorder="1" applyAlignment="1">
      <alignment horizontal="right" vertical="center"/>
    </xf>
    <xf numFmtId="165" fontId="44" fillId="0" borderId="58" xfId="46" applyNumberFormat="1" applyFont="1" applyBorder="1" applyAlignment="1">
      <alignment vertical="center"/>
    </xf>
    <xf numFmtId="10" fontId="44" fillId="0" borderId="58" xfId="59" applyNumberFormat="1" applyFont="1" applyBorder="1" applyAlignment="1">
      <alignment horizontal="right" vertical="center" indent="1"/>
    </xf>
    <xf numFmtId="10" fontId="44" fillId="0" borderId="29" xfId="59" applyNumberFormat="1" applyFont="1" applyFill="1" applyBorder="1" applyAlignment="1">
      <alignment horizontal="right" vertical="center" indent="1"/>
    </xf>
    <xf numFmtId="165" fontId="49" fillId="0" borderId="57" xfId="46" applyFont="1" applyBorder="1" applyAlignment="1">
      <alignment horizontal="center" vertical="center"/>
    </xf>
    <xf numFmtId="17" fontId="132" fillId="0" borderId="14" xfId="141" applyNumberFormat="1" applyFont="1" applyBorder="1" applyAlignment="1">
      <alignment horizontal="center" vertical="center" wrapText="1"/>
    </xf>
    <xf numFmtId="165" fontId="49" fillId="0" borderId="0" xfId="46" applyFont="1"/>
    <xf numFmtId="164" fontId="49" fillId="0" borderId="0" xfId="0" applyNumberFormat="1" applyFont="1" applyAlignment="1">
      <alignment horizontal="right"/>
    </xf>
    <xf numFmtId="10" fontId="38" fillId="27" borderId="97" xfId="59" applyNumberFormat="1" applyFont="1" applyFill="1" applyBorder="1" applyAlignment="1">
      <alignment vertical="center"/>
    </xf>
    <xf numFmtId="0" fontId="44" fillId="0" borderId="0" xfId="0" applyFont="1" applyBorder="1" applyAlignment="1">
      <alignment horizontal="center"/>
    </xf>
    <xf numFmtId="0" fontId="49" fillId="0" borderId="16" xfId="0" applyFont="1" applyBorder="1"/>
    <xf numFmtId="0" fontId="49" fillId="0" borderId="51" xfId="0" applyFont="1" applyBorder="1" applyAlignment="1">
      <alignment horizontal="center" vertical="center"/>
    </xf>
    <xf numFmtId="0" fontId="44" fillId="0" borderId="80" xfId="0" applyFont="1" applyBorder="1"/>
    <xf numFmtId="196" fontId="49" fillId="0" borderId="28" xfId="0" applyNumberFormat="1" applyFont="1" applyBorder="1" applyAlignment="1">
      <alignment horizontal="center" vertical="center"/>
    </xf>
    <xf numFmtId="196" fontId="49" fillId="0" borderId="28" xfId="0" applyNumberFormat="1" applyFont="1" applyBorder="1" applyAlignment="1">
      <alignment horizontal="center"/>
    </xf>
    <xf numFmtId="0" fontId="44" fillId="0" borderId="0" xfId="0" applyFont="1" applyBorder="1" applyAlignment="1"/>
    <xf numFmtId="0" fontId="81" fillId="0" borderId="58" xfId="631" applyFont="1" applyFill="1" applyBorder="1" applyAlignment="1">
      <alignment horizontal="center" vertical="center"/>
    </xf>
    <xf numFmtId="17" fontId="81" fillId="0" borderId="61" xfId="631" applyNumberFormat="1" applyFont="1" applyFill="1" applyBorder="1" applyAlignment="1">
      <alignment horizontal="center" vertical="center"/>
    </xf>
    <xf numFmtId="166" fontId="81" fillId="0" borderId="58" xfId="631" applyNumberFormat="1" applyFont="1" applyFill="1" applyBorder="1" applyAlignment="1">
      <alignment vertical="center"/>
    </xf>
    <xf numFmtId="10" fontId="44" fillId="0" borderId="34" xfId="59" applyNumberFormat="1" applyFont="1" applyFill="1" applyBorder="1" applyAlignment="1">
      <alignment vertical="center"/>
    </xf>
    <xf numFmtId="166" fontId="81" fillId="0" borderId="27" xfId="631" applyNumberFormat="1" applyFont="1" applyFill="1" applyBorder="1" applyAlignment="1">
      <alignment vertical="center"/>
    </xf>
    <xf numFmtId="166" fontId="81" fillId="0" borderId="34" xfId="631" applyNumberFormat="1" applyFont="1" applyFill="1" applyBorder="1" applyAlignment="1">
      <alignment vertical="center"/>
    </xf>
    <xf numFmtId="10" fontId="81" fillId="0" borderId="45" xfId="59" applyNumberFormat="1" applyFont="1" applyFill="1" applyBorder="1" applyAlignment="1">
      <alignment vertical="center"/>
    </xf>
    <xf numFmtId="166" fontId="81" fillId="0" borderId="23" xfId="631" applyNumberFormat="1" applyFont="1" applyFill="1" applyBorder="1" applyAlignment="1">
      <alignment vertical="center"/>
    </xf>
    <xf numFmtId="166" fontId="81" fillId="0" borderId="45" xfId="631" applyNumberFormat="1" applyFont="1" applyFill="1" applyBorder="1" applyAlignment="1">
      <alignment vertical="center"/>
    </xf>
    <xf numFmtId="10" fontId="81" fillId="0" borderId="29" xfId="59" applyNumberFormat="1" applyFont="1" applyFill="1" applyBorder="1" applyAlignment="1">
      <alignment vertical="center"/>
    </xf>
    <xf numFmtId="0" fontId="109" fillId="0" borderId="58" xfId="631" applyFont="1" applyFill="1" applyBorder="1" applyAlignment="1">
      <alignment horizontal="center" vertical="center"/>
    </xf>
    <xf numFmtId="17" fontId="109" fillId="0" borderId="61" xfId="631" applyNumberFormat="1" applyFont="1" applyFill="1" applyBorder="1" applyAlignment="1">
      <alignment horizontal="center" vertical="center"/>
    </xf>
    <xf numFmtId="166" fontId="109" fillId="0" borderId="29" xfId="631" applyNumberFormat="1" applyFont="1" applyFill="1" applyBorder="1" applyAlignment="1">
      <alignment vertical="center"/>
    </xf>
    <xf numFmtId="17" fontId="109" fillId="0" borderId="29" xfId="631" applyNumberFormat="1" applyFont="1" applyFill="1" applyBorder="1" applyAlignment="1">
      <alignment horizontal="center" vertical="center"/>
    </xf>
    <xf numFmtId="166" fontId="109" fillId="0" borderId="50" xfId="631" applyNumberFormat="1" applyFont="1" applyFill="1" applyBorder="1" applyAlignment="1">
      <alignment vertical="center"/>
    </xf>
    <xf numFmtId="166" fontId="109" fillId="0" borderId="30" xfId="631" applyNumberFormat="1" applyFont="1" applyFill="1" applyBorder="1" applyAlignment="1">
      <alignment vertical="center"/>
    </xf>
    <xf numFmtId="166" fontId="109" fillId="0" borderId="31" xfId="631" applyNumberFormat="1" applyFont="1" applyFill="1" applyBorder="1" applyAlignment="1">
      <alignment vertical="center"/>
    </xf>
    <xf numFmtId="0" fontId="44" fillId="0" borderId="58" xfId="141" applyFont="1" applyBorder="1" applyAlignment="1">
      <alignment horizontal="center" vertical="center" wrapText="1"/>
    </xf>
    <xf numFmtId="17" fontId="81" fillId="0" borderId="61" xfId="631" applyNumberFormat="1" applyFont="1" applyBorder="1" applyAlignment="1">
      <alignment horizontal="center" vertical="center"/>
    </xf>
    <xf numFmtId="4" fontId="44" fillId="0" borderId="55" xfId="141" applyNumberFormat="1" applyFont="1" applyFill="1" applyBorder="1" applyAlignment="1">
      <alignment horizontal="right" vertical="center"/>
    </xf>
    <xf numFmtId="10" fontId="44" fillId="0" borderId="62" xfId="59" applyNumberFormat="1" applyFont="1" applyBorder="1" applyAlignment="1" applyProtection="1">
      <alignment horizontal="center" vertical="center"/>
    </xf>
    <xf numFmtId="175" fontId="44" fillId="0" borderId="58" xfId="141" applyNumberFormat="1" applyFont="1" applyBorder="1" applyAlignment="1" applyProtection="1">
      <alignment horizontal="right" vertical="center"/>
    </xf>
    <xf numFmtId="175" fontId="44" fillId="0" borderId="27" xfId="141" applyNumberFormat="1" applyFont="1" applyBorder="1" applyAlignment="1" applyProtection="1">
      <alignment horizontal="right" vertical="center"/>
    </xf>
    <xf numFmtId="175" fontId="44" fillId="0" borderId="29" xfId="141" applyNumberFormat="1" applyFont="1" applyBorder="1" applyAlignment="1" applyProtection="1">
      <alignment horizontal="right" vertical="center"/>
    </xf>
    <xf numFmtId="175" fontId="44" fillId="0" borderId="45" xfId="141" applyNumberFormat="1" applyFont="1" applyBorder="1" applyAlignment="1" applyProtection="1">
      <alignment horizontal="right" vertical="center"/>
    </xf>
    <xf numFmtId="176" fontId="44" fillId="0" borderId="55" xfId="633" applyNumberFormat="1" applyFont="1" applyBorder="1" applyAlignment="1">
      <alignment vertical="center" wrapText="1"/>
    </xf>
    <xf numFmtId="175" fontId="44" fillId="0" borderId="27" xfId="141" applyNumberFormat="1" applyFont="1" applyFill="1" applyBorder="1" applyAlignment="1" applyProtection="1">
      <alignment horizontal="right" vertical="center"/>
    </xf>
    <xf numFmtId="176" fontId="44" fillId="0" borderId="55" xfId="633" applyNumberFormat="1" applyFont="1" applyBorder="1" applyAlignment="1">
      <alignment vertical="center"/>
    </xf>
    <xf numFmtId="2" fontId="131" fillId="0" borderId="28" xfId="857" applyNumberFormat="1" applyFont="1" applyBorder="1" applyAlignment="1" applyProtection="1">
      <alignment horizontal="right" vertical="center" indent="1"/>
    </xf>
    <xf numFmtId="0" fontId="40" fillId="24" borderId="63" xfId="56" applyFont="1" applyFill="1" applyBorder="1" applyAlignment="1">
      <alignment horizontal="center" vertical="center"/>
    </xf>
    <xf numFmtId="43" fontId="40" fillId="0" borderId="52" xfId="47" applyNumberFormat="1" applyFont="1" applyFill="1" applyBorder="1" applyAlignment="1">
      <alignment horizontal="right" vertical="center"/>
    </xf>
    <xf numFmtId="43" fontId="40" fillId="35" borderId="62" xfId="47" applyNumberFormat="1" applyFont="1" applyFill="1" applyBorder="1" applyAlignment="1">
      <alignment horizontal="right" vertical="center"/>
    </xf>
    <xf numFmtId="43" fontId="40" fillId="0" borderId="64" xfId="47" applyNumberFormat="1" applyFont="1" applyFill="1" applyBorder="1" applyAlignment="1">
      <alignment horizontal="right" vertical="center"/>
    </xf>
    <xf numFmtId="10" fontId="40" fillId="0" borderId="52" xfId="59" applyNumberFormat="1" applyFont="1" applyFill="1" applyBorder="1" applyAlignment="1">
      <alignment horizontal="right" vertical="center"/>
    </xf>
    <xf numFmtId="10" fontId="40" fillId="0" borderId="117" xfId="59" applyNumberFormat="1" applyFont="1" applyFill="1" applyBorder="1" applyAlignment="1">
      <alignment horizontal="right" vertical="center"/>
    </xf>
    <xf numFmtId="0" fontId="44" fillId="0" borderId="32" xfId="141" applyFont="1" applyBorder="1" applyAlignment="1">
      <alignment horizontal="right" vertical="center"/>
    </xf>
    <xf numFmtId="165" fontId="44" fillId="0" borderId="32" xfId="46" applyFont="1" applyBorder="1" applyAlignment="1">
      <alignment vertical="center"/>
    </xf>
    <xf numFmtId="189" fontId="27" fillId="0" borderId="0" xfId="864" applyNumberFormat="1" applyFont="1" applyBorder="1" applyAlignment="1">
      <alignment horizontal="left" vertical="center"/>
    </xf>
    <xf numFmtId="0" fontId="67" fillId="0" borderId="0" xfId="864" applyFont="1" applyBorder="1" applyAlignment="1">
      <alignment horizontal="right" vertical="center"/>
    </xf>
    <xf numFmtId="0" fontId="67" fillId="0" borderId="139" xfId="864" applyFont="1" applyBorder="1" applyAlignment="1">
      <alignment vertical="center"/>
    </xf>
    <xf numFmtId="0" fontId="27" fillId="0" borderId="141" xfId="864" applyFont="1" applyBorder="1"/>
    <xf numFmtId="0" fontId="67" fillId="0" borderId="141" xfId="864" applyFont="1" applyBorder="1"/>
    <xf numFmtId="0" fontId="82" fillId="0" borderId="76" xfId="864" applyFont="1" applyBorder="1"/>
    <xf numFmtId="0" fontId="82" fillId="0" borderId="0" xfId="864" applyFont="1" applyBorder="1"/>
    <xf numFmtId="0" fontId="82" fillId="0" borderId="84" xfId="864" applyFont="1" applyBorder="1"/>
    <xf numFmtId="0" fontId="89" fillId="0" borderId="138" xfId="864" applyFont="1" applyBorder="1" applyAlignment="1">
      <alignment horizontal="center"/>
    </xf>
    <xf numFmtId="0" fontId="49" fillId="0" borderId="0" xfId="0" applyFont="1" applyAlignment="1">
      <alignment horizontal="center"/>
    </xf>
    <xf numFmtId="165" fontId="49" fillId="0" borderId="0" xfId="46" applyFont="1" applyAlignment="1">
      <alignment horizontal="center"/>
    </xf>
    <xf numFmtId="164" fontId="49" fillId="0" borderId="0" xfId="0" applyNumberFormat="1" applyFont="1" applyAlignment="1">
      <alignment horizontal="center"/>
    </xf>
    <xf numFmtId="0" fontId="27" fillId="0" borderId="0" xfId="864" applyFont="1" applyBorder="1" applyAlignment="1">
      <alignment horizontal="right"/>
    </xf>
    <xf numFmtId="0" fontId="135" fillId="0" borderId="0" xfId="866" applyFont="1" applyBorder="1"/>
    <xf numFmtId="2" fontId="67" fillId="0" borderId="0" xfId="864" applyNumberFormat="1" applyFont="1" applyBorder="1" applyAlignment="1">
      <alignment horizontal="center" vertical="center"/>
    </xf>
    <xf numFmtId="0" fontId="94" fillId="0" borderId="0" xfId="864" applyFont="1" applyFill="1" applyBorder="1" applyAlignment="1">
      <alignment horizontal="left"/>
    </xf>
    <xf numFmtId="0" fontId="27" fillId="0" borderId="0" xfId="864" applyFont="1" applyFill="1" applyBorder="1" applyAlignment="1">
      <alignment horizontal="left"/>
    </xf>
    <xf numFmtId="0" fontId="66" fillId="0" borderId="0" xfId="864" applyFont="1" applyFill="1" applyBorder="1" applyAlignment="1"/>
    <xf numFmtId="0" fontId="66" fillId="0" borderId="125" xfId="864" applyFont="1" applyFill="1" applyBorder="1" applyAlignment="1"/>
    <xf numFmtId="0" fontId="94" fillId="0" borderId="0" xfId="864" applyFont="1" applyFill="1" applyBorder="1" applyAlignment="1">
      <alignment vertical="center" wrapText="1"/>
    </xf>
    <xf numFmtId="0" fontId="94" fillId="0" borderId="125" xfId="864" applyFont="1" applyFill="1" applyBorder="1" applyAlignment="1">
      <alignment vertical="center" wrapText="1"/>
    </xf>
    <xf numFmtId="175" fontId="49" fillId="0" borderId="27" xfId="141" applyNumberFormat="1" applyFont="1" applyFill="1" applyBorder="1" applyAlignment="1" applyProtection="1">
      <alignment horizontal="right" vertical="center"/>
    </xf>
    <xf numFmtId="164" fontId="45" fillId="24" borderId="0" xfId="56" applyNumberFormat="1" applyFont="1" applyFill="1" applyAlignment="1">
      <alignment vertical="center"/>
    </xf>
    <xf numFmtId="164" fontId="45" fillId="24" borderId="0" xfId="47" applyFont="1" applyFill="1" applyBorder="1" applyAlignment="1">
      <alignment horizontal="center" vertical="center"/>
    </xf>
    <xf numFmtId="0" fontId="40" fillId="24" borderId="0" xfId="56" applyFont="1" applyFill="1" applyBorder="1" applyAlignment="1">
      <alignment horizontal="center" vertical="center"/>
    </xf>
    <xf numFmtId="0" fontId="43" fillId="24" borderId="0" xfId="56" applyFont="1" applyFill="1" applyBorder="1" applyAlignment="1">
      <alignment horizontal="center" vertical="center"/>
    </xf>
    <xf numFmtId="0" fontId="43" fillId="34" borderId="138" xfId="56" applyFont="1" applyFill="1" applyBorder="1" applyAlignment="1">
      <alignment horizontal="center" vertical="center"/>
    </xf>
    <xf numFmtId="0" fontId="43" fillId="34" borderId="138" xfId="56" applyFont="1" applyFill="1" applyBorder="1" applyAlignment="1">
      <alignment horizontal="center" vertical="center" wrapText="1"/>
    </xf>
    <xf numFmtId="0" fontId="42" fillId="0" borderId="0" xfId="633" applyFont="1" applyFill="1" applyBorder="1" applyAlignment="1">
      <alignment horizontal="center" vertical="center"/>
    </xf>
    <xf numFmtId="49" fontId="48" fillId="0" borderId="19" xfId="52" applyNumberFormat="1" applyFont="1" applyFill="1" applyBorder="1" applyAlignment="1" applyProtection="1">
      <alignment horizontal="center" vertical="center"/>
    </xf>
    <xf numFmtId="0" fontId="48" fillId="0" borderId="140" xfId="52" applyNumberFormat="1" applyFont="1" applyFill="1" applyBorder="1" applyAlignment="1" applyProtection="1">
      <alignment vertical="center" wrapText="1"/>
    </xf>
    <xf numFmtId="0" fontId="63" fillId="0" borderId="140" xfId="52" applyFont="1" applyBorder="1" applyAlignment="1">
      <alignment horizontal="center" vertical="center"/>
    </xf>
    <xf numFmtId="43" fontId="63" fillId="0" borderId="140" xfId="52" applyNumberFormat="1" applyFont="1" applyBorder="1" applyAlignment="1">
      <alignment horizontal="right" vertical="center"/>
    </xf>
    <xf numFmtId="43" fontId="63" fillId="24" borderId="140" xfId="56" applyNumberFormat="1" applyFont="1" applyFill="1" applyBorder="1" applyAlignment="1">
      <alignment horizontal="right" vertical="center"/>
    </xf>
    <xf numFmtId="43" fontId="63" fillId="24" borderId="140" xfId="56" applyNumberFormat="1" applyFont="1" applyFill="1" applyBorder="1" applyAlignment="1">
      <alignment horizontal="right" vertical="center" wrapText="1"/>
    </xf>
    <xf numFmtId="43" fontId="63" fillId="24" borderId="137" xfId="56" applyNumberFormat="1" applyFont="1" applyFill="1" applyBorder="1" applyAlignment="1">
      <alignment horizontal="right" vertical="center" wrapText="1"/>
    </xf>
    <xf numFmtId="2" fontId="48" fillId="24" borderId="0" xfId="59" applyNumberFormat="1" applyFont="1" applyFill="1" applyBorder="1" applyAlignment="1">
      <alignment horizontal="right" vertical="center"/>
    </xf>
    <xf numFmtId="0" fontId="136" fillId="0" borderId="0" xfId="0" applyFont="1"/>
    <xf numFmtId="0" fontId="63" fillId="24" borderId="0" xfId="56" applyFont="1" applyFill="1" applyAlignment="1">
      <alignment vertical="center"/>
    </xf>
    <xf numFmtId="49" fontId="63" fillId="0" borderId="58" xfId="140" applyNumberFormat="1" applyFont="1" applyFill="1" applyBorder="1" applyAlignment="1" applyProtection="1">
      <alignment horizontal="center" vertical="center" wrapText="1"/>
      <protection locked="0"/>
    </xf>
    <xf numFmtId="0" fontId="63" fillId="0" borderId="44" xfId="52" applyFont="1" applyFill="1" applyBorder="1" applyAlignment="1">
      <alignment vertical="center" wrapText="1"/>
    </xf>
    <xf numFmtId="0" fontId="63" fillId="0" borderId="55" xfId="52" applyFont="1" applyFill="1" applyBorder="1" applyAlignment="1">
      <alignment horizontal="center" vertical="center" wrapText="1"/>
    </xf>
    <xf numFmtId="43" fontId="63" fillId="0" borderId="53" xfId="47" applyNumberFormat="1" applyFont="1" applyFill="1" applyBorder="1" applyAlignment="1">
      <alignment horizontal="right" vertical="center"/>
    </xf>
    <xf numFmtId="43" fontId="63" fillId="0" borderId="58" xfId="47" applyNumberFormat="1" applyFont="1" applyFill="1" applyBorder="1" applyAlignment="1" applyProtection="1">
      <alignment horizontal="right" vertical="center" wrapText="1"/>
      <protection locked="0"/>
    </xf>
    <xf numFmtId="43" fontId="63" fillId="0" borderId="53" xfId="47" applyNumberFormat="1" applyFont="1" applyFill="1" applyBorder="1" applyAlignment="1">
      <alignment horizontal="center" vertical="center"/>
    </xf>
    <xf numFmtId="43" fontId="63" fillId="0" borderId="29" xfId="47" applyNumberFormat="1" applyFont="1" applyFill="1" applyBorder="1" applyAlignment="1" applyProtection="1">
      <alignment horizontal="right" vertical="center" wrapText="1"/>
      <protection locked="0"/>
    </xf>
    <xf numFmtId="43" fontId="63" fillId="0" borderId="23" xfId="47" applyNumberFormat="1" applyFont="1" applyFill="1" applyBorder="1" applyAlignment="1" applyProtection="1">
      <alignment horizontal="right" vertical="center" wrapText="1"/>
      <protection locked="0"/>
    </xf>
    <xf numFmtId="43" fontId="63" fillId="35" borderId="59" xfId="47" applyNumberFormat="1" applyFont="1" applyFill="1" applyBorder="1" applyAlignment="1">
      <alignment horizontal="right" vertical="center"/>
    </xf>
    <xf numFmtId="43" fontId="63" fillId="35" borderId="29" xfId="47" applyNumberFormat="1" applyFont="1" applyFill="1" applyBorder="1" applyAlignment="1">
      <alignment horizontal="right" vertical="center"/>
    </xf>
    <xf numFmtId="43" fontId="63" fillId="0" borderId="61" xfId="47" applyNumberFormat="1" applyFont="1" applyFill="1" applyBorder="1" applyAlignment="1">
      <alignment horizontal="right" vertical="center"/>
    </xf>
    <xf numFmtId="10" fontId="63" fillId="0" borderId="58" xfId="59" applyNumberFormat="1" applyFont="1" applyFill="1" applyBorder="1" applyAlignment="1">
      <alignment horizontal="right" vertical="center"/>
    </xf>
    <xf numFmtId="10" fontId="63" fillId="0" borderId="23" xfId="59" applyNumberFormat="1" applyFont="1" applyFill="1" applyBorder="1" applyAlignment="1">
      <alignment horizontal="right" vertical="center"/>
    </xf>
    <xf numFmtId="10" fontId="63" fillId="0" borderId="45" xfId="59" applyNumberFormat="1" applyFont="1" applyFill="1" applyBorder="1" applyAlignment="1">
      <alignment horizontal="right" vertical="center"/>
    </xf>
    <xf numFmtId="10" fontId="48" fillId="24" borderId="0" xfId="59" applyNumberFormat="1" applyFont="1" applyFill="1" applyBorder="1" applyAlignment="1">
      <alignment horizontal="right" vertical="center"/>
    </xf>
    <xf numFmtId="165" fontId="136" fillId="0" borderId="0" xfId="0" applyNumberFormat="1" applyFont="1"/>
    <xf numFmtId="165" fontId="63" fillId="24" borderId="0" xfId="56" applyNumberFormat="1" applyFont="1" applyFill="1" applyAlignment="1">
      <alignment vertical="center"/>
    </xf>
    <xf numFmtId="10" fontId="63" fillId="0" borderId="53" xfId="59" applyNumberFormat="1" applyFont="1" applyFill="1" applyBorder="1" applyAlignment="1">
      <alignment horizontal="right" vertical="center"/>
    </xf>
    <xf numFmtId="10" fontId="63" fillId="0" borderId="72" xfId="59" applyNumberFormat="1" applyFont="1" applyFill="1" applyBorder="1" applyAlignment="1">
      <alignment horizontal="right" vertical="center"/>
    </xf>
    <xf numFmtId="43" fontId="63" fillId="24" borderId="0" xfId="56" applyNumberFormat="1" applyFont="1" applyFill="1" applyAlignment="1">
      <alignment vertical="center"/>
    </xf>
    <xf numFmtId="165" fontId="63" fillId="24" borderId="0" xfId="46" applyFont="1" applyFill="1" applyAlignment="1">
      <alignment vertical="center"/>
    </xf>
    <xf numFmtId="0" fontId="63" fillId="0" borderId="69" xfId="52" applyFont="1" applyFill="1" applyBorder="1" applyAlignment="1">
      <alignment horizontal="center" vertical="center" wrapText="1"/>
    </xf>
    <xf numFmtId="43" fontId="63" fillId="0" borderId="50" xfId="47" applyNumberFormat="1" applyFont="1" applyFill="1" applyBorder="1" applyAlignment="1" applyProtection="1">
      <alignment horizontal="right" vertical="center" wrapText="1"/>
      <protection locked="0"/>
    </xf>
    <xf numFmtId="43" fontId="63" fillId="0" borderId="31" xfId="47" applyNumberFormat="1" applyFont="1" applyFill="1" applyBorder="1" applyAlignment="1" applyProtection="1">
      <alignment horizontal="right" vertical="center" wrapText="1"/>
      <protection locked="0"/>
    </xf>
    <xf numFmtId="43" fontId="63" fillId="35" borderId="31" xfId="47" applyNumberFormat="1" applyFont="1" applyFill="1" applyBorder="1" applyAlignment="1">
      <alignment horizontal="right" vertical="center"/>
    </xf>
    <xf numFmtId="10" fontId="63" fillId="0" borderId="146" xfId="59" applyNumberFormat="1" applyFont="1" applyFill="1" applyBorder="1" applyAlignment="1">
      <alignment horizontal="right" vertical="center"/>
    </xf>
    <xf numFmtId="10" fontId="63" fillId="0" borderId="14" xfId="59" applyNumberFormat="1" applyFont="1" applyFill="1" applyBorder="1" applyAlignment="1">
      <alignment horizontal="right" vertical="center"/>
    </xf>
    <xf numFmtId="0" fontId="63" fillId="0" borderId="138" xfId="52" applyFont="1" applyFill="1" applyBorder="1" applyAlignment="1">
      <alignment horizontal="center" vertical="center" wrapText="1"/>
    </xf>
    <xf numFmtId="43" fontId="63" fillId="0" borderId="27" xfId="47" applyNumberFormat="1" applyFont="1" applyFill="1" applyBorder="1" applyAlignment="1" applyProtection="1">
      <alignment horizontal="right" vertical="center" wrapText="1"/>
      <protection locked="0"/>
    </xf>
    <xf numFmtId="0" fontId="63" fillId="24" borderId="0" xfId="56" applyFont="1" applyFill="1" applyAlignment="1">
      <alignment horizontal="center" vertical="center"/>
    </xf>
    <xf numFmtId="43" fontId="63" fillId="24" borderId="53" xfId="47" applyNumberFormat="1" applyFont="1" applyFill="1" applyBorder="1" applyAlignment="1">
      <alignment horizontal="right" vertical="center"/>
    </xf>
    <xf numFmtId="43" fontId="63" fillId="24" borderId="61" xfId="47" applyNumberFormat="1" applyFont="1" applyFill="1" applyBorder="1" applyAlignment="1">
      <alignment horizontal="right" vertical="center"/>
    </xf>
    <xf numFmtId="10" fontId="63" fillId="24" borderId="146" xfId="59" applyNumberFormat="1" applyFont="1" applyFill="1" applyBorder="1" applyAlignment="1">
      <alignment horizontal="right" vertical="center"/>
    </xf>
    <xf numFmtId="10" fontId="63" fillId="24" borderId="14" xfId="59" applyNumberFormat="1" applyFont="1" applyFill="1" applyBorder="1" applyAlignment="1">
      <alignment horizontal="right" vertical="center"/>
    </xf>
    <xf numFmtId="0" fontId="63" fillId="0" borderId="54" xfId="52" applyFont="1" applyFill="1" applyBorder="1" applyAlignment="1">
      <alignment horizontal="center" vertical="center" wrapText="1"/>
    </xf>
    <xf numFmtId="43" fontId="63" fillId="0" borderId="33" xfId="47" applyNumberFormat="1" applyFont="1" applyFill="1" applyBorder="1" applyAlignment="1" applyProtection="1">
      <alignment horizontal="right" vertical="center" wrapText="1"/>
      <protection locked="0"/>
    </xf>
    <xf numFmtId="43" fontId="63" fillId="0" borderId="25" xfId="47" applyNumberFormat="1" applyFont="1" applyFill="1" applyBorder="1" applyAlignment="1" applyProtection="1">
      <alignment horizontal="right" vertical="center" wrapText="1"/>
      <protection locked="0"/>
    </xf>
    <xf numFmtId="43" fontId="63" fillId="0" borderId="26" xfId="47" applyNumberFormat="1" applyFont="1" applyFill="1" applyBorder="1" applyAlignment="1" applyProtection="1">
      <alignment horizontal="right" vertical="center" wrapText="1"/>
      <protection locked="0"/>
    </xf>
    <xf numFmtId="43" fontId="63" fillId="0" borderId="57" xfId="47" applyNumberFormat="1" applyFont="1" applyFill="1" applyBorder="1" applyAlignment="1" applyProtection="1">
      <alignment horizontal="right" vertical="center" wrapText="1"/>
      <protection locked="0"/>
    </xf>
    <xf numFmtId="43" fontId="63" fillId="0" borderId="25" xfId="47" applyNumberFormat="1" applyFont="1" applyFill="1" applyBorder="1" applyAlignment="1" applyProtection="1">
      <alignment horizontal="center" vertical="center" wrapText="1"/>
      <protection locked="0"/>
    </xf>
    <xf numFmtId="43" fontId="63" fillId="35" borderId="26" xfId="47" applyNumberFormat="1" applyFont="1" applyFill="1" applyBorder="1" applyAlignment="1">
      <alignment horizontal="right" vertical="center"/>
    </xf>
    <xf numFmtId="10" fontId="63" fillId="24" borderId="53" xfId="59" applyNumberFormat="1" applyFont="1" applyFill="1" applyBorder="1" applyAlignment="1">
      <alignment horizontal="right" vertical="center"/>
    </xf>
    <xf numFmtId="10" fontId="63" fillId="24" borderId="72" xfId="59" applyNumberFormat="1" applyFont="1" applyFill="1" applyBorder="1" applyAlignment="1">
      <alignment horizontal="right" vertical="center"/>
    </xf>
    <xf numFmtId="43" fontId="63" fillId="0" borderId="27" xfId="47" applyNumberFormat="1" applyFont="1" applyFill="1" applyBorder="1" applyAlignment="1" applyProtection="1">
      <alignment horizontal="center" vertical="center" wrapText="1"/>
      <protection locked="0"/>
    </xf>
    <xf numFmtId="167" fontId="137" fillId="29" borderId="19" xfId="52" applyNumberFormat="1" applyFont="1" applyFill="1" applyBorder="1" applyAlignment="1" applyProtection="1">
      <alignment horizontal="center" vertical="center" wrapText="1"/>
      <protection locked="0"/>
    </xf>
    <xf numFmtId="0" fontId="138" fillId="29" borderId="140" xfId="52" applyFont="1" applyFill="1" applyBorder="1" applyAlignment="1">
      <alignment vertical="center"/>
    </xf>
    <xf numFmtId="0" fontId="139" fillId="29" borderId="140" xfId="52" applyFont="1" applyFill="1" applyBorder="1" applyAlignment="1">
      <alignment horizontal="center" vertical="center" wrapText="1"/>
    </xf>
    <xf numFmtId="43" fontId="139" fillId="29" borderId="140" xfId="47" applyNumberFormat="1" applyFont="1" applyFill="1" applyBorder="1" applyAlignment="1">
      <alignment horizontal="right" vertical="center" wrapText="1"/>
    </xf>
    <xf numFmtId="10" fontId="87" fillId="29" borderId="41" xfId="59" applyNumberFormat="1" applyFont="1" applyFill="1" applyBorder="1" applyAlignment="1">
      <alignment horizontal="right" vertical="center"/>
    </xf>
    <xf numFmtId="10" fontId="87" fillId="29" borderId="42" xfId="59" applyNumberFormat="1" applyFont="1" applyFill="1" applyBorder="1" applyAlignment="1">
      <alignment horizontal="right" vertical="center"/>
    </xf>
    <xf numFmtId="10" fontId="87" fillId="29" borderId="43" xfId="59" applyNumberFormat="1" applyFont="1" applyFill="1" applyBorder="1" applyAlignment="1">
      <alignment horizontal="right" vertical="center"/>
    </xf>
    <xf numFmtId="0" fontId="48" fillId="24" borderId="0" xfId="56" applyFont="1" applyFill="1" applyAlignment="1">
      <alignment vertical="center"/>
    </xf>
    <xf numFmtId="0" fontId="49" fillId="0" borderId="0" xfId="0" applyFont="1" applyAlignment="1">
      <alignment vertical="center"/>
    </xf>
    <xf numFmtId="0" fontId="140" fillId="0" borderId="0" xfId="0" applyFont="1" applyFill="1" applyAlignment="1">
      <alignment horizontal="center"/>
    </xf>
    <xf numFmtId="0" fontId="140" fillId="27" borderId="0" xfId="0" applyFont="1" applyFill="1" applyAlignment="1">
      <alignment horizontal="center"/>
    </xf>
    <xf numFmtId="0" fontId="140" fillId="0" borderId="0" xfId="0" applyFont="1" applyAlignment="1">
      <alignment horizontal="center"/>
    </xf>
    <xf numFmtId="0" fontId="140" fillId="0" borderId="0" xfId="0" applyFont="1"/>
    <xf numFmtId="10" fontId="43" fillId="24" borderId="0" xfId="59" applyNumberFormat="1" applyFont="1" applyFill="1" applyBorder="1" applyAlignment="1">
      <alignment horizontal="right" vertical="center"/>
    </xf>
    <xf numFmtId="165" fontId="141" fillId="0" borderId="0" xfId="0" applyNumberFormat="1" applyFont="1"/>
    <xf numFmtId="0" fontId="40" fillId="24" borderId="0" xfId="56" applyFont="1" applyFill="1" applyAlignment="1">
      <alignment vertical="center"/>
    </xf>
    <xf numFmtId="165" fontId="40" fillId="24" borderId="0" xfId="56" applyNumberFormat="1" applyFont="1" applyFill="1" applyAlignment="1">
      <alignment vertical="center"/>
    </xf>
    <xf numFmtId="43" fontId="40" fillId="24" borderId="0" xfId="56" applyNumberFormat="1" applyFont="1" applyFill="1" applyAlignment="1">
      <alignment vertical="center"/>
    </xf>
    <xf numFmtId="165" fontId="40" fillId="24" borderId="0" xfId="46" applyFont="1" applyFill="1" applyAlignment="1">
      <alignment vertical="center"/>
    </xf>
    <xf numFmtId="10" fontId="40" fillId="0" borderId="146" xfId="59" applyNumberFormat="1" applyFont="1" applyFill="1" applyBorder="1" applyAlignment="1">
      <alignment horizontal="right" vertical="center"/>
    </xf>
    <xf numFmtId="10" fontId="40" fillId="0" borderId="14" xfId="59" applyNumberFormat="1" applyFont="1" applyFill="1" applyBorder="1" applyAlignment="1">
      <alignment horizontal="right" vertical="center"/>
    </xf>
    <xf numFmtId="0" fontId="40" fillId="0" borderId="138" xfId="52" applyFont="1" applyFill="1" applyBorder="1" applyAlignment="1">
      <alignment horizontal="center" vertical="center" wrapText="1"/>
    </xf>
    <xf numFmtId="43" fontId="40" fillId="0" borderId="25" xfId="47" applyNumberFormat="1" applyFont="1" applyFill="1" applyBorder="1" applyAlignment="1" applyProtection="1">
      <alignment horizontal="center" vertical="center" wrapText="1"/>
      <protection locked="0"/>
    </xf>
    <xf numFmtId="0" fontId="43" fillId="24" borderId="0" xfId="56" applyFont="1" applyFill="1" applyAlignment="1">
      <alignment vertical="center"/>
    </xf>
    <xf numFmtId="10" fontId="89" fillId="29" borderId="41" xfId="59" applyNumberFormat="1" applyFont="1" applyFill="1" applyBorder="1" applyAlignment="1">
      <alignment horizontal="right" vertical="center"/>
    </xf>
    <xf numFmtId="10" fontId="89" fillId="29" borderId="42" xfId="59" applyNumberFormat="1" applyFont="1" applyFill="1" applyBorder="1" applyAlignment="1">
      <alignment horizontal="right" vertical="center"/>
    </xf>
    <xf numFmtId="10" fontId="89" fillId="29" borderId="43" xfId="59" applyNumberFormat="1" applyFont="1" applyFill="1" applyBorder="1" applyAlignment="1">
      <alignment horizontal="right" vertical="center"/>
    </xf>
    <xf numFmtId="189" fontId="27" fillId="0" borderId="0" xfId="864" applyNumberFormat="1" applyFont="1"/>
    <xf numFmtId="0" fontId="42" fillId="0" borderId="20" xfId="633" applyFont="1" applyBorder="1" applyAlignment="1"/>
    <xf numFmtId="0" fontId="42" fillId="0" borderId="20" xfId="633" applyFont="1" applyBorder="1" applyAlignment="1">
      <alignment horizontal="center" vertical="center"/>
    </xf>
    <xf numFmtId="0" fontId="42" fillId="0" borderId="24" xfId="633" applyFont="1" applyBorder="1" applyAlignment="1"/>
    <xf numFmtId="0" fontId="42" fillId="0" borderId="24" xfId="633" applyFont="1" applyBorder="1" applyAlignment="1">
      <alignment horizontal="center" vertical="center"/>
    </xf>
    <xf numFmtId="0" fontId="68" fillId="0" borderId="24" xfId="633" applyFont="1" applyBorder="1" applyAlignment="1">
      <alignment vertical="center"/>
    </xf>
    <xf numFmtId="0" fontId="133" fillId="0" borderId="22" xfId="633" applyFont="1" applyBorder="1" applyAlignment="1">
      <alignment horizontal="center" vertical="center"/>
    </xf>
    <xf numFmtId="0" fontId="46" fillId="0" borderId="22" xfId="633" applyFont="1" applyBorder="1" applyAlignment="1">
      <alignment horizontal="center" vertical="center" wrapText="1"/>
    </xf>
    <xf numFmtId="0" fontId="42" fillId="0" borderId="10" xfId="0" applyFont="1" applyBorder="1" applyAlignment="1">
      <alignment horizontal="right"/>
    </xf>
    <xf numFmtId="0" fontId="42" fillId="0" borderId="81" xfId="633" applyFont="1" applyBorder="1" applyAlignment="1">
      <alignment vertical="center"/>
    </xf>
    <xf numFmtId="0" fontId="42" fillId="0" borderId="138" xfId="633" applyFont="1" applyBorder="1" applyAlignment="1">
      <alignment horizontal="center" vertical="center"/>
    </xf>
    <xf numFmtId="0" fontId="91" fillId="0" borderId="55" xfId="857" applyFont="1" applyBorder="1" applyAlignment="1">
      <alignment horizontal="center" vertical="center" wrapText="1"/>
    </xf>
    <xf numFmtId="176" fontId="91" fillId="0" borderId="152" xfId="633" applyNumberFormat="1" applyFont="1" applyBorder="1" applyAlignment="1">
      <alignment horizontal="center" vertical="center" wrapText="1"/>
    </xf>
    <xf numFmtId="176" fontId="91" fillId="0" borderId="55" xfId="633" applyNumberFormat="1" applyFont="1" applyBorder="1" applyAlignment="1">
      <alignment horizontal="center" vertical="center" wrapText="1"/>
    </xf>
    <xf numFmtId="176" fontId="91" fillId="0" borderId="55" xfId="633" applyNumberFormat="1" applyFont="1" applyBorder="1" applyAlignment="1">
      <alignment horizontal="center" vertical="center"/>
    </xf>
    <xf numFmtId="0" fontId="91" fillId="0" borderId="55" xfId="141" applyFont="1" applyBorder="1" applyAlignment="1">
      <alignment horizontal="center" vertical="center" wrapText="1"/>
    </xf>
    <xf numFmtId="176" fontId="131" fillId="0" borderId="55" xfId="633" applyNumberFormat="1" applyFont="1" applyBorder="1" applyAlignment="1">
      <alignment horizontal="center" vertical="center"/>
    </xf>
    <xf numFmtId="0" fontId="131" fillId="0" borderId="55" xfId="141" applyFont="1" applyBorder="1" applyAlignment="1">
      <alignment horizontal="center" vertical="center" wrapText="1"/>
    </xf>
    <xf numFmtId="176" fontId="68" fillId="0" borderId="55" xfId="633" applyNumberFormat="1" applyFont="1" applyBorder="1" applyAlignment="1">
      <alignment horizontal="center" vertical="center"/>
    </xf>
    <xf numFmtId="0" fontId="68" fillId="0" borderId="55" xfId="141" applyFont="1" applyBorder="1" applyAlignment="1">
      <alignment horizontal="center" vertical="center" wrapText="1"/>
    </xf>
    <xf numFmtId="176" fontId="68" fillId="0" borderId="55" xfId="633" applyNumberFormat="1" applyFont="1" applyFill="1" applyBorder="1" applyAlignment="1">
      <alignment horizontal="center" vertical="center"/>
    </xf>
    <xf numFmtId="0" fontId="68" fillId="0" borderId="56" xfId="141" applyFont="1" applyBorder="1" applyAlignment="1">
      <alignment horizontal="center" vertical="center" wrapText="1"/>
    </xf>
    <xf numFmtId="176" fontId="68" fillId="0" borderId="56" xfId="633" applyNumberFormat="1" applyFont="1" applyBorder="1" applyAlignment="1">
      <alignment horizontal="center" vertical="center"/>
    </xf>
    <xf numFmtId="0" fontId="68" fillId="0" borderId="19" xfId="141" applyFont="1" applyBorder="1" applyAlignment="1">
      <alignment horizontal="center" vertical="center" wrapText="1"/>
    </xf>
    <xf numFmtId="176" fontId="68" fillId="0" borderId="137" xfId="633" applyNumberFormat="1" applyFont="1" applyBorder="1" applyAlignment="1">
      <alignment vertical="center"/>
    </xf>
    <xf numFmtId="0" fontId="42" fillId="0" borderId="10" xfId="633" applyFont="1" applyFill="1" applyBorder="1" applyAlignment="1">
      <alignment horizontal="center" vertical="center"/>
    </xf>
    <xf numFmtId="0" fontId="42" fillId="0" borderId="81" xfId="633" applyFont="1" applyFill="1" applyBorder="1" applyAlignment="1">
      <alignment vertical="center"/>
    </xf>
    <xf numFmtId="0" fontId="42" fillId="0" borderId="13" xfId="633" applyFont="1" applyFill="1" applyBorder="1" applyAlignment="1">
      <alignment horizontal="left" vertical="center"/>
    </xf>
    <xf numFmtId="0" fontId="42" fillId="0" borderId="14" xfId="633" applyFont="1" applyFill="1" applyBorder="1" applyAlignment="1">
      <alignment vertical="center"/>
    </xf>
    <xf numFmtId="0" fontId="42" fillId="0" borderId="13" xfId="633" applyFont="1" applyFill="1" applyBorder="1" applyAlignment="1">
      <alignment horizontal="center" vertical="center"/>
    </xf>
    <xf numFmtId="0" fontId="42" fillId="0" borderId="14" xfId="633" applyFont="1" applyFill="1" applyBorder="1" applyAlignment="1">
      <alignment horizontal="left" vertical="center" wrapText="1"/>
    </xf>
    <xf numFmtId="0" fontId="68" fillId="0" borderId="16" xfId="633" applyFont="1" applyBorder="1" applyAlignment="1">
      <alignment vertical="center"/>
    </xf>
    <xf numFmtId="0" fontId="68" fillId="0" borderId="69" xfId="0" applyFont="1" applyFill="1" applyBorder="1" applyAlignment="1">
      <alignment horizontal="left" vertical="center" wrapText="1" indent="1"/>
    </xf>
    <xf numFmtId="0" fontId="94" fillId="0" borderId="0" xfId="864" applyFont="1" applyFill="1" applyBorder="1" applyAlignment="1">
      <alignment horizontal="left" vertical="center"/>
    </xf>
    <xf numFmtId="0" fontId="94" fillId="0" borderId="0" xfId="864" applyFont="1" applyFill="1" applyBorder="1" applyAlignment="1">
      <alignment vertical="center"/>
    </xf>
    <xf numFmtId="0" fontId="27" fillId="0" borderId="0" xfId="864" applyFill="1" applyBorder="1" applyAlignment="1">
      <alignment vertical="center"/>
    </xf>
    <xf numFmtId="0" fontId="66" fillId="0" borderId="0" xfId="864" applyFont="1" applyFill="1" applyBorder="1" applyAlignment="1">
      <alignment vertical="center"/>
    </xf>
    <xf numFmtId="0" fontId="66" fillId="0" borderId="125" xfId="864" applyFont="1" applyFill="1" applyBorder="1" applyAlignment="1">
      <alignment vertical="center"/>
    </xf>
    <xf numFmtId="0" fontId="27" fillId="0" borderId="0" xfId="864" applyFont="1" applyFill="1" applyBorder="1" applyAlignment="1">
      <alignment horizontal="left" vertical="center"/>
    </xf>
    <xf numFmtId="0" fontId="94" fillId="0" borderId="125" xfId="864" applyFont="1" applyFill="1" applyBorder="1" applyAlignment="1">
      <alignment horizontal="left" vertical="center"/>
    </xf>
    <xf numFmtId="166" fontId="3" fillId="0" borderId="0" xfId="631" applyNumberFormat="1" applyFont="1"/>
    <xf numFmtId="0" fontId="40" fillId="0" borderId="10" xfId="0" applyFont="1" applyFill="1" applyBorder="1" applyAlignment="1">
      <alignment vertical="center"/>
    </xf>
    <xf numFmtId="0" fontId="40" fillId="0" borderId="80" xfId="0" applyFont="1" applyFill="1" applyBorder="1" applyAlignment="1">
      <alignment vertical="center"/>
    </xf>
    <xf numFmtId="0" fontId="43" fillId="0" borderId="80" xfId="0" applyFont="1" applyFill="1" applyBorder="1" applyAlignment="1">
      <alignment horizontal="center" vertical="center"/>
    </xf>
    <xf numFmtId="0" fontId="43" fillId="0" borderId="81" xfId="0" applyFont="1" applyFill="1" applyBorder="1" applyAlignment="1">
      <alignment horizontal="center" vertical="center"/>
    </xf>
    <xf numFmtId="4" fontId="43" fillId="0" borderId="13" xfId="0" applyNumberFormat="1" applyFont="1" applyFill="1" applyBorder="1" applyAlignment="1">
      <alignment horizontal="center"/>
    </xf>
    <xf numFmtId="197" fontId="43" fillId="0" borderId="0" xfId="0" applyNumberFormat="1" applyFont="1" applyFill="1" applyBorder="1" applyAlignment="1">
      <alignment horizontal="center"/>
    </xf>
    <xf numFmtId="0" fontId="43" fillId="0" borderId="0" xfId="0" applyFont="1" applyFill="1" applyBorder="1" applyAlignment="1">
      <alignment horizontal="center"/>
    </xf>
    <xf numFmtId="198" fontId="40" fillId="0" borderId="0" xfId="0" applyNumberFormat="1" applyFont="1" applyFill="1" applyBorder="1" applyAlignment="1">
      <alignment horizontal="center" vertical="center"/>
    </xf>
    <xf numFmtId="198" fontId="40" fillId="0" borderId="14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200" fontId="40" fillId="0" borderId="13" xfId="0" applyNumberFormat="1" applyFont="1" applyFill="1" applyBorder="1" applyAlignment="1">
      <alignment horizontal="center"/>
    </xf>
    <xf numFmtId="200" fontId="40" fillId="0" borderId="0" xfId="0" applyNumberFormat="1" applyFont="1" applyFill="1" applyBorder="1" applyAlignment="1">
      <alignment horizontal="center"/>
    </xf>
    <xf numFmtId="166" fontId="40" fillId="0" borderId="13" xfId="0" applyNumberFormat="1" applyFont="1" applyFill="1" applyBorder="1" applyAlignment="1">
      <alignment horizontal="center"/>
    </xf>
    <xf numFmtId="201" fontId="43" fillId="0" borderId="0" xfId="0" applyNumberFormat="1" applyFont="1" applyFill="1" applyBorder="1" applyAlignment="1">
      <alignment horizontal="center"/>
    </xf>
    <xf numFmtId="166" fontId="43" fillId="0" borderId="13" xfId="0" applyNumberFormat="1" applyFont="1" applyFill="1" applyBorder="1" applyAlignment="1">
      <alignment horizontal="center" vertical="center"/>
    </xf>
    <xf numFmtId="202" fontId="40" fillId="0" borderId="0" xfId="59" applyNumberFormat="1" applyFont="1" applyFill="1" applyBorder="1" applyAlignment="1">
      <alignment vertical="center"/>
    </xf>
    <xf numFmtId="166" fontId="43" fillId="0" borderId="15" xfId="0" applyNumberFormat="1" applyFont="1" applyFill="1" applyBorder="1" applyAlignment="1">
      <alignment horizontal="center" vertical="center"/>
    </xf>
    <xf numFmtId="203" fontId="40" fillId="0" borderId="16" xfId="59" applyNumberFormat="1" applyFont="1" applyFill="1" applyBorder="1" applyAlignment="1">
      <alignment vertical="center"/>
    </xf>
    <xf numFmtId="0" fontId="43" fillId="0" borderId="16" xfId="0" applyFont="1" applyFill="1" applyBorder="1" applyAlignment="1">
      <alignment horizontal="center"/>
    </xf>
    <xf numFmtId="0" fontId="43" fillId="0" borderId="16" xfId="0" applyFont="1" applyFill="1" applyBorder="1" applyAlignment="1">
      <alignment horizontal="center" vertical="center"/>
    </xf>
    <xf numFmtId="0" fontId="43" fillId="0" borderId="17" xfId="0" applyFont="1" applyFill="1" applyBorder="1" applyAlignment="1">
      <alignment horizontal="center" vertical="center"/>
    </xf>
    <xf numFmtId="4" fontId="43" fillId="0" borderId="10" xfId="0" applyNumberFormat="1" applyFont="1" applyFill="1" applyBorder="1" applyAlignment="1">
      <alignment horizontal="center"/>
    </xf>
    <xf numFmtId="197" fontId="43" fillId="0" borderId="80" xfId="0" applyNumberFormat="1" applyFont="1" applyFill="1" applyBorder="1" applyAlignment="1">
      <alignment horizontal="center"/>
    </xf>
    <xf numFmtId="0" fontId="40" fillId="0" borderId="80" xfId="0" applyFont="1" applyFill="1" applyBorder="1" applyAlignment="1">
      <alignment horizontal="center" vertical="center"/>
    </xf>
    <xf numFmtId="198" fontId="40" fillId="0" borderId="80" xfId="0" applyNumberFormat="1" applyFont="1" applyFill="1" applyBorder="1" applyAlignment="1">
      <alignment horizontal="center" vertical="center"/>
    </xf>
    <xf numFmtId="198" fontId="40" fillId="0" borderId="81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vertical="center"/>
    </xf>
    <xf numFmtId="0" fontId="40" fillId="0" borderId="16" xfId="0" applyFont="1" applyFill="1" applyBorder="1" applyAlignment="1">
      <alignment vertical="center"/>
    </xf>
    <xf numFmtId="198" fontId="43" fillId="0" borderId="16" xfId="0" applyNumberFormat="1" applyFont="1" applyFill="1" applyBorder="1" applyAlignment="1">
      <alignment horizontal="center" vertical="center"/>
    </xf>
    <xf numFmtId="198" fontId="43" fillId="0" borderId="17" xfId="0" applyNumberFormat="1" applyFont="1" applyFill="1" applyBorder="1" applyAlignment="1">
      <alignment horizontal="center" vertical="center"/>
    </xf>
    <xf numFmtId="10" fontId="40" fillId="0" borderId="0" xfId="59" applyNumberFormat="1" applyFont="1" applyFill="1" applyAlignment="1">
      <alignment vertical="center"/>
    </xf>
    <xf numFmtId="10" fontId="40" fillId="0" borderId="0" xfId="863" applyNumberFormat="1" applyFont="1" applyFill="1" applyAlignment="1">
      <alignment vertical="center"/>
    </xf>
    <xf numFmtId="165" fontId="44" fillId="0" borderId="0" xfId="46" applyFont="1" applyAlignment="1">
      <alignment vertical="center"/>
    </xf>
    <xf numFmtId="165" fontId="44" fillId="0" borderId="0" xfId="46" applyFont="1" applyAlignment="1">
      <alignment horizontal="center" vertical="center"/>
    </xf>
    <xf numFmtId="10" fontId="44" fillId="0" borderId="0" xfId="141" applyNumberFormat="1" applyFont="1" applyAlignment="1">
      <alignment vertical="center"/>
    </xf>
    <xf numFmtId="0" fontId="49" fillId="0" borderId="0" xfId="141" applyFont="1" applyAlignment="1">
      <alignment horizontal="center" vertical="center"/>
    </xf>
    <xf numFmtId="10" fontId="49" fillId="0" borderId="0" xfId="141" applyNumberFormat="1" applyFont="1" applyAlignment="1">
      <alignment vertical="center"/>
    </xf>
    <xf numFmtId="43" fontId="49" fillId="0" borderId="33" xfId="0" applyNumberFormat="1" applyFont="1" applyBorder="1" applyAlignment="1">
      <alignment vertical="center"/>
    </xf>
    <xf numFmtId="43" fontId="49" fillId="0" borderId="25" xfId="0" applyNumberFormat="1" applyFont="1" applyBorder="1" applyAlignment="1">
      <alignment vertical="center"/>
    </xf>
    <xf numFmtId="43" fontId="49" fillId="0" borderId="46" xfId="0" applyNumberFormat="1" applyFont="1" applyBorder="1" applyAlignment="1">
      <alignment vertical="center"/>
    </xf>
    <xf numFmtId="0" fontId="49" fillId="0" borderId="54" xfId="0" applyFont="1" applyBorder="1" applyAlignment="1">
      <alignment vertical="center"/>
    </xf>
    <xf numFmtId="0" fontId="49" fillId="0" borderId="55" xfId="0" applyFont="1" applyBorder="1" applyAlignment="1">
      <alignment vertical="center"/>
    </xf>
    <xf numFmtId="173" fontId="49" fillId="0" borderId="62" xfId="0" applyNumberFormat="1" applyFont="1" applyBorder="1" applyAlignment="1">
      <alignment horizontal="center" vertical="center"/>
    </xf>
    <xf numFmtId="173" fontId="49" fillId="0" borderId="64" xfId="0" applyNumberFormat="1" applyFont="1" applyBorder="1" applyAlignment="1">
      <alignment horizontal="center" vertical="center"/>
    </xf>
    <xf numFmtId="43" fontId="49" fillId="0" borderId="52" xfId="0" applyNumberFormat="1" applyFont="1" applyBorder="1" applyAlignment="1">
      <alignment vertical="center"/>
    </xf>
    <xf numFmtId="43" fontId="49" fillId="0" borderId="63" xfId="0" applyNumberFormat="1" applyFont="1" applyBorder="1" applyAlignment="1">
      <alignment vertical="center"/>
    </xf>
    <xf numFmtId="43" fontId="49" fillId="0" borderId="66" xfId="0" applyNumberFormat="1" applyFont="1" applyBorder="1" applyAlignment="1">
      <alignment vertical="center"/>
    </xf>
    <xf numFmtId="0" fontId="49" fillId="0" borderId="56" xfId="0" applyFont="1" applyBorder="1" applyAlignment="1">
      <alignment vertical="center"/>
    </xf>
    <xf numFmtId="0" fontId="43" fillId="34" borderId="138" xfId="56" applyFont="1" applyFill="1" applyBorder="1" applyAlignment="1">
      <alignment horizontal="center" vertical="center" wrapText="1"/>
    </xf>
    <xf numFmtId="0" fontId="43" fillId="0" borderId="20" xfId="52" applyFont="1" applyFill="1" applyBorder="1" applyAlignment="1">
      <alignment horizontal="center" vertical="center" wrapText="1"/>
    </xf>
    <xf numFmtId="0" fontId="43" fillId="0" borderId="138" xfId="52" applyFont="1" applyFill="1" applyBorder="1" applyAlignment="1">
      <alignment horizontal="center" vertical="center" wrapText="1"/>
    </xf>
    <xf numFmtId="0" fontId="43" fillId="0" borderId="138" xfId="56" applyFont="1" applyFill="1" applyBorder="1" applyAlignment="1">
      <alignment horizontal="center" vertical="center"/>
    </xf>
    <xf numFmtId="0" fontId="43" fillId="0" borderId="138" xfId="56" applyFont="1" applyFill="1" applyBorder="1" applyAlignment="1">
      <alignment horizontal="center" vertical="center" wrapText="1"/>
    </xf>
    <xf numFmtId="0" fontId="63" fillId="0" borderId="140" xfId="52" applyFont="1" applyFill="1" applyBorder="1" applyAlignment="1">
      <alignment horizontal="center" vertical="center"/>
    </xf>
    <xf numFmtId="43" fontId="63" fillId="0" borderId="140" xfId="52" applyNumberFormat="1" applyFont="1" applyFill="1" applyBorder="1" applyAlignment="1">
      <alignment horizontal="right" vertical="center"/>
    </xf>
    <xf numFmtId="43" fontId="63" fillId="0" borderId="140" xfId="56" applyNumberFormat="1" applyFont="1" applyFill="1" applyBorder="1" applyAlignment="1">
      <alignment horizontal="right" vertical="center"/>
    </xf>
    <xf numFmtId="43" fontId="63" fillId="0" borderId="140" xfId="56" applyNumberFormat="1" applyFont="1" applyFill="1" applyBorder="1" applyAlignment="1">
      <alignment horizontal="right" vertical="center" wrapText="1"/>
    </xf>
    <xf numFmtId="43" fontId="40" fillId="0" borderId="57" xfId="47" applyNumberFormat="1" applyFont="1" applyFill="1" applyBorder="1" applyAlignment="1">
      <alignment horizontal="right" vertical="center"/>
    </xf>
    <xf numFmtId="43" fontId="40" fillId="0" borderId="26" xfId="47" applyNumberFormat="1" applyFont="1" applyFill="1" applyBorder="1" applyAlignment="1">
      <alignment horizontal="right" vertical="center"/>
    </xf>
    <xf numFmtId="43" fontId="40" fillId="0" borderId="59" xfId="47" applyNumberFormat="1" applyFont="1" applyFill="1" applyBorder="1" applyAlignment="1">
      <alignment horizontal="right" vertical="center"/>
    </xf>
    <xf numFmtId="0" fontId="124" fillId="0" borderId="140" xfId="52" applyFont="1" applyFill="1" applyBorder="1" applyAlignment="1">
      <alignment horizontal="right" vertical="center" wrapText="1"/>
    </xf>
    <xf numFmtId="0" fontId="43" fillId="0" borderId="19" xfId="52" applyFont="1" applyFill="1" applyBorder="1" applyAlignment="1">
      <alignment horizontal="center" vertical="center" wrapText="1"/>
    </xf>
    <xf numFmtId="0" fontId="43" fillId="0" borderId="140" xfId="52" applyFont="1" applyFill="1" applyBorder="1" applyAlignment="1">
      <alignment horizontal="center" vertical="center" wrapText="1"/>
    </xf>
    <xf numFmtId="43" fontId="43" fillId="0" borderId="140" xfId="47" applyNumberFormat="1" applyFont="1" applyFill="1" applyBorder="1" applyAlignment="1" applyProtection="1">
      <alignment horizontal="right" vertical="center" wrapText="1"/>
      <protection locked="0"/>
    </xf>
    <xf numFmtId="43" fontId="43" fillId="0" borderId="137" xfId="47" applyNumberFormat="1" applyFont="1" applyFill="1" applyBorder="1" applyAlignment="1">
      <alignment horizontal="right" vertical="center" wrapText="1"/>
    </xf>
    <xf numFmtId="43" fontId="43" fillId="0" borderId="140" xfId="47" applyNumberFormat="1" applyFont="1" applyFill="1" applyBorder="1" applyAlignment="1">
      <alignment horizontal="right" vertical="center" wrapText="1"/>
    </xf>
    <xf numFmtId="43" fontId="43" fillId="0" borderId="140" xfId="47" applyNumberFormat="1" applyFont="1" applyFill="1" applyBorder="1" applyAlignment="1">
      <alignment horizontal="right" vertical="center"/>
    </xf>
    <xf numFmtId="43" fontId="43" fillId="0" borderId="19" xfId="47" applyNumberFormat="1" applyFont="1" applyFill="1" applyBorder="1" applyAlignment="1">
      <alignment horizontal="right" vertical="center"/>
    </xf>
    <xf numFmtId="43" fontId="40" fillId="0" borderId="140" xfId="47" applyNumberFormat="1" applyFont="1" applyFill="1" applyBorder="1" applyAlignment="1">
      <alignment horizontal="right" vertical="center"/>
    </xf>
    <xf numFmtId="0" fontId="40" fillId="0" borderId="25" xfId="56" applyFont="1" applyFill="1" applyBorder="1" applyAlignment="1">
      <alignment horizontal="center" vertical="center"/>
    </xf>
    <xf numFmtId="0" fontId="40" fillId="0" borderId="27" xfId="56" applyFont="1" applyFill="1" applyBorder="1" applyAlignment="1">
      <alignment horizontal="center" vertical="center"/>
    </xf>
    <xf numFmtId="0" fontId="40" fillId="0" borderId="30" xfId="56" applyFont="1" applyFill="1" applyBorder="1" applyAlignment="1">
      <alignment horizontal="center" vertical="center"/>
    </xf>
    <xf numFmtId="43" fontId="40" fillId="0" borderId="50" xfId="47" applyNumberFormat="1" applyFont="1" applyFill="1" applyBorder="1" applyAlignment="1">
      <alignment horizontal="right" vertical="center"/>
    </xf>
    <xf numFmtId="0" fontId="40" fillId="0" borderId="60" xfId="56" applyFont="1" applyFill="1" applyBorder="1" applyAlignment="1">
      <alignment horizontal="center" vertical="center"/>
    </xf>
    <xf numFmtId="43" fontId="40" fillId="0" borderId="58" xfId="47" applyNumberFormat="1" applyFont="1" applyFill="1" applyBorder="1" applyAlignment="1">
      <alignment horizontal="right" vertical="center"/>
    </xf>
    <xf numFmtId="0" fontId="40" fillId="0" borderId="63" xfId="56" applyFont="1" applyFill="1" applyBorder="1" applyAlignment="1">
      <alignment horizontal="center" vertical="center"/>
    </xf>
    <xf numFmtId="43" fontId="40" fillId="0" borderId="62" xfId="47" applyNumberFormat="1" applyFont="1" applyFill="1" applyBorder="1" applyAlignment="1">
      <alignment horizontal="right" vertical="center"/>
    </xf>
    <xf numFmtId="0" fontId="40" fillId="0" borderId="0" xfId="56" applyFont="1" applyFill="1" applyBorder="1" applyAlignment="1">
      <alignment vertical="center"/>
    </xf>
    <xf numFmtId="0" fontId="40" fillId="0" borderId="0" xfId="56" applyFont="1" applyFill="1" applyAlignment="1">
      <alignment horizontal="center" vertical="center"/>
    </xf>
    <xf numFmtId="43" fontId="38" fillId="0" borderId="80" xfId="47" applyNumberFormat="1" applyFont="1" applyFill="1" applyBorder="1" applyAlignment="1" applyProtection="1">
      <alignment horizontal="right" vertical="center"/>
      <protection locked="0"/>
    </xf>
    <xf numFmtId="43" fontId="38" fillId="0" borderId="19" xfId="47" applyNumberFormat="1" applyFont="1" applyFill="1" applyBorder="1" applyAlignment="1" applyProtection="1">
      <alignment horizontal="right" vertical="center"/>
      <protection locked="0"/>
    </xf>
    <xf numFmtId="43" fontId="38" fillId="0" borderId="137" xfId="47" applyNumberFormat="1" applyFont="1" applyFill="1" applyBorder="1" applyAlignment="1" applyProtection="1">
      <alignment horizontal="right" vertical="center"/>
      <protection locked="0"/>
    </xf>
    <xf numFmtId="43" fontId="38" fillId="0" borderId="140" xfId="47" applyNumberFormat="1" applyFont="1" applyFill="1" applyBorder="1" applyAlignment="1" applyProtection="1">
      <alignment horizontal="right" vertical="center"/>
      <protection locked="0"/>
    </xf>
    <xf numFmtId="167" fontId="105" fillId="0" borderId="19" xfId="52" applyNumberFormat="1" applyFont="1" applyFill="1" applyBorder="1" applyAlignment="1" applyProtection="1">
      <alignment horizontal="center" vertical="center" wrapText="1"/>
      <protection locked="0"/>
    </xf>
    <xf numFmtId="0" fontId="106" fillId="0" borderId="140" xfId="52" applyFont="1" applyFill="1" applyBorder="1" applyAlignment="1">
      <alignment vertical="center"/>
    </xf>
    <xf numFmtId="0" fontId="142" fillId="0" borderId="140" xfId="52" applyFont="1" applyFill="1" applyBorder="1" applyAlignment="1">
      <alignment horizontal="center" vertical="center" wrapText="1"/>
    </xf>
    <xf numFmtId="43" fontId="142" fillId="0" borderId="140" xfId="47" applyNumberFormat="1" applyFont="1" applyFill="1" applyBorder="1" applyAlignment="1">
      <alignment horizontal="right" vertical="center" wrapText="1"/>
    </xf>
    <xf numFmtId="0" fontId="59" fillId="0" borderId="80" xfId="140" applyFont="1" applyFill="1" applyBorder="1" applyAlignment="1">
      <alignment vertical="center" wrapText="1"/>
    </xf>
    <xf numFmtId="0" fontId="59" fillId="0" borderId="81" xfId="140" applyFont="1" applyFill="1" applyBorder="1" applyAlignment="1">
      <alignment vertical="center" wrapText="1"/>
    </xf>
    <xf numFmtId="0" fontId="59" fillId="0" borderId="0" xfId="140" applyFont="1" applyFill="1" applyBorder="1" applyAlignment="1">
      <alignment vertical="center" wrapText="1"/>
    </xf>
    <xf numFmtId="0" fontId="59" fillId="0" borderId="14" xfId="140" applyFont="1" applyFill="1" applyBorder="1" applyAlignment="1">
      <alignment vertical="center" wrapText="1"/>
    </xf>
    <xf numFmtId="0" fontId="59" fillId="0" borderId="16" xfId="140" applyFont="1" applyFill="1" applyBorder="1" applyAlignment="1">
      <alignment vertical="center" wrapText="1"/>
    </xf>
    <xf numFmtId="0" fontId="59" fillId="0" borderId="17" xfId="140" applyFont="1" applyFill="1" applyBorder="1" applyAlignment="1">
      <alignment vertical="center" wrapText="1"/>
    </xf>
    <xf numFmtId="0" fontId="145" fillId="0" borderId="138" xfId="52" applyFont="1" applyFill="1" applyBorder="1" applyAlignment="1">
      <alignment horizontal="center" vertical="center" wrapText="1"/>
    </xf>
    <xf numFmtId="0" fontId="145" fillId="0" borderId="138" xfId="56" applyFont="1" applyFill="1" applyBorder="1" applyAlignment="1">
      <alignment horizontal="center" vertical="center" wrapText="1"/>
    </xf>
    <xf numFmtId="1" fontId="145" fillId="0" borderId="138" xfId="52" applyNumberFormat="1" applyFont="1" applyFill="1" applyBorder="1" applyAlignment="1">
      <alignment horizontal="center" vertical="center" textRotation="90"/>
    </xf>
    <xf numFmtId="0" fontId="145" fillId="0" borderId="138" xfId="52" applyFont="1" applyFill="1" applyBorder="1" applyAlignment="1">
      <alignment horizontal="center" vertical="center"/>
    </xf>
    <xf numFmtId="49" fontId="145" fillId="0" borderId="138" xfId="52" applyNumberFormat="1" applyFont="1" applyFill="1" applyBorder="1" applyAlignment="1" applyProtection="1">
      <alignment horizontal="center" vertical="center" wrapText="1"/>
      <protection locked="0"/>
    </xf>
    <xf numFmtId="0" fontId="145" fillId="0" borderId="138" xfId="52" applyNumberFormat="1" applyFont="1" applyFill="1" applyBorder="1" applyAlignment="1" applyProtection="1">
      <alignment vertical="center" wrapText="1"/>
    </xf>
    <xf numFmtId="43" fontId="145" fillId="0" borderId="138" xfId="0" applyNumberFormat="1" applyFont="1" applyFill="1" applyBorder="1" applyAlignment="1" applyProtection="1">
      <alignment vertical="center" wrapText="1"/>
    </xf>
    <xf numFmtId="43" fontId="146" fillId="0" borderId="138" xfId="47" applyNumberFormat="1" applyFont="1" applyFill="1" applyBorder="1" applyAlignment="1">
      <alignment horizontal="center" vertical="center" wrapText="1"/>
    </xf>
    <xf numFmtId="43" fontId="145" fillId="0" borderId="138" xfId="47" applyNumberFormat="1" applyFont="1" applyFill="1" applyBorder="1" applyAlignment="1">
      <alignment horizontal="center" vertical="center" wrapText="1"/>
    </xf>
    <xf numFmtId="0" fontId="49" fillId="0" borderId="107" xfId="859" applyFont="1" applyBorder="1" applyAlignment="1">
      <alignment horizontal="center" vertical="center"/>
    </xf>
    <xf numFmtId="0" fontId="49" fillId="0" borderId="108" xfId="859" applyFont="1" applyBorder="1" applyAlignment="1">
      <alignment horizontal="center" vertical="center"/>
    </xf>
    <xf numFmtId="0" fontId="94" fillId="0" borderId="0" xfId="864" applyFont="1" applyFill="1" applyBorder="1" applyAlignment="1">
      <alignment horizontal="left" vertical="center" wrapText="1"/>
    </xf>
    <xf numFmtId="0" fontId="94" fillId="0" borderId="125" xfId="864" applyFont="1" applyFill="1" applyBorder="1" applyAlignment="1">
      <alignment horizontal="left" vertical="center" wrapText="1"/>
    </xf>
    <xf numFmtId="0" fontId="27" fillId="0" borderId="0" xfId="864" applyBorder="1" applyAlignment="1">
      <alignment horizontal="left"/>
    </xf>
    <xf numFmtId="0" fontId="83" fillId="0" borderId="124" xfId="864" applyFont="1" applyBorder="1" applyAlignment="1">
      <alignment horizontal="center"/>
    </xf>
    <xf numFmtId="0" fontId="83" fillId="0" borderId="0" xfId="864" applyFont="1" applyBorder="1" applyAlignment="1">
      <alignment horizontal="center"/>
    </xf>
    <xf numFmtId="0" fontId="83" fillId="0" borderId="125" xfId="864" applyFont="1" applyBorder="1" applyAlignment="1">
      <alignment horizontal="center"/>
    </xf>
    <xf numFmtId="0" fontId="94" fillId="0" borderId="124" xfId="864" applyFont="1" applyBorder="1" applyAlignment="1">
      <alignment horizontal="center" vertical="center"/>
    </xf>
    <xf numFmtId="0" fontId="94" fillId="0" borderId="0" xfId="864" applyFont="1" applyBorder="1" applyAlignment="1">
      <alignment horizontal="center" vertical="center"/>
    </xf>
    <xf numFmtId="0" fontId="94" fillId="0" borderId="125" xfId="864" applyFont="1" applyBorder="1" applyAlignment="1">
      <alignment horizontal="center" vertical="center"/>
    </xf>
    <xf numFmtId="0" fontId="27" fillId="0" borderId="127" xfId="864" applyFont="1" applyBorder="1" applyAlignment="1">
      <alignment horizontal="left"/>
    </xf>
    <xf numFmtId="0" fontId="27" fillId="0" borderId="128" xfId="864" applyFont="1" applyBorder="1" applyAlignment="1">
      <alignment horizontal="left"/>
    </xf>
    <xf numFmtId="0" fontId="96" fillId="0" borderId="0" xfId="863" applyFont="1" applyBorder="1" applyAlignment="1">
      <alignment horizontal="center" vertical="center"/>
    </xf>
    <xf numFmtId="0" fontId="88" fillId="0" borderId="76" xfId="863" applyFont="1" applyBorder="1" applyAlignment="1">
      <alignment horizontal="center"/>
    </xf>
    <xf numFmtId="0" fontId="88" fillId="0" borderId="0" xfId="863" applyFont="1" applyBorder="1" applyAlignment="1">
      <alignment horizontal="center"/>
    </xf>
    <xf numFmtId="0" fontId="88" fillId="0" borderId="84" xfId="863" applyFont="1" applyBorder="1" applyAlignment="1">
      <alignment horizontal="center"/>
    </xf>
    <xf numFmtId="0" fontId="27" fillId="0" borderId="76" xfId="863" applyBorder="1" applyAlignment="1">
      <alignment horizontal="center"/>
    </xf>
    <xf numFmtId="0" fontId="27" fillId="0" borderId="0" xfId="863" applyBorder="1" applyAlignment="1">
      <alignment horizontal="center"/>
    </xf>
    <xf numFmtId="0" fontId="93" fillId="0" borderId="76" xfId="863" applyFont="1" applyBorder="1" applyAlignment="1">
      <alignment horizontal="center"/>
    </xf>
    <xf numFmtId="0" fontId="93" fillId="0" borderId="0" xfId="863" applyFont="1" applyBorder="1" applyAlignment="1">
      <alignment horizontal="center"/>
    </xf>
    <xf numFmtId="0" fontId="93" fillId="0" borderId="84" xfId="863" applyFont="1" applyBorder="1" applyAlignment="1">
      <alignment horizontal="center"/>
    </xf>
    <xf numFmtId="0" fontId="92" fillId="0" borderId="76" xfId="863" applyFont="1" applyBorder="1" applyAlignment="1">
      <alignment horizontal="center"/>
    </xf>
    <xf numFmtId="0" fontId="92" fillId="0" borderId="0" xfId="863" applyFont="1" applyBorder="1" applyAlignment="1">
      <alignment horizontal="center"/>
    </xf>
    <xf numFmtId="0" fontId="92" fillId="0" borderId="84" xfId="863" applyFont="1" applyBorder="1" applyAlignment="1">
      <alignment horizontal="center"/>
    </xf>
    <xf numFmtId="0" fontId="82" fillId="0" borderId="0" xfId="863" applyFont="1" applyBorder="1" applyAlignment="1">
      <alignment horizontal="left" vertical="center" wrapText="1"/>
    </xf>
    <xf numFmtId="0" fontId="82" fillId="0" borderId="84" xfId="863" applyFont="1" applyBorder="1" applyAlignment="1">
      <alignment horizontal="left" vertical="center" wrapText="1"/>
    </xf>
    <xf numFmtId="0" fontId="123" fillId="0" borderId="76" xfId="863" applyFont="1" applyBorder="1" applyAlignment="1">
      <alignment horizontal="center" vertical="center" wrapText="1"/>
    </xf>
    <xf numFmtId="0" fontId="123" fillId="0" borderId="0" xfId="863" applyFont="1" applyBorder="1" applyAlignment="1">
      <alignment horizontal="center" vertical="center" wrapText="1"/>
    </xf>
    <xf numFmtId="0" fontId="123" fillId="0" borderId="84" xfId="863" applyFont="1" applyBorder="1" applyAlignment="1">
      <alignment horizontal="center" vertical="center" wrapText="1"/>
    </xf>
    <xf numFmtId="0" fontId="85" fillId="0" borderId="0" xfId="863" applyFont="1" applyFill="1" applyBorder="1" applyAlignment="1">
      <alignment horizontal="center" vertical="center"/>
    </xf>
    <xf numFmtId="0" fontId="91" fillId="0" borderId="76" xfId="863" applyFont="1" applyBorder="1" applyAlignment="1">
      <alignment horizontal="center" vertical="center"/>
    </xf>
    <xf numFmtId="0" fontId="91" fillId="0" borderId="0" xfId="863" applyFont="1" applyBorder="1" applyAlignment="1">
      <alignment horizontal="center" vertical="center"/>
    </xf>
    <xf numFmtId="0" fontId="91" fillId="0" borderId="84" xfId="863" applyFont="1" applyBorder="1" applyAlignment="1">
      <alignment horizontal="center" vertical="center"/>
    </xf>
    <xf numFmtId="17" fontId="82" fillId="0" borderId="0" xfId="863" applyNumberFormat="1" applyFont="1" applyFill="1" applyBorder="1" applyAlignment="1">
      <alignment horizontal="left" vertical="center" wrapText="1"/>
    </xf>
    <xf numFmtId="0" fontId="121" fillId="0" borderId="76" xfId="863" applyNumberFormat="1" applyFont="1" applyFill="1" applyBorder="1" applyAlignment="1">
      <alignment horizontal="center" vertical="center"/>
    </xf>
    <xf numFmtId="0" fontId="121" fillId="0" borderId="0" xfId="863" applyNumberFormat="1" applyFont="1" applyFill="1" applyBorder="1" applyAlignment="1">
      <alignment horizontal="center" vertical="center"/>
    </xf>
    <xf numFmtId="0" fontId="121" fillId="0" borderId="84" xfId="863" applyNumberFormat="1" applyFont="1" applyFill="1" applyBorder="1" applyAlignment="1">
      <alignment horizontal="center" vertical="center"/>
    </xf>
    <xf numFmtId="0" fontId="103" fillId="0" borderId="0" xfId="863" applyFont="1" applyBorder="1" applyAlignment="1">
      <alignment horizontal="center" vertical="center"/>
    </xf>
    <xf numFmtId="0" fontId="104" fillId="0" borderId="0" xfId="863" applyFont="1" applyBorder="1" applyAlignment="1">
      <alignment horizontal="left" vertical="center" wrapText="1"/>
    </xf>
    <xf numFmtId="0" fontId="102" fillId="0" borderId="0" xfId="863" applyFont="1" applyBorder="1" applyAlignment="1">
      <alignment horizontal="center" vertical="center"/>
    </xf>
    <xf numFmtId="0" fontId="117" fillId="0" borderId="0" xfId="863" applyFont="1" applyBorder="1" applyAlignment="1">
      <alignment horizontal="center" vertical="center" wrapText="1"/>
    </xf>
    <xf numFmtId="0" fontId="101" fillId="0" borderId="0" xfId="863" applyFont="1" applyBorder="1" applyAlignment="1">
      <alignment horizontal="center" vertical="center"/>
    </xf>
    <xf numFmtId="0" fontId="116" fillId="0" borderId="0" xfId="863" applyFont="1" applyBorder="1" applyAlignment="1">
      <alignment horizontal="center" vertical="center" wrapText="1"/>
    </xf>
    <xf numFmtId="0" fontId="118" fillId="0" borderId="0" xfId="863" applyFont="1" applyBorder="1" applyAlignment="1">
      <alignment horizontal="left" vertical="center" wrapText="1"/>
    </xf>
    <xf numFmtId="0" fontId="49" fillId="0" borderId="99" xfId="864" applyFont="1" applyBorder="1" applyAlignment="1">
      <alignment horizontal="justify" vertical="center" wrapText="1"/>
    </xf>
    <xf numFmtId="0" fontId="49" fillId="0" borderId="144" xfId="864" applyFont="1" applyBorder="1" applyAlignment="1">
      <alignment horizontal="justify" vertical="center" wrapText="1"/>
    </xf>
    <xf numFmtId="0" fontId="27" fillId="0" borderId="140" xfId="864" applyFont="1" applyBorder="1" applyAlignment="1">
      <alignment horizontal="left" vertical="center"/>
    </xf>
    <xf numFmtId="0" fontId="27" fillId="0" borderId="137" xfId="864" applyFont="1" applyBorder="1" applyAlignment="1">
      <alignment horizontal="left" vertical="center"/>
    </xf>
    <xf numFmtId="0" fontId="83" fillId="0" borderId="74" xfId="864" applyFont="1" applyBorder="1" applyAlignment="1">
      <alignment horizontal="center"/>
    </xf>
    <xf numFmtId="0" fontId="83" fillId="0" borderId="75" xfId="864" applyFont="1" applyBorder="1" applyAlignment="1">
      <alignment horizontal="center"/>
    </xf>
    <xf numFmtId="0" fontId="83" fillId="0" borderId="83" xfId="864" applyFont="1" applyBorder="1" applyAlignment="1">
      <alignment horizontal="center"/>
    </xf>
    <xf numFmtId="0" fontId="27" fillId="0" borderId="76" xfId="864" applyFont="1" applyBorder="1" applyAlignment="1">
      <alignment horizontal="center"/>
    </xf>
    <xf numFmtId="0" fontId="27" fillId="0" borderId="0" xfId="864" applyFont="1" applyBorder="1" applyAlignment="1">
      <alignment horizontal="center"/>
    </xf>
    <xf numFmtId="0" fontId="27" fillId="0" borderId="84" xfId="864" applyFont="1" applyBorder="1" applyAlignment="1">
      <alignment horizontal="center"/>
    </xf>
    <xf numFmtId="0" fontId="67" fillId="0" borderId="76" xfId="864" applyFont="1" applyBorder="1" applyAlignment="1">
      <alignment horizontal="left" vertical="center" wrapText="1"/>
    </xf>
    <xf numFmtId="0" fontId="67" fillId="0" borderId="0" xfId="864" applyFont="1" applyBorder="1" applyAlignment="1">
      <alignment horizontal="left" vertical="center" wrapText="1"/>
    </xf>
    <xf numFmtId="0" fontId="49" fillId="0" borderId="0" xfId="864" applyFont="1" applyBorder="1" applyAlignment="1">
      <alignment vertical="center" wrapText="1"/>
    </xf>
    <xf numFmtId="0" fontId="49" fillId="0" borderId="84" xfId="864" applyFont="1" applyBorder="1" applyAlignment="1">
      <alignment vertical="center" wrapText="1"/>
    </xf>
    <xf numFmtId="49" fontId="27" fillId="0" borderId="0" xfId="864" applyNumberFormat="1" applyFont="1" applyBorder="1" applyAlignment="1">
      <alignment horizontal="left" vertical="center"/>
    </xf>
    <xf numFmtId="0" fontId="27" fillId="0" borderId="0" xfId="864" applyNumberFormat="1" applyFont="1" applyBorder="1" applyAlignment="1">
      <alignment horizontal="left" vertical="center"/>
    </xf>
    <xf numFmtId="0" fontId="27" fillId="0" borderId="84" xfId="864" applyNumberFormat="1" applyFont="1" applyBorder="1" applyAlignment="1">
      <alignment horizontal="left" vertical="center"/>
    </xf>
    <xf numFmtId="189" fontId="67" fillId="0" borderId="76" xfId="864" applyNumberFormat="1" applyFont="1" applyBorder="1" applyAlignment="1">
      <alignment horizontal="left" vertical="center"/>
    </xf>
    <xf numFmtId="189" fontId="67" fillId="0" borderId="0" xfId="864" applyNumberFormat="1" applyFont="1" applyBorder="1" applyAlignment="1">
      <alignment horizontal="left" vertical="center"/>
    </xf>
    <xf numFmtId="0" fontId="45" fillId="0" borderId="20" xfId="864" applyFont="1" applyBorder="1" applyAlignment="1">
      <alignment horizontal="center" vertical="center" wrapText="1"/>
    </xf>
    <xf numFmtId="0" fontId="45" fillId="0" borderId="24" xfId="864" applyFont="1" applyBorder="1" applyAlignment="1">
      <alignment horizontal="center" vertical="center" wrapText="1"/>
    </xf>
    <xf numFmtId="0" fontId="45" fillId="0" borderId="22" xfId="864" applyFont="1" applyBorder="1" applyAlignment="1">
      <alignment horizontal="center" vertical="center" wrapText="1"/>
    </xf>
    <xf numFmtId="0" fontId="82" fillId="0" borderId="20" xfId="864" applyFont="1" applyBorder="1" applyAlignment="1">
      <alignment horizontal="center" vertical="center"/>
    </xf>
    <xf numFmtId="0" fontId="82" fillId="0" borderId="24" xfId="864" applyFont="1" applyBorder="1" applyAlignment="1">
      <alignment horizontal="center" vertical="center"/>
    </xf>
    <xf numFmtId="0" fontId="82" fillId="0" borderId="22" xfId="864" applyFont="1" applyBorder="1" applyAlignment="1">
      <alignment horizontal="center" vertical="center"/>
    </xf>
    <xf numFmtId="0" fontId="89" fillId="0" borderId="89" xfId="864" applyFont="1" applyBorder="1" applyAlignment="1">
      <alignment horizontal="center"/>
    </xf>
    <xf numFmtId="0" fontId="82" fillId="0" borderId="131" xfId="864" applyFont="1" applyBorder="1" applyAlignment="1">
      <alignment horizontal="center" vertical="center"/>
    </xf>
    <xf numFmtId="0" fontId="82" fillId="0" borderId="77" xfId="864" applyFont="1" applyBorder="1" applyAlignment="1">
      <alignment horizontal="center" vertical="center"/>
    </xf>
    <xf numFmtId="0" fontId="82" fillId="0" borderId="82" xfId="864" applyFont="1" applyBorder="1" applyAlignment="1">
      <alignment horizontal="center" vertical="center"/>
    </xf>
    <xf numFmtId="0" fontId="38" fillId="0" borderId="10" xfId="864" applyFont="1" applyBorder="1" applyAlignment="1">
      <alignment horizontal="center" vertical="center" wrapText="1"/>
    </xf>
    <xf numFmtId="0" fontId="38" fillId="0" borderId="12" xfId="864" applyFont="1" applyBorder="1" applyAlignment="1">
      <alignment horizontal="center" vertical="center" wrapText="1"/>
    </xf>
    <xf numFmtId="0" fontId="38" fillId="0" borderId="13" xfId="864" applyFont="1" applyBorder="1" applyAlignment="1">
      <alignment horizontal="center" vertical="center" wrapText="1"/>
    </xf>
    <xf numFmtId="0" fontId="38" fillId="0" borderId="14" xfId="864" applyFont="1" applyBorder="1" applyAlignment="1">
      <alignment horizontal="center" vertical="center" wrapText="1"/>
    </xf>
    <xf numFmtId="0" fontId="38" fillId="0" borderId="15" xfId="864" applyFont="1" applyBorder="1" applyAlignment="1">
      <alignment horizontal="center" vertical="center" wrapText="1"/>
    </xf>
    <xf numFmtId="0" fontId="38" fillId="0" borderId="17" xfId="864" applyFont="1" applyBorder="1" applyAlignment="1">
      <alignment horizontal="center" vertical="center" wrapText="1"/>
    </xf>
    <xf numFmtId="0" fontId="89" fillId="0" borderId="153" xfId="864" applyFont="1" applyBorder="1" applyAlignment="1">
      <alignment horizontal="center" vertical="center"/>
    </xf>
    <xf numFmtId="0" fontId="89" fillId="0" borderId="119" xfId="864" applyFont="1" applyBorder="1" applyAlignment="1">
      <alignment horizontal="center" vertical="center"/>
    </xf>
    <xf numFmtId="0" fontId="89" fillId="0" borderId="15" xfId="864" applyFont="1" applyBorder="1" applyAlignment="1">
      <alignment horizontal="center" vertical="center"/>
    </xf>
    <xf numFmtId="0" fontId="89" fillId="0" borderId="17" xfId="864" applyFont="1" applyBorder="1" applyAlignment="1">
      <alignment horizontal="center" vertical="center"/>
    </xf>
    <xf numFmtId="0" fontId="89" fillId="0" borderId="88" xfId="864" applyFont="1" applyBorder="1" applyAlignment="1">
      <alignment horizontal="center" vertical="center"/>
    </xf>
    <xf numFmtId="0" fontId="89" fillId="0" borderId="100" xfId="864" applyFont="1" applyBorder="1" applyAlignment="1">
      <alignment horizontal="center" vertical="center"/>
    </xf>
    <xf numFmtId="0" fontId="89" fillId="0" borderId="89" xfId="864" applyFont="1" applyBorder="1" applyAlignment="1">
      <alignment horizontal="center" vertical="center"/>
    </xf>
    <xf numFmtId="0" fontId="89" fillId="0" borderId="138" xfId="864" applyFont="1" applyBorder="1" applyAlignment="1">
      <alignment horizontal="center" vertical="center"/>
    </xf>
    <xf numFmtId="0" fontId="38" fillId="0" borderId="155" xfId="864" applyFont="1" applyBorder="1" applyAlignment="1">
      <alignment horizontal="center" vertical="center" wrapText="1"/>
    </xf>
    <xf numFmtId="0" fontId="38" fillId="0" borderId="156" xfId="864" applyFont="1" applyBorder="1" applyAlignment="1">
      <alignment horizontal="center" vertical="center" wrapText="1"/>
    </xf>
    <xf numFmtId="0" fontId="89" fillId="0" borderId="90" xfId="864" applyFont="1" applyBorder="1" applyAlignment="1">
      <alignment horizontal="center" vertical="center"/>
    </xf>
    <xf numFmtId="0" fontId="89" fillId="0" borderId="101" xfId="864" applyFont="1" applyBorder="1" applyAlignment="1">
      <alignment horizontal="center" vertical="center"/>
    </xf>
    <xf numFmtId="0" fontId="82" fillId="0" borderId="133" xfId="864" applyFont="1" applyBorder="1" applyAlignment="1">
      <alignment horizontal="center" vertical="center"/>
    </xf>
    <xf numFmtId="0" fontId="45" fillId="0" borderId="134" xfId="864" applyFont="1" applyBorder="1" applyAlignment="1">
      <alignment horizontal="center" vertical="center" wrapText="1"/>
    </xf>
    <xf numFmtId="0" fontId="82" fillId="0" borderId="134" xfId="864" applyFont="1" applyBorder="1" applyAlignment="1">
      <alignment horizontal="center" vertical="center"/>
    </xf>
    <xf numFmtId="0" fontId="40" fillId="0" borderId="16" xfId="863" applyFont="1" applyFill="1" applyBorder="1" applyAlignment="1">
      <alignment horizontal="center" vertical="center"/>
    </xf>
    <xf numFmtId="0" fontId="43" fillId="0" borderId="35" xfId="863" applyFont="1" applyFill="1" applyBorder="1" applyAlignment="1">
      <alignment horizontal="center" vertical="center"/>
    </xf>
    <xf numFmtId="0" fontId="43" fillId="0" borderId="47" xfId="863" applyFont="1" applyFill="1" applyBorder="1" applyAlignment="1">
      <alignment horizontal="center" vertical="center"/>
    </xf>
    <xf numFmtId="0" fontId="43" fillId="0" borderId="39" xfId="863" applyFont="1" applyFill="1" applyBorder="1" applyAlignment="1">
      <alignment horizontal="center" vertical="center"/>
    </xf>
    <xf numFmtId="0" fontId="44" fillId="0" borderId="10" xfId="863" applyFont="1" applyFill="1" applyBorder="1" applyAlignment="1">
      <alignment horizontal="center" vertical="center" wrapText="1"/>
    </xf>
    <xf numFmtId="0" fontId="44" fillId="0" borderId="80" xfId="863" applyFont="1" applyFill="1" applyBorder="1" applyAlignment="1">
      <alignment horizontal="center" vertical="center" wrapText="1"/>
    </xf>
    <xf numFmtId="0" fontId="44" fillId="0" borderId="81" xfId="863" applyFont="1" applyFill="1" applyBorder="1" applyAlignment="1">
      <alignment horizontal="center" vertical="center" wrapText="1"/>
    </xf>
    <xf numFmtId="0" fontId="40" fillId="0" borderId="13" xfId="863" applyFont="1" applyFill="1" applyBorder="1" applyAlignment="1">
      <alignment horizontal="center" vertical="center"/>
    </xf>
    <xf numFmtId="0" fontId="40" fillId="0" borderId="0" xfId="863" applyFont="1" applyFill="1" applyBorder="1" applyAlignment="1">
      <alignment horizontal="center" vertical="center"/>
    </xf>
    <xf numFmtId="0" fontId="40" fillId="0" borderId="15" xfId="863" applyFont="1" applyFill="1" applyBorder="1" applyAlignment="1">
      <alignment horizontal="center" vertical="center"/>
    </xf>
    <xf numFmtId="0" fontId="46" fillId="0" borderId="13" xfId="863" applyFont="1" applyFill="1" applyBorder="1" applyAlignment="1">
      <alignment horizontal="center" vertical="center"/>
    </xf>
    <xf numFmtId="0" fontId="46" fillId="0" borderId="0" xfId="863" applyFont="1" applyFill="1" applyBorder="1" applyAlignment="1">
      <alignment horizontal="center" vertical="center"/>
    </xf>
    <xf numFmtId="0" fontId="45" fillId="0" borderId="13" xfId="863" applyFont="1" applyFill="1" applyBorder="1" applyAlignment="1">
      <alignment horizontal="center" vertical="center"/>
    </xf>
    <xf numFmtId="0" fontId="45" fillId="0" borderId="0" xfId="863" applyFont="1" applyFill="1" applyBorder="1" applyAlignment="1">
      <alignment horizontal="center" vertical="center"/>
    </xf>
    <xf numFmtId="172" fontId="44" fillId="0" borderId="10" xfId="863" applyNumberFormat="1" applyFont="1" applyFill="1" applyBorder="1" applyAlignment="1" applyProtection="1">
      <alignment horizontal="center" vertical="center"/>
    </xf>
    <xf numFmtId="172" fontId="44" fillId="0" borderId="80" xfId="863" applyNumberFormat="1" applyFont="1" applyFill="1" applyBorder="1" applyAlignment="1" applyProtection="1">
      <alignment horizontal="center" vertical="center"/>
    </xf>
    <xf numFmtId="172" fontId="44" fillId="0" borderId="81" xfId="863" applyNumberFormat="1" applyFont="1" applyFill="1" applyBorder="1" applyAlignment="1" applyProtection="1">
      <alignment horizontal="center" vertical="center"/>
    </xf>
    <xf numFmtId="178" fontId="39" fillId="29" borderId="10" xfId="863" applyNumberFormat="1" applyFont="1" applyFill="1" applyBorder="1" applyAlignment="1">
      <alignment horizontal="center" vertical="center"/>
    </xf>
    <xf numFmtId="178" fontId="39" fillId="29" borderId="80" xfId="863" applyNumberFormat="1" applyFont="1" applyFill="1" applyBorder="1" applyAlignment="1">
      <alignment horizontal="center" vertical="center"/>
    </xf>
    <xf numFmtId="178" fontId="39" fillId="29" borderId="81" xfId="863" applyNumberFormat="1" applyFont="1" applyFill="1" applyBorder="1" applyAlignment="1">
      <alignment horizontal="center" vertical="center"/>
    </xf>
    <xf numFmtId="178" fontId="39" fillId="29" borderId="15" xfId="863" applyNumberFormat="1" applyFont="1" applyFill="1" applyBorder="1" applyAlignment="1">
      <alignment horizontal="center" vertical="center"/>
    </xf>
    <xf numFmtId="178" fontId="39" fillId="29" borderId="16" xfId="863" applyNumberFormat="1" applyFont="1" applyFill="1" applyBorder="1" applyAlignment="1">
      <alignment horizontal="center" vertical="center"/>
    </xf>
    <xf numFmtId="178" fontId="39" fillId="29" borderId="17" xfId="863" applyNumberFormat="1" applyFont="1" applyFill="1" applyBorder="1" applyAlignment="1">
      <alignment horizontal="center" vertical="center"/>
    </xf>
    <xf numFmtId="192" fontId="40" fillId="0" borderId="30" xfId="863" applyNumberFormat="1" applyFont="1" applyFill="1" applyBorder="1" applyAlignment="1" applyProtection="1">
      <alignment horizontal="center" vertical="center"/>
    </xf>
    <xf numFmtId="192" fontId="40" fillId="0" borderId="31" xfId="863" applyNumberFormat="1" applyFont="1" applyFill="1" applyBorder="1" applyAlignment="1" applyProtection="1">
      <alignment horizontal="center" vertical="center"/>
    </xf>
    <xf numFmtId="0" fontId="40" fillId="0" borderId="39" xfId="863" applyFont="1" applyFill="1" applyBorder="1" applyAlignment="1">
      <alignment horizontal="left" vertical="center"/>
    </xf>
    <xf numFmtId="0" fontId="40" fillId="0" borderId="33" xfId="863" applyFont="1" applyFill="1" applyBorder="1" applyAlignment="1">
      <alignment horizontal="left" vertical="center"/>
    </xf>
    <xf numFmtId="0" fontId="40" fillId="0" borderId="34" xfId="863" applyFont="1" applyFill="1" applyBorder="1" applyAlignment="1">
      <alignment horizontal="left" vertical="center"/>
    </xf>
    <xf numFmtId="0" fontId="40" fillId="0" borderId="23" xfId="863" applyFont="1" applyFill="1" applyBorder="1" applyAlignment="1">
      <alignment horizontal="left" vertical="center"/>
    </xf>
    <xf numFmtId="0" fontId="40" fillId="0" borderId="38" xfId="863" applyFont="1" applyFill="1" applyBorder="1" applyAlignment="1">
      <alignment horizontal="left" vertical="center"/>
    </xf>
    <xf numFmtId="0" fontId="40" fillId="0" borderId="37" xfId="863" applyFont="1" applyFill="1" applyBorder="1" applyAlignment="1">
      <alignment horizontal="left" vertical="center"/>
    </xf>
    <xf numFmtId="0" fontId="40" fillId="0" borderId="79" xfId="863" applyFont="1" applyFill="1" applyBorder="1" applyAlignment="1">
      <alignment horizontal="left" vertical="center"/>
    </xf>
    <xf numFmtId="0" fontId="40" fillId="0" borderId="52" xfId="863" applyFont="1" applyFill="1" applyBorder="1" applyAlignment="1">
      <alignment horizontal="left" vertical="center"/>
    </xf>
    <xf numFmtId="0" fontId="44" fillId="29" borderId="140" xfId="863" applyFont="1" applyFill="1" applyBorder="1" applyAlignment="1">
      <alignment horizontal="right" vertical="center"/>
    </xf>
    <xf numFmtId="0" fontId="44" fillId="29" borderId="116" xfId="863" applyFont="1" applyFill="1" applyBorder="1" applyAlignment="1">
      <alignment horizontal="right" vertical="center"/>
    </xf>
    <xf numFmtId="165" fontId="44" fillId="29" borderId="49" xfId="46" applyFont="1" applyFill="1" applyBorder="1" applyAlignment="1">
      <alignment horizontal="center" vertical="center"/>
    </xf>
    <xf numFmtId="165" fontId="44" fillId="29" borderId="137" xfId="46" applyFont="1" applyFill="1" applyBorder="1" applyAlignment="1">
      <alignment horizontal="center" vertical="center"/>
    </xf>
    <xf numFmtId="0" fontId="43" fillId="0" borderId="16" xfId="863" applyFont="1" applyFill="1" applyBorder="1" applyAlignment="1">
      <alignment horizontal="right" vertical="center"/>
    </xf>
    <xf numFmtId="0" fontId="43" fillId="0" borderId="151" xfId="863" applyFont="1" applyFill="1" applyBorder="1" applyAlignment="1">
      <alignment horizontal="right" vertical="center"/>
    </xf>
    <xf numFmtId="165" fontId="44" fillId="0" borderId="154" xfId="46" applyFont="1" applyFill="1" applyBorder="1" applyAlignment="1">
      <alignment horizontal="right" vertical="center"/>
    </xf>
    <xf numFmtId="165" fontId="44" fillId="0" borderId="17" xfId="46" applyFont="1" applyFill="1" applyBorder="1" applyAlignment="1">
      <alignment horizontal="right" vertical="center"/>
    </xf>
    <xf numFmtId="193" fontId="76" fillId="0" borderId="44" xfId="863" applyNumberFormat="1" applyFont="1" applyFill="1" applyBorder="1" applyAlignment="1" applyProtection="1">
      <alignment horizontal="center" vertical="center"/>
    </xf>
    <xf numFmtId="193" fontId="76" fillId="0" borderId="45" xfId="863" applyNumberFormat="1" applyFont="1" applyFill="1" applyBorder="1" applyAlignment="1" applyProtection="1">
      <alignment horizontal="center" vertical="center"/>
    </xf>
    <xf numFmtId="192" fontId="40" fillId="0" borderId="27" xfId="863" applyNumberFormat="1" applyFont="1" applyFill="1" applyBorder="1" applyAlignment="1" applyProtection="1">
      <alignment horizontal="center" vertical="center"/>
    </xf>
    <xf numFmtId="192" fontId="40" fillId="0" borderId="29" xfId="863" applyNumberFormat="1" applyFont="1" applyFill="1" applyBorder="1" applyAlignment="1" applyProtection="1">
      <alignment horizontal="center" vertical="center"/>
    </xf>
    <xf numFmtId="0" fontId="40" fillId="0" borderId="58" xfId="863" applyFont="1" applyFill="1" applyBorder="1" applyAlignment="1">
      <alignment horizontal="left" vertical="center" indent="1"/>
    </xf>
    <xf numFmtId="0" fontId="40" fillId="0" borderId="27" xfId="863" applyFont="1" applyFill="1" applyBorder="1" applyAlignment="1">
      <alignment horizontal="left" vertical="center" indent="1"/>
    </xf>
    <xf numFmtId="0" fontId="40" fillId="0" borderId="44" xfId="863" applyFont="1" applyFill="1" applyBorder="1" applyAlignment="1">
      <alignment horizontal="left" vertical="center" indent="1"/>
    </xf>
    <xf numFmtId="199" fontId="143" fillId="0" borderId="13" xfId="0" applyNumberFormat="1" applyFont="1" applyFill="1" applyBorder="1" applyAlignment="1" applyProtection="1">
      <alignment horizontal="center"/>
    </xf>
    <xf numFmtId="199" fontId="143" fillId="0" borderId="0" xfId="0" applyNumberFormat="1" applyFont="1" applyFill="1" applyBorder="1" applyAlignment="1" applyProtection="1">
      <alignment horizontal="center"/>
    </xf>
    <xf numFmtId="199" fontId="76" fillId="0" borderId="13" xfId="0" applyNumberFormat="1" applyFont="1" applyFill="1" applyBorder="1" applyAlignment="1" applyProtection="1">
      <alignment horizontal="center"/>
    </xf>
    <xf numFmtId="199" fontId="76" fillId="0" borderId="0" xfId="0" applyNumberFormat="1" applyFont="1" applyFill="1" applyBorder="1" applyAlignment="1" applyProtection="1">
      <alignment horizontal="center"/>
    </xf>
    <xf numFmtId="0" fontId="127" fillId="0" borderId="10" xfId="140" applyFont="1" applyFill="1" applyBorder="1" applyAlignment="1" applyProtection="1">
      <alignment horizontal="center" vertical="center"/>
      <protection locked="0"/>
    </xf>
    <xf numFmtId="0" fontId="127" fillId="0" borderId="80" xfId="140" applyFont="1" applyFill="1" applyBorder="1" applyAlignment="1" applyProtection="1">
      <alignment horizontal="center" vertical="center"/>
      <protection locked="0"/>
    </xf>
    <xf numFmtId="0" fontId="127" fillId="0" borderId="81" xfId="140" applyFont="1" applyFill="1" applyBorder="1" applyAlignment="1" applyProtection="1">
      <alignment horizontal="center" vertical="center"/>
      <protection locked="0"/>
    </xf>
    <xf numFmtId="0" fontId="127" fillId="0" borderId="13" xfId="140" applyFont="1" applyFill="1" applyBorder="1" applyAlignment="1" applyProtection="1">
      <alignment horizontal="center" vertical="center"/>
      <protection locked="0"/>
    </xf>
    <xf numFmtId="0" fontId="127" fillId="0" borderId="0" xfId="140" applyFont="1" applyFill="1" applyBorder="1" applyAlignment="1" applyProtection="1">
      <alignment horizontal="center" vertical="center"/>
      <protection locked="0"/>
    </xf>
    <xf numFmtId="0" fontId="127" fillId="0" borderId="14" xfId="140" applyFont="1" applyFill="1" applyBorder="1" applyAlignment="1" applyProtection="1">
      <alignment horizontal="center" vertical="center"/>
      <protection locked="0"/>
    </xf>
    <xf numFmtId="0" fontId="41" fillId="24" borderId="13" xfId="863" applyFont="1" applyFill="1" applyBorder="1" applyAlignment="1">
      <alignment horizontal="center" vertical="center"/>
    </xf>
    <xf numFmtId="0" fontId="41" fillId="24" borderId="14" xfId="863" applyFont="1" applyFill="1" applyBorder="1" applyAlignment="1">
      <alignment horizontal="center" vertical="center"/>
    </xf>
    <xf numFmtId="0" fontId="128" fillId="0" borderId="13" xfId="863" applyFont="1" applyFill="1" applyBorder="1" applyAlignment="1">
      <alignment horizontal="center" vertical="center" wrapText="1"/>
    </xf>
    <xf numFmtId="0" fontId="128" fillId="0" borderId="0" xfId="863" applyFont="1" applyFill="1" applyBorder="1" applyAlignment="1">
      <alignment horizontal="center" vertical="center" wrapText="1"/>
    </xf>
    <xf numFmtId="0" fontId="128" fillId="0" borderId="14" xfId="863" applyFont="1" applyFill="1" applyBorder="1" applyAlignment="1">
      <alignment horizontal="center" vertical="center" wrapText="1"/>
    </xf>
    <xf numFmtId="0" fontId="80" fillId="24" borderId="15" xfId="863" applyFont="1" applyFill="1" applyBorder="1" applyAlignment="1">
      <alignment horizontal="center" vertical="center"/>
    </xf>
    <xf numFmtId="0" fontId="80" fillId="24" borderId="17" xfId="863" applyFont="1" applyFill="1" applyBorder="1" applyAlignment="1">
      <alignment horizontal="center" vertical="center"/>
    </xf>
    <xf numFmtId="0" fontId="40" fillId="0" borderId="15" xfId="863" applyFont="1" applyFill="1" applyBorder="1" applyAlignment="1" applyProtection="1">
      <alignment horizontal="center" vertical="center"/>
    </xf>
    <xf numFmtId="0" fontId="40" fillId="0" borderId="17" xfId="863" applyFont="1" applyFill="1" applyBorder="1" applyAlignment="1" applyProtection="1">
      <alignment horizontal="center" vertical="center"/>
    </xf>
    <xf numFmtId="0" fontId="129" fillId="35" borderId="19" xfId="863" applyFont="1" applyFill="1" applyBorder="1" applyAlignment="1">
      <alignment horizontal="center" vertical="center"/>
    </xf>
    <xf numFmtId="0" fontId="129" fillId="35" borderId="140" xfId="863" applyFont="1" applyFill="1" applyBorder="1" applyAlignment="1">
      <alignment horizontal="center" vertical="center"/>
    </xf>
    <xf numFmtId="0" fontId="40" fillId="0" borderId="50" xfId="863" applyFont="1" applyFill="1" applyBorder="1" applyAlignment="1">
      <alignment horizontal="left" vertical="center" indent="1"/>
    </xf>
    <xf numFmtId="0" fontId="40" fillId="0" borderId="30" xfId="863" applyFont="1" applyFill="1" applyBorder="1" applyAlignment="1">
      <alignment horizontal="left" vertical="center" indent="1"/>
    </xf>
    <xf numFmtId="0" fontId="40" fillId="0" borderId="40" xfId="863" applyFont="1" applyFill="1" applyBorder="1" applyAlignment="1">
      <alignment horizontal="left" vertical="center" indent="1"/>
    </xf>
    <xf numFmtId="0" fontId="40" fillId="0" borderId="59" xfId="863" applyFont="1" applyFill="1" applyBorder="1" applyAlignment="1">
      <alignment horizontal="left" vertical="center" indent="1"/>
    </xf>
    <xf numFmtId="0" fontId="40" fillId="0" borderId="60" xfId="863" applyFont="1" applyFill="1" applyBorder="1" applyAlignment="1">
      <alignment horizontal="left" vertical="center" indent="1"/>
    </xf>
    <xf numFmtId="0" fontId="40" fillId="0" borderId="65" xfId="863" applyFont="1" applyFill="1" applyBorder="1" applyAlignment="1">
      <alignment horizontal="left" vertical="center" indent="1"/>
    </xf>
    <xf numFmtId="192" fontId="40" fillId="0" borderId="25" xfId="863" applyNumberFormat="1" applyFont="1" applyFill="1" applyBorder="1" applyAlignment="1" applyProtection="1">
      <alignment horizontal="center" vertical="center"/>
    </xf>
    <xf numFmtId="192" fontId="40" fillId="0" borderId="26" xfId="863" applyNumberFormat="1" applyFont="1" applyFill="1" applyBorder="1" applyAlignment="1" applyProtection="1">
      <alignment horizontal="center" vertical="center"/>
    </xf>
    <xf numFmtId="0" fontId="57" fillId="0" borderId="0" xfId="631" applyFont="1" applyBorder="1" applyAlignment="1">
      <alignment horizontal="center"/>
    </xf>
    <xf numFmtId="0" fontId="59" fillId="0" borderId="0" xfId="631" applyFont="1" applyBorder="1" applyAlignment="1">
      <alignment horizontal="center"/>
    </xf>
    <xf numFmtId="0" fontId="59" fillId="0" borderId="16" xfId="631" applyFont="1" applyBorder="1" applyAlignment="1">
      <alignment horizontal="center" vertical="top" wrapText="1"/>
    </xf>
    <xf numFmtId="0" fontId="44" fillId="0" borderId="10" xfId="141" applyFont="1" applyBorder="1" applyAlignment="1">
      <alignment horizontal="center" vertical="center" wrapText="1"/>
    </xf>
    <xf numFmtId="0" fontId="44" fillId="0" borderId="80" xfId="141" applyFont="1" applyBorder="1" applyAlignment="1">
      <alignment horizontal="center" vertical="center" wrapText="1"/>
    </xf>
    <xf numFmtId="0" fontId="59" fillId="0" borderId="35" xfId="631" applyFont="1" applyBorder="1" applyAlignment="1">
      <alignment horizontal="center" vertical="center" wrapText="1"/>
    </xf>
    <xf numFmtId="0" fontId="59" fillId="0" borderId="39" xfId="631" applyFont="1" applyBorder="1" applyAlignment="1">
      <alignment horizontal="center" vertical="center" wrapText="1"/>
    </xf>
    <xf numFmtId="0" fontId="59" fillId="0" borderId="10" xfId="631" applyFont="1" applyBorder="1" applyAlignment="1">
      <alignment horizontal="center" vertical="center" wrapText="1"/>
    </xf>
    <xf numFmtId="0" fontId="59" fillId="0" borderId="81" xfId="631" applyFont="1" applyBorder="1" applyAlignment="1">
      <alignment horizontal="center" vertical="center" wrapText="1"/>
    </xf>
    <xf numFmtId="0" fontId="59" fillId="0" borderId="118" xfId="631" applyFont="1" applyBorder="1" applyAlignment="1">
      <alignment horizontal="center" vertical="center" wrapText="1"/>
    </xf>
    <xf numFmtId="0" fontId="59" fillId="0" borderId="72" xfId="631" applyFont="1" applyBorder="1" applyAlignment="1">
      <alignment horizontal="center" vertical="center" wrapText="1"/>
    </xf>
    <xf numFmtId="0" fontId="81" fillId="0" borderId="34" xfId="631" applyFont="1" applyBorder="1" applyAlignment="1">
      <alignment horizontal="center" vertical="center" wrapText="1"/>
    </xf>
    <xf numFmtId="0" fontId="49" fillId="0" borderId="15" xfId="141" applyFont="1" applyBorder="1" applyAlignment="1">
      <alignment horizontal="center" vertical="center"/>
    </xf>
    <xf numFmtId="0" fontId="49" fillId="0" borderId="16" xfId="141" applyFont="1" applyBorder="1" applyAlignment="1">
      <alignment horizontal="center" vertical="center"/>
    </xf>
    <xf numFmtId="0" fontId="49" fillId="0" borderId="17" xfId="141" applyFont="1" applyBorder="1" applyAlignment="1">
      <alignment horizontal="center" vertical="center"/>
    </xf>
    <xf numFmtId="0" fontId="42" fillId="0" borderId="13" xfId="141" applyFont="1" applyBorder="1" applyAlignment="1">
      <alignment horizontal="center" vertical="center" wrapText="1"/>
    </xf>
    <xf numFmtId="0" fontId="42" fillId="0" borderId="0" xfId="141" applyFont="1" applyBorder="1" applyAlignment="1">
      <alignment horizontal="center" vertical="center" wrapText="1"/>
    </xf>
    <xf numFmtId="0" fontId="42" fillId="0" borderId="14" xfId="141" applyFont="1" applyBorder="1" applyAlignment="1">
      <alignment horizontal="center" vertical="center" wrapText="1"/>
    </xf>
    <xf numFmtId="0" fontId="55" fillId="0" borderId="10" xfId="141" applyFont="1" applyBorder="1" applyAlignment="1">
      <alignment horizontal="center" vertical="center"/>
    </xf>
    <xf numFmtId="0" fontId="55" fillId="0" borderId="80" xfId="141" applyFont="1" applyBorder="1" applyAlignment="1">
      <alignment horizontal="center" vertical="center"/>
    </xf>
    <xf numFmtId="0" fontId="55" fillId="0" borderId="81" xfId="141" applyFont="1" applyBorder="1" applyAlignment="1">
      <alignment horizontal="center" vertical="center"/>
    </xf>
    <xf numFmtId="0" fontId="55" fillId="0" borderId="13" xfId="141" applyFont="1" applyBorder="1" applyAlignment="1">
      <alignment horizontal="center" vertical="center"/>
    </xf>
    <xf numFmtId="0" fontId="55" fillId="0" borderId="0" xfId="141" applyFont="1" applyBorder="1" applyAlignment="1">
      <alignment horizontal="center" vertical="center"/>
    </xf>
    <xf numFmtId="0" fontId="55" fillId="0" borderId="14" xfId="141" applyFont="1" applyBorder="1" applyAlignment="1">
      <alignment horizontal="center" vertical="center"/>
    </xf>
    <xf numFmtId="0" fontId="81" fillId="0" borderId="41" xfId="631" applyFont="1" applyBorder="1" applyAlignment="1">
      <alignment horizontal="center" vertical="center"/>
    </xf>
    <xf numFmtId="0" fontId="81" fillId="0" borderId="43" xfId="631" applyFont="1" applyBorder="1" applyAlignment="1">
      <alignment horizontal="center" vertical="center"/>
    </xf>
    <xf numFmtId="0" fontId="59" fillId="0" borderId="142" xfId="631" applyFont="1" applyBorder="1" applyAlignment="1">
      <alignment horizontal="center" vertical="center" wrapText="1"/>
    </xf>
    <xf numFmtId="0" fontId="59" fillId="0" borderId="59" xfId="631" applyFont="1" applyBorder="1" applyAlignment="1">
      <alignment horizontal="center" vertical="center" wrapText="1"/>
    </xf>
    <xf numFmtId="0" fontId="59" fillId="0" borderId="143" xfId="631" applyFont="1" applyBorder="1" applyAlignment="1">
      <alignment horizontal="center" vertical="center"/>
    </xf>
    <xf numFmtId="0" fontId="59" fillId="0" borderId="61" xfId="631" applyFont="1" applyBorder="1" applyAlignment="1">
      <alignment horizontal="center" vertical="center"/>
    </xf>
    <xf numFmtId="0" fontId="55" fillId="0" borderId="13" xfId="141" applyFont="1" applyBorder="1" applyAlignment="1">
      <alignment horizontal="center" vertical="center" wrapText="1"/>
    </xf>
    <xf numFmtId="0" fontId="55" fillId="0" borderId="0" xfId="141" applyFont="1" applyBorder="1" applyAlignment="1">
      <alignment horizontal="center" vertical="center" wrapText="1"/>
    </xf>
    <xf numFmtId="0" fontId="55" fillId="0" borderId="14" xfId="141" applyFont="1" applyBorder="1" applyAlignment="1">
      <alignment horizontal="center" vertical="center" wrapText="1"/>
    </xf>
    <xf numFmtId="0" fontId="55" fillId="0" borderId="15" xfId="141" applyFont="1" applyBorder="1" applyAlignment="1">
      <alignment horizontal="center" vertical="center" wrapText="1"/>
    </xf>
    <xf numFmtId="0" fontId="55" fillId="0" borderId="16" xfId="141" applyFont="1" applyBorder="1" applyAlignment="1">
      <alignment horizontal="center" vertical="center" wrapText="1"/>
    </xf>
    <xf numFmtId="0" fontId="55" fillId="0" borderId="17" xfId="141" applyFont="1" applyBorder="1" applyAlignment="1">
      <alignment horizontal="center" vertical="center" wrapText="1"/>
    </xf>
    <xf numFmtId="0" fontId="81" fillId="0" borderId="10" xfId="631" applyFont="1" applyBorder="1" applyAlignment="1">
      <alignment horizontal="center" vertical="center" wrapText="1"/>
    </xf>
    <xf numFmtId="0" fontId="81" fillId="0" borderId="81" xfId="631" applyFont="1" applyBorder="1" applyAlignment="1">
      <alignment horizontal="center" vertical="center" wrapText="1"/>
    </xf>
    <xf numFmtId="0" fontId="81" fillId="0" borderId="118" xfId="631" applyFont="1" applyBorder="1" applyAlignment="1">
      <alignment horizontal="center" vertical="center" wrapText="1"/>
    </xf>
    <xf numFmtId="0" fontId="81" fillId="0" borderId="72" xfId="631" applyFont="1" applyBorder="1" applyAlignment="1">
      <alignment horizontal="center" vertical="center" wrapText="1"/>
    </xf>
    <xf numFmtId="0" fontId="49" fillId="0" borderId="15" xfId="141" applyFont="1" applyBorder="1" applyAlignment="1">
      <alignment horizontal="center" wrapText="1"/>
    </xf>
    <xf numFmtId="0" fontId="49" fillId="0" borderId="16" xfId="141" applyFont="1" applyBorder="1" applyAlignment="1">
      <alignment horizontal="center" wrapText="1"/>
    </xf>
    <xf numFmtId="0" fontId="49" fillId="0" borderId="17" xfId="141" applyFont="1" applyBorder="1" applyAlignment="1">
      <alignment horizontal="center" wrapText="1"/>
    </xf>
    <xf numFmtId="0" fontId="81" fillId="0" borderId="13" xfId="631" applyFont="1" applyBorder="1" applyAlignment="1">
      <alignment horizontal="center" vertical="center" wrapText="1"/>
    </xf>
    <xf numFmtId="0" fontId="81" fillId="0" borderId="14" xfId="631" applyFont="1" applyBorder="1" applyAlignment="1">
      <alignment horizontal="center" vertical="center" wrapText="1"/>
    </xf>
    <xf numFmtId="0" fontId="81" fillId="0" borderId="0" xfId="631" applyFont="1" applyBorder="1" applyAlignment="1">
      <alignment horizontal="center" vertical="center" wrapText="1"/>
    </xf>
    <xf numFmtId="0" fontId="81" fillId="0" borderId="71" xfId="631" applyFont="1" applyBorder="1" applyAlignment="1">
      <alignment horizontal="center" vertical="center" wrapText="1"/>
    </xf>
    <xf numFmtId="0" fontId="81" fillId="0" borderId="80" xfId="631" applyFont="1" applyBorder="1" applyAlignment="1">
      <alignment horizontal="center" vertical="center" wrapText="1"/>
    </xf>
    <xf numFmtId="4" fontId="7" fillId="0" borderId="140" xfId="631" applyNumberFormat="1" applyFont="1" applyBorder="1" applyAlignment="1">
      <alignment horizontal="center" vertical="center"/>
    </xf>
    <xf numFmtId="0" fontId="44" fillId="0" borderId="13" xfId="633" applyFont="1" applyFill="1" applyBorder="1" applyAlignment="1">
      <alignment horizontal="center" vertical="top" wrapText="1"/>
    </xf>
    <xf numFmtId="0" fontId="44" fillId="0" borderId="0" xfId="633" applyFont="1" applyFill="1" applyBorder="1" applyAlignment="1">
      <alignment horizontal="center" vertical="top" wrapText="1"/>
    </xf>
    <xf numFmtId="0" fontId="44" fillId="0" borderId="13" xfId="633" applyFont="1" applyFill="1" applyBorder="1" applyAlignment="1">
      <alignment horizontal="center" vertical="center"/>
    </xf>
    <xf numFmtId="0" fontId="44" fillId="0" borderId="0" xfId="633" applyFont="1" applyFill="1" applyBorder="1" applyAlignment="1">
      <alignment horizontal="center" vertical="center"/>
    </xf>
    <xf numFmtId="0" fontId="49" fillId="0" borderId="13" xfId="633" applyFont="1" applyFill="1" applyBorder="1" applyAlignment="1">
      <alignment horizontal="center" vertical="center"/>
    </xf>
    <xf numFmtId="0" fontId="49" fillId="0" borderId="0" xfId="633" applyFont="1" applyFill="1" applyBorder="1" applyAlignment="1">
      <alignment horizontal="center" vertical="center"/>
    </xf>
    <xf numFmtId="0" fontId="44" fillId="0" borderId="19" xfId="141" applyFont="1" applyBorder="1" applyAlignment="1">
      <alignment horizontal="right" vertical="center" wrapText="1"/>
    </xf>
    <xf numFmtId="0" fontId="44" fillId="0" borderId="140" xfId="141" applyFont="1" applyBorder="1" applyAlignment="1">
      <alignment horizontal="right" vertical="center" wrapText="1"/>
    </xf>
    <xf numFmtId="0" fontId="43" fillId="30" borderId="138" xfId="633" applyFont="1" applyFill="1" applyBorder="1" applyAlignment="1">
      <alignment horizontal="center" vertical="center"/>
    </xf>
    <xf numFmtId="0" fontId="44" fillId="0" borderId="32" xfId="633" applyFont="1" applyBorder="1" applyAlignment="1">
      <alignment horizontal="right" vertical="center"/>
    </xf>
    <xf numFmtId="0" fontId="43" fillId="30" borderId="138" xfId="633" applyFont="1" applyFill="1" applyBorder="1" applyAlignment="1">
      <alignment horizontal="center" vertical="center" wrapText="1"/>
    </xf>
    <xf numFmtId="0" fontId="43" fillId="0" borderId="10" xfId="633" applyFont="1" applyBorder="1" applyAlignment="1">
      <alignment horizontal="center"/>
    </xf>
    <xf numFmtId="0" fontId="43" fillId="0" borderId="80" xfId="633" applyFont="1" applyBorder="1" applyAlignment="1">
      <alignment horizontal="center"/>
    </xf>
    <xf numFmtId="0" fontId="43" fillId="0" borderId="81" xfId="633" applyFont="1" applyBorder="1" applyAlignment="1">
      <alignment horizontal="center"/>
    </xf>
    <xf numFmtId="0" fontId="42" fillId="0" borderId="13" xfId="633" applyFont="1" applyBorder="1" applyAlignment="1">
      <alignment horizontal="center" vertical="center"/>
    </xf>
    <xf numFmtId="0" fontId="42" fillId="0" borderId="0" xfId="633" applyFont="1" applyBorder="1" applyAlignment="1">
      <alignment horizontal="center" vertical="center"/>
    </xf>
    <xf numFmtId="0" fontId="42" fillId="0" borderId="14" xfId="633" applyFont="1" applyBorder="1" applyAlignment="1">
      <alignment horizontal="center" vertical="center"/>
    </xf>
    <xf numFmtId="0" fontId="44" fillId="0" borderId="13" xfId="633" applyFont="1" applyBorder="1" applyAlignment="1">
      <alignment horizontal="center" vertical="center" wrapText="1"/>
    </xf>
    <xf numFmtId="0" fontId="44" fillId="0" borderId="0" xfId="633" applyFont="1" applyBorder="1" applyAlignment="1">
      <alignment horizontal="center" vertical="center" wrapText="1"/>
    </xf>
    <xf numFmtId="0" fontId="44" fillId="0" borderId="14" xfId="633" applyFont="1" applyBorder="1" applyAlignment="1">
      <alignment horizontal="center" vertical="center" wrapText="1"/>
    </xf>
    <xf numFmtId="0" fontId="55" fillId="0" borderId="13" xfId="633" applyFont="1" applyBorder="1" applyAlignment="1">
      <alignment horizontal="center" vertical="center" wrapText="1"/>
    </xf>
    <xf numFmtId="0" fontId="55" fillId="0" borderId="0" xfId="633" applyFont="1" applyBorder="1" applyAlignment="1">
      <alignment horizontal="center" vertical="center" wrapText="1"/>
    </xf>
    <xf numFmtId="0" fontId="55" fillId="0" borderId="14" xfId="633" applyFont="1" applyBorder="1" applyAlignment="1">
      <alignment horizontal="center" vertical="center" wrapText="1"/>
    </xf>
    <xf numFmtId="0" fontId="55" fillId="0" borderId="15" xfId="633" applyFont="1" applyBorder="1" applyAlignment="1">
      <alignment horizontal="center" vertical="center" wrapText="1"/>
    </xf>
    <xf numFmtId="0" fontId="55" fillId="0" borderId="16" xfId="633" applyFont="1" applyBorder="1" applyAlignment="1">
      <alignment horizontal="center" vertical="center" wrapText="1"/>
    </xf>
    <xf numFmtId="0" fontId="55" fillId="0" borderId="17" xfId="633" applyFont="1" applyBorder="1" applyAlignment="1">
      <alignment horizontal="center" vertical="center" wrapText="1"/>
    </xf>
    <xf numFmtId="0" fontId="110" fillId="0" borderId="15" xfId="633" applyFont="1" applyBorder="1" applyAlignment="1">
      <alignment horizontal="center"/>
    </xf>
    <xf numFmtId="0" fontId="110" fillId="0" borderId="16" xfId="633" applyFont="1" applyBorder="1" applyAlignment="1">
      <alignment horizontal="center"/>
    </xf>
    <xf numFmtId="0" fontId="110" fillId="0" borderId="17" xfId="633" applyFont="1" applyBorder="1" applyAlignment="1">
      <alignment horizontal="center"/>
    </xf>
    <xf numFmtId="0" fontId="46" fillId="0" borderId="15" xfId="633" applyFont="1" applyFill="1" applyBorder="1" applyAlignment="1">
      <alignment horizontal="center" vertical="center" wrapText="1"/>
    </xf>
    <xf numFmtId="0" fontId="46" fillId="0" borderId="16" xfId="633" applyFont="1" applyFill="1" applyBorder="1" applyAlignment="1">
      <alignment horizontal="center" vertical="center" wrapText="1"/>
    </xf>
    <xf numFmtId="0" fontId="44" fillId="0" borderId="32" xfId="141" applyFont="1" applyBorder="1" applyAlignment="1">
      <alignment horizontal="right" vertical="center" wrapText="1"/>
    </xf>
    <xf numFmtId="0" fontId="43" fillId="0" borderId="11" xfId="633" applyFont="1" applyBorder="1" applyAlignment="1">
      <alignment horizontal="center"/>
    </xf>
    <xf numFmtId="0" fontId="43" fillId="0" borderId="12" xfId="633" applyFont="1" applyBorder="1" applyAlignment="1">
      <alignment horizontal="center"/>
    </xf>
    <xf numFmtId="0" fontId="44" fillId="0" borderId="13" xfId="633" applyFont="1" applyBorder="1" applyAlignment="1">
      <alignment horizontal="left" vertical="center"/>
    </xf>
    <xf numFmtId="0" fontId="44" fillId="0" borderId="0" xfId="633" applyFont="1" applyBorder="1" applyAlignment="1">
      <alignment horizontal="left" vertical="center"/>
    </xf>
    <xf numFmtId="0" fontId="44" fillId="0" borderId="14" xfId="633" applyFont="1" applyBorder="1" applyAlignment="1">
      <alignment horizontal="left" vertical="center"/>
    </xf>
    <xf numFmtId="0" fontId="55" fillId="0" borderId="13" xfId="857" applyFont="1" applyBorder="1" applyAlignment="1">
      <alignment horizontal="center" vertical="center" wrapText="1"/>
    </xf>
    <xf numFmtId="0" fontId="55" fillId="0" borderId="0" xfId="857" applyFont="1" applyBorder="1" applyAlignment="1">
      <alignment horizontal="center" vertical="center" wrapText="1"/>
    </xf>
    <xf numFmtId="0" fontId="55" fillId="0" borderId="14" xfId="857" applyFont="1" applyBorder="1" applyAlignment="1">
      <alignment horizontal="center" vertical="center" wrapText="1"/>
    </xf>
    <xf numFmtId="0" fontId="55" fillId="0" borderId="15" xfId="857" applyFont="1" applyBorder="1" applyAlignment="1">
      <alignment horizontal="center" vertical="center" wrapText="1"/>
    </xf>
    <xf numFmtId="0" fontId="55" fillId="0" borderId="16" xfId="857" applyFont="1" applyBorder="1" applyAlignment="1">
      <alignment horizontal="center" vertical="center" wrapText="1"/>
    </xf>
    <xf numFmtId="0" fontId="55" fillId="0" borderId="17" xfId="857" applyFont="1" applyBorder="1" applyAlignment="1">
      <alignment horizontal="center" vertical="center" wrapText="1"/>
    </xf>
    <xf numFmtId="0" fontId="46" fillId="0" borderId="15" xfId="633" applyFont="1" applyBorder="1" applyAlignment="1">
      <alignment horizontal="center" vertical="center"/>
    </xf>
    <xf numFmtId="0" fontId="46" fillId="0" borderId="16" xfId="633" applyFont="1" applyBorder="1" applyAlignment="1">
      <alignment horizontal="center" vertical="center"/>
    </xf>
    <xf numFmtId="0" fontId="46" fillId="0" borderId="17" xfId="633" applyFont="1" applyBorder="1" applyAlignment="1">
      <alignment horizontal="center" vertical="center"/>
    </xf>
    <xf numFmtId="0" fontId="48" fillId="0" borderId="10" xfId="857" applyFont="1" applyBorder="1" applyAlignment="1">
      <alignment horizontal="center" vertical="center"/>
    </xf>
    <xf numFmtId="0" fontId="48" fillId="0" borderId="80" xfId="857" applyFont="1" applyBorder="1" applyAlignment="1">
      <alignment horizontal="center" vertical="center"/>
    </xf>
    <xf numFmtId="0" fontId="48" fillId="0" borderId="81" xfId="857" applyFont="1" applyBorder="1" applyAlignment="1">
      <alignment horizontal="center" vertical="center"/>
    </xf>
    <xf numFmtId="0" fontId="48" fillId="0" borderId="13" xfId="857" applyFont="1" applyBorder="1" applyAlignment="1">
      <alignment horizontal="center" vertical="center"/>
    </xf>
    <xf numFmtId="0" fontId="48" fillId="0" borderId="0" xfId="857" applyFont="1" applyBorder="1" applyAlignment="1">
      <alignment horizontal="center" vertical="center"/>
    </xf>
    <xf numFmtId="0" fontId="48" fillId="0" borderId="14" xfId="857" applyFont="1" applyBorder="1" applyAlignment="1">
      <alignment horizontal="center" vertical="center"/>
    </xf>
    <xf numFmtId="0" fontId="68" fillId="0" borderId="13" xfId="633" applyFont="1" applyFill="1" applyBorder="1" applyAlignment="1">
      <alignment horizontal="center" vertical="center"/>
    </xf>
    <xf numFmtId="0" fontId="68" fillId="0" borderId="0" xfId="633" applyFont="1" applyFill="1" applyBorder="1" applyAlignment="1">
      <alignment horizontal="center" vertical="center"/>
    </xf>
    <xf numFmtId="0" fontId="42" fillId="0" borderId="140" xfId="633" applyFont="1" applyBorder="1" applyAlignment="1">
      <alignment horizontal="center" vertical="center"/>
    </xf>
    <xf numFmtId="0" fontId="42" fillId="0" borderId="137" xfId="633" applyFont="1" applyBorder="1" applyAlignment="1">
      <alignment horizontal="center" vertical="center"/>
    </xf>
    <xf numFmtId="17" fontId="97" fillId="0" borderId="35" xfId="631" applyNumberFormat="1" applyFont="1" applyBorder="1" applyAlignment="1">
      <alignment horizontal="center" vertical="center"/>
    </xf>
    <xf numFmtId="17" fontId="97" fillId="0" borderId="39" xfId="631" applyNumberFormat="1" applyFont="1" applyBorder="1" applyAlignment="1">
      <alignment horizontal="center" vertical="center"/>
    </xf>
    <xf numFmtId="17" fontId="97" fillId="0" borderId="47" xfId="631" applyNumberFormat="1" applyFont="1" applyBorder="1" applyAlignment="1">
      <alignment horizontal="center" vertical="center"/>
    </xf>
    <xf numFmtId="17" fontId="97" fillId="0" borderId="28" xfId="631" applyNumberFormat="1" applyFont="1" applyBorder="1" applyAlignment="1">
      <alignment horizontal="center" vertical="center"/>
    </xf>
    <xf numFmtId="17" fontId="97" fillId="0" borderId="34" xfId="631" applyNumberFormat="1" applyFont="1" applyBorder="1" applyAlignment="1">
      <alignment horizontal="center" vertical="center"/>
    </xf>
    <xf numFmtId="17" fontId="97" fillId="0" borderId="45" xfId="631" applyNumberFormat="1" applyFont="1" applyBorder="1" applyAlignment="1">
      <alignment horizontal="center" vertical="center"/>
    </xf>
    <xf numFmtId="17" fontId="107" fillId="0" borderId="28" xfId="631" applyNumberFormat="1" applyFont="1" applyBorder="1" applyAlignment="1">
      <alignment horizontal="center" vertical="center"/>
    </xf>
    <xf numFmtId="17" fontId="107" fillId="0" borderId="34" xfId="631" applyNumberFormat="1" applyFont="1" applyBorder="1" applyAlignment="1">
      <alignment horizontal="center" vertical="center"/>
    </xf>
    <xf numFmtId="17" fontId="107" fillId="0" borderId="45" xfId="631" applyNumberFormat="1" applyFont="1" applyBorder="1" applyAlignment="1">
      <alignment horizontal="center" vertical="center"/>
    </xf>
    <xf numFmtId="0" fontId="42" fillId="0" borderId="16" xfId="633" applyFont="1" applyBorder="1" applyAlignment="1">
      <alignment horizontal="center" vertical="top"/>
    </xf>
    <xf numFmtId="0" fontId="42" fillId="0" borderId="17" xfId="633" applyFont="1" applyBorder="1" applyAlignment="1">
      <alignment horizontal="center" vertical="top"/>
    </xf>
    <xf numFmtId="177" fontId="42" fillId="0" borderId="0" xfId="145" applyFont="1" applyFill="1" applyBorder="1" applyAlignment="1">
      <alignment horizontal="center" vertical="center"/>
    </xf>
    <xf numFmtId="177" fontId="42" fillId="0" borderId="14" xfId="145" applyFont="1" applyFill="1" applyBorder="1" applyAlignment="1">
      <alignment horizontal="center" vertical="center"/>
    </xf>
    <xf numFmtId="177" fontId="68" fillId="0" borderId="0" xfId="145" applyFont="1" applyFill="1" applyBorder="1" applyAlignment="1">
      <alignment horizontal="center" vertical="center"/>
    </xf>
    <xf numFmtId="177" fontId="68" fillId="0" borderId="14" xfId="145" applyFont="1" applyFill="1" applyBorder="1" applyAlignment="1">
      <alignment horizontal="center" vertical="center"/>
    </xf>
    <xf numFmtId="0" fontId="55" fillId="0" borderId="13" xfId="857" applyFont="1" applyBorder="1" applyAlignment="1">
      <alignment horizontal="center" vertical="center"/>
    </xf>
    <xf numFmtId="0" fontId="55" fillId="0" borderId="0" xfId="857" applyFont="1" applyBorder="1" applyAlignment="1">
      <alignment horizontal="center" vertical="center"/>
    </xf>
    <xf numFmtId="0" fontId="55" fillId="0" borderId="14" xfId="857" applyFont="1" applyBorder="1" applyAlignment="1">
      <alignment horizontal="center" vertical="center"/>
    </xf>
    <xf numFmtId="0" fontId="55" fillId="0" borderId="15" xfId="857" applyFont="1" applyBorder="1" applyAlignment="1">
      <alignment horizontal="center" vertical="center"/>
    </xf>
    <xf numFmtId="0" fontId="55" fillId="0" borderId="16" xfId="857" applyFont="1" applyBorder="1" applyAlignment="1">
      <alignment horizontal="center" vertical="center"/>
    </xf>
    <xf numFmtId="0" fontId="55" fillId="0" borderId="17" xfId="857" applyFont="1" applyBorder="1" applyAlignment="1">
      <alignment horizontal="center" vertical="center"/>
    </xf>
    <xf numFmtId="0" fontId="42" fillId="0" borderId="13" xfId="857" applyFont="1" applyBorder="1" applyAlignment="1">
      <alignment horizontal="center" vertical="center" wrapText="1"/>
    </xf>
    <xf numFmtId="0" fontId="42" fillId="0" borderId="0" xfId="857" applyFont="1" applyBorder="1" applyAlignment="1">
      <alignment horizontal="center" vertical="center" wrapText="1"/>
    </xf>
    <xf numFmtId="0" fontId="42" fillId="0" borderId="14" xfId="857" applyFont="1" applyBorder="1" applyAlignment="1">
      <alignment horizontal="center" vertical="center" wrapText="1"/>
    </xf>
    <xf numFmtId="0" fontId="44" fillId="0" borderId="15" xfId="633" applyFont="1" applyBorder="1" applyAlignment="1">
      <alignment horizontal="center" vertical="top" wrapText="1"/>
    </xf>
    <xf numFmtId="0" fontId="44" fillId="0" borderId="16" xfId="633" applyFont="1" applyBorder="1" applyAlignment="1">
      <alignment horizontal="center" vertical="top" wrapText="1"/>
    </xf>
    <xf numFmtId="0" fontId="42" fillId="0" borderId="13" xfId="633" applyFont="1" applyFill="1" applyBorder="1" applyAlignment="1">
      <alignment horizontal="center" vertical="center"/>
    </xf>
    <xf numFmtId="0" fontId="42" fillId="0" borderId="0" xfId="633" applyFont="1" applyFill="1" applyBorder="1" applyAlignment="1">
      <alignment horizontal="center" vertical="center"/>
    </xf>
    <xf numFmtId="1" fontId="98" fillId="28" borderId="138" xfId="52" applyNumberFormat="1" applyFont="1" applyFill="1" applyBorder="1" applyAlignment="1">
      <alignment horizontal="center" vertical="center"/>
    </xf>
    <xf numFmtId="0" fontId="98" fillId="28" borderId="138" xfId="52" applyFont="1" applyFill="1" applyBorder="1" applyAlignment="1">
      <alignment horizontal="center" vertical="center" wrapText="1"/>
    </xf>
    <xf numFmtId="0" fontId="98" fillId="28" borderId="138" xfId="56" applyFont="1" applyFill="1" applyBorder="1" applyAlignment="1">
      <alignment horizontal="center" vertical="center"/>
    </xf>
    <xf numFmtId="0" fontId="98" fillId="28" borderId="20" xfId="52" applyFont="1" applyFill="1" applyBorder="1" applyAlignment="1">
      <alignment horizontal="center" vertical="center"/>
    </xf>
    <xf numFmtId="0" fontId="98" fillId="28" borderId="22" xfId="52" applyFont="1" applyFill="1" applyBorder="1" applyAlignment="1">
      <alignment horizontal="center" vertical="center"/>
    </xf>
    <xf numFmtId="0" fontId="43" fillId="24" borderId="16" xfId="56" applyFont="1" applyFill="1" applyBorder="1" applyAlignment="1">
      <alignment horizontal="center" vertical="top"/>
    </xf>
    <xf numFmtId="0" fontId="98" fillId="28" borderId="138" xfId="56" applyFont="1" applyFill="1" applyBorder="1" applyAlignment="1">
      <alignment horizontal="center" vertical="center" wrapText="1"/>
    </xf>
    <xf numFmtId="0" fontId="98" fillId="28" borderId="19" xfId="56" applyFont="1" applyFill="1" applyBorder="1" applyAlignment="1">
      <alignment horizontal="center" vertical="center" wrapText="1"/>
    </xf>
    <xf numFmtId="164" fontId="45" fillId="24" borderId="0" xfId="47" applyFont="1" applyFill="1" applyBorder="1" applyAlignment="1">
      <alignment horizontal="center" vertical="center"/>
    </xf>
    <xf numFmtId="0" fontId="40" fillId="24" borderId="0" xfId="56" applyFont="1" applyFill="1" applyBorder="1" applyAlignment="1">
      <alignment horizontal="center" vertical="center"/>
    </xf>
    <xf numFmtId="0" fontId="43" fillId="24" borderId="0" xfId="56" applyFont="1" applyFill="1" applyBorder="1" applyAlignment="1">
      <alignment horizontal="center" vertical="center"/>
    </xf>
    <xf numFmtId="0" fontId="98" fillId="28" borderId="19" xfId="52" applyFont="1" applyFill="1" applyBorder="1" applyAlignment="1">
      <alignment horizontal="center" vertical="center"/>
    </xf>
    <xf numFmtId="0" fontId="98" fillId="28" borderId="140" xfId="52" applyFont="1" applyFill="1" applyBorder="1" applyAlignment="1">
      <alignment horizontal="center" vertical="center"/>
    </xf>
    <xf numFmtId="0" fontId="98" fillId="28" borderId="137" xfId="52" applyFont="1" applyFill="1" applyBorder="1" applyAlignment="1">
      <alignment horizontal="center" vertical="center"/>
    </xf>
    <xf numFmtId="0" fontId="49" fillId="24" borderId="0" xfId="858" applyFont="1" applyFill="1" applyBorder="1" applyAlignment="1">
      <alignment horizontal="center" vertical="center"/>
    </xf>
    <xf numFmtId="0" fontId="43" fillId="24" borderId="0" xfId="858" applyFont="1" applyFill="1" applyBorder="1" applyAlignment="1">
      <alignment horizontal="center" vertical="center"/>
    </xf>
    <xf numFmtId="0" fontId="43" fillId="24" borderId="0" xfId="858" applyFont="1" applyFill="1" applyBorder="1" applyAlignment="1">
      <alignment horizontal="center" vertical="top"/>
    </xf>
    <xf numFmtId="43" fontId="142" fillId="0" borderId="19" xfId="47" applyNumberFormat="1" applyFont="1" applyFill="1" applyBorder="1" applyAlignment="1">
      <alignment horizontal="center" vertical="center" wrapText="1"/>
    </xf>
    <xf numFmtId="43" fontId="142" fillId="0" borderId="137" xfId="47" applyNumberFormat="1" applyFont="1" applyFill="1" applyBorder="1" applyAlignment="1">
      <alignment horizontal="center" vertical="center" wrapText="1"/>
    </xf>
    <xf numFmtId="43" fontId="142" fillId="0" borderId="140" xfId="47" applyNumberFormat="1" applyFont="1" applyFill="1" applyBorder="1" applyAlignment="1">
      <alignment horizontal="center" vertical="center" wrapText="1"/>
    </xf>
    <xf numFmtId="0" fontId="59" fillId="0" borderId="10" xfId="140" applyFont="1" applyFill="1" applyBorder="1" applyAlignment="1">
      <alignment horizontal="center" vertical="center" wrapText="1"/>
    </xf>
    <xf numFmtId="0" fontId="59" fillId="0" borderId="80" xfId="140" applyFont="1" applyFill="1" applyBorder="1" applyAlignment="1">
      <alignment horizontal="center" vertical="center" wrapText="1"/>
    </xf>
    <xf numFmtId="0" fontId="59" fillId="0" borderId="81" xfId="140" applyFont="1" applyFill="1" applyBorder="1" applyAlignment="1">
      <alignment horizontal="center" vertical="center" wrapText="1"/>
    </xf>
    <xf numFmtId="0" fontId="46" fillId="0" borderId="10" xfId="52" applyFont="1" applyFill="1" applyBorder="1" applyAlignment="1">
      <alignment horizontal="center" vertical="center" wrapText="1"/>
    </xf>
    <xf numFmtId="0" fontId="46" fillId="0" borderId="80" xfId="52" applyFont="1" applyFill="1" applyBorder="1" applyAlignment="1">
      <alignment horizontal="center" vertical="center" wrapText="1"/>
    </xf>
    <xf numFmtId="0" fontId="46" fillId="0" borderId="81" xfId="52" applyFont="1" applyFill="1" applyBorder="1" applyAlignment="1">
      <alignment horizontal="center" vertical="center" wrapText="1"/>
    </xf>
    <xf numFmtId="49" fontId="59" fillId="0" borderId="13" xfId="140" applyNumberFormat="1" applyFont="1" applyFill="1" applyBorder="1" applyAlignment="1">
      <alignment horizontal="center" vertical="center" wrapText="1"/>
    </xf>
    <xf numFmtId="49" fontId="59" fillId="0" borderId="0" xfId="140" applyNumberFormat="1" applyFont="1" applyFill="1" applyBorder="1" applyAlignment="1">
      <alignment horizontal="center" vertical="center" wrapText="1"/>
    </xf>
    <xf numFmtId="0" fontId="59" fillId="0" borderId="0" xfId="140" applyFont="1" applyFill="1" applyBorder="1" applyAlignment="1">
      <alignment horizontal="center" vertical="center" wrapText="1"/>
    </xf>
    <xf numFmtId="0" fontId="59" fillId="0" borderId="14" xfId="140" applyFont="1" applyFill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0" borderId="17" xfId="0" applyFont="1" applyBorder="1" applyAlignment="1">
      <alignment horizontal="center" vertical="center"/>
    </xf>
    <xf numFmtId="0" fontId="43" fillId="0" borderId="138" xfId="56" applyFont="1" applyFill="1" applyBorder="1" applyAlignment="1">
      <alignment horizontal="center" vertical="center"/>
    </xf>
    <xf numFmtId="0" fontId="43" fillId="34" borderId="138" xfId="56" applyFont="1" applyFill="1" applyBorder="1" applyAlignment="1">
      <alignment horizontal="center" vertical="center" wrapText="1"/>
    </xf>
    <xf numFmtId="1" fontId="44" fillId="0" borderId="138" xfId="52" applyNumberFormat="1" applyFont="1" applyFill="1" applyBorder="1" applyAlignment="1">
      <alignment horizontal="center" vertical="center" textRotation="90"/>
    </xf>
    <xf numFmtId="0" fontId="42" fillId="0" borderId="138" xfId="52" applyFont="1" applyFill="1" applyBorder="1" applyAlignment="1">
      <alignment horizontal="center" vertical="center"/>
    </xf>
    <xf numFmtId="0" fontId="43" fillId="0" borderId="20" xfId="52" applyFont="1" applyFill="1" applyBorder="1" applyAlignment="1">
      <alignment horizontal="center" vertical="center"/>
    </xf>
    <xf numFmtId="0" fontId="43" fillId="0" borderId="22" xfId="52" applyFont="1" applyFill="1" applyBorder="1" applyAlignment="1">
      <alignment horizontal="center" vertical="center"/>
    </xf>
    <xf numFmtId="0" fontId="43" fillId="0" borderId="19" xfId="52" applyFont="1" applyFill="1" applyBorder="1" applyAlignment="1">
      <alignment horizontal="center" vertical="center"/>
    </xf>
    <xf numFmtId="0" fontId="43" fillId="0" borderId="140" xfId="52" applyFont="1" applyFill="1" applyBorder="1" applyAlignment="1">
      <alignment horizontal="center" vertical="center"/>
    </xf>
    <xf numFmtId="0" fontId="43" fillId="0" borderId="137" xfId="52" applyFont="1" applyFill="1" applyBorder="1" applyAlignment="1">
      <alignment horizontal="center" vertical="center"/>
    </xf>
    <xf numFmtId="0" fontId="45" fillId="0" borderId="15" xfId="0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3" fillId="24" borderId="16" xfId="56" applyFont="1" applyFill="1" applyBorder="1" applyAlignment="1">
      <alignment horizontal="center" vertical="top" wrapText="1"/>
    </xf>
    <xf numFmtId="0" fontId="55" fillId="0" borderId="13" xfId="0" applyFont="1" applyBorder="1" applyAlignment="1">
      <alignment horizontal="center" vertical="center" wrapText="1"/>
    </xf>
    <xf numFmtId="0" fontId="55" fillId="0" borderId="0" xfId="0" applyFont="1" applyBorder="1" applyAlignment="1">
      <alignment horizontal="center" vertical="center" wrapText="1"/>
    </xf>
    <xf numFmtId="0" fontId="55" fillId="0" borderId="14" xfId="0" applyFont="1" applyBorder="1" applyAlignment="1">
      <alignment horizontal="center" vertical="center" wrapText="1"/>
    </xf>
    <xf numFmtId="0" fontId="40" fillId="24" borderId="14" xfId="56" applyFont="1" applyFill="1" applyBorder="1" applyAlignment="1">
      <alignment horizontal="center" vertical="center"/>
    </xf>
    <xf numFmtId="0" fontId="43" fillId="24" borderId="14" xfId="56" applyFont="1" applyFill="1" applyBorder="1" applyAlignment="1">
      <alignment horizontal="center" vertical="center"/>
    </xf>
    <xf numFmtId="0" fontId="43" fillId="24" borderId="17" xfId="56" applyFont="1" applyFill="1" applyBorder="1" applyAlignment="1">
      <alignment horizontal="center" vertical="top"/>
    </xf>
    <xf numFmtId="0" fontId="44" fillId="0" borderId="13" xfId="0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0" fontId="44" fillId="0" borderId="14" xfId="0" applyFont="1" applyBorder="1" applyAlignment="1">
      <alignment horizontal="center" vertical="center" wrapText="1"/>
    </xf>
    <xf numFmtId="0" fontId="44" fillId="0" borderId="19" xfId="141" applyFont="1" applyBorder="1" applyAlignment="1">
      <alignment horizontal="center" vertical="center"/>
    </xf>
    <xf numFmtId="0" fontId="44" fillId="0" borderId="21" xfId="141" applyFont="1" applyBorder="1" applyAlignment="1">
      <alignment horizontal="center" vertical="center"/>
    </xf>
    <xf numFmtId="0" fontId="120" fillId="0" borderId="14" xfId="141" applyFont="1" applyFill="1" applyBorder="1" applyAlignment="1">
      <alignment horizontal="center" vertical="center"/>
    </xf>
    <xf numFmtId="0" fontId="46" fillId="0" borderId="16" xfId="141" applyFont="1" applyBorder="1" applyAlignment="1">
      <alignment horizontal="center" vertical="center" wrapText="1"/>
    </xf>
    <xf numFmtId="0" fontId="44" fillId="0" borderId="10" xfId="141" applyFont="1" applyBorder="1" applyAlignment="1">
      <alignment horizontal="center"/>
    </xf>
    <xf numFmtId="0" fontId="44" fillId="0" borderId="80" xfId="141" applyFont="1" applyBorder="1" applyAlignment="1">
      <alignment horizontal="center"/>
    </xf>
    <xf numFmtId="0" fontId="44" fillId="0" borderId="20" xfId="141" applyFont="1" applyFill="1" applyBorder="1" applyAlignment="1">
      <alignment horizontal="center" vertical="center"/>
    </xf>
    <xf numFmtId="0" fontId="44" fillId="0" borderId="24" xfId="141" applyFont="1" applyFill="1" applyBorder="1" applyAlignment="1">
      <alignment horizontal="center" vertical="center"/>
    </xf>
    <xf numFmtId="0" fontId="44" fillId="0" borderId="22" xfId="141" applyFont="1" applyFill="1" applyBorder="1" applyAlignment="1">
      <alignment horizontal="center" vertical="center"/>
    </xf>
    <xf numFmtId="0" fontId="44" fillId="0" borderId="57" xfId="141" applyFont="1" applyBorder="1" applyAlignment="1">
      <alignment horizontal="center" vertical="center"/>
    </xf>
    <xf numFmtId="0" fontId="44" fillId="0" borderId="26" xfId="141" applyFont="1" applyBorder="1" applyAlignment="1">
      <alignment horizontal="center" vertical="center"/>
    </xf>
    <xf numFmtId="0" fontId="44" fillId="0" borderId="13" xfId="141" applyFont="1" applyBorder="1" applyAlignment="1">
      <alignment horizontal="center" vertical="center" wrapText="1"/>
    </xf>
    <xf numFmtId="0" fontId="44" fillId="0" borderId="0" xfId="141" applyFont="1" applyBorder="1" applyAlignment="1">
      <alignment horizontal="center" vertical="center" wrapText="1"/>
    </xf>
    <xf numFmtId="0" fontId="44" fillId="0" borderId="14" xfId="141" applyFont="1" applyBorder="1" applyAlignment="1">
      <alignment horizontal="center" vertical="center" wrapText="1"/>
    </xf>
    <xf numFmtId="0" fontId="43" fillId="0" borderId="15" xfId="141" applyFont="1" applyBorder="1" applyAlignment="1">
      <alignment horizontal="center" vertical="center"/>
    </xf>
    <xf numFmtId="0" fontId="43" fillId="0" borderId="16" xfId="141" applyFont="1" applyBorder="1" applyAlignment="1">
      <alignment horizontal="center" vertical="center"/>
    </xf>
    <xf numFmtId="0" fontId="43" fillId="0" borderId="17" xfId="141" applyFont="1" applyBorder="1" applyAlignment="1">
      <alignment horizontal="center" vertical="center"/>
    </xf>
    <xf numFmtId="0" fontId="42" fillId="0" borderId="13" xfId="141" applyFont="1" applyBorder="1" applyAlignment="1">
      <alignment horizontal="center" vertical="center"/>
    </xf>
    <xf numFmtId="0" fontId="42" fillId="0" borderId="0" xfId="141" applyFont="1" applyBorder="1" applyAlignment="1">
      <alignment horizontal="center" vertical="center"/>
    </xf>
    <xf numFmtId="0" fontId="42" fillId="0" borderId="14" xfId="141" applyFont="1" applyBorder="1" applyAlignment="1">
      <alignment horizontal="center" vertical="center"/>
    </xf>
    <xf numFmtId="165" fontId="49" fillId="0" borderId="51" xfId="46" applyFont="1" applyBorder="1" applyAlignment="1">
      <alignment horizontal="center" vertical="center"/>
    </xf>
    <xf numFmtId="165" fontId="49" fillId="0" borderId="117" xfId="46" applyFont="1" applyBorder="1" applyAlignment="1">
      <alignment horizontal="center" vertical="center"/>
    </xf>
    <xf numFmtId="165" fontId="49" fillId="0" borderId="13" xfId="46" applyFont="1" applyBorder="1" applyAlignment="1">
      <alignment horizontal="center" vertical="center"/>
    </xf>
    <xf numFmtId="165" fontId="49" fillId="0" borderId="14" xfId="46" applyFont="1" applyBorder="1" applyAlignment="1">
      <alignment horizontal="center" vertical="center"/>
    </xf>
    <xf numFmtId="165" fontId="49" fillId="0" borderId="15" xfId="46" applyFont="1" applyBorder="1" applyAlignment="1">
      <alignment horizontal="center" vertical="center"/>
    </xf>
    <xf numFmtId="165" fontId="49" fillId="0" borderId="17" xfId="46" applyFont="1" applyBorder="1" applyAlignment="1">
      <alignment horizontal="center" vertical="center"/>
    </xf>
    <xf numFmtId="0" fontId="44" fillId="0" borderId="32" xfId="141" applyFont="1" applyBorder="1" applyAlignment="1">
      <alignment horizontal="center" vertical="center"/>
    </xf>
    <xf numFmtId="0" fontId="44" fillId="0" borderId="46" xfId="141" applyFont="1" applyBorder="1" applyAlignment="1">
      <alignment horizontal="center" vertical="center"/>
    </xf>
    <xf numFmtId="0" fontId="55" fillId="0" borderId="15" xfId="141" applyFont="1" applyBorder="1" applyAlignment="1">
      <alignment horizontal="center" vertical="center"/>
    </xf>
    <xf numFmtId="0" fontId="55" fillId="0" borderId="16" xfId="141" applyFont="1" applyBorder="1" applyAlignment="1">
      <alignment horizontal="center" vertical="center"/>
    </xf>
    <xf numFmtId="0" fontId="55" fillId="0" borderId="17" xfId="141" applyFont="1" applyBorder="1" applyAlignment="1">
      <alignment horizontal="center" vertical="center"/>
    </xf>
    <xf numFmtId="0" fontId="55" fillId="0" borderId="13" xfId="140" applyFont="1" applyBorder="1" applyAlignment="1">
      <alignment horizontal="center" vertical="center"/>
    </xf>
    <xf numFmtId="0" fontId="55" fillId="0" borderId="0" xfId="140" applyFont="1" applyBorder="1" applyAlignment="1">
      <alignment horizontal="center" vertical="center"/>
    </xf>
    <xf numFmtId="0" fontId="55" fillId="0" borderId="14" xfId="140" applyFont="1" applyBorder="1" applyAlignment="1">
      <alignment horizontal="center" vertical="center"/>
    </xf>
    <xf numFmtId="0" fontId="49" fillId="24" borderId="13" xfId="858" applyFont="1" applyFill="1" applyBorder="1" applyAlignment="1">
      <alignment horizontal="center" vertical="center"/>
    </xf>
    <xf numFmtId="0" fontId="44" fillId="24" borderId="13" xfId="858" applyFont="1" applyFill="1" applyBorder="1" applyAlignment="1">
      <alignment horizontal="center" vertical="center"/>
    </xf>
    <xf numFmtId="0" fontId="44" fillId="24" borderId="0" xfId="858" applyFont="1" applyFill="1" applyBorder="1" applyAlignment="1">
      <alignment horizontal="center" vertical="center"/>
    </xf>
    <xf numFmtId="0" fontId="44" fillId="24" borderId="13" xfId="858" applyFont="1" applyFill="1" applyBorder="1" applyAlignment="1">
      <alignment horizontal="center" vertical="center" wrapText="1"/>
    </xf>
    <xf numFmtId="0" fontId="44" fillId="24" borderId="0" xfId="858" applyFont="1" applyFill="1" applyBorder="1" applyAlignment="1">
      <alignment horizontal="center" vertical="center" wrapText="1"/>
    </xf>
    <xf numFmtId="0" fontId="44" fillId="29" borderId="20" xfId="857" applyFont="1" applyFill="1" applyBorder="1" applyAlignment="1">
      <alignment horizontal="center" vertical="center" wrapText="1"/>
    </xf>
    <xf numFmtId="0" fontId="44" fillId="29" borderId="22" xfId="857" applyFont="1" applyFill="1" applyBorder="1" applyAlignment="1">
      <alignment horizontal="center" vertical="center" wrapText="1"/>
    </xf>
    <xf numFmtId="0" fontId="44" fillId="29" borderId="81" xfId="857" applyFont="1" applyFill="1" applyBorder="1" applyAlignment="1">
      <alignment horizontal="center" vertical="center"/>
    </xf>
    <xf numFmtId="0" fontId="44" fillId="29" borderId="17" xfId="857" applyFont="1" applyFill="1" applyBorder="1" applyAlignment="1">
      <alignment horizontal="center" vertical="center"/>
    </xf>
    <xf numFmtId="0" fontId="42" fillId="0" borderId="13" xfId="140" applyFont="1" applyBorder="1" applyAlignment="1">
      <alignment horizontal="center" vertical="center" wrapText="1"/>
    </xf>
    <xf numFmtId="0" fontId="42" fillId="0" borderId="0" xfId="140" applyFont="1" applyBorder="1" applyAlignment="1">
      <alignment horizontal="center" vertical="center" wrapText="1"/>
    </xf>
    <xf numFmtId="0" fontId="42" fillId="0" borderId="14" xfId="140" applyFont="1" applyBorder="1" applyAlignment="1">
      <alignment horizontal="center" vertical="center" wrapText="1"/>
    </xf>
    <xf numFmtId="0" fontId="42" fillId="0" borderId="15" xfId="140" applyFont="1" applyBorder="1" applyAlignment="1">
      <alignment horizontal="center" vertical="center" wrapText="1"/>
    </xf>
    <xf numFmtId="0" fontId="42" fillId="0" borderId="16" xfId="140" applyFont="1" applyBorder="1" applyAlignment="1">
      <alignment horizontal="center" vertical="center" wrapText="1"/>
    </xf>
    <xf numFmtId="0" fontId="42" fillId="0" borderId="17" xfId="140" applyFont="1" applyBorder="1" applyAlignment="1">
      <alignment horizontal="center" vertical="center" wrapText="1"/>
    </xf>
    <xf numFmtId="0" fontId="43" fillId="0" borderId="16" xfId="140" applyFont="1" applyBorder="1" applyAlignment="1">
      <alignment horizontal="center" vertical="center"/>
    </xf>
    <xf numFmtId="0" fontId="43" fillId="0" borderId="17" xfId="140" applyFont="1" applyBorder="1" applyAlignment="1">
      <alignment horizontal="center" vertical="center"/>
    </xf>
    <xf numFmtId="0" fontId="44" fillId="29" borderId="140" xfId="857" applyFont="1" applyFill="1" applyBorder="1" applyAlignment="1">
      <alignment horizontal="center" vertical="center"/>
    </xf>
    <xf numFmtId="0" fontId="44" fillId="29" borderId="137" xfId="857" applyFont="1" applyFill="1" applyBorder="1" applyAlignment="1">
      <alignment horizontal="center" vertical="center"/>
    </xf>
    <xf numFmtId="0" fontId="67" fillId="0" borderId="10" xfId="0" applyFont="1" applyBorder="1" applyAlignment="1">
      <alignment horizontal="center" wrapText="1"/>
    </xf>
    <xf numFmtId="0" fontId="67" fillId="0" borderId="80" xfId="0" applyFont="1" applyBorder="1" applyAlignment="1">
      <alignment horizontal="center" wrapText="1"/>
    </xf>
    <xf numFmtId="0" fontId="67" fillId="0" borderId="81" xfId="0" applyFont="1" applyBorder="1" applyAlignment="1">
      <alignment horizontal="center" wrapText="1"/>
    </xf>
    <xf numFmtId="0" fontId="67" fillId="0" borderId="13" xfId="0" applyFont="1" applyBorder="1" applyAlignment="1">
      <alignment horizontal="center" wrapText="1"/>
    </xf>
    <xf numFmtId="0" fontId="67" fillId="0" borderId="0" xfId="0" applyFont="1" applyBorder="1" applyAlignment="1">
      <alignment horizontal="center" wrapText="1"/>
    </xf>
    <xf numFmtId="0" fontId="67" fillId="0" borderId="14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43" fillId="0" borderId="20" xfId="139" applyFont="1" applyBorder="1" applyAlignment="1">
      <alignment horizontal="center" vertical="center" wrapText="1" shrinkToFit="1"/>
    </xf>
    <xf numFmtId="0" fontId="43" fillId="0" borderId="22" xfId="139" applyFont="1" applyBorder="1" applyAlignment="1">
      <alignment horizontal="center" vertical="center" wrapText="1" shrinkToFit="1"/>
    </xf>
    <xf numFmtId="0" fontId="44" fillId="0" borderId="15" xfId="0" applyFont="1" applyBorder="1" applyAlignment="1">
      <alignment horizontal="center"/>
    </xf>
    <xf numFmtId="0" fontId="44" fillId="0" borderId="16" xfId="0" applyFont="1" applyBorder="1" applyAlignment="1">
      <alignment horizontal="center"/>
    </xf>
    <xf numFmtId="0" fontId="44" fillId="0" borderId="17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4" xfId="0" applyFont="1" applyBorder="1" applyAlignment="1">
      <alignment horizontal="center"/>
    </xf>
    <xf numFmtId="0" fontId="44" fillId="0" borderId="35" xfId="0" applyFont="1" applyBorder="1" applyAlignment="1">
      <alignment horizontal="center"/>
    </xf>
    <xf numFmtId="0" fontId="44" fillId="0" borderId="39" xfId="0" applyFont="1" applyBorder="1" applyAlignment="1">
      <alignment horizontal="center"/>
    </xf>
    <xf numFmtId="0" fontId="44" fillId="0" borderId="47" xfId="0" applyFont="1" applyBorder="1" applyAlignment="1">
      <alignment horizontal="center"/>
    </xf>
    <xf numFmtId="0" fontId="44" fillId="0" borderId="36" xfId="0" applyFont="1" applyBorder="1" applyAlignment="1">
      <alignment horizontal="center"/>
    </xf>
    <xf numFmtId="0" fontId="44" fillId="0" borderId="38" xfId="0" applyFont="1" applyBorder="1" applyAlignment="1">
      <alignment horizontal="center"/>
    </xf>
    <xf numFmtId="0" fontId="44" fillId="0" borderId="48" xfId="0" applyFont="1" applyBorder="1" applyAlignment="1">
      <alignment horizontal="center"/>
    </xf>
    <xf numFmtId="0" fontId="43" fillId="0" borderId="35" xfId="139" applyFont="1" applyBorder="1" applyAlignment="1">
      <alignment horizontal="center" vertical="center"/>
    </xf>
    <xf numFmtId="0" fontId="43" fillId="0" borderId="39" xfId="139" applyFont="1" applyBorder="1" applyAlignment="1">
      <alignment horizontal="center" vertical="center"/>
    </xf>
    <xf numFmtId="0" fontId="43" fillId="0" borderId="47" xfId="139" applyFont="1" applyBorder="1" applyAlignment="1">
      <alignment horizontal="center" vertical="center"/>
    </xf>
    <xf numFmtId="0" fontId="43" fillId="0" borderId="20" xfId="139" applyFont="1" applyBorder="1" applyAlignment="1">
      <alignment horizontal="center" vertical="center"/>
    </xf>
    <xf numFmtId="0" fontId="43" fillId="0" borderId="22" xfId="139" applyFont="1" applyBorder="1" applyAlignment="1">
      <alignment horizontal="center" vertical="center"/>
    </xf>
    <xf numFmtId="0" fontId="43" fillId="0" borderId="35" xfId="139" applyFont="1" applyBorder="1" applyAlignment="1">
      <alignment horizontal="center" vertical="center" wrapText="1" shrinkToFit="1"/>
    </xf>
    <xf numFmtId="0" fontId="43" fillId="0" borderId="47" xfId="139" applyFont="1" applyBorder="1" applyAlignment="1">
      <alignment horizontal="center" vertical="center" wrapText="1" shrinkToFit="1"/>
    </xf>
    <xf numFmtId="0" fontId="44" fillId="0" borderId="10" xfId="0" applyFont="1" applyBorder="1" applyAlignment="1">
      <alignment horizontal="center"/>
    </xf>
    <xf numFmtId="0" fontId="44" fillId="0" borderId="80" xfId="0" applyFont="1" applyBorder="1" applyAlignment="1">
      <alignment horizontal="center"/>
    </xf>
    <xf numFmtId="0" fontId="59" fillId="0" borderId="13" xfId="140" applyFont="1" applyFill="1" applyBorder="1" applyAlignment="1">
      <alignment horizontal="center" vertical="center" wrapText="1"/>
    </xf>
    <xf numFmtId="0" fontId="59" fillId="0" borderId="15" xfId="140" applyFont="1" applyFill="1" applyBorder="1" applyAlignment="1">
      <alignment horizontal="center" vertical="center" wrapText="1"/>
    </xf>
    <xf numFmtId="0" fontId="59" fillId="0" borderId="16" xfId="140" applyFont="1" applyFill="1" applyBorder="1" applyAlignment="1">
      <alignment horizontal="center" vertical="center" wrapText="1"/>
    </xf>
    <xf numFmtId="0" fontId="146" fillId="0" borderId="19" xfId="52" applyFont="1" applyFill="1" applyBorder="1" applyAlignment="1">
      <alignment horizontal="center" vertical="center"/>
    </xf>
    <xf numFmtId="0" fontId="146" fillId="0" borderId="137" xfId="52" applyFont="1" applyFill="1" applyBorder="1" applyAlignment="1">
      <alignment horizontal="center" vertical="center"/>
    </xf>
    <xf numFmtId="0" fontId="144" fillId="0" borderId="138" xfId="140" applyFont="1" applyFill="1" applyBorder="1" applyAlignment="1">
      <alignment horizontal="center" vertical="center" wrapText="1"/>
    </xf>
    <xf numFmtId="43" fontId="139" fillId="29" borderId="19" xfId="47" applyNumberFormat="1" applyFont="1" applyFill="1" applyBorder="1" applyAlignment="1">
      <alignment horizontal="center" vertical="center" wrapText="1"/>
    </xf>
    <xf numFmtId="43" fontId="139" fillId="29" borderId="137" xfId="47" applyNumberFormat="1" applyFont="1" applyFill="1" applyBorder="1" applyAlignment="1">
      <alignment horizontal="center" vertical="center" wrapText="1"/>
    </xf>
    <xf numFmtId="0" fontId="43" fillId="34" borderId="138" xfId="56" applyFont="1" applyFill="1" applyBorder="1" applyAlignment="1">
      <alignment horizontal="center" vertical="center"/>
    </xf>
    <xf numFmtId="43" fontId="139" fillId="29" borderId="140" xfId="47" applyNumberFormat="1" applyFont="1" applyFill="1" applyBorder="1" applyAlignment="1">
      <alignment horizontal="center" vertical="center" wrapText="1"/>
    </xf>
    <xf numFmtId="1" fontId="44" fillId="34" borderId="138" xfId="52" applyNumberFormat="1" applyFont="1" applyFill="1" applyBorder="1" applyAlignment="1">
      <alignment horizontal="center" vertical="center" textRotation="90"/>
    </xf>
    <xf numFmtId="0" fontId="42" fillId="34" borderId="138" xfId="52" applyFont="1" applyFill="1" applyBorder="1" applyAlignment="1">
      <alignment horizontal="center" vertical="center"/>
    </xf>
    <xf numFmtId="0" fontId="43" fillId="34" borderId="20" xfId="52" applyFont="1" applyFill="1" applyBorder="1" applyAlignment="1">
      <alignment horizontal="center" vertical="center"/>
    </xf>
    <xf numFmtId="0" fontId="43" fillId="34" borderId="22" xfId="52" applyFont="1" applyFill="1" applyBorder="1" applyAlignment="1">
      <alignment horizontal="center" vertical="center"/>
    </xf>
    <xf numFmtId="0" fontId="43" fillId="34" borderId="19" xfId="52" applyFont="1" applyFill="1" applyBorder="1" applyAlignment="1">
      <alignment horizontal="center" vertical="center"/>
    </xf>
    <xf numFmtId="0" fontId="43" fillId="34" borderId="140" xfId="52" applyFont="1" applyFill="1" applyBorder="1" applyAlignment="1">
      <alignment horizontal="center" vertical="center"/>
    </xf>
    <xf numFmtId="0" fontId="43" fillId="34" borderId="137" xfId="52" applyFont="1" applyFill="1" applyBorder="1" applyAlignment="1">
      <alignment horizontal="center" vertical="center"/>
    </xf>
  </cellXfs>
  <cellStyles count="874">
    <cellStyle name="20% - Accent1" xfId="71" xr:uid="{00000000-0005-0000-0000-000000000000}"/>
    <cellStyle name="20% - Accent2" xfId="72" xr:uid="{00000000-0005-0000-0000-000001000000}"/>
    <cellStyle name="20% - Accent3" xfId="73" xr:uid="{00000000-0005-0000-0000-000002000000}"/>
    <cellStyle name="20% - Accent4" xfId="74" xr:uid="{00000000-0005-0000-0000-000003000000}"/>
    <cellStyle name="20% - Accent5" xfId="75" xr:uid="{00000000-0005-0000-0000-000004000000}"/>
    <cellStyle name="20% - Accent6" xfId="76" xr:uid="{00000000-0005-0000-0000-000005000000}"/>
    <cellStyle name="20% - Énfasis1" xfId="1" builtinId="30" customBuiltin="1"/>
    <cellStyle name="20% - Énfasis1 10" xfId="147" xr:uid="{00000000-0005-0000-0000-000007000000}"/>
    <cellStyle name="20% - Énfasis1 11" xfId="148" xr:uid="{00000000-0005-0000-0000-000008000000}"/>
    <cellStyle name="20% - Énfasis1 12" xfId="149" xr:uid="{00000000-0005-0000-0000-000009000000}"/>
    <cellStyle name="20% - Énfasis1 13" xfId="150" xr:uid="{00000000-0005-0000-0000-00000A000000}"/>
    <cellStyle name="20% - Énfasis1 2" xfId="151" xr:uid="{00000000-0005-0000-0000-00000B000000}"/>
    <cellStyle name="20% - Énfasis1 3" xfId="152" xr:uid="{00000000-0005-0000-0000-00000C000000}"/>
    <cellStyle name="20% - Énfasis1 4" xfId="153" xr:uid="{00000000-0005-0000-0000-00000D000000}"/>
    <cellStyle name="20% - Énfasis1 5" xfId="154" xr:uid="{00000000-0005-0000-0000-00000E000000}"/>
    <cellStyle name="20% - Énfasis1 6" xfId="155" xr:uid="{00000000-0005-0000-0000-00000F000000}"/>
    <cellStyle name="20% - Énfasis1 7" xfId="156" xr:uid="{00000000-0005-0000-0000-000010000000}"/>
    <cellStyle name="20% - Énfasis1 8" xfId="157" xr:uid="{00000000-0005-0000-0000-000011000000}"/>
    <cellStyle name="20% - Énfasis1 9" xfId="158" xr:uid="{00000000-0005-0000-0000-000012000000}"/>
    <cellStyle name="20% - Énfasis2" xfId="2" builtinId="34" customBuiltin="1"/>
    <cellStyle name="20% - Énfasis2 10" xfId="159" xr:uid="{00000000-0005-0000-0000-000014000000}"/>
    <cellStyle name="20% - Énfasis2 11" xfId="160" xr:uid="{00000000-0005-0000-0000-000015000000}"/>
    <cellStyle name="20% - Énfasis2 12" xfId="161" xr:uid="{00000000-0005-0000-0000-000016000000}"/>
    <cellStyle name="20% - Énfasis2 13" xfId="162" xr:uid="{00000000-0005-0000-0000-000017000000}"/>
    <cellStyle name="20% - Énfasis2 2" xfId="163" xr:uid="{00000000-0005-0000-0000-000018000000}"/>
    <cellStyle name="20% - Énfasis2 3" xfId="164" xr:uid="{00000000-0005-0000-0000-000019000000}"/>
    <cellStyle name="20% - Énfasis2 4" xfId="165" xr:uid="{00000000-0005-0000-0000-00001A000000}"/>
    <cellStyle name="20% - Énfasis2 5" xfId="166" xr:uid="{00000000-0005-0000-0000-00001B000000}"/>
    <cellStyle name="20% - Énfasis2 6" xfId="167" xr:uid="{00000000-0005-0000-0000-00001C000000}"/>
    <cellStyle name="20% - Énfasis2 7" xfId="168" xr:uid="{00000000-0005-0000-0000-00001D000000}"/>
    <cellStyle name="20% - Énfasis2 8" xfId="169" xr:uid="{00000000-0005-0000-0000-00001E000000}"/>
    <cellStyle name="20% - Énfasis2 9" xfId="170" xr:uid="{00000000-0005-0000-0000-00001F000000}"/>
    <cellStyle name="20% - Énfasis3" xfId="3" builtinId="38" customBuiltin="1"/>
    <cellStyle name="20% - Énfasis3 10" xfId="171" xr:uid="{00000000-0005-0000-0000-000021000000}"/>
    <cellStyle name="20% - Énfasis3 11" xfId="172" xr:uid="{00000000-0005-0000-0000-000022000000}"/>
    <cellStyle name="20% - Énfasis3 12" xfId="173" xr:uid="{00000000-0005-0000-0000-000023000000}"/>
    <cellStyle name="20% - Énfasis3 13" xfId="174" xr:uid="{00000000-0005-0000-0000-000024000000}"/>
    <cellStyle name="20% - Énfasis3 2" xfId="175" xr:uid="{00000000-0005-0000-0000-000025000000}"/>
    <cellStyle name="20% - Énfasis3 3" xfId="176" xr:uid="{00000000-0005-0000-0000-000026000000}"/>
    <cellStyle name="20% - Énfasis3 4" xfId="177" xr:uid="{00000000-0005-0000-0000-000027000000}"/>
    <cellStyle name="20% - Énfasis3 5" xfId="178" xr:uid="{00000000-0005-0000-0000-000028000000}"/>
    <cellStyle name="20% - Énfasis3 6" xfId="179" xr:uid="{00000000-0005-0000-0000-000029000000}"/>
    <cellStyle name="20% - Énfasis3 7" xfId="180" xr:uid="{00000000-0005-0000-0000-00002A000000}"/>
    <cellStyle name="20% - Énfasis3 8" xfId="181" xr:uid="{00000000-0005-0000-0000-00002B000000}"/>
    <cellStyle name="20% - Énfasis3 9" xfId="182" xr:uid="{00000000-0005-0000-0000-00002C000000}"/>
    <cellStyle name="20% - Énfasis4" xfId="4" builtinId="42" customBuiltin="1"/>
    <cellStyle name="20% - Énfasis4 10" xfId="183" xr:uid="{00000000-0005-0000-0000-00002E000000}"/>
    <cellStyle name="20% - Énfasis4 11" xfId="184" xr:uid="{00000000-0005-0000-0000-00002F000000}"/>
    <cellStyle name="20% - Énfasis4 12" xfId="185" xr:uid="{00000000-0005-0000-0000-000030000000}"/>
    <cellStyle name="20% - Énfasis4 13" xfId="186" xr:uid="{00000000-0005-0000-0000-000031000000}"/>
    <cellStyle name="20% - Énfasis4 2" xfId="187" xr:uid="{00000000-0005-0000-0000-000032000000}"/>
    <cellStyle name="20% - Énfasis4 3" xfId="188" xr:uid="{00000000-0005-0000-0000-000033000000}"/>
    <cellStyle name="20% - Énfasis4 4" xfId="189" xr:uid="{00000000-0005-0000-0000-000034000000}"/>
    <cellStyle name="20% - Énfasis4 5" xfId="190" xr:uid="{00000000-0005-0000-0000-000035000000}"/>
    <cellStyle name="20% - Énfasis4 6" xfId="191" xr:uid="{00000000-0005-0000-0000-000036000000}"/>
    <cellStyle name="20% - Énfasis4 7" xfId="192" xr:uid="{00000000-0005-0000-0000-000037000000}"/>
    <cellStyle name="20% - Énfasis4 8" xfId="193" xr:uid="{00000000-0005-0000-0000-000038000000}"/>
    <cellStyle name="20% - Énfasis4 9" xfId="194" xr:uid="{00000000-0005-0000-0000-000039000000}"/>
    <cellStyle name="20% - Énfasis5" xfId="5" builtinId="46" customBuiltin="1"/>
    <cellStyle name="20% - Énfasis5 10" xfId="195" xr:uid="{00000000-0005-0000-0000-00003B000000}"/>
    <cellStyle name="20% - Énfasis5 11" xfId="196" xr:uid="{00000000-0005-0000-0000-00003C000000}"/>
    <cellStyle name="20% - Énfasis5 12" xfId="197" xr:uid="{00000000-0005-0000-0000-00003D000000}"/>
    <cellStyle name="20% - Énfasis5 13" xfId="198" xr:uid="{00000000-0005-0000-0000-00003E000000}"/>
    <cellStyle name="20% - Énfasis5 2" xfId="199" xr:uid="{00000000-0005-0000-0000-00003F000000}"/>
    <cellStyle name="20% - Énfasis5 3" xfId="200" xr:uid="{00000000-0005-0000-0000-000040000000}"/>
    <cellStyle name="20% - Énfasis5 4" xfId="201" xr:uid="{00000000-0005-0000-0000-000041000000}"/>
    <cellStyle name="20% - Énfasis5 5" xfId="202" xr:uid="{00000000-0005-0000-0000-000042000000}"/>
    <cellStyle name="20% - Énfasis5 6" xfId="203" xr:uid="{00000000-0005-0000-0000-000043000000}"/>
    <cellStyle name="20% - Énfasis5 7" xfId="204" xr:uid="{00000000-0005-0000-0000-000044000000}"/>
    <cellStyle name="20% - Énfasis5 8" xfId="205" xr:uid="{00000000-0005-0000-0000-000045000000}"/>
    <cellStyle name="20% - Énfasis5 9" xfId="206" xr:uid="{00000000-0005-0000-0000-000046000000}"/>
    <cellStyle name="20% - Énfasis6" xfId="6" builtinId="50" customBuiltin="1"/>
    <cellStyle name="20% - Énfasis6 10" xfId="207" xr:uid="{00000000-0005-0000-0000-000048000000}"/>
    <cellStyle name="20% - Énfasis6 11" xfId="208" xr:uid="{00000000-0005-0000-0000-000049000000}"/>
    <cellStyle name="20% - Énfasis6 12" xfId="209" xr:uid="{00000000-0005-0000-0000-00004A000000}"/>
    <cellStyle name="20% - Énfasis6 13" xfId="210" xr:uid="{00000000-0005-0000-0000-00004B000000}"/>
    <cellStyle name="20% - Énfasis6 2" xfId="211" xr:uid="{00000000-0005-0000-0000-00004C000000}"/>
    <cellStyle name="20% - Énfasis6 3" xfId="212" xr:uid="{00000000-0005-0000-0000-00004D000000}"/>
    <cellStyle name="20% - Énfasis6 4" xfId="213" xr:uid="{00000000-0005-0000-0000-00004E000000}"/>
    <cellStyle name="20% - Énfasis6 5" xfId="214" xr:uid="{00000000-0005-0000-0000-00004F000000}"/>
    <cellStyle name="20% - Énfasis6 6" xfId="215" xr:uid="{00000000-0005-0000-0000-000050000000}"/>
    <cellStyle name="20% - Énfasis6 7" xfId="216" xr:uid="{00000000-0005-0000-0000-000051000000}"/>
    <cellStyle name="20% - Énfasis6 8" xfId="217" xr:uid="{00000000-0005-0000-0000-000052000000}"/>
    <cellStyle name="20% - Énfasis6 9" xfId="218" xr:uid="{00000000-0005-0000-0000-000053000000}"/>
    <cellStyle name="40% - Accent1" xfId="77" xr:uid="{00000000-0005-0000-0000-000054000000}"/>
    <cellStyle name="40% - Accent2" xfId="78" xr:uid="{00000000-0005-0000-0000-000055000000}"/>
    <cellStyle name="40% - Accent3" xfId="79" xr:uid="{00000000-0005-0000-0000-000056000000}"/>
    <cellStyle name="40% - Accent4" xfId="80" xr:uid="{00000000-0005-0000-0000-000057000000}"/>
    <cellStyle name="40% - Accent5" xfId="81" xr:uid="{00000000-0005-0000-0000-000058000000}"/>
    <cellStyle name="40% - Accent6" xfId="82" xr:uid="{00000000-0005-0000-0000-000059000000}"/>
    <cellStyle name="40% - Énfasis1" xfId="7" builtinId="31" customBuiltin="1"/>
    <cellStyle name="40% - Énfasis1 10" xfId="219" xr:uid="{00000000-0005-0000-0000-00005B000000}"/>
    <cellStyle name="40% - Énfasis1 11" xfId="220" xr:uid="{00000000-0005-0000-0000-00005C000000}"/>
    <cellStyle name="40% - Énfasis1 12" xfId="221" xr:uid="{00000000-0005-0000-0000-00005D000000}"/>
    <cellStyle name="40% - Énfasis1 13" xfId="222" xr:uid="{00000000-0005-0000-0000-00005E000000}"/>
    <cellStyle name="40% - Énfasis1 2" xfId="223" xr:uid="{00000000-0005-0000-0000-00005F000000}"/>
    <cellStyle name="40% - Énfasis1 3" xfId="224" xr:uid="{00000000-0005-0000-0000-000060000000}"/>
    <cellStyle name="40% - Énfasis1 4" xfId="225" xr:uid="{00000000-0005-0000-0000-000061000000}"/>
    <cellStyle name="40% - Énfasis1 5" xfId="226" xr:uid="{00000000-0005-0000-0000-000062000000}"/>
    <cellStyle name="40% - Énfasis1 6" xfId="227" xr:uid="{00000000-0005-0000-0000-000063000000}"/>
    <cellStyle name="40% - Énfasis1 7" xfId="228" xr:uid="{00000000-0005-0000-0000-000064000000}"/>
    <cellStyle name="40% - Énfasis1 8" xfId="229" xr:uid="{00000000-0005-0000-0000-000065000000}"/>
    <cellStyle name="40% - Énfasis1 9" xfId="230" xr:uid="{00000000-0005-0000-0000-000066000000}"/>
    <cellStyle name="40% - Énfasis2" xfId="8" builtinId="35" customBuiltin="1"/>
    <cellStyle name="40% - Énfasis2 10" xfId="231" xr:uid="{00000000-0005-0000-0000-000068000000}"/>
    <cellStyle name="40% - Énfasis2 11" xfId="232" xr:uid="{00000000-0005-0000-0000-000069000000}"/>
    <cellStyle name="40% - Énfasis2 12" xfId="233" xr:uid="{00000000-0005-0000-0000-00006A000000}"/>
    <cellStyle name="40% - Énfasis2 13" xfId="234" xr:uid="{00000000-0005-0000-0000-00006B000000}"/>
    <cellStyle name="40% - Énfasis2 2" xfId="235" xr:uid="{00000000-0005-0000-0000-00006C000000}"/>
    <cellStyle name="40% - Énfasis2 3" xfId="236" xr:uid="{00000000-0005-0000-0000-00006D000000}"/>
    <cellStyle name="40% - Énfasis2 4" xfId="237" xr:uid="{00000000-0005-0000-0000-00006E000000}"/>
    <cellStyle name="40% - Énfasis2 5" xfId="238" xr:uid="{00000000-0005-0000-0000-00006F000000}"/>
    <cellStyle name="40% - Énfasis2 6" xfId="239" xr:uid="{00000000-0005-0000-0000-000070000000}"/>
    <cellStyle name="40% - Énfasis2 7" xfId="240" xr:uid="{00000000-0005-0000-0000-000071000000}"/>
    <cellStyle name="40% - Énfasis2 8" xfId="241" xr:uid="{00000000-0005-0000-0000-000072000000}"/>
    <cellStyle name="40% - Énfasis2 9" xfId="242" xr:uid="{00000000-0005-0000-0000-000073000000}"/>
    <cellStyle name="40% - Énfasis3" xfId="9" builtinId="39" customBuiltin="1"/>
    <cellStyle name="40% - Énfasis3 10" xfId="243" xr:uid="{00000000-0005-0000-0000-000075000000}"/>
    <cellStyle name="40% - Énfasis3 11" xfId="244" xr:uid="{00000000-0005-0000-0000-000076000000}"/>
    <cellStyle name="40% - Énfasis3 12" xfId="245" xr:uid="{00000000-0005-0000-0000-000077000000}"/>
    <cellStyle name="40% - Énfasis3 13" xfId="246" xr:uid="{00000000-0005-0000-0000-000078000000}"/>
    <cellStyle name="40% - Énfasis3 2" xfId="247" xr:uid="{00000000-0005-0000-0000-000079000000}"/>
    <cellStyle name="40% - Énfasis3 3" xfId="248" xr:uid="{00000000-0005-0000-0000-00007A000000}"/>
    <cellStyle name="40% - Énfasis3 4" xfId="249" xr:uid="{00000000-0005-0000-0000-00007B000000}"/>
    <cellStyle name="40% - Énfasis3 5" xfId="250" xr:uid="{00000000-0005-0000-0000-00007C000000}"/>
    <cellStyle name="40% - Énfasis3 6" xfId="251" xr:uid="{00000000-0005-0000-0000-00007D000000}"/>
    <cellStyle name="40% - Énfasis3 7" xfId="252" xr:uid="{00000000-0005-0000-0000-00007E000000}"/>
    <cellStyle name="40% - Énfasis3 8" xfId="253" xr:uid="{00000000-0005-0000-0000-00007F000000}"/>
    <cellStyle name="40% - Énfasis3 9" xfId="254" xr:uid="{00000000-0005-0000-0000-000080000000}"/>
    <cellStyle name="40% - Énfasis4" xfId="10" builtinId="43" customBuiltin="1"/>
    <cellStyle name="40% - Énfasis4 10" xfId="255" xr:uid="{00000000-0005-0000-0000-000082000000}"/>
    <cellStyle name="40% - Énfasis4 11" xfId="256" xr:uid="{00000000-0005-0000-0000-000083000000}"/>
    <cellStyle name="40% - Énfasis4 12" xfId="257" xr:uid="{00000000-0005-0000-0000-000084000000}"/>
    <cellStyle name="40% - Énfasis4 13" xfId="258" xr:uid="{00000000-0005-0000-0000-000085000000}"/>
    <cellStyle name="40% - Énfasis4 2" xfId="259" xr:uid="{00000000-0005-0000-0000-000086000000}"/>
    <cellStyle name="40% - Énfasis4 3" xfId="260" xr:uid="{00000000-0005-0000-0000-000087000000}"/>
    <cellStyle name="40% - Énfasis4 4" xfId="261" xr:uid="{00000000-0005-0000-0000-000088000000}"/>
    <cellStyle name="40% - Énfasis4 5" xfId="262" xr:uid="{00000000-0005-0000-0000-000089000000}"/>
    <cellStyle name="40% - Énfasis4 6" xfId="263" xr:uid="{00000000-0005-0000-0000-00008A000000}"/>
    <cellStyle name="40% - Énfasis4 7" xfId="264" xr:uid="{00000000-0005-0000-0000-00008B000000}"/>
    <cellStyle name="40% - Énfasis4 8" xfId="265" xr:uid="{00000000-0005-0000-0000-00008C000000}"/>
    <cellStyle name="40% - Énfasis4 9" xfId="266" xr:uid="{00000000-0005-0000-0000-00008D000000}"/>
    <cellStyle name="40% - Énfasis5" xfId="11" builtinId="47" customBuiltin="1"/>
    <cellStyle name="40% - Énfasis5 10" xfId="267" xr:uid="{00000000-0005-0000-0000-00008F000000}"/>
    <cellStyle name="40% - Énfasis5 11" xfId="268" xr:uid="{00000000-0005-0000-0000-000090000000}"/>
    <cellStyle name="40% - Énfasis5 12" xfId="269" xr:uid="{00000000-0005-0000-0000-000091000000}"/>
    <cellStyle name="40% - Énfasis5 13" xfId="270" xr:uid="{00000000-0005-0000-0000-000092000000}"/>
    <cellStyle name="40% - Énfasis5 2" xfId="271" xr:uid="{00000000-0005-0000-0000-000093000000}"/>
    <cellStyle name="40% - Énfasis5 3" xfId="272" xr:uid="{00000000-0005-0000-0000-000094000000}"/>
    <cellStyle name="40% - Énfasis5 4" xfId="273" xr:uid="{00000000-0005-0000-0000-000095000000}"/>
    <cellStyle name="40% - Énfasis5 5" xfId="274" xr:uid="{00000000-0005-0000-0000-000096000000}"/>
    <cellStyle name="40% - Énfasis5 6" xfId="275" xr:uid="{00000000-0005-0000-0000-000097000000}"/>
    <cellStyle name="40% - Énfasis5 7" xfId="276" xr:uid="{00000000-0005-0000-0000-000098000000}"/>
    <cellStyle name="40% - Énfasis5 8" xfId="277" xr:uid="{00000000-0005-0000-0000-000099000000}"/>
    <cellStyle name="40% - Énfasis5 9" xfId="278" xr:uid="{00000000-0005-0000-0000-00009A000000}"/>
    <cellStyle name="40% - Énfasis6" xfId="12" builtinId="51" customBuiltin="1"/>
    <cellStyle name="40% - Énfasis6 10" xfId="279" xr:uid="{00000000-0005-0000-0000-00009C000000}"/>
    <cellStyle name="40% - Énfasis6 11" xfId="280" xr:uid="{00000000-0005-0000-0000-00009D000000}"/>
    <cellStyle name="40% - Énfasis6 12" xfId="281" xr:uid="{00000000-0005-0000-0000-00009E000000}"/>
    <cellStyle name="40% - Énfasis6 13" xfId="282" xr:uid="{00000000-0005-0000-0000-00009F000000}"/>
    <cellStyle name="40% - Énfasis6 2" xfId="283" xr:uid="{00000000-0005-0000-0000-0000A0000000}"/>
    <cellStyle name="40% - Énfasis6 3" xfId="284" xr:uid="{00000000-0005-0000-0000-0000A1000000}"/>
    <cellStyle name="40% - Énfasis6 4" xfId="285" xr:uid="{00000000-0005-0000-0000-0000A2000000}"/>
    <cellStyle name="40% - Énfasis6 5" xfId="286" xr:uid="{00000000-0005-0000-0000-0000A3000000}"/>
    <cellStyle name="40% - Énfasis6 6" xfId="287" xr:uid="{00000000-0005-0000-0000-0000A4000000}"/>
    <cellStyle name="40% - Énfasis6 7" xfId="288" xr:uid="{00000000-0005-0000-0000-0000A5000000}"/>
    <cellStyle name="40% - Énfasis6 8" xfId="289" xr:uid="{00000000-0005-0000-0000-0000A6000000}"/>
    <cellStyle name="40% - Énfasis6 9" xfId="290" xr:uid="{00000000-0005-0000-0000-0000A7000000}"/>
    <cellStyle name="60% - Accent1" xfId="83" xr:uid="{00000000-0005-0000-0000-0000A8000000}"/>
    <cellStyle name="60% - Accent2" xfId="84" xr:uid="{00000000-0005-0000-0000-0000A9000000}"/>
    <cellStyle name="60% - Accent3" xfId="85" xr:uid="{00000000-0005-0000-0000-0000AA000000}"/>
    <cellStyle name="60% - Accent4" xfId="86" xr:uid="{00000000-0005-0000-0000-0000AB000000}"/>
    <cellStyle name="60% - Accent5" xfId="87" xr:uid="{00000000-0005-0000-0000-0000AC000000}"/>
    <cellStyle name="60% - Accent6" xfId="88" xr:uid="{00000000-0005-0000-0000-0000AD000000}"/>
    <cellStyle name="60% - Énfasis1" xfId="13" builtinId="32" customBuiltin="1"/>
    <cellStyle name="60% - Énfasis1 10" xfId="291" xr:uid="{00000000-0005-0000-0000-0000AF000000}"/>
    <cellStyle name="60% - Énfasis1 11" xfId="292" xr:uid="{00000000-0005-0000-0000-0000B0000000}"/>
    <cellStyle name="60% - Énfasis1 12" xfId="293" xr:uid="{00000000-0005-0000-0000-0000B1000000}"/>
    <cellStyle name="60% - Énfasis1 13" xfId="294" xr:uid="{00000000-0005-0000-0000-0000B2000000}"/>
    <cellStyle name="60% - Énfasis1 2" xfId="295" xr:uid="{00000000-0005-0000-0000-0000B3000000}"/>
    <cellStyle name="60% - Énfasis1 3" xfId="296" xr:uid="{00000000-0005-0000-0000-0000B4000000}"/>
    <cellStyle name="60% - Énfasis1 4" xfId="297" xr:uid="{00000000-0005-0000-0000-0000B5000000}"/>
    <cellStyle name="60% - Énfasis1 5" xfId="298" xr:uid="{00000000-0005-0000-0000-0000B6000000}"/>
    <cellStyle name="60% - Énfasis1 6" xfId="299" xr:uid="{00000000-0005-0000-0000-0000B7000000}"/>
    <cellStyle name="60% - Énfasis1 7" xfId="300" xr:uid="{00000000-0005-0000-0000-0000B8000000}"/>
    <cellStyle name="60% - Énfasis1 8" xfId="301" xr:uid="{00000000-0005-0000-0000-0000B9000000}"/>
    <cellStyle name="60% - Énfasis1 9" xfId="302" xr:uid="{00000000-0005-0000-0000-0000BA000000}"/>
    <cellStyle name="60% - Énfasis2" xfId="14" builtinId="36" customBuiltin="1"/>
    <cellStyle name="60% - Énfasis2 10" xfId="303" xr:uid="{00000000-0005-0000-0000-0000BC000000}"/>
    <cellStyle name="60% - Énfasis2 11" xfId="304" xr:uid="{00000000-0005-0000-0000-0000BD000000}"/>
    <cellStyle name="60% - Énfasis2 12" xfId="305" xr:uid="{00000000-0005-0000-0000-0000BE000000}"/>
    <cellStyle name="60% - Énfasis2 13" xfId="306" xr:uid="{00000000-0005-0000-0000-0000BF000000}"/>
    <cellStyle name="60% - Énfasis2 2" xfId="307" xr:uid="{00000000-0005-0000-0000-0000C0000000}"/>
    <cellStyle name="60% - Énfasis2 3" xfId="308" xr:uid="{00000000-0005-0000-0000-0000C1000000}"/>
    <cellStyle name="60% - Énfasis2 4" xfId="309" xr:uid="{00000000-0005-0000-0000-0000C2000000}"/>
    <cellStyle name="60% - Énfasis2 5" xfId="310" xr:uid="{00000000-0005-0000-0000-0000C3000000}"/>
    <cellStyle name="60% - Énfasis2 6" xfId="311" xr:uid="{00000000-0005-0000-0000-0000C4000000}"/>
    <cellStyle name="60% - Énfasis2 7" xfId="312" xr:uid="{00000000-0005-0000-0000-0000C5000000}"/>
    <cellStyle name="60% - Énfasis2 8" xfId="313" xr:uid="{00000000-0005-0000-0000-0000C6000000}"/>
    <cellStyle name="60% - Énfasis2 9" xfId="314" xr:uid="{00000000-0005-0000-0000-0000C7000000}"/>
    <cellStyle name="60% - Énfasis3" xfId="15" builtinId="40" customBuiltin="1"/>
    <cellStyle name="60% - Énfasis3 10" xfId="315" xr:uid="{00000000-0005-0000-0000-0000C9000000}"/>
    <cellStyle name="60% - Énfasis3 11" xfId="316" xr:uid="{00000000-0005-0000-0000-0000CA000000}"/>
    <cellStyle name="60% - Énfasis3 12" xfId="317" xr:uid="{00000000-0005-0000-0000-0000CB000000}"/>
    <cellStyle name="60% - Énfasis3 13" xfId="318" xr:uid="{00000000-0005-0000-0000-0000CC000000}"/>
    <cellStyle name="60% - Énfasis3 2" xfId="319" xr:uid="{00000000-0005-0000-0000-0000CD000000}"/>
    <cellStyle name="60% - Énfasis3 3" xfId="320" xr:uid="{00000000-0005-0000-0000-0000CE000000}"/>
    <cellStyle name="60% - Énfasis3 4" xfId="321" xr:uid="{00000000-0005-0000-0000-0000CF000000}"/>
    <cellStyle name="60% - Énfasis3 5" xfId="322" xr:uid="{00000000-0005-0000-0000-0000D0000000}"/>
    <cellStyle name="60% - Énfasis3 6" xfId="323" xr:uid="{00000000-0005-0000-0000-0000D1000000}"/>
    <cellStyle name="60% - Énfasis3 7" xfId="324" xr:uid="{00000000-0005-0000-0000-0000D2000000}"/>
    <cellStyle name="60% - Énfasis3 8" xfId="325" xr:uid="{00000000-0005-0000-0000-0000D3000000}"/>
    <cellStyle name="60% - Énfasis3 9" xfId="326" xr:uid="{00000000-0005-0000-0000-0000D4000000}"/>
    <cellStyle name="60% - Énfasis4" xfId="16" builtinId="44" customBuiltin="1"/>
    <cellStyle name="60% - Énfasis4 10" xfId="327" xr:uid="{00000000-0005-0000-0000-0000D6000000}"/>
    <cellStyle name="60% - Énfasis4 11" xfId="328" xr:uid="{00000000-0005-0000-0000-0000D7000000}"/>
    <cellStyle name="60% - Énfasis4 12" xfId="329" xr:uid="{00000000-0005-0000-0000-0000D8000000}"/>
    <cellStyle name="60% - Énfasis4 13" xfId="330" xr:uid="{00000000-0005-0000-0000-0000D9000000}"/>
    <cellStyle name="60% - Énfasis4 2" xfId="331" xr:uid="{00000000-0005-0000-0000-0000DA000000}"/>
    <cellStyle name="60% - Énfasis4 3" xfId="332" xr:uid="{00000000-0005-0000-0000-0000DB000000}"/>
    <cellStyle name="60% - Énfasis4 4" xfId="333" xr:uid="{00000000-0005-0000-0000-0000DC000000}"/>
    <cellStyle name="60% - Énfasis4 5" xfId="334" xr:uid="{00000000-0005-0000-0000-0000DD000000}"/>
    <cellStyle name="60% - Énfasis4 6" xfId="335" xr:uid="{00000000-0005-0000-0000-0000DE000000}"/>
    <cellStyle name="60% - Énfasis4 7" xfId="336" xr:uid="{00000000-0005-0000-0000-0000DF000000}"/>
    <cellStyle name="60% - Énfasis4 8" xfId="337" xr:uid="{00000000-0005-0000-0000-0000E0000000}"/>
    <cellStyle name="60% - Énfasis4 9" xfId="338" xr:uid="{00000000-0005-0000-0000-0000E1000000}"/>
    <cellStyle name="60% - Énfasis5" xfId="17" builtinId="48" customBuiltin="1"/>
    <cellStyle name="60% - Énfasis5 10" xfId="339" xr:uid="{00000000-0005-0000-0000-0000E3000000}"/>
    <cellStyle name="60% - Énfasis5 11" xfId="340" xr:uid="{00000000-0005-0000-0000-0000E4000000}"/>
    <cellStyle name="60% - Énfasis5 12" xfId="341" xr:uid="{00000000-0005-0000-0000-0000E5000000}"/>
    <cellStyle name="60% - Énfasis5 13" xfId="342" xr:uid="{00000000-0005-0000-0000-0000E6000000}"/>
    <cellStyle name="60% - Énfasis5 2" xfId="343" xr:uid="{00000000-0005-0000-0000-0000E7000000}"/>
    <cellStyle name="60% - Énfasis5 3" xfId="344" xr:uid="{00000000-0005-0000-0000-0000E8000000}"/>
    <cellStyle name="60% - Énfasis5 4" xfId="345" xr:uid="{00000000-0005-0000-0000-0000E9000000}"/>
    <cellStyle name="60% - Énfasis5 5" xfId="346" xr:uid="{00000000-0005-0000-0000-0000EA000000}"/>
    <cellStyle name="60% - Énfasis5 6" xfId="347" xr:uid="{00000000-0005-0000-0000-0000EB000000}"/>
    <cellStyle name="60% - Énfasis5 7" xfId="348" xr:uid="{00000000-0005-0000-0000-0000EC000000}"/>
    <cellStyle name="60% - Énfasis5 8" xfId="349" xr:uid="{00000000-0005-0000-0000-0000ED000000}"/>
    <cellStyle name="60% - Énfasis5 9" xfId="350" xr:uid="{00000000-0005-0000-0000-0000EE000000}"/>
    <cellStyle name="60% - Énfasis6" xfId="18" builtinId="52" customBuiltin="1"/>
    <cellStyle name="60% - Énfasis6 10" xfId="351" xr:uid="{00000000-0005-0000-0000-0000F0000000}"/>
    <cellStyle name="60% - Énfasis6 11" xfId="352" xr:uid="{00000000-0005-0000-0000-0000F1000000}"/>
    <cellStyle name="60% - Énfasis6 12" xfId="353" xr:uid="{00000000-0005-0000-0000-0000F2000000}"/>
    <cellStyle name="60% - Énfasis6 13" xfId="354" xr:uid="{00000000-0005-0000-0000-0000F3000000}"/>
    <cellStyle name="60% - Énfasis6 2" xfId="355" xr:uid="{00000000-0005-0000-0000-0000F4000000}"/>
    <cellStyle name="60% - Énfasis6 3" xfId="356" xr:uid="{00000000-0005-0000-0000-0000F5000000}"/>
    <cellStyle name="60% - Énfasis6 4" xfId="357" xr:uid="{00000000-0005-0000-0000-0000F6000000}"/>
    <cellStyle name="60% - Énfasis6 5" xfId="358" xr:uid="{00000000-0005-0000-0000-0000F7000000}"/>
    <cellStyle name="60% - Énfasis6 6" xfId="359" xr:uid="{00000000-0005-0000-0000-0000F8000000}"/>
    <cellStyle name="60% - Énfasis6 7" xfId="360" xr:uid="{00000000-0005-0000-0000-0000F9000000}"/>
    <cellStyle name="60% - Énfasis6 8" xfId="361" xr:uid="{00000000-0005-0000-0000-0000FA000000}"/>
    <cellStyle name="60% - Énfasis6 9" xfId="362" xr:uid="{00000000-0005-0000-0000-0000FB000000}"/>
    <cellStyle name="Accent1" xfId="89" xr:uid="{00000000-0005-0000-0000-0000FC000000}"/>
    <cellStyle name="Accent2" xfId="90" xr:uid="{00000000-0005-0000-0000-0000FD000000}"/>
    <cellStyle name="Accent3" xfId="91" xr:uid="{00000000-0005-0000-0000-0000FE000000}"/>
    <cellStyle name="Accent4" xfId="92" xr:uid="{00000000-0005-0000-0000-0000FF000000}"/>
    <cellStyle name="Accent5" xfId="93" xr:uid="{00000000-0005-0000-0000-000000010000}"/>
    <cellStyle name="Accent6" xfId="94" xr:uid="{00000000-0005-0000-0000-000001010000}"/>
    <cellStyle name="Bad" xfId="95" xr:uid="{00000000-0005-0000-0000-000002010000}"/>
    <cellStyle name="Buena 10" xfId="363" xr:uid="{00000000-0005-0000-0000-000004010000}"/>
    <cellStyle name="Buena 11" xfId="364" xr:uid="{00000000-0005-0000-0000-000005010000}"/>
    <cellStyle name="Buena 12" xfId="365" xr:uid="{00000000-0005-0000-0000-000006010000}"/>
    <cellStyle name="Buena 13" xfId="366" xr:uid="{00000000-0005-0000-0000-000007010000}"/>
    <cellStyle name="Buena 2" xfId="367" xr:uid="{00000000-0005-0000-0000-000008010000}"/>
    <cellStyle name="Buena 3" xfId="368" xr:uid="{00000000-0005-0000-0000-000009010000}"/>
    <cellStyle name="Buena 4" xfId="369" xr:uid="{00000000-0005-0000-0000-00000A010000}"/>
    <cellStyle name="Buena 5" xfId="370" xr:uid="{00000000-0005-0000-0000-00000B010000}"/>
    <cellStyle name="Buena 6" xfId="371" xr:uid="{00000000-0005-0000-0000-00000C010000}"/>
    <cellStyle name="Buena 7" xfId="372" xr:uid="{00000000-0005-0000-0000-00000D010000}"/>
    <cellStyle name="Buena 8" xfId="373" xr:uid="{00000000-0005-0000-0000-00000E010000}"/>
    <cellStyle name="Buena 9" xfId="374" xr:uid="{00000000-0005-0000-0000-00000F010000}"/>
    <cellStyle name="Bueno" xfId="19" builtinId="26" customBuiltin="1"/>
    <cellStyle name="Calculation" xfId="96" xr:uid="{00000000-0005-0000-0000-000010010000}"/>
    <cellStyle name="Cálculo" xfId="20" builtinId="22" customBuiltin="1"/>
    <cellStyle name="Cálculo 10" xfId="375" xr:uid="{00000000-0005-0000-0000-000012010000}"/>
    <cellStyle name="Cálculo 10 2" xfId="376" xr:uid="{00000000-0005-0000-0000-000013010000}"/>
    <cellStyle name="Cálculo 10 3" xfId="377" xr:uid="{00000000-0005-0000-0000-000014010000}"/>
    <cellStyle name="Cálculo 10 4" xfId="378" xr:uid="{00000000-0005-0000-0000-000015010000}"/>
    <cellStyle name="Cálculo 11" xfId="379" xr:uid="{00000000-0005-0000-0000-000016010000}"/>
    <cellStyle name="Cálculo 11 2" xfId="380" xr:uid="{00000000-0005-0000-0000-000017010000}"/>
    <cellStyle name="Cálculo 11 3" xfId="381" xr:uid="{00000000-0005-0000-0000-000018010000}"/>
    <cellStyle name="Cálculo 11 4" xfId="382" xr:uid="{00000000-0005-0000-0000-000019010000}"/>
    <cellStyle name="Cálculo 12" xfId="383" xr:uid="{00000000-0005-0000-0000-00001A010000}"/>
    <cellStyle name="Cálculo 12 2" xfId="384" xr:uid="{00000000-0005-0000-0000-00001B010000}"/>
    <cellStyle name="Cálculo 12 3" xfId="385" xr:uid="{00000000-0005-0000-0000-00001C010000}"/>
    <cellStyle name="Cálculo 12 4" xfId="386" xr:uid="{00000000-0005-0000-0000-00001D010000}"/>
    <cellStyle name="Cálculo 13" xfId="387" xr:uid="{00000000-0005-0000-0000-00001E010000}"/>
    <cellStyle name="Cálculo 13 2" xfId="388" xr:uid="{00000000-0005-0000-0000-00001F010000}"/>
    <cellStyle name="Cálculo 13 3" xfId="389" xr:uid="{00000000-0005-0000-0000-000020010000}"/>
    <cellStyle name="Cálculo 13 4" xfId="390" xr:uid="{00000000-0005-0000-0000-000021010000}"/>
    <cellStyle name="Cálculo 2" xfId="391" xr:uid="{00000000-0005-0000-0000-000022010000}"/>
    <cellStyle name="Cálculo 2 2" xfId="392" xr:uid="{00000000-0005-0000-0000-000023010000}"/>
    <cellStyle name="Cálculo 2 3" xfId="393" xr:uid="{00000000-0005-0000-0000-000024010000}"/>
    <cellStyle name="Cálculo 2 4" xfId="394" xr:uid="{00000000-0005-0000-0000-000025010000}"/>
    <cellStyle name="Cálculo 3" xfId="395" xr:uid="{00000000-0005-0000-0000-000026010000}"/>
    <cellStyle name="Cálculo 3 2" xfId="396" xr:uid="{00000000-0005-0000-0000-000027010000}"/>
    <cellStyle name="Cálculo 3 3" xfId="397" xr:uid="{00000000-0005-0000-0000-000028010000}"/>
    <cellStyle name="Cálculo 3 4" xfId="398" xr:uid="{00000000-0005-0000-0000-000029010000}"/>
    <cellStyle name="Cálculo 4" xfId="399" xr:uid="{00000000-0005-0000-0000-00002A010000}"/>
    <cellStyle name="Cálculo 4 2" xfId="400" xr:uid="{00000000-0005-0000-0000-00002B010000}"/>
    <cellStyle name="Cálculo 4 3" xfId="401" xr:uid="{00000000-0005-0000-0000-00002C010000}"/>
    <cellStyle name="Cálculo 4 4" xfId="402" xr:uid="{00000000-0005-0000-0000-00002D010000}"/>
    <cellStyle name="Cálculo 5" xfId="403" xr:uid="{00000000-0005-0000-0000-00002E010000}"/>
    <cellStyle name="Cálculo 5 2" xfId="404" xr:uid="{00000000-0005-0000-0000-00002F010000}"/>
    <cellStyle name="Cálculo 5 3" xfId="405" xr:uid="{00000000-0005-0000-0000-000030010000}"/>
    <cellStyle name="Cálculo 5 4" xfId="406" xr:uid="{00000000-0005-0000-0000-000031010000}"/>
    <cellStyle name="Cálculo 6" xfId="407" xr:uid="{00000000-0005-0000-0000-000032010000}"/>
    <cellStyle name="Cálculo 6 2" xfId="408" xr:uid="{00000000-0005-0000-0000-000033010000}"/>
    <cellStyle name="Cálculo 6 3" xfId="409" xr:uid="{00000000-0005-0000-0000-000034010000}"/>
    <cellStyle name="Cálculo 6 4" xfId="410" xr:uid="{00000000-0005-0000-0000-000035010000}"/>
    <cellStyle name="Cálculo 7" xfId="411" xr:uid="{00000000-0005-0000-0000-000036010000}"/>
    <cellStyle name="Cálculo 7 2" xfId="412" xr:uid="{00000000-0005-0000-0000-000037010000}"/>
    <cellStyle name="Cálculo 7 3" xfId="413" xr:uid="{00000000-0005-0000-0000-000038010000}"/>
    <cellStyle name="Cálculo 7 4" xfId="414" xr:uid="{00000000-0005-0000-0000-000039010000}"/>
    <cellStyle name="Cálculo 8" xfId="415" xr:uid="{00000000-0005-0000-0000-00003A010000}"/>
    <cellStyle name="Cálculo 8 2" xfId="416" xr:uid="{00000000-0005-0000-0000-00003B010000}"/>
    <cellStyle name="Cálculo 8 3" xfId="417" xr:uid="{00000000-0005-0000-0000-00003C010000}"/>
    <cellStyle name="Cálculo 8 4" xfId="418" xr:uid="{00000000-0005-0000-0000-00003D010000}"/>
    <cellStyle name="Cálculo 9" xfId="419" xr:uid="{00000000-0005-0000-0000-00003E010000}"/>
    <cellStyle name="Cálculo 9 2" xfId="420" xr:uid="{00000000-0005-0000-0000-00003F010000}"/>
    <cellStyle name="Cálculo 9 3" xfId="421" xr:uid="{00000000-0005-0000-0000-000040010000}"/>
    <cellStyle name="Cálculo 9 4" xfId="422" xr:uid="{00000000-0005-0000-0000-000041010000}"/>
    <cellStyle name="Celda de comprobación" xfId="21" builtinId="23" customBuiltin="1"/>
    <cellStyle name="Celda de comprobación 10" xfId="423" xr:uid="{00000000-0005-0000-0000-000043010000}"/>
    <cellStyle name="Celda de comprobación 11" xfId="424" xr:uid="{00000000-0005-0000-0000-000044010000}"/>
    <cellStyle name="Celda de comprobación 12" xfId="425" xr:uid="{00000000-0005-0000-0000-000045010000}"/>
    <cellStyle name="Celda de comprobación 13" xfId="426" xr:uid="{00000000-0005-0000-0000-000046010000}"/>
    <cellStyle name="Celda de comprobación 2" xfId="427" xr:uid="{00000000-0005-0000-0000-000047010000}"/>
    <cellStyle name="Celda de comprobación 3" xfId="428" xr:uid="{00000000-0005-0000-0000-000048010000}"/>
    <cellStyle name="Celda de comprobación 4" xfId="429" xr:uid="{00000000-0005-0000-0000-000049010000}"/>
    <cellStyle name="Celda de comprobación 5" xfId="430" xr:uid="{00000000-0005-0000-0000-00004A010000}"/>
    <cellStyle name="Celda de comprobación 6" xfId="431" xr:uid="{00000000-0005-0000-0000-00004B010000}"/>
    <cellStyle name="Celda de comprobación 7" xfId="432" xr:uid="{00000000-0005-0000-0000-00004C010000}"/>
    <cellStyle name="Celda de comprobación 8" xfId="433" xr:uid="{00000000-0005-0000-0000-00004D010000}"/>
    <cellStyle name="Celda de comprobación 9" xfId="434" xr:uid="{00000000-0005-0000-0000-00004E010000}"/>
    <cellStyle name="Celda vinculada" xfId="22" builtinId="24" customBuiltin="1"/>
    <cellStyle name="Celda vinculada 10" xfId="435" xr:uid="{00000000-0005-0000-0000-000050010000}"/>
    <cellStyle name="Celda vinculada 11" xfId="436" xr:uid="{00000000-0005-0000-0000-000051010000}"/>
    <cellStyle name="Celda vinculada 12" xfId="437" xr:uid="{00000000-0005-0000-0000-000052010000}"/>
    <cellStyle name="Celda vinculada 13" xfId="438" xr:uid="{00000000-0005-0000-0000-000053010000}"/>
    <cellStyle name="Celda vinculada 2" xfId="439" xr:uid="{00000000-0005-0000-0000-000054010000}"/>
    <cellStyle name="Celda vinculada 3" xfId="440" xr:uid="{00000000-0005-0000-0000-000055010000}"/>
    <cellStyle name="Celda vinculada 4" xfId="441" xr:uid="{00000000-0005-0000-0000-000056010000}"/>
    <cellStyle name="Celda vinculada 5" xfId="442" xr:uid="{00000000-0005-0000-0000-000057010000}"/>
    <cellStyle name="Celda vinculada 6" xfId="443" xr:uid="{00000000-0005-0000-0000-000058010000}"/>
    <cellStyle name="Celda vinculada 7" xfId="444" xr:uid="{00000000-0005-0000-0000-000059010000}"/>
    <cellStyle name="Celda vinculada 8" xfId="445" xr:uid="{00000000-0005-0000-0000-00005A010000}"/>
    <cellStyle name="Celda vinculada 9" xfId="446" xr:uid="{00000000-0005-0000-0000-00005B010000}"/>
    <cellStyle name="Check Cell" xfId="97" xr:uid="{00000000-0005-0000-0000-00005C010000}"/>
    <cellStyle name="Comma 2" xfId="23" xr:uid="{00000000-0005-0000-0000-00005D010000}"/>
    <cellStyle name="Dia" xfId="24" xr:uid="{00000000-0005-0000-0000-00005E010000}"/>
    <cellStyle name="Encabez1" xfId="25" xr:uid="{00000000-0005-0000-0000-00005F010000}"/>
    <cellStyle name="Encabez2" xfId="26" xr:uid="{00000000-0005-0000-0000-000060010000}"/>
    <cellStyle name="Encabezado 1" xfId="65" builtinId="16" customBuiltin="1"/>
    <cellStyle name="Encabezado 4" xfId="27" builtinId="19" customBuiltin="1"/>
    <cellStyle name="Encabezado 4 10" xfId="447" xr:uid="{00000000-0005-0000-0000-000062010000}"/>
    <cellStyle name="Encabezado 4 11" xfId="448" xr:uid="{00000000-0005-0000-0000-000063010000}"/>
    <cellStyle name="Encabezado 4 12" xfId="449" xr:uid="{00000000-0005-0000-0000-000064010000}"/>
    <cellStyle name="Encabezado 4 13" xfId="450" xr:uid="{00000000-0005-0000-0000-000065010000}"/>
    <cellStyle name="Encabezado 4 2" xfId="451" xr:uid="{00000000-0005-0000-0000-000066010000}"/>
    <cellStyle name="Encabezado 4 3" xfId="452" xr:uid="{00000000-0005-0000-0000-000067010000}"/>
    <cellStyle name="Encabezado 4 4" xfId="453" xr:uid="{00000000-0005-0000-0000-000068010000}"/>
    <cellStyle name="Encabezado 4 5" xfId="454" xr:uid="{00000000-0005-0000-0000-000069010000}"/>
    <cellStyle name="Encabezado 4 6" xfId="455" xr:uid="{00000000-0005-0000-0000-00006A010000}"/>
    <cellStyle name="Encabezado 4 7" xfId="456" xr:uid="{00000000-0005-0000-0000-00006B010000}"/>
    <cellStyle name="Encabezado 4 8" xfId="457" xr:uid="{00000000-0005-0000-0000-00006C010000}"/>
    <cellStyle name="Encabezado 4 9" xfId="458" xr:uid="{00000000-0005-0000-0000-00006D010000}"/>
    <cellStyle name="Énfasis1" xfId="28" builtinId="29" customBuiltin="1"/>
    <cellStyle name="Énfasis1 10" xfId="459" xr:uid="{00000000-0005-0000-0000-00006F010000}"/>
    <cellStyle name="Énfasis1 11" xfId="460" xr:uid="{00000000-0005-0000-0000-000070010000}"/>
    <cellStyle name="Énfasis1 12" xfId="461" xr:uid="{00000000-0005-0000-0000-000071010000}"/>
    <cellStyle name="Énfasis1 13" xfId="462" xr:uid="{00000000-0005-0000-0000-000072010000}"/>
    <cellStyle name="Énfasis1 2" xfId="463" xr:uid="{00000000-0005-0000-0000-000073010000}"/>
    <cellStyle name="Énfasis1 3" xfId="464" xr:uid="{00000000-0005-0000-0000-000074010000}"/>
    <cellStyle name="Énfasis1 4" xfId="465" xr:uid="{00000000-0005-0000-0000-000075010000}"/>
    <cellStyle name="Énfasis1 5" xfId="466" xr:uid="{00000000-0005-0000-0000-000076010000}"/>
    <cellStyle name="Énfasis1 6" xfId="467" xr:uid="{00000000-0005-0000-0000-000077010000}"/>
    <cellStyle name="Énfasis1 7" xfId="468" xr:uid="{00000000-0005-0000-0000-000078010000}"/>
    <cellStyle name="Énfasis1 8" xfId="469" xr:uid="{00000000-0005-0000-0000-000079010000}"/>
    <cellStyle name="Énfasis1 9" xfId="470" xr:uid="{00000000-0005-0000-0000-00007A010000}"/>
    <cellStyle name="Énfasis2" xfId="29" builtinId="33" customBuiltin="1"/>
    <cellStyle name="Énfasis2 10" xfId="471" xr:uid="{00000000-0005-0000-0000-00007C010000}"/>
    <cellStyle name="Énfasis2 11" xfId="472" xr:uid="{00000000-0005-0000-0000-00007D010000}"/>
    <cellStyle name="Énfasis2 12" xfId="473" xr:uid="{00000000-0005-0000-0000-00007E010000}"/>
    <cellStyle name="Énfasis2 13" xfId="474" xr:uid="{00000000-0005-0000-0000-00007F010000}"/>
    <cellStyle name="Énfasis2 2" xfId="475" xr:uid="{00000000-0005-0000-0000-000080010000}"/>
    <cellStyle name="Énfasis2 3" xfId="476" xr:uid="{00000000-0005-0000-0000-000081010000}"/>
    <cellStyle name="Énfasis2 4" xfId="477" xr:uid="{00000000-0005-0000-0000-000082010000}"/>
    <cellStyle name="Énfasis2 5" xfId="478" xr:uid="{00000000-0005-0000-0000-000083010000}"/>
    <cellStyle name="Énfasis2 6" xfId="479" xr:uid="{00000000-0005-0000-0000-000084010000}"/>
    <cellStyle name="Énfasis2 7" xfId="480" xr:uid="{00000000-0005-0000-0000-000085010000}"/>
    <cellStyle name="Énfasis2 8" xfId="481" xr:uid="{00000000-0005-0000-0000-000086010000}"/>
    <cellStyle name="Énfasis2 9" xfId="482" xr:uid="{00000000-0005-0000-0000-000087010000}"/>
    <cellStyle name="Énfasis3" xfId="30" builtinId="37" customBuiltin="1"/>
    <cellStyle name="Énfasis3 10" xfId="483" xr:uid="{00000000-0005-0000-0000-000089010000}"/>
    <cellStyle name="Énfasis3 11" xfId="484" xr:uid="{00000000-0005-0000-0000-00008A010000}"/>
    <cellStyle name="Énfasis3 12" xfId="485" xr:uid="{00000000-0005-0000-0000-00008B010000}"/>
    <cellStyle name="Énfasis3 13" xfId="486" xr:uid="{00000000-0005-0000-0000-00008C010000}"/>
    <cellStyle name="Énfasis3 2" xfId="487" xr:uid="{00000000-0005-0000-0000-00008D010000}"/>
    <cellStyle name="Énfasis3 3" xfId="488" xr:uid="{00000000-0005-0000-0000-00008E010000}"/>
    <cellStyle name="Énfasis3 4" xfId="489" xr:uid="{00000000-0005-0000-0000-00008F010000}"/>
    <cellStyle name="Énfasis3 5" xfId="490" xr:uid="{00000000-0005-0000-0000-000090010000}"/>
    <cellStyle name="Énfasis3 6" xfId="491" xr:uid="{00000000-0005-0000-0000-000091010000}"/>
    <cellStyle name="Énfasis3 7" xfId="492" xr:uid="{00000000-0005-0000-0000-000092010000}"/>
    <cellStyle name="Énfasis3 8" xfId="493" xr:uid="{00000000-0005-0000-0000-000093010000}"/>
    <cellStyle name="Énfasis3 9" xfId="494" xr:uid="{00000000-0005-0000-0000-000094010000}"/>
    <cellStyle name="Énfasis4" xfId="31" builtinId="41" customBuiltin="1"/>
    <cellStyle name="Énfasis4 10" xfId="495" xr:uid="{00000000-0005-0000-0000-000096010000}"/>
    <cellStyle name="Énfasis4 11" xfId="496" xr:uid="{00000000-0005-0000-0000-000097010000}"/>
    <cellStyle name="Énfasis4 12" xfId="497" xr:uid="{00000000-0005-0000-0000-000098010000}"/>
    <cellStyle name="Énfasis4 13" xfId="498" xr:uid="{00000000-0005-0000-0000-000099010000}"/>
    <cellStyle name="Énfasis4 2" xfId="499" xr:uid="{00000000-0005-0000-0000-00009A010000}"/>
    <cellStyle name="Énfasis4 3" xfId="500" xr:uid="{00000000-0005-0000-0000-00009B010000}"/>
    <cellStyle name="Énfasis4 4" xfId="501" xr:uid="{00000000-0005-0000-0000-00009C010000}"/>
    <cellStyle name="Énfasis4 5" xfId="502" xr:uid="{00000000-0005-0000-0000-00009D010000}"/>
    <cellStyle name="Énfasis4 6" xfId="503" xr:uid="{00000000-0005-0000-0000-00009E010000}"/>
    <cellStyle name="Énfasis4 7" xfId="504" xr:uid="{00000000-0005-0000-0000-00009F010000}"/>
    <cellStyle name="Énfasis4 8" xfId="505" xr:uid="{00000000-0005-0000-0000-0000A0010000}"/>
    <cellStyle name="Énfasis4 9" xfId="506" xr:uid="{00000000-0005-0000-0000-0000A1010000}"/>
    <cellStyle name="Énfasis5" xfId="32" builtinId="45" customBuiltin="1"/>
    <cellStyle name="Énfasis5 10" xfId="507" xr:uid="{00000000-0005-0000-0000-0000A3010000}"/>
    <cellStyle name="Énfasis5 11" xfId="508" xr:uid="{00000000-0005-0000-0000-0000A4010000}"/>
    <cellStyle name="Énfasis5 12" xfId="509" xr:uid="{00000000-0005-0000-0000-0000A5010000}"/>
    <cellStyle name="Énfasis5 13" xfId="510" xr:uid="{00000000-0005-0000-0000-0000A6010000}"/>
    <cellStyle name="Énfasis5 2" xfId="511" xr:uid="{00000000-0005-0000-0000-0000A7010000}"/>
    <cellStyle name="Énfasis5 3" xfId="512" xr:uid="{00000000-0005-0000-0000-0000A8010000}"/>
    <cellStyle name="Énfasis5 4" xfId="513" xr:uid="{00000000-0005-0000-0000-0000A9010000}"/>
    <cellStyle name="Énfasis5 5" xfId="514" xr:uid="{00000000-0005-0000-0000-0000AA010000}"/>
    <cellStyle name="Énfasis5 6" xfId="515" xr:uid="{00000000-0005-0000-0000-0000AB010000}"/>
    <cellStyle name="Énfasis5 7" xfId="516" xr:uid="{00000000-0005-0000-0000-0000AC010000}"/>
    <cellStyle name="Énfasis5 8" xfId="517" xr:uid="{00000000-0005-0000-0000-0000AD010000}"/>
    <cellStyle name="Énfasis5 9" xfId="518" xr:uid="{00000000-0005-0000-0000-0000AE010000}"/>
    <cellStyle name="Énfasis6" xfId="33" builtinId="49" customBuiltin="1"/>
    <cellStyle name="Énfasis6 10" xfId="519" xr:uid="{00000000-0005-0000-0000-0000B0010000}"/>
    <cellStyle name="Énfasis6 11" xfId="520" xr:uid="{00000000-0005-0000-0000-0000B1010000}"/>
    <cellStyle name="Énfasis6 12" xfId="521" xr:uid="{00000000-0005-0000-0000-0000B2010000}"/>
    <cellStyle name="Énfasis6 13" xfId="522" xr:uid="{00000000-0005-0000-0000-0000B3010000}"/>
    <cellStyle name="Énfasis6 2" xfId="523" xr:uid="{00000000-0005-0000-0000-0000B4010000}"/>
    <cellStyle name="Énfasis6 3" xfId="524" xr:uid="{00000000-0005-0000-0000-0000B5010000}"/>
    <cellStyle name="Énfasis6 4" xfId="525" xr:uid="{00000000-0005-0000-0000-0000B6010000}"/>
    <cellStyle name="Énfasis6 5" xfId="526" xr:uid="{00000000-0005-0000-0000-0000B7010000}"/>
    <cellStyle name="Énfasis6 6" xfId="527" xr:uid="{00000000-0005-0000-0000-0000B8010000}"/>
    <cellStyle name="Énfasis6 7" xfId="528" xr:uid="{00000000-0005-0000-0000-0000B9010000}"/>
    <cellStyle name="Énfasis6 8" xfId="529" xr:uid="{00000000-0005-0000-0000-0000BA010000}"/>
    <cellStyle name="Énfasis6 9" xfId="530" xr:uid="{00000000-0005-0000-0000-0000BB010000}"/>
    <cellStyle name="Entrada" xfId="34" builtinId="20" customBuiltin="1"/>
    <cellStyle name="Entrada 10" xfId="531" xr:uid="{00000000-0005-0000-0000-0000BD010000}"/>
    <cellStyle name="Entrada 10 2" xfId="532" xr:uid="{00000000-0005-0000-0000-0000BE010000}"/>
    <cellStyle name="Entrada 10 3" xfId="533" xr:uid="{00000000-0005-0000-0000-0000BF010000}"/>
    <cellStyle name="Entrada 10 4" xfId="534" xr:uid="{00000000-0005-0000-0000-0000C0010000}"/>
    <cellStyle name="Entrada 11" xfId="535" xr:uid="{00000000-0005-0000-0000-0000C1010000}"/>
    <cellStyle name="Entrada 11 2" xfId="536" xr:uid="{00000000-0005-0000-0000-0000C2010000}"/>
    <cellStyle name="Entrada 11 3" xfId="537" xr:uid="{00000000-0005-0000-0000-0000C3010000}"/>
    <cellStyle name="Entrada 11 4" xfId="538" xr:uid="{00000000-0005-0000-0000-0000C4010000}"/>
    <cellStyle name="Entrada 12" xfId="539" xr:uid="{00000000-0005-0000-0000-0000C5010000}"/>
    <cellStyle name="Entrada 12 2" xfId="540" xr:uid="{00000000-0005-0000-0000-0000C6010000}"/>
    <cellStyle name="Entrada 12 3" xfId="541" xr:uid="{00000000-0005-0000-0000-0000C7010000}"/>
    <cellStyle name="Entrada 12 4" xfId="542" xr:uid="{00000000-0005-0000-0000-0000C8010000}"/>
    <cellStyle name="Entrada 13" xfId="543" xr:uid="{00000000-0005-0000-0000-0000C9010000}"/>
    <cellStyle name="Entrada 13 2" xfId="544" xr:uid="{00000000-0005-0000-0000-0000CA010000}"/>
    <cellStyle name="Entrada 13 3" xfId="545" xr:uid="{00000000-0005-0000-0000-0000CB010000}"/>
    <cellStyle name="Entrada 13 4" xfId="546" xr:uid="{00000000-0005-0000-0000-0000CC010000}"/>
    <cellStyle name="Entrada 2" xfId="547" xr:uid="{00000000-0005-0000-0000-0000CD010000}"/>
    <cellStyle name="Entrada 2 2" xfId="548" xr:uid="{00000000-0005-0000-0000-0000CE010000}"/>
    <cellStyle name="Entrada 2 3" xfId="549" xr:uid="{00000000-0005-0000-0000-0000CF010000}"/>
    <cellStyle name="Entrada 2 4" xfId="550" xr:uid="{00000000-0005-0000-0000-0000D0010000}"/>
    <cellStyle name="Entrada 3" xfId="551" xr:uid="{00000000-0005-0000-0000-0000D1010000}"/>
    <cellStyle name="Entrada 3 2" xfId="552" xr:uid="{00000000-0005-0000-0000-0000D2010000}"/>
    <cellStyle name="Entrada 3 3" xfId="553" xr:uid="{00000000-0005-0000-0000-0000D3010000}"/>
    <cellStyle name="Entrada 3 4" xfId="554" xr:uid="{00000000-0005-0000-0000-0000D4010000}"/>
    <cellStyle name="Entrada 4" xfId="555" xr:uid="{00000000-0005-0000-0000-0000D5010000}"/>
    <cellStyle name="Entrada 4 2" xfId="556" xr:uid="{00000000-0005-0000-0000-0000D6010000}"/>
    <cellStyle name="Entrada 4 3" xfId="557" xr:uid="{00000000-0005-0000-0000-0000D7010000}"/>
    <cellStyle name="Entrada 4 4" xfId="558" xr:uid="{00000000-0005-0000-0000-0000D8010000}"/>
    <cellStyle name="Entrada 5" xfId="559" xr:uid="{00000000-0005-0000-0000-0000D9010000}"/>
    <cellStyle name="Entrada 5 2" xfId="560" xr:uid="{00000000-0005-0000-0000-0000DA010000}"/>
    <cellStyle name="Entrada 5 3" xfId="561" xr:uid="{00000000-0005-0000-0000-0000DB010000}"/>
    <cellStyle name="Entrada 5 4" xfId="562" xr:uid="{00000000-0005-0000-0000-0000DC010000}"/>
    <cellStyle name="Entrada 6" xfId="563" xr:uid="{00000000-0005-0000-0000-0000DD010000}"/>
    <cellStyle name="Entrada 6 2" xfId="564" xr:uid="{00000000-0005-0000-0000-0000DE010000}"/>
    <cellStyle name="Entrada 6 3" xfId="565" xr:uid="{00000000-0005-0000-0000-0000DF010000}"/>
    <cellStyle name="Entrada 6 4" xfId="566" xr:uid="{00000000-0005-0000-0000-0000E0010000}"/>
    <cellStyle name="Entrada 7" xfId="567" xr:uid="{00000000-0005-0000-0000-0000E1010000}"/>
    <cellStyle name="Entrada 7 2" xfId="568" xr:uid="{00000000-0005-0000-0000-0000E2010000}"/>
    <cellStyle name="Entrada 7 3" xfId="569" xr:uid="{00000000-0005-0000-0000-0000E3010000}"/>
    <cellStyle name="Entrada 7 4" xfId="570" xr:uid="{00000000-0005-0000-0000-0000E4010000}"/>
    <cellStyle name="Entrada 8" xfId="571" xr:uid="{00000000-0005-0000-0000-0000E5010000}"/>
    <cellStyle name="Entrada 8 2" xfId="572" xr:uid="{00000000-0005-0000-0000-0000E6010000}"/>
    <cellStyle name="Entrada 8 3" xfId="573" xr:uid="{00000000-0005-0000-0000-0000E7010000}"/>
    <cellStyle name="Entrada 8 4" xfId="574" xr:uid="{00000000-0005-0000-0000-0000E8010000}"/>
    <cellStyle name="Entrada 9" xfId="575" xr:uid="{00000000-0005-0000-0000-0000E9010000}"/>
    <cellStyle name="Entrada 9 2" xfId="576" xr:uid="{00000000-0005-0000-0000-0000EA010000}"/>
    <cellStyle name="Entrada 9 3" xfId="577" xr:uid="{00000000-0005-0000-0000-0000EB010000}"/>
    <cellStyle name="Entrada 9 4" xfId="578" xr:uid="{00000000-0005-0000-0000-0000EC010000}"/>
    <cellStyle name="Euro" xfId="35" xr:uid="{00000000-0005-0000-0000-0000ED010000}"/>
    <cellStyle name="Explanatory Text" xfId="98" xr:uid="{00000000-0005-0000-0000-0000EE010000}"/>
    <cellStyle name="F2" xfId="36" xr:uid="{00000000-0005-0000-0000-0000EF010000}"/>
    <cellStyle name="F3" xfId="37" xr:uid="{00000000-0005-0000-0000-0000F0010000}"/>
    <cellStyle name="F4" xfId="38" xr:uid="{00000000-0005-0000-0000-0000F1010000}"/>
    <cellStyle name="F5" xfId="39" xr:uid="{00000000-0005-0000-0000-0000F2010000}"/>
    <cellStyle name="F6" xfId="40" xr:uid="{00000000-0005-0000-0000-0000F3010000}"/>
    <cellStyle name="F7" xfId="41" xr:uid="{00000000-0005-0000-0000-0000F4010000}"/>
    <cellStyle name="F8" xfId="42" xr:uid="{00000000-0005-0000-0000-0000F5010000}"/>
    <cellStyle name="Fijo" xfId="43" xr:uid="{00000000-0005-0000-0000-0000F6010000}"/>
    <cellStyle name="Financiero" xfId="44" xr:uid="{00000000-0005-0000-0000-0000F7010000}"/>
    <cellStyle name="Good" xfId="99" xr:uid="{00000000-0005-0000-0000-0000F8010000}"/>
    <cellStyle name="Heading 1" xfId="100" xr:uid="{00000000-0005-0000-0000-0000F9010000}"/>
    <cellStyle name="Heading 2" xfId="101" xr:uid="{00000000-0005-0000-0000-0000FA010000}"/>
    <cellStyle name="Heading 3" xfId="102" xr:uid="{00000000-0005-0000-0000-0000FB010000}"/>
    <cellStyle name="Heading 4" xfId="103" xr:uid="{00000000-0005-0000-0000-0000FC010000}"/>
    <cellStyle name="Hipervínculo" xfId="140" builtinId="8"/>
    <cellStyle name="Hipervínculo 2" xfId="861" xr:uid="{00000000-0005-0000-0000-0000FE010000}"/>
    <cellStyle name="Incorrecto" xfId="45" builtinId="27" customBuiltin="1"/>
    <cellStyle name="Incorrecto 10" xfId="579" xr:uid="{00000000-0005-0000-0000-000000020000}"/>
    <cellStyle name="Incorrecto 11" xfId="580" xr:uid="{00000000-0005-0000-0000-000001020000}"/>
    <cellStyle name="Incorrecto 12" xfId="581" xr:uid="{00000000-0005-0000-0000-000002020000}"/>
    <cellStyle name="Incorrecto 13" xfId="582" xr:uid="{00000000-0005-0000-0000-000003020000}"/>
    <cellStyle name="Incorrecto 2" xfId="583" xr:uid="{00000000-0005-0000-0000-000004020000}"/>
    <cellStyle name="Incorrecto 3" xfId="584" xr:uid="{00000000-0005-0000-0000-000005020000}"/>
    <cellStyle name="Incorrecto 4" xfId="585" xr:uid="{00000000-0005-0000-0000-000006020000}"/>
    <cellStyle name="Incorrecto 5" xfId="586" xr:uid="{00000000-0005-0000-0000-000007020000}"/>
    <cellStyle name="Incorrecto 6" xfId="587" xr:uid="{00000000-0005-0000-0000-000008020000}"/>
    <cellStyle name="Incorrecto 7" xfId="588" xr:uid="{00000000-0005-0000-0000-000009020000}"/>
    <cellStyle name="Incorrecto 8" xfId="589" xr:uid="{00000000-0005-0000-0000-00000A020000}"/>
    <cellStyle name="Incorrecto 9" xfId="590" xr:uid="{00000000-0005-0000-0000-00000B020000}"/>
    <cellStyle name="Input" xfId="104" xr:uid="{00000000-0005-0000-0000-00000C020000}"/>
    <cellStyle name="Linked Cell" xfId="105" xr:uid="{00000000-0005-0000-0000-00000D020000}"/>
    <cellStyle name="Millares" xfId="46" builtinId="3"/>
    <cellStyle name="Millares 2" xfId="47" xr:uid="{00000000-0005-0000-0000-00000F020000}"/>
    <cellStyle name="Millares 2 2" xfId="106" xr:uid="{00000000-0005-0000-0000-000010020000}"/>
    <cellStyle name="Millares 2 2 2" xfId="873" xr:uid="{00000000-0005-0000-0000-000011020000}"/>
    <cellStyle name="Millares 2 3" xfId="107" xr:uid="{00000000-0005-0000-0000-000012020000}"/>
    <cellStyle name="Millares 2 4" xfId="108" xr:uid="{00000000-0005-0000-0000-000013020000}"/>
    <cellStyle name="Millares 2 5" xfId="109" xr:uid="{00000000-0005-0000-0000-000014020000}"/>
    <cellStyle name="Millares 2 6" xfId="110" xr:uid="{00000000-0005-0000-0000-000015020000}"/>
    <cellStyle name="Millares 2 7" xfId="870" xr:uid="{00000000-0005-0000-0000-000016020000}"/>
    <cellStyle name="Millares 3" xfId="48" xr:uid="{00000000-0005-0000-0000-000017020000}"/>
    <cellStyle name="Millares 3 2" xfId="111" xr:uid="{00000000-0005-0000-0000-000018020000}"/>
    <cellStyle name="Millares 3 2 2" xfId="112" xr:uid="{00000000-0005-0000-0000-000019020000}"/>
    <cellStyle name="Millares 3 2 2 2" xfId="113" xr:uid="{00000000-0005-0000-0000-00001A020000}"/>
    <cellStyle name="Millares 3 3" xfId="871" xr:uid="{00000000-0005-0000-0000-00001B020000}"/>
    <cellStyle name="Millares 4" xfId="114" xr:uid="{00000000-0005-0000-0000-00001C020000}"/>
    <cellStyle name="Millares 5" xfId="115" xr:uid="{00000000-0005-0000-0000-00001D020000}"/>
    <cellStyle name="Millares 6" xfId="116" xr:uid="{00000000-0005-0000-0000-00001E020000}"/>
    <cellStyle name="Millares 7" xfId="143" xr:uid="{00000000-0005-0000-0000-00001F020000}"/>
    <cellStyle name="Millares 8" xfId="869" xr:uid="{00000000-0005-0000-0000-000020020000}"/>
    <cellStyle name="Monetario" xfId="49" xr:uid="{00000000-0005-0000-0000-000021020000}"/>
    <cellStyle name="Neutral" xfId="50" builtinId="28" customBuiltin="1"/>
    <cellStyle name="Neutral 10" xfId="591" xr:uid="{00000000-0005-0000-0000-000023020000}"/>
    <cellStyle name="Neutral 11" xfId="592" xr:uid="{00000000-0005-0000-0000-000024020000}"/>
    <cellStyle name="Neutral 12" xfId="593" xr:uid="{00000000-0005-0000-0000-000025020000}"/>
    <cellStyle name="Neutral 13" xfId="594" xr:uid="{00000000-0005-0000-0000-000026020000}"/>
    <cellStyle name="Neutral 2" xfId="595" xr:uid="{00000000-0005-0000-0000-000027020000}"/>
    <cellStyle name="Neutral 3" xfId="596" xr:uid="{00000000-0005-0000-0000-000028020000}"/>
    <cellStyle name="Neutral 4" xfId="597" xr:uid="{00000000-0005-0000-0000-000029020000}"/>
    <cellStyle name="Neutral 5" xfId="598" xr:uid="{00000000-0005-0000-0000-00002A020000}"/>
    <cellStyle name="Neutral 6" xfId="599" xr:uid="{00000000-0005-0000-0000-00002B020000}"/>
    <cellStyle name="Neutral 7" xfId="600" xr:uid="{00000000-0005-0000-0000-00002C020000}"/>
    <cellStyle name="Neutral 8" xfId="601" xr:uid="{00000000-0005-0000-0000-00002D020000}"/>
    <cellStyle name="Neutral 9" xfId="602" xr:uid="{00000000-0005-0000-0000-00002E020000}"/>
    <cellStyle name="Normal" xfId="0" builtinId="0"/>
    <cellStyle name="Normal 10" xfId="603" xr:uid="{00000000-0005-0000-0000-000030020000}"/>
    <cellStyle name="Normal 11" xfId="604" xr:uid="{00000000-0005-0000-0000-000031020000}"/>
    <cellStyle name="Normal 11 2" xfId="605" xr:uid="{00000000-0005-0000-0000-000032020000}"/>
    <cellStyle name="Normal 12" xfId="606" xr:uid="{00000000-0005-0000-0000-000033020000}"/>
    <cellStyle name="Normal 12 2" xfId="863" xr:uid="{00000000-0005-0000-0000-000034020000}"/>
    <cellStyle name="Normal 13" xfId="607" xr:uid="{00000000-0005-0000-0000-000035020000}"/>
    <cellStyle name="Normal 13 2" xfId="608" xr:uid="{00000000-0005-0000-0000-000036020000}"/>
    <cellStyle name="Normal 14" xfId="609" xr:uid="{00000000-0005-0000-0000-000037020000}"/>
    <cellStyle name="Normal 14 2" xfId="610" xr:uid="{00000000-0005-0000-0000-000038020000}"/>
    <cellStyle name="Normal 15" xfId="611" xr:uid="{00000000-0005-0000-0000-000039020000}"/>
    <cellStyle name="Normal 15 2" xfId="612" xr:uid="{00000000-0005-0000-0000-00003A020000}"/>
    <cellStyle name="Normal 16" xfId="613" xr:uid="{00000000-0005-0000-0000-00003B020000}"/>
    <cellStyle name="Normal 16 2" xfId="860" xr:uid="{00000000-0005-0000-0000-00003C020000}"/>
    <cellStyle name="Normal 17" xfId="614" xr:uid="{00000000-0005-0000-0000-00003D020000}"/>
    <cellStyle name="Normal 17 2" xfId="615" xr:uid="{00000000-0005-0000-0000-00003E020000}"/>
    <cellStyle name="Normal 18" xfId="616" xr:uid="{00000000-0005-0000-0000-00003F020000}"/>
    <cellStyle name="Normal 19" xfId="617" xr:uid="{00000000-0005-0000-0000-000040020000}"/>
    <cellStyle name="Normal 2" xfId="51" xr:uid="{00000000-0005-0000-0000-000041020000}"/>
    <cellStyle name="Normal 2 2" xfId="117" xr:uid="{00000000-0005-0000-0000-000042020000}"/>
    <cellStyle name="Normal 2 2 2" xfId="69" xr:uid="{00000000-0005-0000-0000-000043020000}"/>
    <cellStyle name="Normal 2 2 3" xfId="618" xr:uid="{00000000-0005-0000-0000-000044020000}"/>
    <cellStyle name="Normal 2 2 4" xfId="619" xr:uid="{00000000-0005-0000-0000-000045020000}"/>
    <cellStyle name="Normal 2 2 5" xfId="620" xr:uid="{00000000-0005-0000-0000-000046020000}"/>
    <cellStyle name="Normal 2 2_4.14C" xfId="118" xr:uid="{00000000-0005-0000-0000-000047020000}"/>
    <cellStyle name="Normal 2 3" xfId="70" xr:uid="{00000000-0005-0000-0000-000048020000}"/>
    <cellStyle name="Normal 2 3 2" xfId="146" xr:uid="{00000000-0005-0000-0000-000049020000}"/>
    <cellStyle name="Normal 2 4" xfId="119" xr:uid="{00000000-0005-0000-0000-00004A020000}"/>
    <cellStyle name="Normal 2 5" xfId="120" xr:uid="{00000000-0005-0000-0000-00004B020000}"/>
    <cellStyle name="Normal 2 6" xfId="121" xr:uid="{00000000-0005-0000-0000-00004C020000}"/>
    <cellStyle name="Normal 2 7" xfId="122" xr:uid="{00000000-0005-0000-0000-00004D020000}"/>
    <cellStyle name="Normal 2 8" xfId="123" xr:uid="{00000000-0005-0000-0000-00004E020000}"/>
    <cellStyle name="Normal 2 9" xfId="864" xr:uid="{00000000-0005-0000-0000-00004F020000}"/>
    <cellStyle name="Normal 2_3.5 Alc Noviembre 09" xfId="621" xr:uid="{00000000-0005-0000-0000-000050020000}"/>
    <cellStyle name="Normal 20" xfId="622" xr:uid="{00000000-0005-0000-0000-000051020000}"/>
    <cellStyle name="Normal 21" xfId="623" xr:uid="{00000000-0005-0000-0000-000052020000}"/>
    <cellStyle name="Normal 22" xfId="624" xr:uid="{00000000-0005-0000-0000-000053020000}"/>
    <cellStyle name="Normal 23" xfId="625" xr:uid="{00000000-0005-0000-0000-000054020000}"/>
    <cellStyle name="Normal 24" xfId="626" xr:uid="{00000000-0005-0000-0000-000055020000}"/>
    <cellStyle name="Normal 25" xfId="627" xr:uid="{00000000-0005-0000-0000-000056020000}"/>
    <cellStyle name="Normal 26" xfId="628" xr:uid="{00000000-0005-0000-0000-000057020000}"/>
    <cellStyle name="Normal 27" xfId="629" xr:uid="{00000000-0005-0000-0000-000058020000}"/>
    <cellStyle name="Normal 27 2" xfId="142" xr:uid="{00000000-0005-0000-0000-000059020000}"/>
    <cellStyle name="Normal 28" xfId="630" xr:uid="{00000000-0005-0000-0000-00005A020000}"/>
    <cellStyle name="Normal 29" xfId="631" xr:uid="{00000000-0005-0000-0000-00005B020000}"/>
    <cellStyle name="Normal 29 2" xfId="862" xr:uid="{00000000-0005-0000-0000-00005C020000}"/>
    <cellStyle name="Normal 29 3" xfId="872" xr:uid="{00000000-0005-0000-0000-00005D020000}"/>
    <cellStyle name="Normal 3" xfId="52" xr:uid="{00000000-0005-0000-0000-00005E020000}"/>
    <cellStyle name="Normal 3 2" xfId="124" xr:uid="{00000000-0005-0000-0000-00005F020000}"/>
    <cellStyle name="Normal 3 3" xfId="125" xr:uid="{00000000-0005-0000-0000-000060020000}"/>
    <cellStyle name="Normal 3 4" xfId="126" xr:uid="{00000000-0005-0000-0000-000061020000}"/>
    <cellStyle name="Normal 3 5" xfId="127" xr:uid="{00000000-0005-0000-0000-000062020000}"/>
    <cellStyle name="Normal 3 6" xfId="128" xr:uid="{00000000-0005-0000-0000-000063020000}"/>
    <cellStyle name="Normal 3_ModeloCertificadook" xfId="53" xr:uid="{00000000-0005-0000-0000-000064020000}"/>
    <cellStyle name="Normal 30" xfId="859" xr:uid="{00000000-0005-0000-0000-000065020000}"/>
    <cellStyle name="Normal 31" xfId="865" xr:uid="{00000000-0005-0000-0000-000066020000}"/>
    <cellStyle name="Normal 31 2" xfId="866" xr:uid="{00000000-0005-0000-0000-000067020000}"/>
    <cellStyle name="Normal 32" xfId="867" xr:uid="{00000000-0005-0000-0000-000068020000}"/>
    <cellStyle name="Normal 4" xfId="54" xr:uid="{00000000-0005-0000-0000-000069020000}"/>
    <cellStyle name="Normal 5" xfId="55" xr:uid="{00000000-0005-0000-0000-00006A020000}"/>
    <cellStyle name="Normal 5 2" xfId="129" xr:uid="{00000000-0005-0000-0000-00006B020000}"/>
    <cellStyle name="Normal 5 2 2" xfId="130" xr:uid="{00000000-0005-0000-0000-00006C020000}"/>
    <cellStyle name="Normal 5 2 3" xfId="131" xr:uid="{00000000-0005-0000-0000-00006D020000}"/>
    <cellStyle name="Normal 6" xfId="132" xr:uid="{00000000-0005-0000-0000-00006E020000}"/>
    <cellStyle name="Normal 7" xfId="133" xr:uid="{00000000-0005-0000-0000-00006F020000}"/>
    <cellStyle name="Normal 8" xfId="134" xr:uid="{00000000-0005-0000-0000-000070020000}"/>
    <cellStyle name="Normal 9" xfId="632" xr:uid="{00000000-0005-0000-0000-000071020000}"/>
    <cellStyle name="Normal_CERT-CONTRATISTA 01" xfId="145" xr:uid="{00000000-0005-0000-0000-000072020000}"/>
    <cellStyle name="Normal_Certificado 13 - Junio 2000" xfId="633" xr:uid="{00000000-0005-0000-0000-000073020000}"/>
    <cellStyle name="Normal_Certificado 13 - Junio 2000 2" xfId="141" xr:uid="{00000000-0005-0000-0000-000074020000}"/>
    <cellStyle name="Normal_Certificado 13 - Junio 2000 2 2" xfId="857" xr:uid="{00000000-0005-0000-0000-000075020000}"/>
    <cellStyle name="Normal_Certificado Pago no. 2" xfId="56" xr:uid="{00000000-0005-0000-0000-000076020000}"/>
    <cellStyle name="Normal_Certificado Pago no. 2 2" xfId="858" xr:uid="{00000000-0005-0000-0000-000077020000}"/>
    <cellStyle name="Normal_Respaldo C-Diciembre 2000" xfId="139" xr:uid="{00000000-0005-0000-0000-000078020000}"/>
    <cellStyle name="Notas" xfId="57" builtinId="10" customBuiltin="1"/>
    <cellStyle name="Notas 10" xfId="634" xr:uid="{00000000-0005-0000-0000-00007A020000}"/>
    <cellStyle name="Notas 10 2" xfId="635" xr:uid="{00000000-0005-0000-0000-00007B020000}"/>
    <cellStyle name="Notas 10 3" xfId="636" xr:uid="{00000000-0005-0000-0000-00007C020000}"/>
    <cellStyle name="Notas 10 4" xfId="637" xr:uid="{00000000-0005-0000-0000-00007D020000}"/>
    <cellStyle name="Notas 11" xfId="638" xr:uid="{00000000-0005-0000-0000-00007E020000}"/>
    <cellStyle name="Notas 11 2" xfId="639" xr:uid="{00000000-0005-0000-0000-00007F020000}"/>
    <cellStyle name="Notas 11 3" xfId="640" xr:uid="{00000000-0005-0000-0000-000080020000}"/>
    <cellStyle name="Notas 11 4" xfId="641" xr:uid="{00000000-0005-0000-0000-000081020000}"/>
    <cellStyle name="Notas 12" xfId="642" xr:uid="{00000000-0005-0000-0000-000082020000}"/>
    <cellStyle name="Notas 12 2" xfId="643" xr:uid="{00000000-0005-0000-0000-000083020000}"/>
    <cellStyle name="Notas 12 3" xfId="644" xr:uid="{00000000-0005-0000-0000-000084020000}"/>
    <cellStyle name="Notas 12 4" xfId="645" xr:uid="{00000000-0005-0000-0000-000085020000}"/>
    <cellStyle name="Notas 13" xfId="646" xr:uid="{00000000-0005-0000-0000-000086020000}"/>
    <cellStyle name="Notas 13 2" xfId="647" xr:uid="{00000000-0005-0000-0000-000087020000}"/>
    <cellStyle name="Notas 13 3" xfId="648" xr:uid="{00000000-0005-0000-0000-000088020000}"/>
    <cellStyle name="Notas 13 4" xfId="649" xr:uid="{00000000-0005-0000-0000-000089020000}"/>
    <cellStyle name="Notas 2" xfId="650" xr:uid="{00000000-0005-0000-0000-00008A020000}"/>
    <cellStyle name="Notas 2 2" xfId="651" xr:uid="{00000000-0005-0000-0000-00008B020000}"/>
    <cellStyle name="Notas 2 3" xfId="652" xr:uid="{00000000-0005-0000-0000-00008C020000}"/>
    <cellStyle name="Notas 2 4" xfId="653" xr:uid="{00000000-0005-0000-0000-00008D020000}"/>
    <cellStyle name="Notas 3" xfId="654" xr:uid="{00000000-0005-0000-0000-00008E020000}"/>
    <cellStyle name="Notas 3 2" xfId="655" xr:uid="{00000000-0005-0000-0000-00008F020000}"/>
    <cellStyle name="Notas 3 3" xfId="656" xr:uid="{00000000-0005-0000-0000-000090020000}"/>
    <cellStyle name="Notas 3 4" xfId="657" xr:uid="{00000000-0005-0000-0000-000091020000}"/>
    <cellStyle name="Notas 4" xfId="658" xr:uid="{00000000-0005-0000-0000-000092020000}"/>
    <cellStyle name="Notas 4 2" xfId="659" xr:uid="{00000000-0005-0000-0000-000093020000}"/>
    <cellStyle name="Notas 4 3" xfId="660" xr:uid="{00000000-0005-0000-0000-000094020000}"/>
    <cellStyle name="Notas 4 4" xfId="661" xr:uid="{00000000-0005-0000-0000-000095020000}"/>
    <cellStyle name="Notas 5" xfId="662" xr:uid="{00000000-0005-0000-0000-000096020000}"/>
    <cellStyle name="Notas 5 2" xfId="663" xr:uid="{00000000-0005-0000-0000-000097020000}"/>
    <cellStyle name="Notas 5 3" xfId="664" xr:uid="{00000000-0005-0000-0000-000098020000}"/>
    <cellStyle name="Notas 5 4" xfId="665" xr:uid="{00000000-0005-0000-0000-000099020000}"/>
    <cellStyle name="Notas 6" xfId="666" xr:uid="{00000000-0005-0000-0000-00009A020000}"/>
    <cellStyle name="Notas 6 2" xfId="667" xr:uid="{00000000-0005-0000-0000-00009B020000}"/>
    <cellStyle name="Notas 6 3" xfId="668" xr:uid="{00000000-0005-0000-0000-00009C020000}"/>
    <cellStyle name="Notas 6 4" xfId="669" xr:uid="{00000000-0005-0000-0000-00009D020000}"/>
    <cellStyle name="Notas 7" xfId="670" xr:uid="{00000000-0005-0000-0000-00009E020000}"/>
    <cellStyle name="Notas 7 2" xfId="671" xr:uid="{00000000-0005-0000-0000-00009F020000}"/>
    <cellStyle name="Notas 7 3" xfId="672" xr:uid="{00000000-0005-0000-0000-0000A0020000}"/>
    <cellStyle name="Notas 7 4" xfId="673" xr:uid="{00000000-0005-0000-0000-0000A1020000}"/>
    <cellStyle name="Notas 8" xfId="674" xr:uid="{00000000-0005-0000-0000-0000A2020000}"/>
    <cellStyle name="Notas 8 2" xfId="675" xr:uid="{00000000-0005-0000-0000-0000A3020000}"/>
    <cellStyle name="Notas 8 3" xfId="676" xr:uid="{00000000-0005-0000-0000-0000A4020000}"/>
    <cellStyle name="Notas 8 4" xfId="677" xr:uid="{00000000-0005-0000-0000-0000A5020000}"/>
    <cellStyle name="Notas 9" xfId="678" xr:uid="{00000000-0005-0000-0000-0000A6020000}"/>
    <cellStyle name="Notas 9 2" xfId="679" xr:uid="{00000000-0005-0000-0000-0000A7020000}"/>
    <cellStyle name="Notas 9 3" xfId="680" xr:uid="{00000000-0005-0000-0000-0000A8020000}"/>
    <cellStyle name="Notas 9 4" xfId="681" xr:uid="{00000000-0005-0000-0000-0000A9020000}"/>
    <cellStyle name="Note" xfId="135" xr:uid="{00000000-0005-0000-0000-0000AA020000}"/>
    <cellStyle name="Output" xfId="136" xr:uid="{00000000-0005-0000-0000-0000AB020000}"/>
    <cellStyle name="Percent 2" xfId="58" xr:uid="{00000000-0005-0000-0000-0000AC020000}"/>
    <cellStyle name="Porcentaje" xfId="59" xr:uid="{00000000-0005-0000-0000-0000AD020000}"/>
    <cellStyle name="Porcentaje 2" xfId="682" xr:uid="{00000000-0005-0000-0000-0000AE020000}"/>
    <cellStyle name="Porcentaje 3" xfId="868" xr:uid="{00000000-0005-0000-0000-0000AF020000}"/>
    <cellStyle name="Porcentual 2" xfId="60" xr:uid="{00000000-0005-0000-0000-0000B0020000}"/>
    <cellStyle name="Porcentual 2 2" xfId="683" xr:uid="{00000000-0005-0000-0000-0000B1020000}"/>
    <cellStyle name="Porcentual 2 3" xfId="684" xr:uid="{00000000-0005-0000-0000-0000B2020000}"/>
    <cellStyle name="Porcentual 2 4" xfId="685" xr:uid="{00000000-0005-0000-0000-0000B3020000}"/>
    <cellStyle name="Porcentual 2 5" xfId="686" xr:uid="{00000000-0005-0000-0000-0000B4020000}"/>
    <cellStyle name="Porcentual 3" xfId="687" xr:uid="{00000000-0005-0000-0000-0000B5020000}"/>
    <cellStyle name="Porcentual 4" xfId="144" xr:uid="{00000000-0005-0000-0000-0000B6020000}"/>
    <cellStyle name="Porcentual 5" xfId="688" xr:uid="{00000000-0005-0000-0000-0000B7020000}"/>
    <cellStyle name="Salida" xfId="61" builtinId="21" customBuiltin="1"/>
    <cellStyle name="Salida 10" xfId="689" xr:uid="{00000000-0005-0000-0000-0000B9020000}"/>
    <cellStyle name="Salida 10 2" xfId="690" xr:uid="{00000000-0005-0000-0000-0000BA020000}"/>
    <cellStyle name="Salida 10 3" xfId="691" xr:uid="{00000000-0005-0000-0000-0000BB020000}"/>
    <cellStyle name="Salida 10 4" xfId="692" xr:uid="{00000000-0005-0000-0000-0000BC020000}"/>
    <cellStyle name="Salida 11" xfId="693" xr:uid="{00000000-0005-0000-0000-0000BD020000}"/>
    <cellStyle name="Salida 11 2" xfId="694" xr:uid="{00000000-0005-0000-0000-0000BE020000}"/>
    <cellStyle name="Salida 11 3" xfId="695" xr:uid="{00000000-0005-0000-0000-0000BF020000}"/>
    <cellStyle name="Salida 11 4" xfId="696" xr:uid="{00000000-0005-0000-0000-0000C0020000}"/>
    <cellStyle name="Salida 12" xfId="697" xr:uid="{00000000-0005-0000-0000-0000C1020000}"/>
    <cellStyle name="Salida 12 2" xfId="698" xr:uid="{00000000-0005-0000-0000-0000C2020000}"/>
    <cellStyle name="Salida 12 3" xfId="699" xr:uid="{00000000-0005-0000-0000-0000C3020000}"/>
    <cellStyle name="Salida 12 4" xfId="700" xr:uid="{00000000-0005-0000-0000-0000C4020000}"/>
    <cellStyle name="Salida 13" xfId="701" xr:uid="{00000000-0005-0000-0000-0000C5020000}"/>
    <cellStyle name="Salida 13 2" xfId="702" xr:uid="{00000000-0005-0000-0000-0000C6020000}"/>
    <cellStyle name="Salida 13 3" xfId="703" xr:uid="{00000000-0005-0000-0000-0000C7020000}"/>
    <cellStyle name="Salida 13 4" xfId="704" xr:uid="{00000000-0005-0000-0000-0000C8020000}"/>
    <cellStyle name="Salida 2" xfId="705" xr:uid="{00000000-0005-0000-0000-0000C9020000}"/>
    <cellStyle name="Salida 2 2" xfId="706" xr:uid="{00000000-0005-0000-0000-0000CA020000}"/>
    <cellStyle name="Salida 2 3" xfId="707" xr:uid="{00000000-0005-0000-0000-0000CB020000}"/>
    <cellStyle name="Salida 2 4" xfId="708" xr:uid="{00000000-0005-0000-0000-0000CC020000}"/>
    <cellStyle name="Salida 3" xfId="709" xr:uid="{00000000-0005-0000-0000-0000CD020000}"/>
    <cellStyle name="Salida 3 2" xfId="710" xr:uid="{00000000-0005-0000-0000-0000CE020000}"/>
    <cellStyle name="Salida 3 3" xfId="711" xr:uid="{00000000-0005-0000-0000-0000CF020000}"/>
    <cellStyle name="Salida 3 4" xfId="712" xr:uid="{00000000-0005-0000-0000-0000D0020000}"/>
    <cellStyle name="Salida 4" xfId="713" xr:uid="{00000000-0005-0000-0000-0000D1020000}"/>
    <cellStyle name="Salida 4 2" xfId="714" xr:uid="{00000000-0005-0000-0000-0000D2020000}"/>
    <cellStyle name="Salida 4 3" xfId="715" xr:uid="{00000000-0005-0000-0000-0000D3020000}"/>
    <cellStyle name="Salida 4 4" xfId="716" xr:uid="{00000000-0005-0000-0000-0000D4020000}"/>
    <cellStyle name="Salida 5" xfId="717" xr:uid="{00000000-0005-0000-0000-0000D5020000}"/>
    <cellStyle name="Salida 5 2" xfId="718" xr:uid="{00000000-0005-0000-0000-0000D6020000}"/>
    <cellStyle name="Salida 5 3" xfId="719" xr:uid="{00000000-0005-0000-0000-0000D7020000}"/>
    <cellStyle name="Salida 5 4" xfId="720" xr:uid="{00000000-0005-0000-0000-0000D8020000}"/>
    <cellStyle name="Salida 6" xfId="721" xr:uid="{00000000-0005-0000-0000-0000D9020000}"/>
    <cellStyle name="Salida 6 2" xfId="722" xr:uid="{00000000-0005-0000-0000-0000DA020000}"/>
    <cellStyle name="Salida 6 3" xfId="723" xr:uid="{00000000-0005-0000-0000-0000DB020000}"/>
    <cellStyle name="Salida 6 4" xfId="724" xr:uid="{00000000-0005-0000-0000-0000DC020000}"/>
    <cellStyle name="Salida 7" xfId="725" xr:uid="{00000000-0005-0000-0000-0000DD020000}"/>
    <cellStyle name="Salida 7 2" xfId="726" xr:uid="{00000000-0005-0000-0000-0000DE020000}"/>
    <cellStyle name="Salida 7 3" xfId="727" xr:uid="{00000000-0005-0000-0000-0000DF020000}"/>
    <cellStyle name="Salida 7 4" xfId="728" xr:uid="{00000000-0005-0000-0000-0000E0020000}"/>
    <cellStyle name="Salida 8" xfId="729" xr:uid="{00000000-0005-0000-0000-0000E1020000}"/>
    <cellStyle name="Salida 8 2" xfId="730" xr:uid="{00000000-0005-0000-0000-0000E2020000}"/>
    <cellStyle name="Salida 8 3" xfId="731" xr:uid="{00000000-0005-0000-0000-0000E3020000}"/>
    <cellStyle name="Salida 8 4" xfId="732" xr:uid="{00000000-0005-0000-0000-0000E4020000}"/>
    <cellStyle name="Salida 9" xfId="733" xr:uid="{00000000-0005-0000-0000-0000E5020000}"/>
    <cellStyle name="Salida 9 2" xfId="734" xr:uid="{00000000-0005-0000-0000-0000E6020000}"/>
    <cellStyle name="Salida 9 3" xfId="735" xr:uid="{00000000-0005-0000-0000-0000E7020000}"/>
    <cellStyle name="Salida 9 4" xfId="736" xr:uid="{00000000-0005-0000-0000-0000E8020000}"/>
    <cellStyle name="Texto de advertencia" xfId="62" builtinId="11" customBuiltin="1"/>
    <cellStyle name="Texto de advertencia 10" xfId="737" xr:uid="{00000000-0005-0000-0000-0000EA020000}"/>
    <cellStyle name="Texto de advertencia 11" xfId="738" xr:uid="{00000000-0005-0000-0000-0000EB020000}"/>
    <cellStyle name="Texto de advertencia 12" xfId="739" xr:uid="{00000000-0005-0000-0000-0000EC020000}"/>
    <cellStyle name="Texto de advertencia 13" xfId="740" xr:uid="{00000000-0005-0000-0000-0000ED020000}"/>
    <cellStyle name="Texto de advertencia 2" xfId="741" xr:uid="{00000000-0005-0000-0000-0000EE020000}"/>
    <cellStyle name="Texto de advertencia 3" xfId="742" xr:uid="{00000000-0005-0000-0000-0000EF020000}"/>
    <cellStyle name="Texto de advertencia 4" xfId="743" xr:uid="{00000000-0005-0000-0000-0000F0020000}"/>
    <cellStyle name="Texto de advertencia 5" xfId="744" xr:uid="{00000000-0005-0000-0000-0000F1020000}"/>
    <cellStyle name="Texto de advertencia 6" xfId="745" xr:uid="{00000000-0005-0000-0000-0000F2020000}"/>
    <cellStyle name="Texto de advertencia 7" xfId="746" xr:uid="{00000000-0005-0000-0000-0000F3020000}"/>
    <cellStyle name="Texto de advertencia 8" xfId="747" xr:uid="{00000000-0005-0000-0000-0000F4020000}"/>
    <cellStyle name="Texto de advertencia 9" xfId="748" xr:uid="{00000000-0005-0000-0000-0000F5020000}"/>
    <cellStyle name="Texto explicativo" xfId="63" builtinId="53" customBuiltin="1"/>
    <cellStyle name="Texto explicativo 10" xfId="749" xr:uid="{00000000-0005-0000-0000-0000F7020000}"/>
    <cellStyle name="Texto explicativo 11" xfId="750" xr:uid="{00000000-0005-0000-0000-0000F8020000}"/>
    <cellStyle name="Texto explicativo 12" xfId="751" xr:uid="{00000000-0005-0000-0000-0000F9020000}"/>
    <cellStyle name="Texto explicativo 13" xfId="752" xr:uid="{00000000-0005-0000-0000-0000FA020000}"/>
    <cellStyle name="Texto explicativo 2" xfId="753" xr:uid="{00000000-0005-0000-0000-0000FB020000}"/>
    <cellStyle name="Texto explicativo 3" xfId="754" xr:uid="{00000000-0005-0000-0000-0000FC020000}"/>
    <cellStyle name="Texto explicativo 4" xfId="755" xr:uid="{00000000-0005-0000-0000-0000FD020000}"/>
    <cellStyle name="Texto explicativo 5" xfId="756" xr:uid="{00000000-0005-0000-0000-0000FE020000}"/>
    <cellStyle name="Texto explicativo 6" xfId="757" xr:uid="{00000000-0005-0000-0000-0000FF020000}"/>
    <cellStyle name="Texto explicativo 7" xfId="758" xr:uid="{00000000-0005-0000-0000-000000030000}"/>
    <cellStyle name="Texto explicativo 8" xfId="759" xr:uid="{00000000-0005-0000-0000-000001030000}"/>
    <cellStyle name="Texto explicativo 9" xfId="760" xr:uid="{00000000-0005-0000-0000-000002030000}"/>
    <cellStyle name="Title" xfId="137" xr:uid="{00000000-0005-0000-0000-000003030000}"/>
    <cellStyle name="Título" xfId="64" builtinId="15" customBuiltin="1"/>
    <cellStyle name="Título 1 10" xfId="761" xr:uid="{00000000-0005-0000-0000-000006030000}"/>
    <cellStyle name="Título 1 11" xfId="762" xr:uid="{00000000-0005-0000-0000-000007030000}"/>
    <cellStyle name="Título 1 12" xfId="763" xr:uid="{00000000-0005-0000-0000-000008030000}"/>
    <cellStyle name="Título 1 13" xfId="764" xr:uid="{00000000-0005-0000-0000-000009030000}"/>
    <cellStyle name="Título 1 2" xfId="765" xr:uid="{00000000-0005-0000-0000-00000A030000}"/>
    <cellStyle name="Título 1 3" xfId="766" xr:uid="{00000000-0005-0000-0000-00000B030000}"/>
    <cellStyle name="Título 1 4" xfId="767" xr:uid="{00000000-0005-0000-0000-00000C030000}"/>
    <cellStyle name="Título 1 5" xfId="768" xr:uid="{00000000-0005-0000-0000-00000D030000}"/>
    <cellStyle name="Título 1 6" xfId="769" xr:uid="{00000000-0005-0000-0000-00000E030000}"/>
    <cellStyle name="Título 1 7" xfId="770" xr:uid="{00000000-0005-0000-0000-00000F030000}"/>
    <cellStyle name="Título 1 8" xfId="771" xr:uid="{00000000-0005-0000-0000-000010030000}"/>
    <cellStyle name="Título 1 9" xfId="772" xr:uid="{00000000-0005-0000-0000-000011030000}"/>
    <cellStyle name="Título 10" xfId="773" xr:uid="{00000000-0005-0000-0000-000012030000}"/>
    <cellStyle name="Título 11" xfId="774" xr:uid="{00000000-0005-0000-0000-000013030000}"/>
    <cellStyle name="Título 12" xfId="775" xr:uid="{00000000-0005-0000-0000-000014030000}"/>
    <cellStyle name="Título 13" xfId="776" xr:uid="{00000000-0005-0000-0000-000015030000}"/>
    <cellStyle name="Título 14" xfId="777" xr:uid="{00000000-0005-0000-0000-000016030000}"/>
    <cellStyle name="Título 15" xfId="778" xr:uid="{00000000-0005-0000-0000-000017030000}"/>
    <cellStyle name="Título 2" xfId="66" builtinId="17" customBuiltin="1"/>
    <cellStyle name="Título 2 10" xfId="779" xr:uid="{00000000-0005-0000-0000-000019030000}"/>
    <cellStyle name="Título 2 11" xfId="780" xr:uid="{00000000-0005-0000-0000-00001A030000}"/>
    <cellStyle name="Título 2 12" xfId="781" xr:uid="{00000000-0005-0000-0000-00001B030000}"/>
    <cellStyle name="Título 2 13" xfId="782" xr:uid="{00000000-0005-0000-0000-00001C030000}"/>
    <cellStyle name="Título 2 2" xfId="783" xr:uid="{00000000-0005-0000-0000-00001D030000}"/>
    <cellStyle name="Título 2 3" xfId="784" xr:uid="{00000000-0005-0000-0000-00001E030000}"/>
    <cellStyle name="Título 2 4" xfId="785" xr:uid="{00000000-0005-0000-0000-00001F030000}"/>
    <cellStyle name="Título 2 5" xfId="786" xr:uid="{00000000-0005-0000-0000-000020030000}"/>
    <cellStyle name="Título 2 6" xfId="787" xr:uid="{00000000-0005-0000-0000-000021030000}"/>
    <cellStyle name="Título 2 7" xfId="788" xr:uid="{00000000-0005-0000-0000-000022030000}"/>
    <cellStyle name="Título 2 8" xfId="789" xr:uid="{00000000-0005-0000-0000-000023030000}"/>
    <cellStyle name="Título 2 9" xfId="790" xr:uid="{00000000-0005-0000-0000-000024030000}"/>
    <cellStyle name="Título 3" xfId="67" builtinId="18" customBuiltin="1"/>
    <cellStyle name="Título 3 10" xfId="791" xr:uid="{00000000-0005-0000-0000-000026030000}"/>
    <cellStyle name="Título 3 11" xfId="792" xr:uid="{00000000-0005-0000-0000-000027030000}"/>
    <cellStyle name="Título 3 12" xfId="793" xr:uid="{00000000-0005-0000-0000-000028030000}"/>
    <cellStyle name="Título 3 13" xfId="794" xr:uid="{00000000-0005-0000-0000-000029030000}"/>
    <cellStyle name="Título 3 2" xfId="795" xr:uid="{00000000-0005-0000-0000-00002A030000}"/>
    <cellStyle name="Título 3 3" xfId="796" xr:uid="{00000000-0005-0000-0000-00002B030000}"/>
    <cellStyle name="Título 3 4" xfId="797" xr:uid="{00000000-0005-0000-0000-00002C030000}"/>
    <cellStyle name="Título 3 5" xfId="798" xr:uid="{00000000-0005-0000-0000-00002D030000}"/>
    <cellStyle name="Título 3 6" xfId="799" xr:uid="{00000000-0005-0000-0000-00002E030000}"/>
    <cellStyle name="Título 3 7" xfId="800" xr:uid="{00000000-0005-0000-0000-00002F030000}"/>
    <cellStyle name="Título 3 8" xfId="801" xr:uid="{00000000-0005-0000-0000-000030030000}"/>
    <cellStyle name="Título 3 9" xfId="802" xr:uid="{00000000-0005-0000-0000-000031030000}"/>
    <cellStyle name="Título 4" xfId="803" xr:uid="{00000000-0005-0000-0000-000032030000}"/>
    <cellStyle name="Título 5" xfId="804" xr:uid="{00000000-0005-0000-0000-000033030000}"/>
    <cellStyle name="Título 6" xfId="805" xr:uid="{00000000-0005-0000-0000-000034030000}"/>
    <cellStyle name="Título 7" xfId="806" xr:uid="{00000000-0005-0000-0000-000035030000}"/>
    <cellStyle name="Título 8" xfId="807" xr:uid="{00000000-0005-0000-0000-000036030000}"/>
    <cellStyle name="Título 9" xfId="808" xr:uid="{00000000-0005-0000-0000-000037030000}"/>
    <cellStyle name="Total" xfId="68" builtinId="25" customBuiltin="1"/>
    <cellStyle name="Total 10" xfId="809" xr:uid="{00000000-0005-0000-0000-000039030000}"/>
    <cellStyle name="Total 10 2" xfId="810" xr:uid="{00000000-0005-0000-0000-00003A030000}"/>
    <cellStyle name="Total 10 3" xfId="811" xr:uid="{00000000-0005-0000-0000-00003B030000}"/>
    <cellStyle name="Total 10 4" xfId="812" xr:uid="{00000000-0005-0000-0000-00003C030000}"/>
    <cellStyle name="Total 11" xfId="813" xr:uid="{00000000-0005-0000-0000-00003D030000}"/>
    <cellStyle name="Total 11 2" xfId="814" xr:uid="{00000000-0005-0000-0000-00003E030000}"/>
    <cellStyle name="Total 11 3" xfId="815" xr:uid="{00000000-0005-0000-0000-00003F030000}"/>
    <cellStyle name="Total 11 4" xfId="816" xr:uid="{00000000-0005-0000-0000-000040030000}"/>
    <cellStyle name="Total 12" xfId="817" xr:uid="{00000000-0005-0000-0000-000041030000}"/>
    <cellStyle name="Total 12 2" xfId="818" xr:uid="{00000000-0005-0000-0000-000042030000}"/>
    <cellStyle name="Total 12 3" xfId="819" xr:uid="{00000000-0005-0000-0000-000043030000}"/>
    <cellStyle name="Total 12 4" xfId="820" xr:uid="{00000000-0005-0000-0000-000044030000}"/>
    <cellStyle name="Total 13" xfId="821" xr:uid="{00000000-0005-0000-0000-000045030000}"/>
    <cellStyle name="Total 13 2" xfId="822" xr:uid="{00000000-0005-0000-0000-000046030000}"/>
    <cellStyle name="Total 13 3" xfId="823" xr:uid="{00000000-0005-0000-0000-000047030000}"/>
    <cellStyle name="Total 13 4" xfId="824" xr:uid="{00000000-0005-0000-0000-000048030000}"/>
    <cellStyle name="Total 2" xfId="825" xr:uid="{00000000-0005-0000-0000-000049030000}"/>
    <cellStyle name="Total 2 2" xfId="826" xr:uid="{00000000-0005-0000-0000-00004A030000}"/>
    <cellStyle name="Total 2 3" xfId="827" xr:uid="{00000000-0005-0000-0000-00004B030000}"/>
    <cellStyle name="Total 2 4" xfId="828" xr:uid="{00000000-0005-0000-0000-00004C030000}"/>
    <cellStyle name="Total 3" xfId="829" xr:uid="{00000000-0005-0000-0000-00004D030000}"/>
    <cellStyle name="Total 3 2" xfId="830" xr:uid="{00000000-0005-0000-0000-00004E030000}"/>
    <cellStyle name="Total 3 3" xfId="831" xr:uid="{00000000-0005-0000-0000-00004F030000}"/>
    <cellStyle name="Total 3 4" xfId="832" xr:uid="{00000000-0005-0000-0000-000050030000}"/>
    <cellStyle name="Total 4" xfId="833" xr:uid="{00000000-0005-0000-0000-000051030000}"/>
    <cellStyle name="Total 4 2" xfId="834" xr:uid="{00000000-0005-0000-0000-000052030000}"/>
    <cellStyle name="Total 4 3" xfId="835" xr:uid="{00000000-0005-0000-0000-000053030000}"/>
    <cellStyle name="Total 4 4" xfId="836" xr:uid="{00000000-0005-0000-0000-000054030000}"/>
    <cellStyle name="Total 5" xfId="837" xr:uid="{00000000-0005-0000-0000-000055030000}"/>
    <cellStyle name="Total 5 2" xfId="838" xr:uid="{00000000-0005-0000-0000-000056030000}"/>
    <cellStyle name="Total 5 3" xfId="839" xr:uid="{00000000-0005-0000-0000-000057030000}"/>
    <cellStyle name="Total 5 4" xfId="840" xr:uid="{00000000-0005-0000-0000-000058030000}"/>
    <cellStyle name="Total 6" xfId="841" xr:uid="{00000000-0005-0000-0000-000059030000}"/>
    <cellStyle name="Total 6 2" xfId="842" xr:uid="{00000000-0005-0000-0000-00005A030000}"/>
    <cellStyle name="Total 6 3" xfId="843" xr:uid="{00000000-0005-0000-0000-00005B030000}"/>
    <cellStyle name="Total 6 4" xfId="844" xr:uid="{00000000-0005-0000-0000-00005C030000}"/>
    <cellStyle name="Total 7" xfId="845" xr:uid="{00000000-0005-0000-0000-00005D030000}"/>
    <cellStyle name="Total 7 2" xfId="846" xr:uid="{00000000-0005-0000-0000-00005E030000}"/>
    <cellStyle name="Total 7 3" xfId="847" xr:uid="{00000000-0005-0000-0000-00005F030000}"/>
    <cellStyle name="Total 7 4" xfId="848" xr:uid="{00000000-0005-0000-0000-000060030000}"/>
    <cellStyle name="Total 8" xfId="849" xr:uid="{00000000-0005-0000-0000-000061030000}"/>
    <cellStyle name="Total 8 2" xfId="850" xr:uid="{00000000-0005-0000-0000-000062030000}"/>
    <cellStyle name="Total 8 3" xfId="851" xr:uid="{00000000-0005-0000-0000-000063030000}"/>
    <cellStyle name="Total 8 4" xfId="852" xr:uid="{00000000-0005-0000-0000-000064030000}"/>
    <cellStyle name="Total 9" xfId="853" xr:uid="{00000000-0005-0000-0000-000065030000}"/>
    <cellStyle name="Total 9 2" xfId="854" xr:uid="{00000000-0005-0000-0000-000066030000}"/>
    <cellStyle name="Total 9 3" xfId="855" xr:uid="{00000000-0005-0000-0000-000067030000}"/>
    <cellStyle name="Total 9 4" xfId="856" xr:uid="{00000000-0005-0000-0000-000068030000}"/>
    <cellStyle name="Warning Text" xfId="138" xr:uid="{00000000-0005-0000-0000-000069030000}"/>
  </cellStyles>
  <dxfs count="361"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5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8.xml"/><Relationship Id="rId47" Type="http://schemas.openxmlformats.org/officeDocument/2006/relationships/externalLink" Target="externalLinks/externalLink13.xml"/><Relationship Id="rId50" Type="http://schemas.openxmlformats.org/officeDocument/2006/relationships/externalLink" Target="externalLinks/externalLink16.xml"/><Relationship Id="rId55" Type="http://schemas.openxmlformats.org/officeDocument/2006/relationships/externalLink" Target="externalLinks/externalLink21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3.xml"/><Relationship Id="rId40" Type="http://schemas.openxmlformats.org/officeDocument/2006/relationships/externalLink" Target="externalLinks/externalLink6.xml"/><Relationship Id="rId45" Type="http://schemas.openxmlformats.org/officeDocument/2006/relationships/externalLink" Target="externalLinks/externalLink11.xml"/><Relationship Id="rId53" Type="http://schemas.openxmlformats.org/officeDocument/2006/relationships/externalLink" Target="externalLinks/externalLink19.xml"/><Relationship Id="rId58" Type="http://schemas.openxmlformats.org/officeDocument/2006/relationships/externalLink" Target="externalLinks/externalLink24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externalLink" Target="externalLinks/externalLink9.xml"/><Relationship Id="rId48" Type="http://schemas.openxmlformats.org/officeDocument/2006/relationships/externalLink" Target="externalLinks/externalLink14.xml"/><Relationship Id="rId56" Type="http://schemas.openxmlformats.org/officeDocument/2006/relationships/externalLink" Target="externalLinks/externalLink2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4.xml"/><Relationship Id="rId46" Type="http://schemas.openxmlformats.org/officeDocument/2006/relationships/externalLink" Target="externalLinks/externalLink12.xml"/><Relationship Id="rId59" Type="http://schemas.openxmlformats.org/officeDocument/2006/relationships/externalLink" Target="externalLinks/externalLink25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7.xml"/><Relationship Id="rId54" Type="http://schemas.openxmlformats.org/officeDocument/2006/relationships/externalLink" Target="externalLinks/externalLink20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49" Type="http://schemas.openxmlformats.org/officeDocument/2006/relationships/externalLink" Target="externalLinks/externalLink15.xml"/><Relationship Id="rId57" Type="http://schemas.openxmlformats.org/officeDocument/2006/relationships/externalLink" Target="externalLinks/externalLink2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0.xml"/><Relationship Id="rId52" Type="http://schemas.openxmlformats.org/officeDocument/2006/relationships/externalLink" Target="externalLinks/externalLink18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CRONOGRAMA GRAFICO DE DESEMBOLSO</a:t>
            </a:r>
          </a:p>
        </c:rich>
      </c:tx>
      <c:layout>
        <c:manualLayout>
          <c:xMode val="edge"/>
          <c:yMode val="edge"/>
          <c:x val="0.34710396002198302"/>
          <c:y val="2.5942365926263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6.4842330421202701E-2"/>
          <c:y val="0.10111992814343998"/>
          <c:w val="0.90539318354457132"/>
          <c:h val="0.742609854538907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'CRON.DES.'!$J$8:$K$8</c:f>
              <c:strCache>
                <c:ptCount val="1"/>
                <c:pt idx="0">
                  <c:v>PROGRAMADO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271720515036041E-2"/>
                  <c:y val="-6.471730262426436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EF-43D2-BFFB-BF297B0C8638}"/>
                </c:ext>
              </c:extLst>
            </c:dLbl>
            <c:dLbl>
              <c:idx val="1"/>
              <c:layout>
                <c:manualLayout>
                  <c:x val="-2.4165532159337432E-2"/>
                  <c:y val="-2.81366698698241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1D-4726-A17C-E98DE91FD854}"/>
                </c:ext>
              </c:extLst>
            </c:dLbl>
            <c:dLbl>
              <c:idx val="2"/>
              <c:layout>
                <c:manualLayout>
                  <c:x val="-2.4260411850549949E-2"/>
                  <c:y val="-3.2414096188690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EF-43D2-BFFB-BF297B0C8638}"/>
                </c:ext>
              </c:extLst>
            </c:dLbl>
            <c:dLbl>
              <c:idx val="9"/>
              <c:layout>
                <c:manualLayout>
                  <c:x val="6.4656367306870693E-3"/>
                  <c:y val="8.1868143384209292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EF-43D2-BFFB-BF297B0C8638}"/>
                </c:ext>
              </c:extLst>
            </c:dLbl>
            <c:dLbl>
              <c:idx val="10"/>
              <c:layout>
                <c:manualLayout>
                  <c:x val="-2.5207877822726838E-2"/>
                  <c:y val="-3.4672333712081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EF-43D2-BFFB-BF297B0C8638}"/>
                </c:ext>
              </c:extLst>
            </c:dLbl>
            <c:dLbl>
              <c:idx val="11"/>
              <c:layout>
                <c:manualLayout>
                  <c:x val="-1.1847352460606186E-3"/>
                  <c:y val="4.045137356198828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EF-43D2-BFFB-BF297B0C8638}"/>
                </c:ext>
              </c:extLst>
            </c:dLbl>
            <c:dLbl>
              <c:idx val="12"/>
              <c:layout>
                <c:manualLayout>
                  <c:x val="3.6881131467723038E-3"/>
                  <c:y val="-4.021002449693010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EF-43D2-BFFB-BF297B0C8638}"/>
                </c:ext>
              </c:extLst>
            </c:dLbl>
            <c:dLbl>
              <c:idx val="13"/>
              <c:layout>
                <c:manualLayout>
                  <c:x val="2.4699010485640734E-3"/>
                  <c:y val="-7.945465273362748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EF-43D2-BFFB-BF297B0C8638}"/>
                </c:ext>
              </c:extLst>
            </c:dLbl>
            <c:dLbl>
              <c:idx val="14"/>
              <c:layout>
                <c:manualLayout>
                  <c:x val="3.6881131467723038E-3"/>
                  <c:y val="-7.945465273363340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EF-43D2-BFFB-BF297B0C8638}"/>
                </c:ext>
              </c:extLst>
            </c:dLbl>
            <c:dLbl>
              <c:idx val="15"/>
              <c:layout>
                <c:manualLayout>
                  <c:x val="3.6881131467723038E-3"/>
                  <c:y val="-7.945465273363044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EF-43D2-BFFB-BF297B0C86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'CRON.DES.'!$B$11:$B$27</c:f>
              <c:numCache>
                <c:formatCode>mmm\-yy</c:formatCode>
                <c:ptCount val="17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  <c:pt idx="12">
                  <c:v>44470</c:v>
                </c:pt>
                <c:pt idx="13">
                  <c:v>44501</c:v>
                </c:pt>
                <c:pt idx="14">
                  <c:v>44531</c:v>
                </c:pt>
                <c:pt idx="15">
                  <c:v>44562</c:v>
                </c:pt>
                <c:pt idx="16">
                  <c:v>44609</c:v>
                </c:pt>
              </c:numCache>
            </c:numRef>
          </c:xVal>
          <c:yVal>
            <c:numRef>
              <c:f>'CRON.DES.'!$K$11:$K$27</c:f>
              <c:numCache>
                <c:formatCode>0.00%</c:formatCode>
                <c:ptCount val="17"/>
                <c:pt idx="0">
                  <c:v>0</c:v>
                </c:pt>
                <c:pt idx="1">
                  <c:v>2.162365714953578E-3</c:v>
                </c:pt>
                <c:pt idx="2">
                  <c:v>7.000941708409085E-3</c:v>
                </c:pt>
                <c:pt idx="3">
                  <c:v>1.4300195913185366E-2</c:v>
                </c:pt>
                <c:pt idx="4">
                  <c:v>1.5115258882246031E-2</c:v>
                </c:pt>
                <c:pt idx="5">
                  <c:v>1.5472518776279059E-2</c:v>
                </c:pt>
                <c:pt idx="6">
                  <c:v>1.6238075692064122E-2</c:v>
                </c:pt>
                <c:pt idx="7">
                  <c:v>1.6324985033079126E-2</c:v>
                </c:pt>
                <c:pt idx="8">
                  <c:v>1.6492655315526641E-2</c:v>
                </c:pt>
                <c:pt idx="9">
                  <c:v>1.7520314338807567E-2</c:v>
                </c:pt>
                <c:pt idx="10">
                  <c:v>7.2249624045472249E-2</c:v>
                </c:pt>
                <c:pt idx="11">
                  <c:v>0.18301971938157557</c:v>
                </c:pt>
                <c:pt idx="12">
                  <c:v>0.3663300593125719</c:v>
                </c:pt>
                <c:pt idx="13">
                  <c:v>0.57405712687100108</c:v>
                </c:pt>
                <c:pt idx="14">
                  <c:v>0.7571874862158694</c:v>
                </c:pt>
                <c:pt idx="15">
                  <c:v>0.93003973184977506</c:v>
                </c:pt>
                <c:pt idx="16">
                  <c:v>0.99999999999999989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1D-4726-A17C-E98DE91FD854}"/>
            </c:ext>
          </c:extLst>
        </c:ser>
        <c:ser>
          <c:idx val="1"/>
          <c:order val="1"/>
          <c:tx>
            <c:strRef>
              <c:f>'CRON.DES.'!$L$8:$M$8</c:f>
              <c:strCache>
                <c:ptCount val="1"/>
                <c:pt idx="0">
                  <c:v>EJECUTADO</c:v>
                </c:pt>
              </c:strCache>
            </c:strRef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0538459463703934E-2"/>
                  <c:y val="-5.1815717571969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1D-4726-A17C-E98DE91FD854}"/>
                </c:ext>
              </c:extLst>
            </c:dLbl>
            <c:dLbl>
              <c:idx val="2"/>
              <c:layout>
                <c:manualLayout>
                  <c:x val="-6.2287560832515729E-2"/>
                  <c:y val="-7.0594167724253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1D-4726-A17C-E98DE91FD854}"/>
                </c:ext>
              </c:extLst>
            </c:dLbl>
            <c:dLbl>
              <c:idx val="3"/>
              <c:layout>
                <c:manualLayout>
                  <c:x val="-3.8654483553198525E-2"/>
                  <c:y val="-6.7621592802904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EF-43D2-BFFB-BF297B0C8638}"/>
                </c:ext>
              </c:extLst>
            </c:dLbl>
            <c:dLbl>
              <c:idx val="4"/>
              <c:layout>
                <c:manualLayout>
                  <c:x val="-2.4892050440033262E-2"/>
                  <c:y val="-7.5645195978670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EF-43D2-BFFB-BF297B0C8638}"/>
                </c:ext>
              </c:extLst>
            </c:dLbl>
            <c:dLbl>
              <c:idx val="5"/>
              <c:layout>
                <c:manualLayout>
                  <c:x val="-2.9750808820674133E-2"/>
                  <c:y val="-7.3792169841080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EF-43D2-BFFB-BF297B0C8638}"/>
                </c:ext>
              </c:extLst>
            </c:dLbl>
            <c:dLbl>
              <c:idx val="6"/>
              <c:layout>
                <c:manualLayout>
                  <c:x val="-3.460956720131509E-2"/>
                  <c:y val="-6.45270391531291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EF-43D2-BFFB-BF297B0C8638}"/>
                </c:ext>
              </c:extLst>
            </c:dLbl>
            <c:dLbl>
              <c:idx val="7"/>
              <c:layout>
                <c:manualLayout>
                  <c:x val="-1.5218538617419435E-2"/>
                  <c:y val="-6.10162192923010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EF-43D2-BFFB-BF297B0C8638}"/>
                </c:ext>
              </c:extLst>
            </c:dLbl>
            <c:dLbl>
              <c:idx val="8"/>
              <c:layout>
                <c:manualLayout>
                  <c:x val="-1.5218538617419525E-2"/>
                  <c:y val="-6.4242675214657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EF-43D2-BFFB-BF297B0C8638}"/>
                </c:ext>
              </c:extLst>
            </c:dLbl>
            <c:dLbl>
              <c:idx val="9"/>
              <c:layout>
                <c:manualLayout>
                  <c:x val="-1.5218538617419435E-2"/>
                  <c:y val="-6.10162192923010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7EF-43D2-BFFB-BF297B0C8638}"/>
                </c:ext>
              </c:extLst>
            </c:dLbl>
            <c:dLbl>
              <c:idx val="10"/>
              <c:layout>
                <c:manualLayout>
                  <c:x val="-4.2520217791580774E-3"/>
                  <c:y val="-3.1978115991090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EA-480F-AC61-5BC5CB18CB66}"/>
                </c:ext>
              </c:extLst>
            </c:dLbl>
            <c:dLbl>
              <c:idx val="11"/>
              <c:layout>
                <c:manualLayout>
                  <c:x val="-1.1559941492149634E-2"/>
                  <c:y val="-3.1978115991090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EA-480F-AC61-5BC5CB18CB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'CRON.DES.'!$B$11:$B$27</c:f>
              <c:numCache>
                <c:formatCode>mmm\-yy</c:formatCode>
                <c:ptCount val="17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  <c:pt idx="12">
                  <c:v>44470</c:v>
                </c:pt>
                <c:pt idx="13">
                  <c:v>44501</c:v>
                </c:pt>
                <c:pt idx="14">
                  <c:v>44531</c:v>
                </c:pt>
                <c:pt idx="15">
                  <c:v>44562</c:v>
                </c:pt>
                <c:pt idx="16">
                  <c:v>44609</c:v>
                </c:pt>
              </c:numCache>
            </c:numRef>
          </c:xVal>
          <c:yVal>
            <c:numRef>
              <c:f>'CRON.DES.'!$M$11:$M$27</c:f>
              <c:numCache>
                <c:formatCode>0.00%</c:formatCode>
                <c:ptCount val="17"/>
                <c:pt idx="0">
                  <c:v>0</c:v>
                </c:pt>
                <c:pt idx="1">
                  <c:v>2.162365714953578E-3</c:v>
                </c:pt>
                <c:pt idx="2">
                  <c:v>7.0009417084090832E-3</c:v>
                </c:pt>
                <c:pt idx="3">
                  <c:v>1.4300195913185366E-2</c:v>
                </c:pt>
                <c:pt idx="4">
                  <c:v>1.5115258882246031E-2</c:v>
                </c:pt>
                <c:pt idx="5">
                  <c:v>1.5472518776279059E-2</c:v>
                </c:pt>
                <c:pt idx="6">
                  <c:v>1.6238075692064122E-2</c:v>
                </c:pt>
                <c:pt idx="7">
                  <c:v>1.6324985033079123E-2</c:v>
                </c:pt>
                <c:pt idx="8">
                  <c:v>1.6492655315526638E-2</c:v>
                </c:pt>
                <c:pt idx="9">
                  <c:v>1.8941053420764076E-2</c:v>
                </c:pt>
                <c:pt idx="10">
                  <c:v>4.0047999391995201E-2</c:v>
                </c:pt>
                <c:pt idx="11">
                  <c:v>5.6615003629975784E-2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1D-4726-A17C-E98DE91F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13376"/>
        <c:axId val="147324928"/>
      </c:scatterChart>
      <c:valAx>
        <c:axId val="13941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MES</a:t>
                </a:r>
              </a:p>
            </c:rich>
          </c:tx>
          <c:layout>
            <c:manualLayout>
              <c:xMode val="edge"/>
              <c:yMode val="edge"/>
              <c:x val="0.48737677422795467"/>
              <c:y val="0.92138830423686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BO"/>
            </a:p>
          </c:tx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BO"/>
          </a:p>
        </c:txPr>
        <c:crossAx val="147324928"/>
        <c:crosses val="autoZero"/>
        <c:crossBetween val="midCat"/>
        <c:majorUnit val="30"/>
        <c:minorUnit val="30"/>
      </c:valAx>
      <c:valAx>
        <c:axId val="147324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>
                    <a:solidFill>
                      <a:sysClr val="windowText" lastClr="000000"/>
                    </a:solidFill>
                  </a:rPr>
                  <a:t>PORCENTAJE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BO"/>
          </a:p>
        </c:txPr>
        <c:crossAx val="13941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BO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CRONOGRAMA GRAFICO DE AVANCE FINANCIERO</a:t>
            </a:r>
          </a:p>
        </c:rich>
      </c:tx>
      <c:layout>
        <c:manualLayout>
          <c:xMode val="edge"/>
          <c:yMode val="edge"/>
          <c:x val="0.3369757981195502"/>
          <c:y val="1.691671986133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6.6679040176282373E-2"/>
          <c:y val="7.6989572258859745E-2"/>
          <c:w val="0.91996942048298169"/>
          <c:h val="0.7685521941037621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'CRON.DES.'!$J$8:$K$8</c:f>
              <c:strCache>
                <c:ptCount val="1"/>
                <c:pt idx="0">
                  <c:v>PROGRAMADO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124824563433864E-2"/>
                  <c:y val="-8.324756400016827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8F-42F4-A96B-6CF3434B45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'CRON.DES.'!$B$11:$B$27</c:f>
              <c:numCache>
                <c:formatCode>mmm\-yy</c:formatCode>
                <c:ptCount val="17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  <c:pt idx="12">
                  <c:v>44470</c:v>
                </c:pt>
                <c:pt idx="13">
                  <c:v>44501</c:v>
                </c:pt>
                <c:pt idx="14">
                  <c:v>44531</c:v>
                </c:pt>
                <c:pt idx="15">
                  <c:v>44562</c:v>
                </c:pt>
                <c:pt idx="16">
                  <c:v>44609</c:v>
                </c:pt>
              </c:numCache>
            </c:numRef>
          </c:xVal>
          <c:yVal>
            <c:numRef>
              <c:f>'CRON.DES.'!$K$11:$K$27</c:f>
              <c:numCache>
                <c:formatCode>0.00%</c:formatCode>
                <c:ptCount val="17"/>
                <c:pt idx="0">
                  <c:v>0</c:v>
                </c:pt>
                <c:pt idx="1">
                  <c:v>2.162365714953578E-3</c:v>
                </c:pt>
                <c:pt idx="2">
                  <c:v>7.000941708409085E-3</c:v>
                </c:pt>
                <c:pt idx="3">
                  <c:v>1.4300195913185366E-2</c:v>
                </c:pt>
                <c:pt idx="4">
                  <c:v>1.5115258882246031E-2</c:v>
                </c:pt>
                <c:pt idx="5">
                  <c:v>1.5472518776279059E-2</c:v>
                </c:pt>
                <c:pt idx="6">
                  <c:v>1.6238075692064122E-2</c:v>
                </c:pt>
                <c:pt idx="7">
                  <c:v>1.6324985033079126E-2</c:v>
                </c:pt>
                <c:pt idx="8">
                  <c:v>1.6492655315526641E-2</c:v>
                </c:pt>
                <c:pt idx="9">
                  <c:v>1.7520314338807567E-2</c:v>
                </c:pt>
                <c:pt idx="10">
                  <c:v>7.2249624045472249E-2</c:v>
                </c:pt>
                <c:pt idx="11">
                  <c:v>0.18301971938157557</c:v>
                </c:pt>
                <c:pt idx="12">
                  <c:v>0.3663300593125719</c:v>
                </c:pt>
                <c:pt idx="13">
                  <c:v>0.57405712687100108</c:v>
                </c:pt>
                <c:pt idx="14">
                  <c:v>0.7571874862158694</c:v>
                </c:pt>
                <c:pt idx="15">
                  <c:v>0.93003973184977506</c:v>
                </c:pt>
                <c:pt idx="16">
                  <c:v>0.99999999999999989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68-42A0-81A3-B5B635FF01A5}"/>
            </c:ext>
          </c:extLst>
        </c:ser>
        <c:ser>
          <c:idx val="0"/>
          <c:order val="1"/>
          <c:tx>
            <c:strRef>
              <c:f>'CRON.DES.'!$N$8:$O$8</c:f>
              <c:strCache>
                <c:ptCount val="1"/>
                <c:pt idx="0">
                  <c:v>AVANCE FINANCIERO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'CRON.DES.'!$B$11:$B$27</c:f>
              <c:numCache>
                <c:formatCode>mmm\-yy</c:formatCode>
                <c:ptCount val="17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  <c:pt idx="12">
                  <c:v>44470</c:v>
                </c:pt>
                <c:pt idx="13">
                  <c:v>44501</c:v>
                </c:pt>
                <c:pt idx="14">
                  <c:v>44531</c:v>
                </c:pt>
                <c:pt idx="15">
                  <c:v>44562</c:v>
                </c:pt>
                <c:pt idx="16">
                  <c:v>44609</c:v>
                </c:pt>
              </c:numCache>
            </c:numRef>
          </c:xVal>
          <c:yVal>
            <c:numRef>
              <c:f>'CRON.DES.'!$O$11:$O$27</c:f>
              <c:numCache>
                <c:formatCode>0.00%</c:formatCode>
                <c:ptCount val="17"/>
                <c:pt idx="0">
                  <c:v>0.20331393116241681</c:v>
                </c:pt>
                <c:pt idx="1">
                  <c:v>0.20489245812870602</c:v>
                </c:pt>
                <c:pt idx="2">
                  <c:v>0.20842461864144107</c:v>
                </c:pt>
                <c:pt idx="3">
                  <c:v>0.21375307421655465</c:v>
                </c:pt>
                <c:pt idx="4">
                  <c:v>0.21434807013332702</c:v>
                </c:pt>
                <c:pt idx="5">
                  <c:v>0.21460886980532917</c:v>
                </c:pt>
                <c:pt idx="6">
                  <c:v>0.21516772632571787</c:v>
                </c:pt>
                <c:pt idx="7">
                  <c:v>0.21523117007057155</c:v>
                </c:pt>
                <c:pt idx="8">
                  <c:v>0.21535356937206915</c:v>
                </c:pt>
                <c:pt idx="9">
                  <c:v>0.21714089996826061</c:v>
                </c:pt>
                <c:pt idx="10">
                  <c:v>0.23254897060134658</c:v>
                </c:pt>
                <c:pt idx="11">
                  <c:v>0.2446428836463061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68-42A0-81A3-B5B635FF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70752"/>
        <c:axId val="147372672"/>
      </c:scatterChart>
      <c:valAx>
        <c:axId val="1473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MES</a:t>
                </a:r>
              </a:p>
            </c:rich>
          </c:tx>
          <c:layout>
            <c:manualLayout>
              <c:xMode val="edge"/>
              <c:yMode val="edge"/>
              <c:x val="0.48737677422795467"/>
              <c:y val="0.92138830423686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BO"/>
            </a:p>
          </c:tx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147372672"/>
        <c:crosses val="autoZero"/>
        <c:crossBetween val="midCat"/>
        <c:majorUnit val="30"/>
        <c:minorUnit val="30"/>
      </c:valAx>
      <c:valAx>
        <c:axId val="147372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PORCENTAJE</a:t>
                </a:r>
                <a:r>
                  <a:rPr lang="es-BO" sz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</a:t>
                </a:r>
                <a:endParaRPr lang="es-BO" sz="12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B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BO"/>
          </a:p>
        </c:txPr>
        <c:crossAx val="14737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BO"/>
          </a:p>
        </c:txPr>
      </c:legendEntry>
      <c:layout>
        <c:manualLayout>
          <c:xMode val="edge"/>
          <c:yMode val="edge"/>
          <c:x val="0.145581413634327"/>
          <c:y val="0.96248903122593588"/>
          <c:w val="0.80920991360066519"/>
          <c:h val="3.6871049002811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w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12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1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8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9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10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4</xdr:row>
      <xdr:rowOff>19050</xdr:rowOff>
    </xdr:from>
    <xdr:to>
      <xdr:col>9</xdr:col>
      <xdr:colOff>201267</xdr:colOff>
      <xdr:row>17</xdr:row>
      <xdr:rowOff>135433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781050"/>
          <a:ext cx="2163417" cy="2221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588479</xdr:colOff>
      <xdr:row>6</xdr:row>
      <xdr:rowOff>28160</xdr:rowOff>
    </xdr:from>
    <xdr:to>
      <xdr:col>17</xdr:col>
      <xdr:colOff>142709</xdr:colOff>
      <xdr:row>11</xdr:row>
      <xdr:rowOff>123327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7609" y="1129747"/>
          <a:ext cx="1078230" cy="92342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66261</xdr:colOff>
      <xdr:row>33</xdr:row>
      <xdr:rowOff>91107</xdr:rowOff>
    </xdr:from>
    <xdr:to>
      <xdr:col>7</xdr:col>
      <xdr:colOff>225807</xdr:colOff>
      <xdr:row>36</xdr:row>
      <xdr:rowOff>107673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913" y="6394172"/>
          <a:ext cx="581959" cy="5135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1010678</xdr:colOff>
      <xdr:row>24</xdr:row>
      <xdr:rowOff>897</xdr:rowOff>
    </xdr:from>
    <xdr:to>
      <xdr:col>2</xdr:col>
      <xdr:colOff>1668004</xdr:colOff>
      <xdr:row>24</xdr:row>
      <xdr:rowOff>897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ShapeType="1"/>
        </xdr:cNvSpPr>
      </xdr:nvSpPr>
      <xdr:spPr bwMode="auto">
        <a:xfrm>
          <a:off x="1607026" y="6088614"/>
          <a:ext cx="21730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481410</xdr:colOff>
      <xdr:row>24</xdr:row>
      <xdr:rowOff>9128</xdr:rowOff>
    </xdr:from>
    <xdr:to>
      <xdr:col>6</xdr:col>
      <xdr:colOff>1269379</xdr:colOff>
      <xdr:row>24</xdr:row>
      <xdr:rowOff>9128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ShapeType="1"/>
        </xdr:cNvSpPr>
      </xdr:nvSpPr>
      <xdr:spPr bwMode="auto">
        <a:xfrm flipV="1">
          <a:off x="6722269" y="4454128"/>
          <a:ext cx="189921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608011</xdr:colOff>
      <xdr:row>24</xdr:row>
      <xdr:rowOff>898</xdr:rowOff>
    </xdr:from>
    <xdr:to>
      <xdr:col>4</xdr:col>
      <xdr:colOff>602728</xdr:colOff>
      <xdr:row>24</xdr:row>
      <xdr:rowOff>898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ShapeType="1"/>
        </xdr:cNvSpPr>
      </xdr:nvSpPr>
      <xdr:spPr bwMode="auto">
        <a:xfrm flipV="1">
          <a:off x="3821663" y="5053289"/>
          <a:ext cx="1908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356155</xdr:colOff>
      <xdr:row>0</xdr:row>
      <xdr:rowOff>124236</xdr:rowOff>
    </xdr:from>
    <xdr:to>
      <xdr:col>6</xdr:col>
      <xdr:colOff>1417056</xdr:colOff>
      <xdr:row>3</xdr:row>
      <xdr:rowOff>245456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981" y="124236"/>
          <a:ext cx="1060901" cy="91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389283</xdr:colOff>
      <xdr:row>0</xdr:row>
      <xdr:rowOff>0</xdr:rowOff>
    </xdr:from>
    <xdr:to>
      <xdr:col>1</xdr:col>
      <xdr:colOff>769833</xdr:colOff>
      <xdr:row>3</xdr:row>
      <xdr:rowOff>173935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283" y="0"/>
          <a:ext cx="943767" cy="969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619125</xdr:colOff>
      <xdr:row>84</xdr:row>
      <xdr:rowOff>85725</xdr:rowOff>
    </xdr:from>
    <xdr:to>
      <xdr:col>18</xdr:col>
      <xdr:colOff>476250</xdr:colOff>
      <xdr:row>84</xdr:row>
      <xdr:rowOff>85725</xdr:rowOff>
    </xdr:to>
    <xdr:sp macro="" textlink="">
      <xdr:nvSpPr>
        <xdr:cNvPr id="2" name="Line 10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ShapeType="1"/>
        </xdr:cNvSpPr>
      </xdr:nvSpPr>
      <xdr:spPr bwMode="auto">
        <a:xfrm flipV="1">
          <a:off x="13735050" y="15030450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304388</xdr:colOff>
      <xdr:row>35</xdr:row>
      <xdr:rowOff>155575</xdr:rowOff>
    </xdr:from>
    <xdr:to>
      <xdr:col>5</xdr:col>
      <xdr:colOff>609084</xdr:colOff>
      <xdr:row>35</xdr:row>
      <xdr:rowOff>155576</xdr:rowOff>
    </xdr:to>
    <xdr:cxnSp macro="">
      <xdr:nvCxnSpPr>
        <xdr:cNvPr id="3" name="4 Conector recto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 bwMode="auto">
        <a:xfrm flipV="1">
          <a:off x="1157497" y="6881053"/>
          <a:ext cx="2160000" cy="1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723029</xdr:colOff>
      <xdr:row>35</xdr:row>
      <xdr:rowOff>158199</xdr:rowOff>
    </xdr:from>
    <xdr:to>
      <xdr:col>13</xdr:col>
      <xdr:colOff>646724</xdr:colOff>
      <xdr:row>35</xdr:row>
      <xdr:rowOff>158199</xdr:rowOff>
    </xdr:to>
    <xdr:sp macro="" textlink="">
      <xdr:nvSpPr>
        <xdr:cNvPr id="4" name="Line 9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ShapeType="1"/>
        </xdr:cNvSpPr>
      </xdr:nvSpPr>
      <xdr:spPr bwMode="auto">
        <a:xfrm flipV="1">
          <a:off x="7108920" y="7074177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80960</xdr:colOff>
      <xdr:row>39</xdr:row>
      <xdr:rowOff>33335</xdr:rowOff>
    </xdr:from>
    <xdr:to>
      <xdr:col>14</xdr:col>
      <xdr:colOff>704849</xdr:colOff>
      <xdr:row>80</xdr:row>
      <xdr:rowOff>95250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81</xdr:row>
      <xdr:rowOff>47625</xdr:rowOff>
    </xdr:from>
    <xdr:to>
      <xdr:col>14</xdr:col>
      <xdr:colOff>700089</xdr:colOff>
      <xdr:row>122</xdr:row>
      <xdr:rowOff>109540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685799</xdr:colOff>
      <xdr:row>0</xdr:row>
      <xdr:rowOff>81892</xdr:rowOff>
    </xdr:from>
    <xdr:to>
      <xdr:col>14</xdr:col>
      <xdr:colOff>100184</xdr:colOff>
      <xdr:row>4</xdr:row>
      <xdr:rowOff>147892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4" y="81892"/>
          <a:ext cx="92886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</xdr:colOff>
      <xdr:row>0</xdr:row>
      <xdr:rowOff>0</xdr:rowOff>
    </xdr:from>
    <xdr:to>
      <xdr:col>4</xdr:col>
      <xdr:colOff>109818</xdr:colOff>
      <xdr:row>5</xdr:row>
      <xdr:rowOff>60051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0"/>
          <a:ext cx="986118" cy="10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1140644</xdr:colOff>
      <xdr:row>27</xdr:row>
      <xdr:rowOff>176388</xdr:rowOff>
    </xdr:from>
    <xdr:to>
      <xdr:col>2</xdr:col>
      <xdr:colOff>109769</xdr:colOff>
      <xdr:row>27</xdr:row>
      <xdr:rowOff>176388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ShapeType="1"/>
        </xdr:cNvSpPr>
      </xdr:nvSpPr>
      <xdr:spPr bwMode="auto">
        <a:xfrm>
          <a:off x="1216844" y="6243813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>
    <xdr:from>
      <xdr:col>8</xdr:col>
      <xdr:colOff>212489</xdr:colOff>
      <xdr:row>28</xdr:row>
      <xdr:rowOff>3999</xdr:rowOff>
    </xdr:from>
    <xdr:to>
      <xdr:col>10</xdr:col>
      <xdr:colOff>600839</xdr:colOff>
      <xdr:row>28</xdr:row>
      <xdr:rowOff>3999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ShapeType="1"/>
        </xdr:cNvSpPr>
      </xdr:nvSpPr>
      <xdr:spPr bwMode="auto">
        <a:xfrm flipV="1">
          <a:off x="10509014" y="6833424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581258</xdr:colOff>
      <xdr:row>28</xdr:row>
      <xdr:rowOff>11759</xdr:rowOff>
    </xdr:from>
    <xdr:to>
      <xdr:col>6</xdr:col>
      <xdr:colOff>464783</xdr:colOff>
      <xdr:row>28</xdr:row>
      <xdr:rowOff>11759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ShapeType="1"/>
        </xdr:cNvSpPr>
      </xdr:nvSpPr>
      <xdr:spPr bwMode="auto">
        <a:xfrm flipV="1">
          <a:off x="6467708" y="6841184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600168</xdr:colOff>
      <xdr:row>1</xdr:row>
      <xdr:rowOff>76810</xdr:rowOff>
    </xdr:from>
    <xdr:to>
      <xdr:col>10</xdr:col>
      <xdr:colOff>742824</xdr:colOff>
      <xdr:row>4</xdr:row>
      <xdr:rowOff>238125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93" y="457810"/>
          <a:ext cx="1028481" cy="932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1019175</xdr:colOff>
      <xdr:row>1</xdr:row>
      <xdr:rowOff>85725</xdr:rowOff>
    </xdr:from>
    <xdr:to>
      <xdr:col>1</xdr:col>
      <xdr:colOff>2005293</xdr:colOff>
      <xdr:row>5</xdr:row>
      <xdr:rowOff>69576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66725"/>
          <a:ext cx="986118" cy="10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175846</xdr:colOff>
      <xdr:row>11</xdr:row>
      <xdr:rowOff>36633</xdr:rowOff>
    </xdr:from>
    <xdr:to>
      <xdr:col>7</xdr:col>
      <xdr:colOff>639706</xdr:colOff>
      <xdr:row>11</xdr:row>
      <xdr:rowOff>445945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423" y="2718287"/>
          <a:ext cx="463860" cy="409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102578</xdr:colOff>
      <xdr:row>7</xdr:row>
      <xdr:rowOff>71145</xdr:rowOff>
    </xdr:from>
    <xdr:to>
      <xdr:col>7</xdr:col>
      <xdr:colOff>622788</xdr:colOff>
      <xdr:row>9</xdr:row>
      <xdr:rowOff>19146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0155" y="1448607"/>
          <a:ext cx="520210" cy="534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912034</xdr:colOff>
      <xdr:row>240</xdr:row>
      <xdr:rowOff>139976</xdr:rowOff>
    </xdr:from>
    <xdr:to>
      <xdr:col>5</xdr:col>
      <xdr:colOff>2712034</xdr:colOff>
      <xdr:row>240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D53920AB-2867-4024-AB34-C442162F4E79}"/>
            </a:ext>
          </a:extLst>
        </xdr:cNvPr>
        <xdr:cNvSpPr>
          <a:spLocks noChangeShapeType="1"/>
        </xdr:cNvSpPr>
      </xdr:nvSpPr>
      <xdr:spPr bwMode="auto">
        <a:xfrm>
          <a:off x="1178734" y="5269892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1985584</xdr:colOff>
      <xdr:row>125</xdr:row>
      <xdr:rowOff>0</xdr:rowOff>
    </xdr:from>
    <xdr:to>
      <xdr:col>8</xdr:col>
      <xdr:colOff>106984</xdr:colOff>
      <xdr:row>125</xdr:row>
      <xdr:rowOff>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>
          <a:spLocks noChangeShapeType="1"/>
        </xdr:cNvSpPr>
      </xdr:nvSpPr>
      <xdr:spPr bwMode="auto">
        <a:xfrm>
          <a:off x="2252284" y="7800975"/>
          <a:ext cx="230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618874</xdr:colOff>
      <xdr:row>125</xdr:row>
      <xdr:rowOff>0</xdr:rowOff>
    </xdr:from>
    <xdr:to>
      <xdr:col>20</xdr:col>
      <xdr:colOff>702424</xdr:colOff>
      <xdr:row>125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>
          <a:spLocks noChangeShapeType="1"/>
        </xdr:cNvSpPr>
      </xdr:nvSpPr>
      <xdr:spPr bwMode="auto">
        <a:xfrm flipV="1">
          <a:off x="12144124" y="7800975"/>
          <a:ext cx="249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19</xdr:col>
      <xdr:colOff>451687</xdr:colOff>
      <xdr:row>1</xdr:row>
      <xdr:rowOff>82874</xdr:rowOff>
    </xdr:from>
    <xdr:to>
      <xdr:col>20</xdr:col>
      <xdr:colOff>447546</xdr:colOff>
      <xdr:row>4</xdr:row>
      <xdr:rowOff>123374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72387" y="244799"/>
          <a:ext cx="710234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912034</xdr:colOff>
      <xdr:row>258</xdr:row>
      <xdr:rowOff>139976</xdr:rowOff>
    </xdr:from>
    <xdr:to>
      <xdr:col>5</xdr:col>
      <xdr:colOff>2712034</xdr:colOff>
      <xdr:row>258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SpPr>
          <a:spLocks noChangeShapeType="1"/>
        </xdr:cNvSpPr>
      </xdr:nvSpPr>
      <xdr:spPr bwMode="auto">
        <a:xfrm>
          <a:off x="1178734" y="29391251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191893</xdr:colOff>
      <xdr:row>125</xdr:row>
      <xdr:rowOff>3091</xdr:rowOff>
    </xdr:from>
    <xdr:to>
      <xdr:col>14</xdr:col>
      <xdr:colOff>399268</xdr:colOff>
      <xdr:row>125</xdr:row>
      <xdr:rowOff>3091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SpPr>
          <a:spLocks noChangeShapeType="1"/>
        </xdr:cNvSpPr>
      </xdr:nvSpPr>
      <xdr:spPr bwMode="auto">
        <a:xfrm>
          <a:off x="6973693" y="7804066"/>
          <a:ext cx="23124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4</xdr:col>
      <xdr:colOff>77728</xdr:colOff>
      <xdr:row>1</xdr:row>
      <xdr:rowOff>42049</xdr:rowOff>
    </xdr:from>
    <xdr:to>
      <xdr:col>5</xdr:col>
      <xdr:colOff>572705</xdr:colOff>
      <xdr:row>4</xdr:row>
      <xdr:rowOff>154549</xdr:rowOff>
    </xdr:to>
    <xdr:pic>
      <xdr:nvPicPr>
        <xdr:cNvPr id="7" name="Imagen 6" descr="S.A.C."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7728" y="203974"/>
          <a:ext cx="761677" cy="68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608699</xdr:colOff>
      <xdr:row>38</xdr:row>
      <xdr:rowOff>168766</xdr:rowOff>
    </xdr:from>
    <xdr:to>
      <xdr:col>9</xdr:col>
      <xdr:colOff>1000655</xdr:colOff>
      <xdr:row>38</xdr:row>
      <xdr:rowOff>168766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8790674" y="6950566"/>
          <a:ext cx="160163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80393</xdr:colOff>
      <xdr:row>39</xdr:row>
      <xdr:rowOff>8289</xdr:rowOff>
    </xdr:from>
    <xdr:to>
      <xdr:col>7</xdr:col>
      <xdr:colOff>207306</xdr:colOff>
      <xdr:row>39</xdr:row>
      <xdr:rowOff>8289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ShapeType="1"/>
        </xdr:cNvSpPr>
      </xdr:nvSpPr>
      <xdr:spPr bwMode="auto">
        <a:xfrm>
          <a:off x="4818045" y="7031941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5</xdr:col>
      <xdr:colOff>10768</xdr:colOff>
      <xdr:row>30</xdr:row>
      <xdr:rowOff>40171</xdr:rowOff>
    </xdr:from>
    <xdr:to>
      <xdr:col>7</xdr:col>
      <xdr:colOff>1714500</xdr:colOff>
      <xdr:row>34</xdr:row>
      <xdr:rowOff>87698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4748420" y="5423867"/>
          <a:ext cx="3376819" cy="77639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 calidad de trabajo ejecutado, los servicios, equipos y materiales han sido provistos de acuerdo con los requerimientos y especificaciones del contrato y las cantidades certificadas son correctas.</a:t>
          </a:r>
        </a:p>
      </xdr:txBody>
    </xdr:sp>
    <xdr:clientData/>
  </xdr:twoCellAnchor>
  <xdr:twoCellAnchor editAs="oneCell">
    <xdr:from>
      <xdr:col>8</xdr:col>
      <xdr:colOff>33130</xdr:colOff>
      <xdr:row>30</xdr:row>
      <xdr:rowOff>31197</xdr:rowOff>
    </xdr:from>
    <xdr:to>
      <xdr:col>10</xdr:col>
      <xdr:colOff>985629</xdr:colOff>
      <xdr:row>34</xdr:row>
      <xdr:rowOff>57977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>
          <a:spLocks noChangeArrowheads="1"/>
        </xdr:cNvSpPr>
      </xdr:nvSpPr>
      <xdr:spPr bwMode="auto">
        <a:xfrm>
          <a:off x="8092108" y="5414893"/>
          <a:ext cx="3752021" cy="755649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El presente certificado de pago ha sido revisado y aprobado</a:t>
          </a: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  <a:ea typeface="+mn-ea"/>
              <a:cs typeface="+mn-cs"/>
            </a:rPr>
            <a:t>, las cantidades certificadas en el presente certificado, realizados de acuerdo al contrato y especificaciones tecnicas,</a:t>
          </a: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 por lo tanto la supervisión aprueba el presente certificado y recomienda a la ABC su pago.</a:t>
          </a:r>
        </a:p>
      </xdr:txBody>
    </xdr:sp>
    <xdr:clientData/>
  </xdr:twoCellAnchor>
  <xdr:twoCellAnchor editAs="oneCell">
    <xdr:from>
      <xdr:col>9</xdr:col>
      <xdr:colOff>772473</xdr:colOff>
      <xdr:row>0</xdr:row>
      <xdr:rowOff>42424</xdr:rowOff>
    </xdr:from>
    <xdr:to>
      <xdr:col>10</xdr:col>
      <xdr:colOff>1014</xdr:colOff>
      <xdr:row>4</xdr:row>
      <xdr:rowOff>135815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5256" y="42424"/>
          <a:ext cx="818801" cy="75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687455</xdr:colOff>
      <xdr:row>0</xdr:row>
      <xdr:rowOff>49695</xdr:rowOff>
    </xdr:from>
    <xdr:to>
      <xdr:col>1</xdr:col>
      <xdr:colOff>380962</xdr:colOff>
      <xdr:row>4</xdr:row>
      <xdr:rowOff>140804</xdr:rowOff>
    </xdr:to>
    <xdr:pic>
      <xdr:nvPicPr>
        <xdr:cNvPr id="7" name="Imagen 6" descr="S.A.C.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687455" y="49695"/>
          <a:ext cx="838164" cy="73880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3</xdr:col>
      <xdr:colOff>16566</xdr:colOff>
      <xdr:row>45</xdr:row>
      <xdr:rowOff>118031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0" y="7388087"/>
          <a:ext cx="3354457" cy="78064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 fiscalización, garantiza que la ejecución de las actividades planificadas  por la Constructora y Supervisión se llevan a termino exitosamente y acorde a los términos establecidos en los Contratos respectivo y/o Pliego de Especificaciones Técnicas, por lo que prosidimentalmente corresponde procesar su pago.</a:t>
          </a:r>
        </a:p>
      </xdr:txBody>
    </xdr:sp>
    <xdr:clientData/>
  </xdr:twoCellAnchor>
  <xdr:twoCellAnchor editAs="oneCell">
    <xdr:from>
      <xdr:col>2</xdr:col>
      <xdr:colOff>1043609</xdr:colOff>
      <xdr:row>41</xdr:row>
      <xdr:rowOff>47</xdr:rowOff>
    </xdr:from>
    <xdr:to>
      <xdr:col>10</xdr:col>
      <xdr:colOff>969066</xdr:colOff>
      <xdr:row>43</xdr:row>
      <xdr:rowOff>66263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>
          <a:spLocks noChangeArrowheads="1"/>
        </xdr:cNvSpPr>
      </xdr:nvSpPr>
      <xdr:spPr bwMode="auto">
        <a:xfrm>
          <a:off x="3329609" y="7388134"/>
          <a:ext cx="8572500" cy="39752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Las autoridades de la ABC, han tomado conocimiento de la presente planilla de pago y ha establecido que en la emisión, revisión y aprobación, se ha aplicado la normativa prevista en los contratos de obra y de la supervisión, por lo que procedimentalmente corresponde el tramite de su pago.</a:t>
          </a:r>
        </a:p>
      </xdr:txBody>
    </xdr:sp>
    <xdr:clientData/>
  </xdr:twoCellAnchor>
  <xdr:twoCellAnchor>
    <xdr:from>
      <xdr:col>0</xdr:col>
      <xdr:colOff>406964</xdr:colOff>
      <xdr:row>50</xdr:row>
      <xdr:rowOff>8284</xdr:rowOff>
    </xdr:from>
    <xdr:to>
      <xdr:col>1</xdr:col>
      <xdr:colOff>720529</xdr:colOff>
      <xdr:row>50</xdr:row>
      <xdr:rowOff>8486</xdr:rowOff>
    </xdr:to>
    <xdr:sp macro="" textlink="">
      <xdr:nvSpPr>
        <xdr:cNvPr id="10" name="Line 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ShapeType="1"/>
        </xdr:cNvSpPr>
      </xdr:nvSpPr>
      <xdr:spPr bwMode="auto">
        <a:xfrm flipV="1">
          <a:off x="406964" y="8790334"/>
          <a:ext cx="1532765" cy="20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57987</xdr:colOff>
      <xdr:row>50</xdr:row>
      <xdr:rowOff>8284</xdr:rowOff>
    </xdr:from>
    <xdr:to>
      <xdr:col>9</xdr:col>
      <xdr:colOff>1497987</xdr:colOff>
      <xdr:row>50</xdr:row>
      <xdr:rowOff>8486</xdr:rowOff>
    </xdr:to>
    <xdr:sp macro="" textlink="">
      <xdr:nvSpPr>
        <xdr:cNvPr id="11" name="Line 2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ShapeType="1"/>
        </xdr:cNvSpPr>
      </xdr:nvSpPr>
      <xdr:spPr bwMode="auto">
        <a:xfrm flipV="1">
          <a:off x="9449637" y="8790334"/>
          <a:ext cx="1440000" cy="20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165655</xdr:colOff>
      <xdr:row>50</xdr:row>
      <xdr:rowOff>8283</xdr:rowOff>
    </xdr:from>
    <xdr:to>
      <xdr:col>5</xdr:col>
      <xdr:colOff>156199</xdr:colOff>
      <xdr:row>50</xdr:row>
      <xdr:rowOff>8486</xdr:rowOff>
    </xdr:to>
    <xdr:sp macro="" textlink="">
      <xdr:nvSpPr>
        <xdr:cNvPr id="12" name="Line 2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ShapeType="1"/>
        </xdr:cNvSpPr>
      </xdr:nvSpPr>
      <xdr:spPr bwMode="auto">
        <a:xfrm flipV="1">
          <a:off x="3661330" y="8790333"/>
          <a:ext cx="1276419" cy="20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132523</xdr:colOff>
      <xdr:row>50</xdr:row>
      <xdr:rowOff>8285</xdr:rowOff>
    </xdr:from>
    <xdr:to>
      <xdr:col>7</xdr:col>
      <xdr:colOff>1572523</xdr:colOff>
      <xdr:row>50</xdr:row>
      <xdr:rowOff>8488</xdr:rowOff>
    </xdr:to>
    <xdr:sp macro="" textlink="">
      <xdr:nvSpPr>
        <xdr:cNvPr id="13" name="Line 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ShapeType="1"/>
        </xdr:cNvSpPr>
      </xdr:nvSpPr>
      <xdr:spPr bwMode="auto">
        <a:xfrm flipV="1">
          <a:off x="6590473" y="8790335"/>
          <a:ext cx="1440000" cy="20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43</xdr:row>
      <xdr:rowOff>0</xdr:rowOff>
    </xdr:from>
    <xdr:to>
      <xdr:col>16</xdr:col>
      <xdr:colOff>0</xdr:colOff>
      <xdr:row>47</xdr:row>
      <xdr:rowOff>37783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23476" y="18316575"/>
          <a:ext cx="3362" cy="799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261658</xdr:colOff>
      <xdr:row>38</xdr:row>
      <xdr:rowOff>201706</xdr:rowOff>
    </xdr:from>
    <xdr:to>
      <xdr:col>5</xdr:col>
      <xdr:colOff>107083</xdr:colOff>
      <xdr:row>38</xdr:row>
      <xdr:rowOff>201706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/>
      </xdr:nvCxnSpPr>
      <xdr:spPr>
        <a:xfrm flipV="1">
          <a:off x="1557058" y="8145556"/>
          <a:ext cx="216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406772</xdr:colOff>
      <xdr:row>39</xdr:row>
      <xdr:rowOff>1</xdr:rowOff>
    </xdr:from>
    <xdr:to>
      <xdr:col>14</xdr:col>
      <xdr:colOff>823697</xdr:colOff>
      <xdr:row>39</xdr:row>
      <xdr:rowOff>1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7264772" y="8191501"/>
          <a:ext cx="216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805139</xdr:colOff>
      <xdr:row>0</xdr:row>
      <xdr:rowOff>68917</xdr:rowOff>
    </xdr:from>
    <xdr:to>
      <xdr:col>16</xdr:col>
      <xdr:colOff>468966</xdr:colOff>
      <xdr:row>4</xdr:row>
      <xdr:rowOff>144336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1614" y="68917"/>
          <a:ext cx="959227" cy="846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0</xdr:row>
      <xdr:rowOff>31579</xdr:rowOff>
    </xdr:from>
    <xdr:to>
      <xdr:col>2</xdr:col>
      <xdr:colOff>457984</xdr:colOff>
      <xdr:row>5</xdr:row>
      <xdr:rowOff>19050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31579"/>
          <a:ext cx="924709" cy="949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475295</xdr:colOff>
      <xdr:row>51</xdr:row>
      <xdr:rowOff>140805</xdr:rowOff>
    </xdr:from>
    <xdr:to>
      <xdr:col>4</xdr:col>
      <xdr:colOff>679185</xdr:colOff>
      <xdr:row>51</xdr:row>
      <xdr:rowOff>140805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 bwMode="auto">
        <a:xfrm flipV="1">
          <a:off x="1154469" y="10610022"/>
          <a:ext cx="193495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619125</xdr:colOff>
      <xdr:row>115</xdr:row>
      <xdr:rowOff>85725</xdr:rowOff>
    </xdr:from>
    <xdr:to>
      <xdr:col>21</xdr:col>
      <xdr:colOff>476250</xdr:colOff>
      <xdr:row>115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ShapeType="1"/>
        </xdr:cNvSpPr>
      </xdr:nvSpPr>
      <xdr:spPr bwMode="auto">
        <a:xfrm flipV="1">
          <a:off x="17887950" y="26460450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133</xdr:row>
      <xdr:rowOff>85725</xdr:rowOff>
    </xdr:from>
    <xdr:to>
      <xdr:col>14</xdr:col>
      <xdr:colOff>161925</xdr:colOff>
      <xdr:row>133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ShapeType="1"/>
        </xdr:cNvSpPr>
      </xdr:nvSpPr>
      <xdr:spPr bwMode="auto">
        <a:xfrm flipV="1">
          <a:off x="11106150" y="29546550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133</xdr:row>
      <xdr:rowOff>85725</xdr:rowOff>
    </xdr:from>
    <xdr:to>
      <xdr:col>14</xdr:col>
      <xdr:colOff>161925</xdr:colOff>
      <xdr:row>133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ShapeType="1"/>
        </xdr:cNvSpPr>
      </xdr:nvSpPr>
      <xdr:spPr bwMode="auto">
        <a:xfrm flipV="1">
          <a:off x="11106150" y="29546550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231924</xdr:colOff>
      <xdr:row>51</xdr:row>
      <xdr:rowOff>142875</xdr:rowOff>
    </xdr:from>
    <xdr:to>
      <xdr:col>9</xdr:col>
      <xdr:colOff>588533</xdr:colOff>
      <xdr:row>51</xdr:row>
      <xdr:rowOff>142875</xdr:rowOff>
    </xdr:to>
    <xdr:sp macro="" textlink="">
      <xdr:nvSpPr>
        <xdr:cNvPr id="6" name="Line 9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ShapeType="1"/>
        </xdr:cNvSpPr>
      </xdr:nvSpPr>
      <xdr:spPr bwMode="auto">
        <a:xfrm flipV="1">
          <a:off x="5234620" y="10612092"/>
          <a:ext cx="227817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184634</xdr:colOff>
      <xdr:row>1</xdr:row>
      <xdr:rowOff>111672</xdr:rowOff>
    </xdr:from>
    <xdr:to>
      <xdr:col>9</xdr:col>
      <xdr:colOff>1187532</xdr:colOff>
      <xdr:row>6</xdr:row>
      <xdr:rowOff>3861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1525" y="277324"/>
          <a:ext cx="1002898" cy="87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571501</xdr:colOff>
      <xdr:row>1</xdr:row>
      <xdr:rowOff>28574</xdr:rowOff>
    </xdr:from>
    <xdr:to>
      <xdr:col>3</xdr:col>
      <xdr:colOff>250902</xdr:colOff>
      <xdr:row>6</xdr:row>
      <xdr:rowOff>87807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1" y="190499"/>
          <a:ext cx="1022426" cy="1049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168825</xdr:colOff>
      <xdr:row>47</xdr:row>
      <xdr:rowOff>152400</xdr:rowOff>
    </xdr:from>
    <xdr:to>
      <xdr:col>4</xdr:col>
      <xdr:colOff>707827</xdr:colOff>
      <xdr:row>47</xdr:row>
      <xdr:rowOff>152400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 flipV="1">
          <a:off x="978450" y="11010900"/>
          <a:ext cx="250115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619125</xdr:colOff>
      <xdr:row>109</xdr:row>
      <xdr:rowOff>85725</xdr:rowOff>
    </xdr:from>
    <xdr:to>
      <xdr:col>21</xdr:col>
      <xdr:colOff>476250</xdr:colOff>
      <xdr:row>109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ShapeType="1"/>
        </xdr:cNvSpPr>
      </xdr:nvSpPr>
      <xdr:spPr bwMode="auto">
        <a:xfrm flipV="1">
          <a:off x="16668750" y="214407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127</xdr:row>
      <xdr:rowOff>85725</xdr:rowOff>
    </xdr:from>
    <xdr:to>
      <xdr:col>14</xdr:col>
      <xdr:colOff>161925</xdr:colOff>
      <xdr:row>127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ShapeType="1"/>
        </xdr:cNvSpPr>
      </xdr:nvSpPr>
      <xdr:spPr bwMode="auto">
        <a:xfrm flipV="1">
          <a:off x="9886950" y="2435542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127</xdr:row>
      <xdr:rowOff>85725</xdr:rowOff>
    </xdr:from>
    <xdr:to>
      <xdr:col>14</xdr:col>
      <xdr:colOff>161925</xdr:colOff>
      <xdr:row>127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ShapeType="1"/>
        </xdr:cNvSpPr>
      </xdr:nvSpPr>
      <xdr:spPr bwMode="auto">
        <a:xfrm flipV="1">
          <a:off x="9886950" y="2435542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224302</xdr:colOff>
      <xdr:row>47</xdr:row>
      <xdr:rowOff>152400</xdr:rowOff>
    </xdr:from>
    <xdr:to>
      <xdr:col>9</xdr:col>
      <xdr:colOff>688852</xdr:colOff>
      <xdr:row>47</xdr:row>
      <xdr:rowOff>152400</xdr:rowOff>
    </xdr:to>
    <xdr:sp macro="" textlink="">
      <xdr:nvSpPr>
        <xdr:cNvPr id="6" name="Line 9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ShapeType="1"/>
        </xdr:cNvSpPr>
      </xdr:nvSpPr>
      <xdr:spPr bwMode="auto">
        <a:xfrm flipV="1">
          <a:off x="4996327" y="10915650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203385</xdr:colOff>
      <xdr:row>1</xdr:row>
      <xdr:rowOff>157439</xdr:rowOff>
    </xdr:from>
    <xdr:to>
      <xdr:col>9</xdr:col>
      <xdr:colOff>1310508</xdr:colOff>
      <xdr:row>5</xdr:row>
      <xdr:rowOff>215711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1810" y="319364"/>
          <a:ext cx="1107123" cy="9726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561975</xdr:colOff>
      <xdr:row>1</xdr:row>
      <xdr:rowOff>76200</xdr:rowOff>
    </xdr:from>
    <xdr:to>
      <xdr:col>3</xdr:col>
      <xdr:colOff>162154</xdr:colOff>
      <xdr:row>6</xdr:row>
      <xdr:rowOff>19050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38125"/>
          <a:ext cx="1057504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897214</xdr:colOff>
      <xdr:row>44</xdr:row>
      <xdr:rowOff>151279</xdr:rowOff>
    </xdr:from>
    <xdr:to>
      <xdr:col>2</xdr:col>
      <xdr:colOff>942664</xdr:colOff>
      <xdr:row>44</xdr:row>
      <xdr:rowOff>151279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ShapeType="1"/>
        </xdr:cNvSpPr>
      </xdr:nvSpPr>
      <xdr:spPr bwMode="auto">
        <a:xfrm flipV="1">
          <a:off x="998067" y="10987367"/>
          <a:ext cx="1726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619125</xdr:colOff>
      <xdr:row>105</xdr:row>
      <xdr:rowOff>85725</xdr:rowOff>
    </xdr:from>
    <xdr:to>
      <xdr:col>19</xdr:col>
      <xdr:colOff>476250</xdr:colOff>
      <xdr:row>105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ShapeType="1"/>
        </xdr:cNvSpPr>
      </xdr:nvSpPr>
      <xdr:spPr bwMode="auto">
        <a:xfrm flipV="1">
          <a:off x="17745075" y="2256472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542925</xdr:colOff>
      <xdr:row>123</xdr:row>
      <xdr:rowOff>85725</xdr:rowOff>
    </xdr:from>
    <xdr:to>
      <xdr:col>12</xdr:col>
      <xdr:colOff>161925</xdr:colOff>
      <xdr:row>123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ShapeType="1"/>
        </xdr:cNvSpPr>
      </xdr:nvSpPr>
      <xdr:spPr bwMode="auto">
        <a:xfrm flipV="1">
          <a:off x="10963275" y="2547937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542925</xdr:colOff>
      <xdr:row>123</xdr:row>
      <xdr:rowOff>85725</xdr:rowOff>
    </xdr:from>
    <xdr:to>
      <xdr:col>12</xdr:col>
      <xdr:colOff>161925</xdr:colOff>
      <xdr:row>123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ShapeType="1"/>
        </xdr:cNvSpPr>
      </xdr:nvSpPr>
      <xdr:spPr bwMode="auto">
        <a:xfrm flipV="1">
          <a:off x="10963275" y="2547937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554303</xdr:colOff>
      <xdr:row>44</xdr:row>
      <xdr:rowOff>165847</xdr:rowOff>
    </xdr:from>
    <xdr:to>
      <xdr:col>7</xdr:col>
      <xdr:colOff>1428428</xdr:colOff>
      <xdr:row>44</xdr:row>
      <xdr:rowOff>165847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>
          <a:spLocks noChangeShapeType="1"/>
        </xdr:cNvSpPr>
      </xdr:nvSpPr>
      <xdr:spPr bwMode="auto">
        <a:xfrm flipV="1">
          <a:off x="5395244" y="11001935"/>
          <a:ext cx="216280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7</xdr:col>
      <xdr:colOff>571797</xdr:colOff>
      <xdr:row>2</xdr:row>
      <xdr:rowOff>12765</xdr:rowOff>
    </xdr:from>
    <xdr:to>
      <xdr:col>7</xdr:col>
      <xdr:colOff>1490382</xdr:colOff>
      <xdr:row>5</xdr:row>
      <xdr:rowOff>167455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1415" y="449794"/>
          <a:ext cx="918585" cy="79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305485</xdr:colOff>
      <xdr:row>1</xdr:row>
      <xdr:rowOff>149088</xdr:rowOff>
    </xdr:from>
    <xdr:to>
      <xdr:col>1</xdr:col>
      <xdr:colOff>1139791</xdr:colOff>
      <xdr:row>5</xdr:row>
      <xdr:rowOff>153596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76" y="364436"/>
          <a:ext cx="834306" cy="832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912034</xdr:colOff>
      <xdr:row>241</xdr:row>
      <xdr:rowOff>139976</xdr:rowOff>
    </xdr:from>
    <xdr:to>
      <xdr:col>5</xdr:col>
      <xdr:colOff>2712034</xdr:colOff>
      <xdr:row>241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ShapeType="1"/>
        </xdr:cNvSpPr>
      </xdr:nvSpPr>
      <xdr:spPr bwMode="auto">
        <a:xfrm>
          <a:off x="1169209" y="4107842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1985584</xdr:colOff>
      <xdr:row>125</xdr:row>
      <xdr:rowOff>0</xdr:rowOff>
    </xdr:from>
    <xdr:to>
      <xdr:col>8</xdr:col>
      <xdr:colOff>106984</xdr:colOff>
      <xdr:row>125</xdr:row>
      <xdr:rowOff>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>
          <a:off x="2399714" y="32020565"/>
          <a:ext cx="208048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618874</xdr:colOff>
      <xdr:row>125</xdr:row>
      <xdr:rowOff>0</xdr:rowOff>
    </xdr:from>
    <xdr:to>
      <xdr:col>20</xdr:col>
      <xdr:colOff>702424</xdr:colOff>
      <xdr:row>125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 flipV="1">
          <a:off x="11191624" y="30689550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19</xdr:col>
      <xdr:colOff>451687</xdr:colOff>
      <xdr:row>1</xdr:row>
      <xdr:rowOff>82874</xdr:rowOff>
    </xdr:from>
    <xdr:to>
      <xdr:col>20</xdr:col>
      <xdr:colOff>447547</xdr:colOff>
      <xdr:row>4</xdr:row>
      <xdr:rowOff>123374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6637" y="244799"/>
          <a:ext cx="710233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912034</xdr:colOff>
      <xdr:row>258</xdr:row>
      <xdr:rowOff>139976</xdr:rowOff>
    </xdr:from>
    <xdr:to>
      <xdr:col>5</xdr:col>
      <xdr:colOff>2712034</xdr:colOff>
      <xdr:row>258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 bwMode="auto">
        <a:xfrm>
          <a:off x="1321609" y="4587902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191893</xdr:colOff>
      <xdr:row>125</xdr:row>
      <xdr:rowOff>3091</xdr:rowOff>
    </xdr:from>
    <xdr:to>
      <xdr:col>14</xdr:col>
      <xdr:colOff>399268</xdr:colOff>
      <xdr:row>125</xdr:row>
      <xdr:rowOff>3091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ShapeType="1"/>
        </xdr:cNvSpPr>
      </xdr:nvSpPr>
      <xdr:spPr bwMode="auto">
        <a:xfrm>
          <a:off x="6802243" y="30692641"/>
          <a:ext cx="2160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4</xdr:col>
      <xdr:colOff>77728</xdr:colOff>
      <xdr:row>1</xdr:row>
      <xdr:rowOff>42049</xdr:rowOff>
    </xdr:from>
    <xdr:to>
      <xdr:col>5</xdr:col>
      <xdr:colOff>572705</xdr:colOff>
      <xdr:row>4</xdr:row>
      <xdr:rowOff>154549</xdr:rowOff>
    </xdr:to>
    <xdr:pic>
      <xdr:nvPicPr>
        <xdr:cNvPr id="8" name="Imagen 7" descr="S.A.C.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7728" y="207701"/>
          <a:ext cx="760020" cy="68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caravi_Huachacalla\MarcoAldunate\Programa%20de%20Obra\Gantt%20-%20Oficial\DIMENSIONAMIENTO%20(BASE_PROPUESTA)%20OFICI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ncaravi_Huachacalla\MarcoAldunate\Programa%20de%20Obra\Gantt%20-%20Oficial\DIMENSIONAMIENTO%20(BASE_PROPUESTA)%20OFICI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thian\My%20docs%20Alfa\Mis%20documentos\Proyecto%20Sucre\Generales%20de%20Proyecto\Varios%20Proyecto%20Sucre\Presup.%20David%20Melgar%20y%20Correcciones%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s%20Alfa\Mis%20documentos\Proyecto%20Sucre\Generales%20de%20Proyecto\Varios%20Proyecto%20Sucre\Presup.%20David%20Melgar%20y%20Correcciones%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lvaro\tarija%202005\0%20SANTA%20BARBARA\CERTIFICADOS\CERTIFICADOS%20MODIFICADOS\Certificado%2005%20enero%20ok\SERGUT\OBRAS\YAPACANI\PLAN%20OCTUBRE%20ULTIMA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aro\tarija%202005\0%20SANTA%20BARBARA\CERTIFICADOS\CERTIFICADOS%20MODIFICADOS\Certificado%2005%20enero%20ok\SERGUT\OBRAS\YAPACANI\PLAN%20OCTUBRE%20ULTIMA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PROPUESTA\PERSUP_Oferta%20Econom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27EC17F\DIMENSIONAMIENTO%20(BASE_PROPUESTA)%20OFICIA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lmar\0%20CERTIFICACIONES%20CONTRATOS\VOLUMENTES%20CAPAS%20PAQUETE%20ESTRUCTURAL\EDED%2017-05-20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TAGAITA_TUPIZA\CERTIF.%20PAGO_SUP\Certif._N&#186;2%20Marzo%20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antaFe4\Desktop\Planilla%20Septiembre\Certificado%20Septiembre%202010\Planilla%20Septiembre\Oficial\Certificado%20de%20Pago%20No%201%20Santa%20Fe%20apoy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CERTIF.%20PAGO_SUP\Certif._N&#186;2%20Marzo%2020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enesis\Configuraci&#243;n%20local\Archivos%20temporales%20de%20Internet\Content.IE5\8LI7CD23\SERGUT\OBRAS\YAPACANI\planilla%20septiembr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enesis\Configuraci&#243;n%20local\Archivos%20temporales%20de%20Internet\Content.IE5\8LI7CD23\SERGUT\OBRAS\YAPACANI\planilla%20septiembr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s10\trg-supervision\Wfiles-JVPC\Vla-NET\Cert%20de%20Pago\certicado%20de%20pago%20no18_enero2006_CSB%20CONCORDI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s%20Aguaices\Certs%20of%20payment\CPN&#186;66_Agosto_SUP\CONCORDIA\CERTIFICADOS%20EN%20DIGITAL\CPN&#186;21%20AGO-11\CONCORDIA%20ACP\&#193;REA%20T&#201;CNICA\JMG%20VARIOS\025%20%20agosto%202006\certicado%20de%20pago%20no24_AGOSTO%202006%20VER3%2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.%20CERTIFICADO%20DE%20PAGO\8.%20CERT.DIC%202014\Consorcio%20Aiquile\PROGRAMACION\PRESUPUESTO%20GENERAL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amie%20Rivera\My%20Documents\Documentos%20Proyectos\Documentos%20Santa%20Cruz_El%20Cristo\06_Presupuestos%20de%20obra\PRESUPUESTO%20%202_4ANILL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mar\37)%20Marzo\certificado%2037\ESTACADO%20DEL%20EJE%20(22-12-09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emy\LICITACIONES\Lic%20Sunchu%20Tambo%20-%20Sucre%20-%20Yamparaez\preciosTRAMO%20YAMPARAEZ-SUNCHU%20TAMBOPRESENTAC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my\LICITACIONES\Lic%20Sunchu%20Tambo%20-%20Sucre%20-%20Yamparaez\preciosTRAMO%20YAMPARAEZ-SUNCHU%20TAMBOPRESENTAC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abriel\Escritorio\ESTACADO%20DEL%20EJE%20(22-12-09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caravi_Huachacalla\MarcoAldunate\Programa%20de%20Obra\Gantt%20-%20Oficial\DIMENSIONAMIENTO%20(BASE_PROPUESTA)%20OFI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  <sheetName val="DEFINICION"/>
    </sheetNames>
    <sheetDataSet>
      <sheetData sheetId="0" refreshError="1"/>
      <sheetData sheetId="1">
        <row r="3">
          <cell r="B3">
            <v>0.1</v>
          </cell>
        </row>
        <row r="4">
          <cell r="B4">
            <v>0.05</v>
          </cell>
        </row>
        <row r="16">
          <cell r="B16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</sheetNames>
    <sheetDataSet>
      <sheetData sheetId="0" refreshError="1"/>
      <sheetData sheetId="1">
        <row r="3">
          <cell r="B3">
            <v>0.1</v>
          </cell>
        </row>
        <row r="5">
          <cell r="B5">
            <v>7.0000000000000007E-2</v>
          </cell>
        </row>
        <row r="6">
          <cell r="B6">
            <v>7.1</v>
          </cell>
        </row>
        <row r="14">
          <cell r="B14" t="str">
            <v>TRAMO: PUENTE SACRAMENTO - PUENTE ARCE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PARAMETROS GENERALES"/>
      <sheetName val="B-1"/>
      <sheetName val="B-2"/>
      <sheetName val="M"/>
      <sheetName val="E"/>
      <sheetName val="O"/>
      <sheetName val="ANEXO"/>
      <sheetName val="FORM. B3"/>
      <sheetName val="Módulo2"/>
      <sheetName val="Módulo3"/>
    </sheetNames>
    <sheetDataSet>
      <sheetData sheetId="0"/>
      <sheetData sheetId="1" refreshError="1">
        <row r="1">
          <cell r="C1" t="str">
            <v>Dolares de los Estados Unidos de Norte America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ESTACADO DEL EJE CADA 10 M"/>
      <sheetName val="EDED CADA 10 M 17-05-2010"/>
      <sheetName val="DELTA"/>
      <sheetName val="TRANSICIONES"/>
      <sheetName val="TALUDES"/>
      <sheetName val="EDED SOLO ENTERAS"/>
      <sheetName val="CON COORDENADAS"/>
      <sheetName val="Hoja1"/>
      <sheetName val="ESTACADO EJE c10 SE"/>
      <sheetName val="EDEDCADA 10M VARAS 136 7-10-10"/>
      <sheetName val="CON COORDENADAS (2)"/>
      <sheetName val="Hoja3"/>
      <sheetName val="EDED CADA VAR RAS 136"/>
      <sheetName val="EDED C 10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"/>
      <sheetName val="Crt"/>
      <sheetName val="Cant"/>
      <sheetName val="Dev"/>
      <sheetName val="Res"/>
      <sheetName val="CDM"/>
      <sheetName val="SUBBASE"/>
      <sheetName val="BASE"/>
      <sheetName val="IMP."/>
      <sheetName val="TRATAMIENTO"/>
      <sheetName val="HºCº"/>
      <sheetName val="Cunetas"/>
      <sheetName val="Sub Dren"/>
      <sheetName val="Cor. Cun."/>
      <sheetName val="Item 9.1. vía existen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do_enero_06"/>
      <sheetName val="valorizaciones ene06"/>
      <sheetName val="cantidades_enero_2006"/>
      <sheetName val="catidades"/>
      <sheetName val="resumen drenaje"/>
      <sheetName val="resumen items-movtierras"/>
      <sheetName val="ITEM1"/>
      <sheetName val="ITEM2"/>
      <sheetName val="ITEM4"/>
      <sheetName val="ITEM5"/>
      <sheetName val="ITEM6"/>
      <sheetName val="ITEM7"/>
      <sheetName val="ITEM8"/>
      <sheetName val="ITEM9"/>
      <sheetName val="ITEM10"/>
      <sheetName val="ITEM11"/>
      <sheetName val="ITEM12"/>
      <sheetName val="ITEM14"/>
      <sheetName val="ITEM15"/>
      <sheetName val="ITEM16"/>
      <sheetName val="ITEM17"/>
      <sheetName val="ITEM20"/>
      <sheetName val="ITEM22"/>
      <sheetName val="ITEM23"/>
      <sheetName val="ITEM24"/>
      <sheetName val="ITEM25"/>
      <sheetName val="ITEM26"/>
      <sheetName val="ITEM27"/>
      <sheetName val="ITEM31"/>
      <sheetName val="ITEM32"/>
      <sheetName val="item1-detalle"/>
      <sheetName val="item2-detalle"/>
      <sheetName val="item4-detalle"/>
      <sheetName val="item5-detalle"/>
      <sheetName val="item6-detalle"/>
      <sheetName val="item7-detalle"/>
      <sheetName val="item8-detalle"/>
      <sheetName val="item9-detalle"/>
      <sheetName val="item10-detalle"/>
      <sheetName val="item11-detalle"/>
      <sheetName val="item12-detalle"/>
      <sheetName val="item14-detalle"/>
      <sheetName val="item15-detalle"/>
      <sheetName val="item16-detalle"/>
      <sheetName val="item17-detalle"/>
      <sheetName val="item20-detalle"/>
      <sheetName val="item22-detalle"/>
      <sheetName val="item23-detalle"/>
      <sheetName val="item24-detalle"/>
      <sheetName val="item25-detalle"/>
      <sheetName val="item26-detalle"/>
      <sheetName val="item27-detalle"/>
      <sheetName val="item31-detalle"/>
      <sheetName val="item32-detalle"/>
      <sheetName val="item32-recuper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RANTÍAS"/>
      <sheetName val="certificado_AGOSTO_06"/>
      <sheetName val="valorizaciones AGOSTO_06"/>
      <sheetName val="cantidades_AGOSTO_2006"/>
      <sheetName val="ITEM1"/>
      <sheetName val="item1-detalle"/>
      <sheetName val="ITEM2"/>
      <sheetName val="item2-detalle"/>
      <sheetName val="ITEM4"/>
      <sheetName val="item4-detalle"/>
      <sheetName val="ITEM5"/>
      <sheetName val="item5-detalle"/>
      <sheetName val="ITEM6"/>
      <sheetName val="item6-detalle"/>
      <sheetName val="ITEM7"/>
      <sheetName val="item7-detalle"/>
      <sheetName val="ITEM8"/>
      <sheetName val="item8-detalle"/>
      <sheetName val="ITEM9"/>
      <sheetName val="item9-detalle"/>
      <sheetName val="ITEM10"/>
      <sheetName val="item10-detalle"/>
      <sheetName val="ITEM11"/>
      <sheetName val="item11-detalle"/>
      <sheetName val="ITEM12"/>
      <sheetName val="item12-detalle"/>
      <sheetName val="ITEM13"/>
      <sheetName val="item13-detalle"/>
      <sheetName val="ITEM14"/>
      <sheetName val="item14-detalle"/>
      <sheetName val="ITEM15"/>
      <sheetName val="item15-detalle"/>
      <sheetName val="ITEM17"/>
      <sheetName val="item17-detalle"/>
      <sheetName val="item 18"/>
      <sheetName val="item18-detalle"/>
      <sheetName val="ITEM20"/>
      <sheetName val="item20-detalle"/>
      <sheetName val="ITEM22"/>
      <sheetName val="item22-detalle"/>
      <sheetName val="ITEM23"/>
      <sheetName val="item23-detalle"/>
      <sheetName val="ITEM24"/>
      <sheetName val="item24-detalle"/>
      <sheetName val="ITEM25"/>
      <sheetName val="item25-detalle"/>
      <sheetName val="ITEM26"/>
      <sheetName val="item26-detalle"/>
      <sheetName val="ITEM31"/>
      <sheetName val="item31-detalle"/>
      <sheetName val="ITEM32"/>
      <sheetName val="item32-detalle"/>
      <sheetName val="ITEM35"/>
      <sheetName val="item35-detalle"/>
      <sheetName val="ITEM27"/>
      <sheetName val="item27-detalle"/>
      <sheetName val="resumen items-movtierras"/>
      <sheetName val="item32-recuperado"/>
      <sheetName val="catidades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teral"/>
      <sheetName val="BASE"/>
      <sheetName val="INFORME"/>
      <sheetName val="INFORME GENERAL"/>
      <sheetName val="Formulario"/>
      <sheetName val="Presupuesto"/>
      <sheetName val="A"/>
      <sheetName val="B"/>
      <sheetName val="C"/>
      <sheetName val="D"/>
      <sheetName val="E"/>
      <sheetName val="G"/>
      <sheetName val="F"/>
      <sheetName val="H"/>
      <sheetName val="I"/>
      <sheetName val="J"/>
      <sheetName val="K"/>
      <sheetName val="L"/>
      <sheetName val="M"/>
      <sheetName val="N"/>
      <sheetName val="Ñ"/>
      <sheetName val="V"/>
      <sheetName val="W"/>
      <sheetName val="S"/>
      <sheetName val="T"/>
      <sheetName val="U"/>
      <sheetName val="O"/>
      <sheetName val="P"/>
      <sheetName val="R"/>
      <sheetName val="Q"/>
      <sheetName val="X"/>
      <sheetName val="Y"/>
      <sheetName val="Z"/>
      <sheetName val="AA"/>
      <sheetName val="AB"/>
      <sheetName val="AC"/>
      <sheetName val="AE"/>
      <sheetName val="AD"/>
      <sheetName val="AF"/>
      <sheetName val="AG"/>
      <sheetName val="AH"/>
      <sheetName val="AI"/>
      <sheetName val="AJ"/>
      <sheetName val="AK"/>
      <sheetName val="AL"/>
      <sheetName val="AM"/>
      <sheetName val="AN"/>
      <sheetName val="AÑ"/>
      <sheetName val="AO"/>
      <sheetName val="AP"/>
      <sheetName val="AQ"/>
      <sheetName val="AR"/>
      <sheetName val="AS"/>
      <sheetName val="AT"/>
      <sheetName val="AU"/>
      <sheetName val="AV"/>
      <sheetName val="AW"/>
      <sheetName val="AX"/>
      <sheetName val="AY"/>
      <sheetName val="AZ"/>
      <sheetName val="BA"/>
      <sheetName val="BB"/>
      <sheetName val="BC"/>
      <sheetName val="BD"/>
      <sheetName val="BE"/>
      <sheetName val="BF"/>
      <sheetName val="BG"/>
      <sheetName val="BH"/>
      <sheetName val="BI"/>
      <sheetName val="BJ"/>
      <sheetName val="BK"/>
      <sheetName val="BL"/>
      <sheetName val="BM"/>
      <sheetName val="BN"/>
      <sheetName val="BÑ"/>
      <sheetName val="BO"/>
      <sheetName val="BP"/>
      <sheetName val="BQ"/>
      <sheetName val="BR"/>
      <sheetName val="BS"/>
      <sheetName val="BT"/>
      <sheetName val="BU"/>
      <sheetName val="BV"/>
      <sheetName val="BW"/>
      <sheetName val="BX"/>
      <sheetName val="BY"/>
      <sheetName val="BZ"/>
      <sheetName val="CA"/>
      <sheetName val="CB"/>
      <sheetName val="CC"/>
      <sheetName val="CD"/>
      <sheetName val="CE"/>
      <sheetName val="CF"/>
      <sheetName val="CG"/>
      <sheetName val="CH"/>
      <sheetName val="CI"/>
      <sheetName val="CK"/>
      <sheetName val="CL"/>
      <sheetName val="CM"/>
      <sheetName val="CN"/>
      <sheetName val="CÑ"/>
      <sheetName val="CO"/>
      <sheetName val="CP"/>
      <sheetName val="CQ"/>
      <sheetName val="CR"/>
      <sheetName val="CS"/>
      <sheetName val="CT"/>
      <sheetName val="CU"/>
      <sheetName val="CV"/>
      <sheetName val="CW"/>
      <sheetName val="CX"/>
      <sheetName val="CY"/>
      <sheetName val="CZ"/>
      <sheetName val="DA"/>
      <sheetName val="DB"/>
      <sheetName val="DC"/>
      <sheetName val="DD"/>
      <sheetName val="DE"/>
      <sheetName val="DF"/>
    </sheetNames>
    <sheetDataSet>
      <sheetData sheetId="0"/>
      <sheetData sheetId="1"/>
      <sheetData sheetId="2"/>
      <sheetData sheetId="3"/>
      <sheetData sheetId="4"/>
      <sheetData sheetId="5">
        <row r="10">
          <cell r="F10">
            <v>1295.82</v>
          </cell>
        </row>
        <row r="11">
          <cell r="F11">
            <v>24.939999999999998</v>
          </cell>
        </row>
        <row r="12">
          <cell r="F12">
            <v>3.6399999999999997</v>
          </cell>
        </row>
        <row r="13">
          <cell r="F13">
            <v>30.370000000000005</v>
          </cell>
        </row>
        <row r="14">
          <cell r="F14">
            <v>8.32</v>
          </cell>
        </row>
        <row r="16">
          <cell r="F16">
            <v>34.549999999999997</v>
          </cell>
        </row>
        <row r="17">
          <cell r="F17">
            <v>89.43</v>
          </cell>
        </row>
        <row r="18">
          <cell r="F18">
            <v>109.22999999999998</v>
          </cell>
        </row>
        <row r="19">
          <cell r="F19">
            <v>3.8</v>
          </cell>
        </row>
        <row r="20">
          <cell r="F20">
            <v>3.3100000000000005</v>
          </cell>
        </row>
        <row r="21">
          <cell r="F21">
            <v>6.37</v>
          </cell>
        </row>
        <row r="22">
          <cell r="F22">
            <v>13.23</v>
          </cell>
        </row>
        <row r="24">
          <cell r="F24">
            <v>20.96</v>
          </cell>
        </row>
        <row r="25">
          <cell r="F25">
            <v>40.150000000000006</v>
          </cell>
        </row>
        <row r="26">
          <cell r="F26">
            <v>57.059999999999995</v>
          </cell>
        </row>
        <row r="27">
          <cell r="F27">
            <v>104.86</v>
          </cell>
        </row>
        <row r="28">
          <cell r="F28">
            <v>1404.88</v>
          </cell>
        </row>
        <row r="29">
          <cell r="F29">
            <v>30.76</v>
          </cell>
        </row>
        <row r="30">
          <cell r="F30">
            <v>895.16</v>
          </cell>
        </row>
        <row r="31">
          <cell r="F31">
            <v>698.35</v>
          </cell>
        </row>
        <row r="32">
          <cell r="F32">
            <v>1247.1400000000001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D (2)"/>
      <sheetName val="INDIRECTOS"/>
      <sheetName val="DEFINICION"/>
      <sheetName val="Hoja2"/>
      <sheetName val="RESUMEN"/>
      <sheetName val="FORM A1"/>
      <sheetName val="FORM A10"/>
      <sheetName val="FORM A11"/>
      <sheetName val="resumen dimen"/>
      <sheetName val="dimensionamiento"/>
      <sheetName val="desembolso"/>
      <sheetName val="RESUMEN B1"/>
      <sheetName val="PRESUPUESTO PRESENTACION"/>
      <sheetName val="PRESUPUESTO"/>
      <sheetName val="INSUMOS"/>
      <sheetName val="PUNIT"/>
      <sheetName val="LAPUORDENADO"/>
      <sheetName val="LAPU"/>
      <sheetName val="COST-EQU"/>
      <sheetName val="cro_eq"/>
      <sheetName val="UTILIZACION"/>
      <sheetName val="Hoja4"/>
      <sheetName val="Hoja3"/>
      <sheetName val="Hoja5"/>
      <sheetName val="Hoja1"/>
      <sheetName val="imp_apu"/>
      <sheetName val="imp_apu2"/>
      <sheetName val="Movilizacion"/>
    </sheetNames>
    <sheetDataSet>
      <sheetData sheetId="0" refreshError="1"/>
      <sheetData sheetId="1" refreshError="1"/>
      <sheetData sheetId="2" refreshError="1"/>
      <sheetData sheetId="3">
        <row r="12">
          <cell r="B12" t="str">
            <v>LICITACION PUBLICA NACIONAL N° ___/2006</v>
          </cell>
        </row>
        <row r="13">
          <cell r="B13" t="str">
            <v>AMPLIACION DE VIAS DE LA AV. CRISTO REDENDOR DESDE 2° AL 4° ANILLO</v>
          </cell>
        </row>
        <row r="15">
          <cell r="B15" t="str">
            <v>$us</v>
          </cell>
          <cell r="C15" t="str">
            <v>Dólar Americano</v>
          </cell>
        </row>
        <row r="16">
          <cell r="B16">
            <v>1</v>
          </cell>
        </row>
        <row r="17">
          <cell r="B17" t="str">
            <v>____________________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U296"/>
  <sheetViews>
    <sheetView showGridLines="0" topLeftCell="C1" zoomScale="130" zoomScaleNormal="130" workbookViewId="0">
      <selection activeCell="G2" sqref="G2"/>
    </sheetView>
  </sheetViews>
  <sheetFormatPr baseColWidth="10" defaultRowHeight="12.75"/>
  <cols>
    <col min="1" max="6" width="11.42578125" style="238"/>
    <col min="7" max="7" width="15.42578125" style="238" customWidth="1"/>
    <col min="8" max="262" width="11.42578125" style="238"/>
    <col min="263" max="263" width="15.42578125" style="238" customWidth="1"/>
    <col min="264" max="518" width="11.42578125" style="238"/>
    <col min="519" max="519" width="15.42578125" style="238" customWidth="1"/>
    <col min="520" max="774" width="11.42578125" style="238"/>
    <col min="775" max="775" width="15.42578125" style="238" customWidth="1"/>
    <col min="776" max="1030" width="11.42578125" style="238"/>
    <col min="1031" max="1031" width="15.42578125" style="238" customWidth="1"/>
    <col min="1032" max="1286" width="11.42578125" style="238"/>
    <col min="1287" max="1287" width="15.42578125" style="238" customWidth="1"/>
    <col min="1288" max="1542" width="11.42578125" style="238"/>
    <col min="1543" max="1543" width="15.42578125" style="238" customWidth="1"/>
    <col min="1544" max="1798" width="11.42578125" style="238"/>
    <col min="1799" max="1799" width="15.42578125" style="238" customWidth="1"/>
    <col min="1800" max="2054" width="11.42578125" style="238"/>
    <col min="2055" max="2055" width="15.42578125" style="238" customWidth="1"/>
    <col min="2056" max="2310" width="11.42578125" style="238"/>
    <col min="2311" max="2311" width="15.42578125" style="238" customWidth="1"/>
    <col min="2312" max="2566" width="11.42578125" style="238"/>
    <col min="2567" max="2567" width="15.42578125" style="238" customWidth="1"/>
    <col min="2568" max="2822" width="11.42578125" style="238"/>
    <col min="2823" max="2823" width="15.42578125" style="238" customWidth="1"/>
    <col min="2824" max="3078" width="11.42578125" style="238"/>
    <col min="3079" max="3079" width="15.42578125" style="238" customWidth="1"/>
    <col min="3080" max="3334" width="11.42578125" style="238"/>
    <col min="3335" max="3335" width="15.42578125" style="238" customWidth="1"/>
    <col min="3336" max="3590" width="11.42578125" style="238"/>
    <col min="3591" max="3591" width="15.42578125" style="238" customWidth="1"/>
    <col min="3592" max="3846" width="11.42578125" style="238"/>
    <col min="3847" max="3847" width="15.42578125" style="238" customWidth="1"/>
    <col min="3848" max="4102" width="11.42578125" style="238"/>
    <col min="4103" max="4103" width="15.42578125" style="238" customWidth="1"/>
    <col min="4104" max="4358" width="11.42578125" style="238"/>
    <col min="4359" max="4359" width="15.42578125" style="238" customWidth="1"/>
    <col min="4360" max="4614" width="11.42578125" style="238"/>
    <col min="4615" max="4615" width="15.42578125" style="238" customWidth="1"/>
    <col min="4616" max="4870" width="11.42578125" style="238"/>
    <col min="4871" max="4871" width="15.42578125" style="238" customWidth="1"/>
    <col min="4872" max="5126" width="11.42578125" style="238"/>
    <col min="5127" max="5127" width="15.42578125" style="238" customWidth="1"/>
    <col min="5128" max="5382" width="11.42578125" style="238"/>
    <col min="5383" max="5383" width="15.42578125" style="238" customWidth="1"/>
    <col min="5384" max="5638" width="11.42578125" style="238"/>
    <col min="5639" max="5639" width="15.42578125" style="238" customWidth="1"/>
    <col min="5640" max="5894" width="11.42578125" style="238"/>
    <col min="5895" max="5895" width="15.42578125" style="238" customWidth="1"/>
    <col min="5896" max="6150" width="11.42578125" style="238"/>
    <col min="6151" max="6151" width="15.42578125" style="238" customWidth="1"/>
    <col min="6152" max="6406" width="11.42578125" style="238"/>
    <col min="6407" max="6407" width="15.42578125" style="238" customWidth="1"/>
    <col min="6408" max="6662" width="11.42578125" style="238"/>
    <col min="6663" max="6663" width="15.42578125" style="238" customWidth="1"/>
    <col min="6664" max="6918" width="11.42578125" style="238"/>
    <col min="6919" max="6919" width="15.42578125" style="238" customWidth="1"/>
    <col min="6920" max="7174" width="11.42578125" style="238"/>
    <col min="7175" max="7175" width="15.42578125" style="238" customWidth="1"/>
    <col min="7176" max="7430" width="11.42578125" style="238"/>
    <col min="7431" max="7431" width="15.42578125" style="238" customWidth="1"/>
    <col min="7432" max="7686" width="11.42578125" style="238"/>
    <col min="7687" max="7687" width="15.42578125" style="238" customWidth="1"/>
    <col min="7688" max="7942" width="11.42578125" style="238"/>
    <col min="7943" max="7943" width="15.42578125" style="238" customWidth="1"/>
    <col min="7944" max="8198" width="11.42578125" style="238"/>
    <col min="8199" max="8199" width="15.42578125" style="238" customWidth="1"/>
    <col min="8200" max="8454" width="11.42578125" style="238"/>
    <col min="8455" max="8455" width="15.42578125" style="238" customWidth="1"/>
    <col min="8456" max="8710" width="11.42578125" style="238"/>
    <col min="8711" max="8711" width="15.42578125" style="238" customWidth="1"/>
    <col min="8712" max="8966" width="11.42578125" style="238"/>
    <col min="8967" max="8967" width="15.42578125" style="238" customWidth="1"/>
    <col min="8968" max="9222" width="11.42578125" style="238"/>
    <col min="9223" max="9223" width="15.42578125" style="238" customWidth="1"/>
    <col min="9224" max="9478" width="11.42578125" style="238"/>
    <col min="9479" max="9479" width="15.42578125" style="238" customWidth="1"/>
    <col min="9480" max="9734" width="11.42578125" style="238"/>
    <col min="9735" max="9735" width="15.42578125" style="238" customWidth="1"/>
    <col min="9736" max="9990" width="11.42578125" style="238"/>
    <col min="9991" max="9991" width="15.42578125" style="238" customWidth="1"/>
    <col min="9992" max="10246" width="11.42578125" style="238"/>
    <col min="10247" max="10247" width="15.42578125" style="238" customWidth="1"/>
    <col min="10248" max="10502" width="11.42578125" style="238"/>
    <col min="10503" max="10503" width="15.42578125" style="238" customWidth="1"/>
    <col min="10504" max="10758" width="11.42578125" style="238"/>
    <col min="10759" max="10759" width="15.42578125" style="238" customWidth="1"/>
    <col min="10760" max="11014" width="11.42578125" style="238"/>
    <col min="11015" max="11015" width="15.42578125" style="238" customWidth="1"/>
    <col min="11016" max="11270" width="11.42578125" style="238"/>
    <col min="11271" max="11271" width="15.42578125" style="238" customWidth="1"/>
    <col min="11272" max="11526" width="11.42578125" style="238"/>
    <col min="11527" max="11527" width="15.42578125" style="238" customWidth="1"/>
    <col min="11528" max="11782" width="11.42578125" style="238"/>
    <col min="11783" max="11783" width="15.42578125" style="238" customWidth="1"/>
    <col min="11784" max="12038" width="11.42578125" style="238"/>
    <col min="12039" max="12039" width="15.42578125" style="238" customWidth="1"/>
    <col min="12040" max="12294" width="11.42578125" style="238"/>
    <col min="12295" max="12295" width="15.42578125" style="238" customWidth="1"/>
    <col min="12296" max="12550" width="11.42578125" style="238"/>
    <col min="12551" max="12551" width="15.42578125" style="238" customWidth="1"/>
    <col min="12552" max="12806" width="11.42578125" style="238"/>
    <col min="12807" max="12807" width="15.42578125" style="238" customWidth="1"/>
    <col min="12808" max="13062" width="11.42578125" style="238"/>
    <col min="13063" max="13063" width="15.42578125" style="238" customWidth="1"/>
    <col min="13064" max="13318" width="11.42578125" style="238"/>
    <col min="13319" max="13319" width="15.42578125" style="238" customWidth="1"/>
    <col min="13320" max="13574" width="11.42578125" style="238"/>
    <col min="13575" max="13575" width="15.42578125" style="238" customWidth="1"/>
    <col min="13576" max="13830" width="11.42578125" style="238"/>
    <col min="13831" max="13831" width="15.42578125" style="238" customWidth="1"/>
    <col min="13832" max="14086" width="11.42578125" style="238"/>
    <col min="14087" max="14087" width="15.42578125" style="238" customWidth="1"/>
    <col min="14088" max="14342" width="11.42578125" style="238"/>
    <col min="14343" max="14343" width="15.42578125" style="238" customWidth="1"/>
    <col min="14344" max="14598" width="11.42578125" style="238"/>
    <col min="14599" max="14599" width="15.42578125" style="238" customWidth="1"/>
    <col min="14600" max="14854" width="11.42578125" style="238"/>
    <col min="14855" max="14855" width="15.42578125" style="238" customWidth="1"/>
    <col min="14856" max="15110" width="11.42578125" style="238"/>
    <col min="15111" max="15111" width="15.42578125" style="238" customWidth="1"/>
    <col min="15112" max="15366" width="11.42578125" style="238"/>
    <col min="15367" max="15367" width="15.42578125" style="238" customWidth="1"/>
    <col min="15368" max="15622" width="11.42578125" style="238"/>
    <col min="15623" max="15623" width="15.42578125" style="238" customWidth="1"/>
    <col min="15624" max="15878" width="11.42578125" style="238"/>
    <col min="15879" max="15879" width="15.42578125" style="238" customWidth="1"/>
    <col min="15880" max="16134" width="11.42578125" style="238"/>
    <col min="16135" max="16135" width="15.42578125" style="238" customWidth="1"/>
    <col min="16136" max="16384" width="11.42578125" style="238"/>
  </cols>
  <sheetData>
    <row r="1" spans="1:8">
      <c r="A1" s="236">
        <f>[25]Presupuesto!$F10</f>
        <v>1295.82</v>
      </c>
      <c r="B1" s="237" t="str">
        <f ca="1">TRIM(CONCATENATE(U54,U53,U52,U51,U50))</f>
        <v>MIL DOSCIENTOS NOVENTA Y CINCO 82/100 BOLIVIANOS</v>
      </c>
      <c r="G1" s="236">
        <f>ROUND(Certificado!J28,2)</f>
        <v>1289586.05</v>
      </c>
      <c r="H1" s="237" t="str">
        <f ca="1">TRIM(CONCATENATE(U295,U294,U293,U292))</f>
        <v>UN MILLÓN DOSCIENTOS OCHENTA Y NUEVE MIL QUINIENTOS OCHENTA Y SEIS 05/100 BOLIVIANOS</v>
      </c>
    </row>
    <row r="2" spans="1:8">
      <c r="A2" s="236">
        <f>[25]Presupuesto!$F11</f>
        <v>24.939999999999998</v>
      </c>
      <c r="B2" s="237" t="str">
        <f ca="1">TRIM(CONCATENATE(U65,U64,U63,U62,U61))</f>
        <v>VEINTICUATRO 94/100 BOLIVIANOS</v>
      </c>
    </row>
    <row r="3" spans="1:8">
      <c r="A3" s="236">
        <f>[25]Presupuesto!$F12</f>
        <v>3.6399999999999997</v>
      </c>
      <c r="B3" s="237" t="str">
        <f ca="1">TRIM(CONCATENATE(U76,U75,U74,U73,U72))</f>
        <v>TRES 64/100 BOLIVIANOS</v>
      </c>
    </row>
    <row r="4" spans="1:8">
      <c r="A4" s="236">
        <f>[25]Presupuesto!$F13</f>
        <v>30.370000000000005</v>
      </c>
      <c r="B4" s="237" t="str">
        <f ca="1">TRIM(CONCATENATE(U87,U86,U85,U84,U83))</f>
        <v>TREINTA 37/100 BOLIVIANOS</v>
      </c>
    </row>
    <row r="5" spans="1:8">
      <c r="A5" s="236">
        <f>[25]Presupuesto!$F14</f>
        <v>8.32</v>
      </c>
      <c r="B5" s="237" t="str">
        <f ca="1">TRIM(CONCATENATE(U98,U97,U96,U95,U94))</f>
        <v>OCHO 32/100 BOLIVIANOS</v>
      </c>
    </row>
    <row r="6" spans="1:8">
      <c r="A6" s="236">
        <f>[25]Presupuesto!$F16</f>
        <v>34.549999999999997</v>
      </c>
      <c r="B6" s="237" t="str">
        <f ca="1">TRIM(CONCATENATE(U109,U108,U107,U106,U105))</f>
        <v>TREINTA Y CUATRO 55/100 BOLIVIANOS</v>
      </c>
    </row>
    <row r="7" spans="1:8">
      <c r="A7" s="236">
        <f>[25]Presupuesto!$F17</f>
        <v>89.43</v>
      </c>
      <c r="B7" s="237" t="str">
        <f ca="1">TRIM(CONCATENATE(U120,U119,U118,U117,U116))</f>
        <v>OCHENTA Y NUEVE 43/100 BOLIVIANOS</v>
      </c>
    </row>
    <row r="8" spans="1:8">
      <c r="A8" s="236">
        <f>[25]Presupuesto!$F18</f>
        <v>109.22999999999998</v>
      </c>
      <c r="B8" s="237" t="str">
        <f ca="1">TRIM(CONCATENATE(U131,U130,U129,U128,U127))</f>
        <v>CIENTO NUEVE 23/100 BOLIVIANOS</v>
      </c>
    </row>
    <row r="9" spans="1:8">
      <c r="A9" s="236">
        <f>[25]Presupuesto!$F19</f>
        <v>3.8</v>
      </c>
      <c r="B9" s="237" t="str">
        <f ca="1">TRIM(CONCATENATE(U142,U141,U140,U139,U138))</f>
        <v>TRES 80/100 BOLIVIANOS</v>
      </c>
    </row>
    <row r="10" spans="1:8">
      <c r="A10" s="236">
        <f>[25]Presupuesto!$F20</f>
        <v>3.3100000000000005</v>
      </c>
      <c r="B10" s="237" t="str">
        <f ca="1">TRIM(CONCATENATE(U153,U152,U151,U150,U149))</f>
        <v>TRES 31/100 BOLIVIANOS</v>
      </c>
    </row>
    <row r="11" spans="1:8">
      <c r="A11" s="236">
        <f>[25]Presupuesto!$F21</f>
        <v>6.37</v>
      </c>
      <c r="B11" s="237" t="str">
        <f ca="1">TRIM(CONCATENATE(U164,U163,U162,U161,U160))</f>
        <v>SEIS 37/100 BOLIVIANOS</v>
      </c>
    </row>
    <row r="12" spans="1:8">
      <c r="A12" s="236">
        <f>[25]Presupuesto!$F22</f>
        <v>13.23</v>
      </c>
      <c r="B12" s="237" t="str">
        <f ca="1">TRIM(CONCATENATE(U175,U174,U173,U172,U171))</f>
        <v>TRECE 23/100 BOLIVIANOS</v>
      </c>
    </row>
    <row r="13" spans="1:8">
      <c r="A13" s="236">
        <f>[25]Presupuesto!$F24</f>
        <v>20.96</v>
      </c>
      <c r="B13" s="237" t="str">
        <f ca="1">TRIM(CONCATENATE(U186,U185,U184,U183,U182))</f>
        <v>VEINTE 96/100 BOLIVIANOS</v>
      </c>
    </row>
    <row r="14" spans="1:8">
      <c r="A14" s="236">
        <f>[25]Presupuesto!$F25</f>
        <v>40.150000000000006</v>
      </c>
      <c r="B14" s="237" t="str">
        <f ca="1">TRIM(CONCATENATE(U197,U196,U195,U194,U193))</f>
        <v>CUARENTA 15/100 BOLIVIANOS</v>
      </c>
    </row>
    <row r="15" spans="1:8">
      <c r="A15" s="236">
        <f>[25]Presupuesto!$F26</f>
        <v>57.059999999999995</v>
      </c>
      <c r="B15" s="237" t="str">
        <f ca="1">TRIM(CONCATENATE(U208,U207,U206,U205,U204))</f>
        <v>CINCUENTA Y SIETE 06/100 BOLIVIANOS</v>
      </c>
    </row>
    <row r="16" spans="1:8">
      <c r="A16" s="236">
        <f>[25]Presupuesto!$F27</f>
        <v>104.86</v>
      </c>
      <c r="B16" s="237" t="str">
        <f ca="1">TRIM(CONCATENATE(U219,U218,U217,U216,U215))</f>
        <v>CIENTO CUATRO 86/100 BOLIVIANOS</v>
      </c>
    </row>
    <row r="17" spans="1:19">
      <c r="A17" s="236">
        <f>[25]Presupuesto!$F28</f>
        <v>1404.88</v>
      </c>
      <c r="B17" s="237" t="str">
        <f ca="1">TRIM(CONCATENATE(U230,U229,U228,U227,U226))</f>
        <v>MIL CUATROCIENTOS CUATRO 88/100 BOLIVIANOS</v>
      </c>
    </row>
    <row r="18" spans="1:19">
      <c r="A18" s="236">
        <f>[25]Presupuesto!$F29</f>
        <v>30.76</v>
      </c>
      <c r="B18" s="237" t="str">
        <f ca="1">TRIM(CONCATENATE(U241,U240,U239,U238,U237))</f>
        <v>TREINTA 76/100 BOLIVIANOS</v>
      </c>
    </row>
    <row r="19" spans="1:19">
      <c r="A19" s="236">
        <f>[25]Presupuesto!$F30</f>
        <v>895.16</v>
      </c>
      <c r="B19" s="237" t="str">
        <f ca="1">TRIM(CONCATENATE(U252,U251,U250,U249,U248))</f>
        <v>OCHOCIENTOS NOVENTA Y CINCO 16/100 BOLIVIANOS</v>
      </c>
    </row>
    <row r="20" spans="1:19">
      <c r="A20" s="236">
        <f>[25]Presupuesto!$F31</f>
        <v>698.35</v>
      </c>
      <c r="B20" s="237" t="str">
        <f ca="1">TRIM(CONCATENATE(U263,U262,U261,U260,U259))</f>
        <v>SEISCIENTOS NOVENTA Y OCHO 35/100 BOLIVIANOS</v>
      </c>
    </row>
    <row r="21" spans="1:19" s="239" customFormat="1">
      <c r="A21" s="236">
        <f>[25]Presupuesto!$F32</f>
        <v>1247.1400000000001</v>
      </c>
      <c r="B21" s="237" t="str">
        <f ca="1">TRIM(CONCATENATE(U274,U273,U272,U271,U270))</f>
        <v>MIL DOSCIENTOS CUARENTA Y SIETE 14/100 BOLIVIANOS</v>
      </c>
    </row>
    <row r="22" spans="1:19" s="239" customFormat="1">
      <c r="A22" s="236" t="e">
        <f>[25]Presupuesto!#REF!</f>
        <v>#REF!</v>
      </c>
      <c r="B22" s="237" t="e">
        <f ca="1">TRIM(CONCATENATE(U285,U284,U283,U282,U281))</f>
        <v>#REF!</v>
      </c>
    </row>
    <row r="23" spans="1:19" s="239" customFormat="1">
      <c r="A23" s="236">
        <f>[25]Presupuesto!$F121</f>
        <v>0</v>
      </c>
      <c r="B23" s="237"/>
    </row>
    <row r="24" spans="1:19" s="239" customFormat="1">
      <c r="A24" s="236" t="e">
        <f>[25]Presupuesto!#REF!</f>
        <v>#REF!</v>
      </c>
      <c r="B24" s="237"/>
    </row>
    <row r="25" spans="1:19" s="239" customFormat="1">
      <c r="A25" s="236" t="e">
        <f>[25]Presupuesto!#REF!</f>
        <v>#REF!</v>
      </c>
      <c r="B25" s="237"/>
    </row>
    <row r="26" spans="1:19">
      <c r="A26" s="240">
        <v>0</v>
      </c>
      <c r="B26" s="240" t="s">
        <v>93</v>
      </c>
      <c r="C26" s="240">
        <v>10</v>
      </c>
      <c r="D26" s="240" t="s">
        <v>94</v>
      </c>
      <c r="E26" s="240">
        <v>100</v>
      </c>
      <c r="F26" s="240" t="s">
        <v>95</v>
      </c>
      <c r="G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</row>
    <row r="27" spans="1:19">
      <c r="A27" s="240">
        <v>1</v>
      </c>
      <c r="B27" s="240" t="s">
        <v>96</v>
      </c>
      <c r="C27" s="240">
        <v>20</v>
      </c>
      <c r="D27" s="240" t="s">
        <v>97</v>
      </c>
      <c r="E27" s="240">
        <v>200</v>
      </c>
      <c r="F27" s="240" t="s">
        <v>98</v>
      </c>
      <c r="G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</row>
    <row r="28" spans="1:19">
      <c r="A28" s="240">
        <f t="shared" ref="A28:A55" si="0">+A27+1</f>
        <v>2</v>
      </c>
      <c r="B28" s="240" t="s">
        <v>99</v>
      </c>
      <c r="C28" s="240">
        <v>30</v>
      </c>
      <c r="D28" s="240" t="s">
        <v>100</v>
      </c>
      <c r="E28" s="240">
        <v>300</v>
      </c>
      <c r="F28" s="240" t="s">
        <v>101</v>
      </c>
      <c r="G28" s="240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</row>
    <row r="29" spans="1:19">
      <c r="A29" s="240">
        <f t="shared" si="0"/>
        <v>3</v>
      </c>
      <c r="B29" s="240" t="s">
        <v>102</v>
      </c>
      <c r="C29" s="240">
        <v>40</v>
      </c>
      <c r="D29" s="240" t="s">
        <v>103</v>
      </c>
      <c r="E29" s="240">
        <v>400</v>
      </c>
      <c r="F29" s="240" t="s">
        <v>104</v>
      </c>
      <c r="G29" s="240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</row>
    <row r="30" spans="1:19">
      <c r="A30" s="240">
        <f t="shared" si="0"/>
        <v>4</v>
      </c>
      <c r="B30" s="240" t="s">
        <v>105</v>
      </c>
      <c r="C30" s="240">
        <v>50</v>
      </c>
      <c r="D30" s="240" t="s">
        <v>106</v>
      </c>
      <c r="E30" s="240">
        <v>500</v>
      </c>
      <c r="F30" s="240" t="s">
        <v>107</v>
      </c>
      <c r="G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</row>
    <row r="31" spans="1:19">
      <c r="A31" s="240">
        <f t="shared" si="0"/>
        <v>5</v>
      </c>
      <c r="B31" s="240" t="s">
        <v>108</v>
      </c>
      <c r="C31" s="240">
        <v>60</v>
      </c>
      <c r="D31" s="240" t="s">
        <v>109</v>
      </c>
      <c r="E31" s="240">
        <v>600</v>
      </c>
      <c r="F31" s="240" t="s">
        <v>110</v>
      </c>
      <c r="G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</row>
    <row r="32" spans="1:19">
      <c r="A32" s="240">
        <f t="shared" si="0"/>
        <v>6</v>
      </c>
      <c r="B32" s="240" t="s">
        <v>111</v>
      </c>
      <c r="C32" s="240">
        <v>70</v>
      </c>
      <c r="D32" s="240" t="s">
        <v>112</v>
      </c>
      <c r="E32" s="240">
        <v>700</v>
      </c>
      <c r="F32" s="240" t="s">
        <v>113</v>
      </c>
      <c r="G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</row>
    <row r="33" spans="1:21">
      <c r="A33" s="240">
        <f t="shared" si="0"/>
        <v>7</v>
      </c>
      <c r="B33" s="240" t="s">
        <v>114</v>
      </c>
      <c r="C33" s="240">
        <v>80</v>
      </c>
      <c r="D33" s="240" t="s">
        <v>115</v>
      </c>
      <c r="E33" s="240">
        <v>800</v>
      </c>
      <c r="F33" s="240" t="s">
        <v>116</v>
      </c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</row>
    <row r="34" spans="1:21">
      <c r="A34" s="240">
        <f t="shared" si="0"/>
        <v>8</v>
      </c>
      <c r="B34" s="240" t="s">
        <v>117</v>
      </c>
      <c r="C34" s="240">
        <v>90</v>
      </c>
      <c r="D34" s="240" t="s">
        <v>118</v>
      </c>
      <c r="E34" s="240">
        <v>900</v>
      </c>
      <c r="F34" s="240" t="s">
        <v>119</v>
      </c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</row>
    <row r="35" spans="1:21">
      <c r="A35" s="240">
        <f t="shared" si="0"/>
        <v>9</v>
      </c>
      <c r="B35" s="240" t="s">
        <v>120</v>
      </c>
      <c r="C35" s="240">
        <v>100</v>
      </c>
      <c r="D35" s="240" t="s">
        <v>95</v>
      </c>
      <c r="E35" s="240">
        <v>1000</v>
      </c>
      <c r="F35" s="240" t="s">
        <v>121</v>
      </c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</row>
    <row r="36" spans="1:21">
      <c r="A36" s="240">
        <f t="shared" si="0"/>
        <v>10</v>
      </c>
      <c r="B36" s="240" t="s">
        <v>94</v>
      </c>
      <c r="C36" s="241"/>
      <c r="D36" s="241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</row>
    <row r="37" spans="1:21">
      <c r="A37" s="241">
        <f t="shared" si="0"/>
        <v>11</v>
      </c>
      <c r="B37" s="241" t="s">
        <v>122</v>
      </c>
      <c r="C37" s="241"/>
      <c r="D37" s="241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</row>
    <row r="38" spans="1:21">
      <c r="A38" s="241">
        <f t="shared" si="0"/>
        <v>12</v>
      </c>
      <c r="B38" s="241" t="s">
        <v>123</v>
      </c>
      <c r="C38" s="241"/>
      <c r="D38" s="241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</row>
    <row r="39" spans="1:21">
      <c r="A39" s="241">
        <f t="shared" si="0"/>
        <v>13</v>
      </c>
      <c r="B39" s="241" t="s">
        <v>124</v>
      </c>
      <c r="C39" s="241"/>
      <c r="D39" s="241"/>
      <c r="G39" s="242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</row>
    <row r="40" spans="1:21">
      <c r="A40" s="241">
        <f t="shared" si="0"/>
        <v>14</v>
      </c>
      <c r="B40" s="241" t="s">
        <v>125</v>
      </c>
      <c r="C40" s="241"/>
      <c r="D40" s="241"/>
      <c r="E40" s="240"/>
      <c r="F40" s="240"/>
      <c r="G40" s="240"/>
      <c r="H40" s="242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</row>
    <row r="41" spans="1:21">
      <c r="A41" s="241">
        <f t="shared" si="0"/>
        <v>15</v>
      </c>
      <c r="B41" s="241" t="s">
        <v>126</v>
      </c>
      <c r="C41" s="241"/>
      <c r="D41" s="241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</row>
    <row r="42" spans="1:21">
      <c r="A42" s="241">
        <f t="shared" si="0"/>
        <v>16</v>
      </c>
      <c r="B42" s="241" t="s">
        <v>127</v>
      </c>
      <c r="C42" s="241"/>
      <c r="D42" s="241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</row>
    <row r="43" spans="1:21">
      <c r="A43" s="241">
        <f t="shared" si="0"/>
        <v>17</v>
      </c>
      <c r="B43" s="241" t="s">
        <v>128</v>
      </c>
      <c r="C43" s="241"/>
      <c r="D43" s="241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</row>
    <row r="44" spans="1:21">
      <c r="A44" s="241">
        <f t="shared" si="0"/>
        <v>18</v>
      </c>
      <c r="B44" s="241" t="s">
        <v>129</v>
      </c>
      <c r="C44" s="241"/>
      <c r="D44" s="240" t="s">
        <v>130</v>
      </c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</row>
    <row r="45" spans="1:21">
      <c r="A45" s="241">
        <f t="shared" si="0"/>
        <v>19</v>
      </c>
      <c r="B45" s="241" t="s">
        <v>131</v>
      </c>
      <c r="C45" s="243"/>
      <c r="D45" s="243"/>
      <c r="E45" s="244">
        <f>ROUND(100*(A1-INT(A1)),2)</f>
        <v>82</v>
      </c>
      <c r="F45" s="240" t="s">
        <v>132</v>
      </c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</row>
    <row r="46" spans="1:21">
      <c r="A46" s="243">
        <f t="shared" si="0"/>
        <v>20</v>
      </c>
      <c r="B46" s="243" t="s">
        <v>97</v>
      </c>
      <c r="C46" s="243"/>
      <c r="D46" s="240"/>
      <c r="E46" s="240">
        <f>+LEN(E48)</f>
        <v>4</v>
      </c>
      <c r="F46" s="240" t="s">
        <v>133</v>
      </c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</row>
    <row r="47" spans="1:21" ht="13.5" thickBot="1">
      <c r="A47" s="243">
        <f t="shared" si="0"/>
        <v>21</v>
      </c>
      <c r="B47" s="243" t="s">
        <v>134</v>
      </c>
      <c r="C47" s="243"/>
      <c r="D47" s="243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</row>
    <row r="48" spans="1:21" ht="14.25" thickTop="1" thickBot="1">
      <c r="A48" s="243">
        <f t="shared" si="0"/>
        <v>22</v>
      </c>
      <c r="B48" s="243" t="s">
        <v>135</v>
      </c>
      <c r="C48" s="243"/>
      <c r="D48" s="240"/>
      <c r="E48" s="245">
        <f>+A1-E45/100</f>
        <v>1295</v>
      </c>
      <c r="F48" s="1505" t="s">
        <v>136</v>
      </c>
      <c r="G48" s="1506"/>
      <c r="H48" s="246">
        <f>+IF(E48&gt;1000,INT(E48/1000),0)</f>
        <v>1</v>
      </c>
      <c r="I48" s="1505" t="s">
        <v>137</v>
      </c>
      <c r="J48" s="1506"/>
      <c r="K48" s="246">
        <f>+INT(H48/1000)</f>
        <v>0</v>
      </c>
      <c r="L48" s="1505" t="s">
        <v>138</v>
      </c>
      <c r="M48" s="1506"/>
      <c r="N48" s="246">
        <f>+INT(K48/1000)</f>
        <v>0</v>
      </c>
      <c r="O48" s="1505" t="s">
        <v>139</v>
      </c>
      <c r="P48" s="1506"/>
      <c r="Q48" s="246">
        <f>+INT(N48)</f>
        <v>0</v>
      </c>
      <c r="R48" s="1505" t="s">
        <v>139</v>
      </c>
      <c r="S48" s="1506"/>
      <c r="U48" s="240" t="str">
        <f>+IF(E45=0,CONCATENATE("00",U49),IF(E45&lt;10,CONCATENATE(" 0",E45,U49),CONCATENATE(" ",E45,U49)))</f>
        <v xml:space="preserve"> 82/100 BOLIVIANOS</v>
      </c>
    </row>
    <row r="49" spans="1:21" ht="13.5" thickBot="1">
      <c r="A49" s="243">
        <f t="shared" si="0"/>
        <v>23</v>
      </c>
      <c r="B49" s="243" t="s">
        <v>140</v>
      </c>
      <c r="C49" s="243"/>
      <c r="D49" s="243"/>
      <c r="E49" s="247">
        <f>+RIGHT(E48)*1</f>
        <v>5</v>
      </c>
      <c r="F49" s="248" t="s">
        <v>141</v>
      </c>
      <c r="G49" s="249" t="str">
        <f ca="1">+IF(AND(E49&gt;0,E49&lt;10),LOOKUP(CELL("contenido",E49),$A$26:$B$35),"")</f>
        <v>CINCO</v>
      </c>
      <c r="H49" s="250">
        <f>+RIGHT(H48)*1</f>
        <v>1</v>
      </c>
      <c r="I49" s="251" t="s">
        <v>141</v>
      </c>
      <c r="J49" s="252" t="str">
        <f ca="1">IF(E48&lt;2000,"",IF(CELL("contenido",H49)=1,"UN",IF(AND(H49&gt;0,H49&lt;10),LOOKUP(CELL("contenido",H49),$A$26:$B$35),"")))</f>
        <v/>
      </c>
      <c r="K49" s="253">
        <f>+RIGHT(K48)*1</f>
        <v>0</v>
      </c>
      <c r="L49" s="254" t="s">
        <v>141</v>
      </c>
      <c r="M49" s="255" t="str">
        <f ca="1">+IF(CELL("contenido",K49)=1,"UN",IF(AND(K49&gt;0,K49&lt;10),LOOKUP(CELL("contenido",K49),$A$26:$B$35),""))</f>
        <v/>
      </c>
      <c r="N49" s="256">
        <f>+RIGHT(N48)*1</f>
        <v>0</v>
      </c>
      <c r="O49" s="257" t="s">
        <v>141</v>
      </c>
      <c r="P49" s="258" t="str">
        <f ca="1">+IF(CELL("contenido",N49)=1,"UN",IF(AND(N49&gt;0,N49&lt;10),LOOKUP(CELL("contenido",N49),$A$26:$B$35),""))</f>
        <v/>
      </c>
      <c r="Q49" s="259">
        <f>+RIGHT(Q48)*1</f>
        <v>0</v>
      </c>
      <c r="R49" s="260" t="s">
        <v>141</v>
      </c>
      <c r="S49" s="261" t="str">
        <f ca="1">+IF(CELL("contenido",Q49)=1,"UN",IF(AND(Q49&gt;0,Q49&lt;10),LOOKUP(CELL("contenido",Q49),$A$26:$B$35),""))</f>
        <v/>
      </c>
      <c r="U49" s="262" t="s">
        <v>142</v>
      </c>
    </row>
    <row r="50" spans="1:21" ht="13.5" thickBot="1">
      <c r="A50" s="243">
        <f t="shared" si="0"/>
        <v>24</v>
      </c>
      <c r="B50" s="243" t="s">
        <v>143</v>
      </c>
      <c r="C50" s="243"/>
      <c r="D50" s="243"/>
      <c r="E50" s="247">
        <f>+RIGHT(E48,2)*1</f>
        <v>95</v>
      </c>
      <c r="F50" s="248" t="s">
        <v>144</v>
      </c>
      <c r="G50" s="249" t="str">
        <f ca="1">IF(AND(E50&gt;0,E50&lt;30),LOOKUP(CELL("contenido",E50),$A$26:$B$55),"")</f>
        <v/>
      </c>
      <c r="H50" s="250">
        <f>+RIGHT(H48,2)*1</f>
        <v>1</v>
      </c>
      <c r="I50" s="251" t="s">
        <v>144</v>
      </c>
      <c r="J50" s="252" t="str">
        <f ca="1">IF(E48&lt;2000,"",IF(CELL("contenido",H50)=1,"UN",IF(AND(H50&gt;0,H50&lt;30),LOOKUP(CELL("contenido",H50),$A$26:$B$55),"")))</f>
        <v/>
      </c>
      <c r="K50" s="253">
        <f>+RIGHT(K48,2)*1</f>
        <v>0</v>
      </c>
      <c r="L50" s="254" t="s">
        <v>144</v>
      </c>
      <c r="M50" s="255" t="str">
        <f ca="1">IF(CELL("contenido",K50)=1,"UN",IF(AND(K50&gt;0,K50&lt;30),LOOKUP(CELL("contenido",K50),$A$26:$B$55),""))</f>
        <v/>
      </c>
      <c r="N50" s="256">
        <f>+RIGHT(N48,2)*1</f>
        <v>0</v>
      </c>
      <c r="O50" s="257" t="s">
        <v>144</v>
      </c>
      <c r="P50" s="258" t="str">
        <f ca="1">IF(CELL("contenido",N50)=1,"UN",IF(AND(N50&gt;0,N50&lt;30),LOOKUP(CELL("contenido",N50),$A$26:$B$55),""))</f>
        <v/>
      </c>
      <c r="Q50" s="259">
        <f>+RIGHT(Q48,2)*1</f>
        <v>0</v>
      </c>
      <c r="R50" s="260" t="s">
        <v>144</v>
      </c>
      <c r="S50" s="261" t="str">
        <f ca="1">IF(CELL("contenido",Q50)=1,"UN",IF(AND(Q50&gt;0,Q50&lt;30),LOOKUP(CELL("contenido",Q50),$A$26:$B$55),""))</f>
        <v/>
      </c>
      <c r="U50" s="240" t="str">
        <f ca="1">+IF(CELL("contenido",G50)&lt;&gt;"",CONCATENATE(G53," ",G52," ",G50," ",U48),IF(CELL("contenido",G49)="",CONCATENATE(G53," ",G52," ",G51," ",U48),CONCATENATE(G53," ",G52," ",G51," Y ",G49," ",U48)))</f>
        <v>MIL DOSCIENTOS NOVENTA Y CINCO  82/100 BOLIVIANOS</v>
      </c>
    </row>
    <row r="51" spans="1:21" ht="13.5" thickBot="1">
      <c r="A51" s="243">
        <f t="shared" si="0"/>
        <v>25</v>
      </c>
      <c r="B51" s="243" t="s">
        <v>145</v>
      </c>
      <c r="C51" s="243"/>
      <c r="D51" s="243"/>
      <c r="E51" s="247">
        <f>+RIGHT(E48,2)*1-E49</f>
        <v>90</v>
      </c>
      <c r="F51" s="248" t="s">
        <v>146</v>
      </c>
      <c r="G51" s="249" t="str">
        <f ca="1">+IF(AND(E51&gt;0,E48&gt;=30),LOOKUP(CELL("contenido",E51),$C$26:$D$35),"")</f>
        <v>NOVENTA</v>
      </c>
      <c r="H51" s="250">
        <f>+RIGHT(H48,2)*1-H49</f>
        <v>0</v>
      </c>
      <c r="I51" s="251" t="s">
        <v>146</v>
      </c>
      <c r="J51" s="252" t="str">
        <f ca="1">+IF(AND(H51&gt;0,H48&gt;=30),LOOKUP(CELL("contenido",H51),$C$26:$D$35),"")</f>
        <v/>
      </c>
      <c r="K51" s="253">
        <f>+RIGHT(K48,2)*1-K49</f>
        <v>0</v>
      </c>
      <c r="L51" s="254" t="s">
        <v>146</v>
      </c>
      <c r="M51" s="255" t="str">
        <f ca="1">+IF(AND(K51&gt;0,K48&gt;=30),LOOKUP(CELL("contenido",K51),$C$26:$D$35),"")</f>
        <v/>
      </c>
      <c r="N51" s="256">
        <f>+RIGHT(N48,2)*1-N49</f>
        <v>0</v>
      </c>
      <c r="O51" s="257" t="s">
        <v>146</v>
      </c>
      <c r="P51" s="258" t="str">
        <f ca="1">+IF(AND(N51&gt;0,K53&gt;=30),LOOKUP(CELL("contenido",N51),$C$26:$D$35),"")</f>
        <v/>
      </c>
      <c r="Q51" s="259">
        <f>+RIGHT(Q48,2)*1-Q49</f>
        <v>0</v>
      </c>
      <c r="R51" s="260" t="s">
        <v>146</v>
      </c>
      <c r="S51" s="261" t="str">
        <f ca="1">+IF(AND(Q51&gt;0,N53&gt;=30),LOOKUP(CELL("contenido",Q51),$C$26:$D$35),"")</f>
        <v/>
      </c>
      <c r="U51" s="240" t="str">
        <f ca="1">+IF(CELL("contenido",J50)&lt;&gt;"",CONCATENATE(J53," ",J52," ",J50," "),IF(CELL("contenido",J49)="",CONCATENATE(J53," ",J52," ",J51," "),CONCATENATE(J53," ",J52," ",J51," Y ",J49," ")))</f>
        <v xml:space="preserve">   </v>
      </c>
    </row>
    <row r="52" spans="1:21" ht="13.5" thickBot="1">
      <c r="A52" s="243">
        <f t="shared" si="0"/>
        <v>26</v>
      </c>
      <c r="B52" s="243" t="s">
        <v>147</v>
      </c>
      <c r="C52" s="243"/>
      <c r="D52" s="243"/>
      <c r="E52" s="247">
        <f>+RIGHT(E48,3)*1-E51-E49</f>
        <v>200</v>
      </c>
      <c r="F52" s="248" t="s">
        <v>148</v>
      </c>
      <c r="G52" s="249" t="str">
        <f ca="1">+IF((RIGHT(E48,3)*1)=100,"CIEN",IF(AND(E52&gt;0,E52&lt;1000),LOOKUP(CELL("contenido",E52),$E$26:$F$35),""))</f>
        <v>DOSCIENTOS</v>
      </c>
      <c r="H52" s="250">
        <f>+RIGHT(H48,3)*1-H51-H49</f>
        <v>0</v>
      </c>
      <c r="I52" s="251" t="s">
        <v>148</v>
      </c>
      <c r="J52" s="252" t="str">
        <f ca="1">+IF(H48=100,"CIEN",IF(AND(H52&gt;0,H52&lt;1000),LOOKUP(CELL("contenido",H52),$E$26:$F$35),""))</f>
        <v/>
      </c>
      <c r="K52" s="253">
        <f>+RIGHT(K48,3)*1-K51-K49</f>
        <v>0</v>
      </c>
      <c r="L52" s="254" t="s">
        <v>148</v>
      </c>
      <c r="M52" s="255" t="str">
        <f ca="1">+IF(K48=100,"CIEN",IF(AND(K52&gt;0,K52&lt;1000),LOOKUP(CELL("contenido",K52),$E$26:$F$35),""))</f>
        <v/>
      </c>
      <c r="N52" s="256">
        <f>+RIGHT(N48,3)*1-N51-N49</f>
        <v>0</v>
      </c>
      <c r="O52" s="257" t="s">
        <v>148</v>
      </c>
      <c r="P52" s="258" t="str">
        <f ca="1">+IF(N48=100,"CIEN",IF(AND(N52&gt;0,N52&lt;1000),LOOKUP(CELL("contenido",N52),$E$26:$F$35),""))</f>
        <v/>
      </c>
      <c r="Q52" s="259">
        <f>+RIGHT(Q48,3)*1-Q51-Q49</f>
        <v>0</v>
      </c>
      <c r="R52" s="260" t="s">
        <v>148</v>
      </c>
      <c r="S52" s="261" t="str">
        <f ca="1">+IF(Q48=100,"CIEN",IF(AND(Q52&gt;0,Q52&lt;1000),LOOKUP(CELL("contenido",Q52),$E$26:$F$35),""))</f>
        <v/>
      </c>
      <c r="U52" s="240" t="str">
        <f ca="1">+IF(CELL("contenido",M50)&lt;&gt;"",CONCATENATE(M53," ",M52," ",M50," "),IF(CELL("contenido",M49)="",CONCATENATE(M53," ",M52," ",M51," "),CONCATENATE(M53," ",M52," ",M51," Y ",M49," ")))</f>
        <v xml:space="preserve">   </v>
      </c>
    </row>
    <row r="53" spans="1:21" ht="13.5" thickBot="1">
      <c r="A53" s="243">
        <f t="shared" si="0"/>
        <v>27</v>
      </c>
      <c r="B53" s="243" t="s">
        <v>149</v>
      </c>
      <c r="C53" s="243"/>
      <c r="D53" s="243"/>
      <c r="E53" s="263">
        <f>+RIGHT(E48,4)*1-E52-E51-E49</f>
        <v>1000</v>
      </c>
      <c r="F53" s="264" t="s">
        <v>150</v>
      </c>
      <c r="G53" s="265" t="str">
        <f ca="1">+IF(E48&gt;999,"MIL",IF(AND(E53&gt;0,E53&lt;10000),LOOKUP(CELL("contenido",E53),$E$26:$F$35),""))</f>
        <v>MIL</v>
      </c>
      <c r="H53" s="266">
        <f>INT(E48/1000000)</f>
        <v>0</v>
      </c>
      <c r="I53" s="267" t="s">
        <v>151</v>
      </c>
      <c r="J53" s="268" t="str">
        <f ca="1">+IF(CELL("contenido",M50)=1,"MILLÓN",IF(H53=1,"MILLÓN",IF(H53&gt;1,"MILLONES","")))</f>
        <v/>
      </c>
      <c r="K53" s="269">
        <f>+RIGHT(K48,4)*1-K52-K51-K49</f>
        <v>0</v>
      </c>
      <c r="L53" s="270" t="s">
        <v>152</v>
      </c>
      <c r="M53" s="271" t="str">
        <f ca="1">+IF(AND(K53&gt;0,K53&lt;10000),LOOKUP(CELL("contenido",K53),$E$26:$F$35),"")</f>
        <v/>
      </c>
      <c r="N53" s="272">
        <f>+RIGHT(N48,4)*1-N52-N51-N49</f>
        <v>0</v>
      </c>
      <c r="O53" s="273" t="s">
        <v>153</v>
      </c>
      <c r="P53" s="274" t="str">
        <f>+IF(N53=1,"UN MILLARDO",IF(N48&gt;1,"MILLARDOS",""))</f>
        <v/>
      </c>
      <c r="Q53" s="275">
        <f>+RIGHT(Q48,4)*1-Q52-Q51-Q49</f>
        <v>0</v>
      </c>
      <c r="R53" s="276" t="s">
        <v>153</v>
      </c>
      <c r="S53" s="277" t="str">
        <f>+IF(Q53=1,"UN MILLARDO",IF(Q48&gt;1,"MILLARDOS",""))</f>
        <v/>
      </c>
      <c r="U53" s="240" t="str">
        <f ca="1">+IF(CELL("contenido",P50)&lt;&gt;"",CONCATENATE(P53," ",P52," ",P50," "),IF(CELL("contenido",P49)="",CONCATENATE(P53," ",P52," ",P51," "),CONCATENATE(P53," ",P52," ",P51," Y ",P49," ")))</f>
        <v xml:space="preserve">   </v>
      </c>
    </row>
    <row r="54" spans="1:21" ht="13.5" thickTop="1">
      <c r="A54" s="243">
        <f t="shared" si="0"/>
        <v>28</v>
      </c>
      <c r="B54" s="243" t="s">
        <v>154</v>
      </c>
      <c r="C54" s="243"/>
      <c r="D54" s="243"/>
      <c r="E54" s="240"/>
      <c r="F54" s="240"/>
      <c r="G54" s="240"/>
      <c r="H54" s="240"/>
      <c r="I54" s="240"/>
      <c r="J54" s="278"/>
      <c r="K54" s="278"/>
      <c r="L54" s="278"/>
      <c r="M54" s="241"/>
      <c r="N54" s="241"/>
      <c r="O54" s="241"/>
      <c r="P54" s="240"/>
      <c r="Q54" s="241"/>
      <c r="R54" s="241"/>
      <c r="S54" s="240"/>
      <c r="U54" s="240" t="str">
        <f ca="1">+IF(CELL("contenido",S50)&lt;&gt;"",CONCATENATE(S52," ",S50," "),IF(CELL("contenido",S49)="",CONCATENATE(S52," ",S51," "),CONCATENATE(S52," ",S51," Y ",S49," ")))</f>
        <v xml:space="preserve">  </v>
      </c>
    </row>
    <row r="55" spans="1:21">
      <c r="A55" s="243">
        <f t="shared" si="0"/>
        <v>29</v>
      </c>
      <c r="B55" s="243" t="s">
        <v>155</v>
      </c>
      <c r="C55" s="240"/>
      <c r="D55" s="240" t="s">
        <v>156</v>
      </c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U55" s="237"/>
    </row>
    <row r="56" spans="1:21">
      <c r="D56" s="243"/>
      <c r="E56" s="244">
        <f>ROUND(100*(A2-INT(A2)),2)</f>
        <v>94</v>
      </c>
      <c r="F56" s="240" t="s">
        <v>132</v>
      </c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</row>
    <row r="57" spans="1:21">
      <c r="D57" s="240"/>
      <c r="E57" s="240">
        <f>+LEN(E59)</f>
        <v>2</v>
      </c>
      <c r="F57" s="240" t="s">
        <v>133</v>
      </c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</row>
    <row r="58" spans="1:21" ht="13.5" thickBot="1">
      <c r="D58" s="243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</row>
    <row r="59" spans="1:21" ht="14.25" thickTop="1" thickBot="1">
      <c r="D59" s="240"/>
      <c r="E59" s="245">
        <f>+A2-E56/100</f>
        <v>23.999999999999996</v>
      </c>
      <c r="F59" s="1505" t="s">
        <v>136</v>
      </c>
      <c r="G59" s="1506"/>
      <c r="H59" s="246">
        <f>+IF(E59&gt;1000,INT(E59/1000),0)</f>
        <v>0</v>
      </c>
      <c r="I59" s="1505" t="s">
        <v>137</v>
      </c>
      <c r="J59" s="1506"/>
      <c r="K59" s="246">
        <f>+INT(H59/1000)</f>
        <v>0</v>
      </c>
      <c r="L59" s="1505" t="s">
        <v>138</v>
      </c>
      <c r="M59" s="1506"/>
      <c r="N59" s="246">
        <f>+INT(K59/1000)</f>
        <v>0</v>
      </c>
      <c r="O59" s="1505" t="s">
        <v>139</v>
      </c>
      <c r="P59" s="1506"/>
      <c r="Q59" s="246">
        <f>+INT(N59)</f>
        <v>0</v>
      </c>
      <c r="R59" s="1505" t="s">
        <v>139</v>
      </c>
      <c r="S59" s="1506"/>
      <c r="U59" s="240" t="str">
        <f>+IF(E56=0,CONCATENATE("00",U60),IF(E56&lt;10,CONCATENATE(" 0",E56,U60),CONCATENATE(" ",E56,U60)))</f>
        <v xml:space="preserve"> 94/100 BOLIVIANOS</v>
      </c>
    </row>
    <row r="60" spans="1:21" ht="13.5" thickBot="1">
      <c r="D60" s="243"/>
      <c r="E60" s="247">
        <f>+RIGHT(E59)*1</f>
        <v>4</v>
      </c>
      <c r="F60" s="248" t="s">
        <v>141</v>
      </c>
      <c r="G60" s="249" t="str">
        <f ca="1">+IF(AND(E60&gt;0,E60&lt;10),LOOKUP(CELL("contenido",E60),$A$26:$B$35),"")</f>
        <v>CUATRO</v>
      </c>
      <c r="H60" s="250">
        <f>+RIGHT(H59)*1</f>
        <v>0</v>
      </c>
      <c r="I60" s="251" t="s">
        <v>141</v>
      </c>
      <c r="J60" s="252" t="str">
        <f ca="1">IF(E59&lt;2000,"",IF(CELL("contenido",H60)=1,"UN",IF(AND(H60&gt;0,H60&lt;10),LOOKUP(CELL("contenido",H60),$A$26:$B$35),"")))</f>
        <v/>
      </c>
      <c r="K60" s="253">
        <f>+RIGHT(K59)*1</f>
        <v>0</v>
      </c>
      <c r="L60" s="254" t="s">
        <v>141</v>
      </c>
      <c r="M60" s="255" t="str">
        <f ca="1">+IF(CELL("contenido",K60)=1,"UN",IF(AND(K60&gt;0,K60&lt;10),LOOKUP(CELL("contenido",K60),$A$26:$B$35),""))</f>
        <v/>
      </c>
      <c r="N60" s="256">
        <f>+RIGHT(N59)*1</f>
        <v>0</v>
      </c>
      <c r="O60" s="257" t="s">
        <v>141</v>
      </c>
      <c r="P60" s="258" t="str">
        <f ca="1">+IF(CELL("contenido",N60)=1,"UN",IF(AND(N60&gt;0,N60&lt;10),LOOKUP(CELL("contenido",N60),$A$26:$B$35),""))</f>
        <v/>
      </c>
      <c r="Q60" s="259">
        <f>+RIGHT(Q59)*1</f>
        <v>0</v>
      </c>
      <c r="R60" s="260" t="s">
        <v>141</v>
      </c>
      <c r="S60" s="261" t="str">
        <f ca="1">+IF(CELL("contenido",Q60)=1,"UN",IF(AND(Q60&gt;0,Q60&lt;10),LOOKUP(CELL("contenido",Q60),$A$26:$B$35),""))</f>
        <v/>
      </c>
      <c r="U60" s="262" t="s">
        <v>142</v>
      </c>
    </row>
    <row r="61" spans="1:21" ht="13.5" thickBot="1">
      <c r="D61" s="243"/>
      <c r="E61" s="247">
        <f>+RIGHT(E59,2)*1</f>
        <v>24</v>
      </c>
      <c r="F61" s="248" t="s">
        <v>144</v>
      </c>
      <c r="G61" s="249" t="str">
        <f ca="1">IF(AND(E61&gt;0,E61&lt;30),LOOKUP(CELL("contenido",E61),$A$26:$B$55),"")</f>
        <v>VEINTICUATRO</v>
      </c>
      <c r="H61" s="250">
        <f>+RIGHT(H59,2)*1</f>
        <v>0</v>
      </c>
      <c r="I61" s="251" t="s">
        <v>144</v>
      </c>
      <c r="J61" s="252" t="str">
        <f ca="1">IF(E59&lt;2000,"",IF(CELL("contenido",H61)=1,"UN",IF(AND(H61&gt;0,H61&lt;30),LOOKUP(CELL("contenido",H61),$A$26:$B$55),"")))</f>
        <v/>
      </c>
      <c r="K61" s="253">
        <f>+RIGHT(K59,2)*1</f>
        <v>0</v>
      </c>
      <c r="L61" s="254" t="s">
        <v>144</v>
      </c>
      <c r="M61" s="255" t="str">
        <f ca="1">IF(CELL("contenido",K61)=1,"UN",IF(AND(K61&gt;0,K61&lt;30),LOOKUP(CELL("contenido",K61),$A$26:$B$55),""))</f>
        <v/>
      </c>
      <c r="N61" s="256">
        <f>+RIGHT(N59,2)*1</f>
        <v>0</v>
      </c>
      <c r="O61" s="257" t="s">
        <v>144</v>
      </c>
      <c r="P61" s="258" t="str">
        <f ca="1">IF(CELL("contenido",N61)=1,"UN",IF(AND(N61&gt;0,N61&lt;30),LOOKUP(CELL("contenido",N61),$A$26:$B$55),""))</f>
        <v/>
      </c>
      <c r="Q61" s="259">
        <f>+RIGHT(Q59,2)*1</f>
        <v>0</v>
      </c>
      <c r="R61" s="260" t="s">
        <v>144</v>
      </c>
      <c r="S61" s="261" t="str">
        <f ca="1">IF(CELL("contenido",Q61)=1,"UN",IF(AND(Q61&gt;0,Q61&lt;30),LOOKUP(CELL("contenido",Q61),$A$26:$B$55),""))</f>
        <v/>
      </c>
      <c r="U61" s="240" t="str">
        <f ca="1">+IF(CELL("contenido",G61)&lt;&gt;"",CONCATENATE(G64," ",G63," ",G61," ",U59),IF(CELL("contenido",G60)="",CONCATENATE(G64," ",G63," ",G62," ",U59),CONCATENATE(G64," ",G63," ",G62," Y ",G60," ",U59)))</f>
        <v xml:space="preserve">  VEINTICUATRO  94/100 BOLIVIANOS</v>
      </c>
    </row>
    <row r="62" spans="1:21" ht="13.5" thickBot="1">
      <c r="D62" s="243"/>
      <c r="E62" s="247">
        <f>+RIGHT(E59,2)*1-E60</f>
        <v>20</v>
      </c>
      <c r="F62" s="248" t="s">
        <v>146</v>
      </c>
      <c r="G62" s="249" t="str">
        <f ca="1">+IF(AND(E62&gt;0,E59&gt;=30),LOOKUP(CELL("contenido",E62),$C$26:$D$35),"")</f>
        <v/>
      </c>
      <c r="H62" s="250">
        <f>+RIGHT(H59,2)*1-H60</f>
        <v>0</v>
      </c>
      <c r="I62" s="251" t="s">
        <v>146</v>
      </c>
      <c r="J62" s="252" t="str">
        <f ca="1">+IF(AND(H62&gt;0,H59&gt;=30),LOOKUP(CELL("contenido",H62),$C$26:$D$35),"")</f>
        <v/>
      </c>
      <c r="K62" s="253">
        <f>+RIGHT(K59,2)*1-K60</f>
        <v>0</v>
      </c>
      <c r="L62" s="254" t="s">
        <v>146</v>
      </c>
      <c r="M62" s="255" t="str">
        <f ca="1">+IF(AND(K62&gt;0,K59&gt;=30),LOOKUP(CELL("contenido",K62),$C$26:$D$35),"")</f>
        <v/>
      </c>
      <c r="N62" s="256">
        <f>+RIGHT(N59,2)*1-N60</f>
        <v>0</v>
      </c>
      <c r="O62" s="257" t="s">
        <v>146</v>
      </c>
      <c r="P62" s="258" t="str">
        <f ca="1">+IF(AND(N62&gt;0,K64&gt;=30),LOOKUP(CELL("contenido",N62),$C$26:$D$35),"")</f>
        <v/>
      </c>
      <c r="Q62" s="259">
        <f>+RIGHT(Q59,2)*1-Q60</f>
        <v>0</v>
      </c>
      <c r="R62" s="260" t="s">
        <v>146</v>
      </c>
      <c r="S62" s="261" t="str">
        <f ca="1">+IF(AND(Q62&gt;0,N64&gt;=30),LOOKUP(CELL("contenido",Q62),$C$26:$D$35),"")</f>
        <v/>
      </c>
      <c r="U62" s="240" t="str">
        <f ca="1">+IF(CELL("contenido",J61)&lt;&gt;"",CONCATENATE(J64," ",J63," ",J61," "),IF(CELL("contenido",J60)="",CONCATENATE(J64," ",J63," ",J62," "),CONCATENATE(J64," ",J63," ",J62," Y ",J60," ")))</f>
        <v xml:space="preserve">   </v>
      </c>
    </row>
    <row r="63" spans="1:21" ht="13.5" thickBot="1">
      <c r="D63" s="243"/>
      <c r="E63" s="247">
        <f>+RIGHT(E59,3)*1-E62-E60</f>
        <v>0</v>
      </c>
      <c r="F63" s="248" t="s">
        <v>148</v>
      </c>
      <c r="G63" s="249" t="str">
        <f ca="1">+IF((RIGHT(E59,3)*1)=100,"CIEN",IF(AND(E63&gt;0,E63&lt;1000),LOOKUP(CELL("contenido",E63),$E$26:$F$35),""))</f>
        <v/>
      </c>
      <c r="H63" s="250">
        <f>+RIGHT(H59,3)*1-H62-H60</f>
        <v>0</v>
      </c>
      <c r="I63" s="251" t="s">
        <v>148</v>
      </c>
      <c r="J63" s="252" t="str">
        <f ca="1">+IF(H59=100,"CIEN",IF(AND(H63&gt;0,H63&lt;1000),LOOKUP(CELL("contenido",H63),$E$26:$F$35),""))</f>
        <v/>
      </c>
      <c r="K63" s="253">
        <f>+RIGHT(K59,3)*1-K62-K60</f>
        <v>0</v>
      </c>
      <c r="L63" s="254" t="s">
        <v>148</v>
      </c>
      <c r="M63" s="255" t="str">
        <f ca="1">+IF(K59=100,"CIEN",IF(AND(K63&gt;0,K63&lt;1000),LOOKUP(CELL("contenido",K63),$E$26:$F$35),""))</f>
        <v/>
      </c>
      <c r="N63" s="256">
        <f>+RIGHT(N59,3)*1-N62-N60</f>
        <v>0</v>
      </c>
      <c r="O63" s="257" t="s">
        <v>148</v>
      </c>
      <c r="P63" s="258" t="str">
        <f ca="1">+IF(N59=100,"CIEN",IF(AND(N63&gt;0,N63&lt;1000),LOOKUP(CELL("contenido",N63),$E$26:$F$35),""))</f>
        <v/>
      </c>
      <c r="Q63" s="259">
        <f>+RIGHT(Q59,3)*1-Q62-Q60</f>
        <v>0</v>
      </c>
      <c r="R63" s="260" t="s">
        <v>148</v>
      </c>
      <c r="S63" s="261" t="str">
        <f ca="1">+IF(Q59=100,"CIEN",IF(AND(Q63&gt;0,Q63&lt;1000),LOOKUP(CELL("contenido",Q63),$E$26:$F$35),""))</f>
        <v/>
      </c>
      <c r="U63" s="240" t="str">
        <f ca="1">+IF(CELL("contenido",M61)&lt;&gt;"",CONCATENATE(M64," ",M63," ",M61," "),IF(CELL("contenido",M60)="",CONCATENATE(M64," ",M63," ",M62," "),CONCATENATE(M64," ",M63," ",M62," Y ",M60," ")))</f>
        <v xml:space="preserve">   </v>
      </c>
    </row>
    <row r="64" spans="1:21" ht="13.5" thickBot="1">
      <c r="D64" s="243"/>
      <c r="E64" s="263">
        <f>+RIGHT(E59,4)*1-E63-E62-E60</f>
        <v>0</v>
      </c>
      <c r="F64" s="264" t="s">
        <v>150</v>
      </c>
      <c r="G64" s="265" t="str">
        <f ca="1">+IF(E59&gt;999,"MIL",IF(AND(E64&gt;0,E64&lt;10000),LOOKUP(CELL("contenido",E64),$E$26:$F$35),""))</f>
        <v/>
      </c>
      <c r="H64" s="266">
        <f>INT(E59/1000000)</f>
        <v>0</v>
      </c>
      <c r="I64" s="267" t="s">
        <v>151</v>
      </c>
      <c r="J64" s="268" t="str">
        <f ca="1">+IF(CELL("contenido",M61)=1,"MILLÓN",IF(H64=1,"MILLÓN",IF(H64&gt;1,"MILLONES","")))</f>
        <v/>
      </c>
      <c r="K64" s="269">
        <f>+RIGHT(K59,4)*1-K63-K62-K60</f>
        <v>0</v>
      </c>
      <c r="L64" s="270" t="s">
        <v>152</v>
      </c>
      <c r="M64" s="271" t="str">
        <f ca="1">+IF(AND(K64&gt;0,K64&lt;10000),LOOKUP(CELL("contenido",K64),$E$26:$F$35),"")</f>
        <v/>
      </c>
      <c r="N64" s="272">
        <f>+RIGHT(N59,4)*1-N63-N62-N60</f>
        <v>0</v>
      </c>
      <c r="O64" s="273" t="s">
        <v>153</v>
      </c>
      <c r="P64" s="274" t="str">
        <f>+IF(N64=1,"UN MILLARDO",IF(N59&gt;1,"MILLARDOS",""))</f>
        <v/>
      </c>
      <c r="Q64" s="275">
        <f>+RIGHT(Q59,4)*1-Q63-Q62-Q60</f>
        <v>0</v>
      </c>
      <c r="R64" s="276" t="s">
        <v>153</v>
      </c>
      <c r="S64" s="277" t="str">
        <f>+IF(Q64=1,"UN MILLARDO",IF(Q59&gt;1,"MILLARDOS",""))</f>
        <v/>
      </c>
      <c r="U64" s="240" t="str">
        <f ca="1">+IF(CELL("contenido",P61)&lt;&gt;"",CONCATENATE(P64," ",P63," ",P61," "),IF(CELL("contenido",P60)="",CONCATENATE(P64," ",P63," ",P62," "),CONCATENATE(P64," ",P63," ",P62," Y ",P60," ")))</f>
        <v xml:space="preserve">   </v>
      </c>
    </row>
    <row r="65" spans="4:21" ht="13.5" thickTop="1">
      <c r="D65" s="243"/>
      <c r="E65" s="240"/>
      <c r="F65" s="240"/>
      <c r="G65" s="240"/>
      <c r="H65" s="240"/>
      <c r="I65" s="240"/>
      <c r="J65" s="278"/>
      <c r="K65" s="278"/>
      <c r="L65" s="278"/>
      <c r="M65" s="241"/>
      <c r="N65" s="241"/>
      <c r="O65" s="241"/>
      <c r="P65" s="240"/>
      <c r="Q65" s="241"/>
      <c r="R65" s="241"/>
      <c r="S65" s="240"/>
      <c r="U65" s="240" t="str">
        <f ca="1">+IF(CELL("contenido",S61)&lt;&gt;"",CONCATENATE(S63," ",S61," "),IF(CELL("contenido",S60)="",CONCATENATE(S63," ",S62," "),CONCATENATE(S63," ",S62," Y ",S60," ")))</f>
        <v xml:space="preserve">  </v>
      </c>
    </row>
    <row r="66" spans="4:21">
      <c r="D66" s="240" t="s">
        <v>157</v>
      </c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U66" s="237"/>
    </row>
    <row r="67" spans="4:21">
      <c r="D67" s="243"/>
      <c r="E67" s="244">
        <f>ROUND(100*(A3-INT(A3)),2)</f>
        <v>64</v>
      </c>
      <c r="F67" s="240" t="s">
        <v>132</v>
      </c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</row>
    <row r="68" spans="4:21">
      <c r="D68" s="240"/>
      <c r="E68" s="240">
        <f>+LEN(E70)</f>
        <v>1</v>
      </c>
      <c r="F68" s="240" t="s">
        <v>133</v>
      </c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</row>
    <row r="69" spans="4:21" ht="13.5" thickBot="1">
      <c r="D69" s="243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</row>
    <row r="70" spans="4:21" ht="14.25" thickTop="1" thickBot="1">
      <c r="D70" s="240"/>
      <c r="E70" s="245">
        <f>+A3-E67/100</f>
        <v>2.9999999999999996</v>
      </c>
      <c r="F70" s="1505" t="s">
        <v>136</v>
      </c>
      <c r="G70" s="1506"/>
      <c r="H70" s="246">
        <f>+IF(E70&gt;1000,INT(E70/1000),0)</f>
        <v>0</v>
      </c>
      <c r="I70" s="1505" t="s">
        <v>137</v>
      </c>
      <c r="J70" s="1506"/>
      <c r="K70" s="246">
        <f>+INT(H70/1000)</f>
        <v>0</v>
      </c>
      <c r="L70" s="1505" t="s">
        <v>138</v>
      </c>
      <c r="M70" s="1506"/>
      <c r="N70" s="246">
        <f>+INT(K70/1000)</f>
        <v>0</v>
      </c>
      <c r="O70" s="1505" t="s">
        <v>139</v>
      </c>
      <c r="P70" s="1506"/>
      <c r="Q70" s="246">
        <f>+INT(N70)</f>
        <v>0</v>
      </c>
      <c r="R70" s="1505" t="s">
        <v>139</v>
      </c>
      <c r="S70" s="1506"/>
      <c r="U70" s="240" t="str">
        <f>+IF(E67=0,CONCATENATE("00",U71),IF(E67&lt;10,CONCATENATE(" 0",E67,U71),CONCATENATE(" ",E67,U71)))</f>
        <v xml:space="preserve"> 64/100 BOLIVIANOS</v>
      </c>
    </row>
    <row r="71" spans="4:21" ht="13.5" thickBot="1">
      <c r="D71" s="243"/>
      <c r="E71" s="247">
        <f>+RIGHT(E70)*1</f>
        <v>3</v>
      </c>
      <c r="F71" s="248" t="s">
        <v>141</v>
      </c>
      <c r="G71" s="249" t="str">
        <f ca="1">+IF(AND(E71&gt;0,E71&lt;10),LOOKUP(CELL("contenido",E71),$A$26:$B$35),"")</f>
        <v>TRES</v>
      </c>
      <c r="H71" s="250">
        <f>+RIGHT(H70)*1</f>
        <v>0</v>
      </c>
      <c r="I71" s="251" t="s">
        <v>141</v>
      </c>
      <c r="J71" s="252" t="str">
        <f ca="1">IF(E70&lt;2000,"",IF(CELL("contenido",H71)=1,"UN",IF(AND(H71&gt;0,H71&lt;10),LOOKUP(CELL("contenido",H71),$A$26:$B$35),"")))</f>
        <v/>
      </c>
      <c r="K71" s="253">
        <f>+RIGHT(K70)*1</f>
        <v>0</v>
      </c>
      <c r="L71" s="254" t="s">
        <v>141</v>
      </c>
      <c r="M71" s="255" t="str">
        <f ca="1">+IF(CELL("contenido",K71)=1,"UN",IF(AND(K71&gt;0,K71&lt;10),LOOKUP(CELL("contenido",K71),$A$26:$B$35),""))</f>
        <v/>
      </c>
      <c r="N71" s="256">
        <f>+RIGHT(N70)*1</f>
        <v>0</v>
      </c>
      <c r="O71" s="257" t="s">
        <v>141</v>
      </c>
      <c r="P71" s="258" t="str">
        <f ca="1">+IF(CELL("contenido",N71)=1,"UN",IF(AND(N71&gt;0,N71&lt;10),LOOKUP(CELL("contenido",N71),$A$26:$B$35),""))</f>
        <v/>
      </c>
      <c r="Q71" s="259">
        <f>+RIGHT(Q70)*1</f>
        <v>0</v>
      </c>
      <c r="R71" s="260" t="s">
        <v>141</v>
      </c>
      <c r="S71" s="261" t="str">
        <f ca="1">+IF(CELL("contenido",Q71)=1,"UN",IF(AND(Q71&gt;0,Q71&lt;10),LOOKUP(CELL("contenido",Q71),$A$26:$B$35),""))</f>
        <v/>
      </c>
      <c r="U71" s="262" t="s">
        <v>142</v>
      </c>
    </row>
    <row r="72" spans="4:21" ht="13.5" thickBot="1">
      <c r="D72" s="243"/>
      <c r="E72" s="247">
        <f>+RIGHT(E70,2)*1</f>
        <v>3</v>
      </c>
      <c r="F72" s="248" t="s">
        <v>144</v>
      </c>
      <c r="G72" s="249" t="str">
        <f ca="1">IF(AND(E72&gt;0,E72&lt;30),LOOKUP(CELL("contenido",E72),$A$26:$B$55),"")</f>
        <v>TRES</v>
      </c>
      <c r="H72" s="250">
        <f>+RIGHT(H70,2)*1</f>
        <v>0</v>
      </c>
      <c r="I72" s="251" t="s">
        <v>144</v>
      </c>
      <c r="J72" s="252" t="str">
        <f ca="1">IF(E70&lt;2000,"",IF(CELL("contenido",H72)=1,"UN",IF(AND(H72&gt;0,H72&lt;30),LOOKUP(CELL("contenido",H72),$A$26:$B$55),"")))</f>
        <v/>
      </c>
      <c r="K72" s="253">
        <f>+RIGHT(K70,2)*1</f>
        <v>0</v>
      </c>
      <c r="L72" s="254" t="s">
        <v>144</v>
      </c>
      <c r="M72" s="255" t="str">
        <f ca="1">IF(CELL("contenido",K72)=1,"UN",IF(AND(K72&gt;0,K72&lt;30),LOOKUP(CELL("contenido",K72),$A$26:$B$55),""))</f>
        <v/>
      </c>
      <c r="N72" s="256">
        <f>+RIGHT(N70,2)*1</f>
        <v>0</v>
      </c>
      <c r="O72" s="257" t="s">
        <v>144</v>
      </c>
      <c r="P72" s="258" t="str">
        <f ca="1">IF(CELL("contenido",N72)=1,"UN",IF(AND(N72&gt;0,N72&lt;30),LOOKUP(CELL("contenido",N72),$A$26:$B$55),""))</f>
        <v/>
      </c>
      <c r="Q72" s="259">
        <f>+RIGHT(Q70,2)*1</f>
        <v>0</v>
      </c>
      <c r="R72" s="260" t="s">
        <v>144</v>
      </c>
      <c r="S72" s="261" t="str">
        <f ca="1">IF(CELL("contenido",Q72)=1,"UN",IF(AND(Q72&gt;0,Q72&lt;30),LOOKUP(CELL("contenido",Q72),$A$26:$B$55),""))</f>
        <v/>
      </c>
      <c r="U72" s="240" t="str">
        <f ca="1">+IF(CELL("contenido",G72)&lt;&gt;"",CONCATENATE(G75," ",G74," ",G72," ",U70),IF(CELL("contenido",G71)="",CONCATENATE(G75," ",G74," ",G73," ",U70),CONCATENATE(G75," ",G74," ",G73," Y ",G71," ",U70)))</f>
        <v xml:space="preserve">  TRES  64/100 BOLIVIANOS</v>
      </c>
    </row>
    <row r="73" spans="4:21" ht="13.5" thickBot="1">
      <c r="D73" s="243"/>
      <c r="E73" s="247">
        <f>+RIGHT(E70,2)*1-E71</f>
        <v>0</v>
      </c>
      <c r="F73" s="248" t="s">
        <v>146</v>
      </c>
      <c r="G73" s="249" t="str">
        <f ca="1">+IF(AND(E73&gt;0,E70&gt;=30),LOOKUP(CELL("contenido",E73),$C$26:$D$35),"")</f>
        <v/>
      </c>
      <c r="H73" s="250">
        <f>+RIGHT(H70,2)*1-H71</f>
        <v>0</v>
      </c>
      <c r="I73" s="251" t="s">
        <v>146</v>
      </c>
      <c r="J73" s="252" t="str">
        <f ca="1">+IF(AND(H73&gt;0,H70&gt;=30),LOOKUP(CELL("contenido",H73),$C$26:$D$35),"")</f>
        <v/>
      </c>
      <c r="K73" s="253">
        <f>+RIGHT(K70,2)*1-K71</f>
        <v>0</v>
      </c>
      <c r="L73" s="254" t="s">
        <v>146</v>
      </c>
      <c r="M73" s="255" t="str">
        <f ca="1">+IF(AND(K73&gt;0,K70&gt;=30),LOOKUP(CELL("contenido",K73),$C$26:$D$35),"")</f>
        <v/>
      </c>
      <c r="N73" s="256">
        <f>+RIGHT(N70,2)*1-N71</f>
        <v>0</v>
      </c>
      <c r="O73" s="257" t="s">
        <v>146</v>
      </c>
      <c r="P73" s="258" t="str">
        <f ca="1">+IF(AND(N73&gt;0,K75&gt;=30),LOOKUP(CELL("contenido",N73),$C$26:$D$35),"")</f>
        <v/>
      </c>
      <c r="Q73" s="259">
        <f>+RIGHT(Q70,2)*1-Q71</f>
        <v>0</v>
      </c>
      <c r="R73" s="260" t="s">
        <v>146</v>
      </c>
      <c r="S73" s="261" t="str">
        <f ca="1">+IF(AND(Q73&gt;0,N75&gt;=30),LOOKUP(CELL("contenido",Q73),$C$26:$D$35),"")</f>
        <v/>
      </c>
      <c r="U73" s="240" t="str">
        <f ca="1">+IF(CELL("contenido",J72)&lt;&gt;"",CONCATENATE(J75," ",J74," ",J72," "),IF(CELL("contenido",J71)="",CONCATENATE(J75," ",J74," ",J73," "),CONCATENATE(J75," ",J74," ",J73," Y ",J71," ")))</f>
        <v xml:space="preserve">   </v>
      </c>
    </row>
    <row r="74" spans="4:21" ht="13.5" thickBot="1">
      <c r="D74" s="243"/>
      <c r="E74" s="247">
        <f>+RIGHT(E70,3)*1-E73-E71</f>
        <v>0</v>
      </c>
      <c r="F74" s="248" t="s">
        <v>148</v>
      </c>
      <c r="G74" s="249" t="str">
        <f ca="1">+IF((RIGHT(E70,3)*1)=100,"CIEN",IF(AND(E74&gt;0,E74&lt;1000),LOOKUP(CELL("contenido",E74),$E$26:$F$35),""))</f>
        <v/>
      </c>
      <c r="H74" s="250">
        <f>+RIGHT(H70,3)*1-H73-H71</f>
        <v>0</v>
      </c>
      <c r="I74" s="251" t="s">
        <v>148</v>
      </c>
      <c r="J74" s="252" t="str">
        <f ca="1">+IF(H70=100,"CIEN",IF(AND(H74&gt;0,H74&lt;1000),LOOKUP(CELL("contenido",H74),$E$26:$F$35),""))</f>
        <v/>
      </c>
      <c r="K74" s="253">
        <f>+RIGHT(K70,3)*1-K73-K71</f>
        <v>0</v>
      </c>
      <c r="L74" s="254" t="s">
        <v>148</v>
      </c>
      <c r="M74" s="255" t="str">
        <f ca="1">+IF(K70=100,"CIEN",IF(AND(K74&gt;0,K74&lt;1000),LOOKUP(CELL("contenido",K74),$E$26:$F$35),""))</f>
        <v/>
      </c>
      <c r="N74" s="256">
        <f>+RIGHT(N70,3)*1-N73-N71</f>
        <v>0</v>
      </c>
      <c r="O74" s="257" t="s">
        <v>148</v>
      </c>
      <c r="P74" s="258" t="str">
        <f ca="1">+IF(N70=100,"CIEN",IF(AND(N74&gt;0,N74&lt;1000),LOOKUP(CELL("contenido",N74),$E$26:$F$35),""))</f>
        <v/>
      </c>
      <c r="Q74" s="259">
        <f>+RIGHT(Q70,3)*1-Q73-Q71</f>
        <v>0</v>
      </c>
      <c r="R74" s="260" t="s">
        <v>148</v>
      </c>
      <c r="S74" s="261" t="str">
        <f ca="1">+IF(Q70=100,"CIEN",IF(AND(Q74&gt;0,Q74&lt;1000),LOOKUP(CELL("contenido",Q74),$E$26:$F$35),""))</f>
        <v/>
      </c>
      <c r="U74" s="240" t="str">
        <f ca="1">+IF(CELL("contenido",M72)&lt;&gt;"",CONCATENATE(M75," ",M74," ",M72," "),IF(CELL("contenido",M71)="",CONCATENATE(M75," ",M74," ",M73," "),CONCATENATE(M75," ",M74," ",M73," Y ",M71," ")))</f>
        <v xml:space="preserve">   </v>
      </c>
    </row>
    <row r="75" spans="4:21" ht="13.5" thickBot="1">
      <c r="D75" s="243"/>
      <c r="E75" s="263">
        <f>+RIGHT(E70,4)*1-E74-E73-E71</f>
        <v>0</v>
      </c>
      <c r="F75" s="264" t="s">
        <v>150</v>
      </c>
      <c r="G75" s="265" t="str">
        <f ca="1">+IF(E70&gt;999,"MIL",IF(AND(E75&gt;0,E75&lt;10000),LOOKUP(CELL("contenido",E75),$E$26:$F$35),""))</f>
        <v/>
      </c>
      <c r="H75" s="266">
        <f>INT(E70/1000000)</f>
        <v>0</v>
      </c>
      <c r="I75" s="267" t="s">
        <v>151</v>
      </c>
      <c r="J75" s="268" t="str">
        <f ca="1">+IF(CELL("contenido",M72)=1,"MILLÓN",IF(H75=1,"MILLÓN",IF(H75&gt;1,"MILLONES","")))</f>
        <v/>
      </c>
      <c r="K75" s="269">
        <f>+RIGHT(K70,4)*1-K74-K73-K71</f>
        <v>0</v>
      </c>
      <c r="L75" s="270" t="s">
        <v>152</v>
      </c>
      <c r="M75" s="271" t="str">
        <f ca="1">+IF(AND(K75&gt;0,K75&lt;10000),LOOKUP(CELL("contenido",K75),$E$26:$F$35),"")</f>
        <v/>
      </c>
      <c r="N75" s="272">
        <f>+RIGHT(N70,4)*1-N74-N73-N71</f>
        <v>0</v>
      </c>
      <c r="O75" s="273" t="s">
        <v>153</v>
      </c>
      <c r="P75" s="274" t="str">
        <f>+IF(N75=1,"UN MILLARDO",IF(N70&gt;1,"MILLARDOS",""))</f>
        <v/>
      </c>
      <c r="Q75" s="275">
        <f>+RIGHT(Q70,4)*1-Q74-Q73-Q71</f>
        <v>0</v>
      </c>
      <c r="R75" s="276" t="s">
        <v>153</v>
      </c>
      <c r="S75" s="277" t="str">
        <f>+IF(Q75=1,"UN MILLARDO",IF(Q70&gt;1,"MILLARDOS",""))</f>
        <v/>
      </c>
      <c r="U75" s="240" t="str">
        <f ca="1">+IF(CELL("contenido",P72)&lt;&gt;"",CONCATENATE(P75," ",P74," ",P72," "),IF(CELL("contenido",P71)="",CONCATENATE(P75," ",P74," ",P73," "),CONCATENATE(P75," ",P74," ",P73," Y ",P71," ")))</f>
        <v xml:space="preserve">   </v>
      </c>
    </row>
    <row r="76" spans="4:21" ht="13.5" thickTop="1">
      <c r="D76" s="243"/>
      <c r="E76" s="240"/>
      <c r="F76" s="240"/>
      <c r="G76" s="240"/>
      <c r="H76" s="240"/>
      <c r="I76" s="240"/>
      <c r="J76" s="278"/>
      <c r="K76" s="278"/>
      <c r="L76" s="278"/>
      <c r="M76" s="241"/>
      <c r="N76" s="241"/>
      <c r="O76" s="241"/>
      <c r="P76" s="240"/>
      <c r="Q76" s="241"/>
      <c r="R76" s="241"/>
      <c r="S76" s="240"/>
      <c r="U76" s="240" t="str">
        <f ca="1">+IF(CELL("contenido",S72)&lt;&gt;"",CONCATENATE(S74," ",S72," "),IF(CELL("contenido",S71)="",CONCATENATE(S74," ",S73," "),CONCATENATE(S74," ",S73," Y ",S71," ")))</f>
        <v xml:space="preserve">  </v>
      </c>
    </row>
    <row r="77" spans="4:21">
      <c r="D77" s="240" t="s">
        <v>158</v>
      </c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U77" s="237"/>
    </row>
    <row r="78" spans="4:21">
      <c r="D78" s="243"/>
      <c r="E78" s="244">
        <f>ROUND(100*(A4-INT(A4)),2)</f>
        <v>37</v>
      </c>
      <c r="F78" s="240" t="s">
        <v>132</v>
      </c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</row>
    <row r="79" spans="4:21">
      <c r="D79" s="240"/>
      <c r="E79" s="240">
        <f>+LEN(E81)</f>
        <v>2</v>
      </c>
      <c r="F79" s="240" t="s">
        <v>133</v>
      </c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</row>
    <row r="80" spans="4:21" ht="13.5" thickBot="1">
      <c r="D80" s="243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</row>
    <row r="81" spans="4:21" ht="14.25" thickTop="1" thickBot="1">
      <c r="D81" s="240"/>
      <c r="E81" s="245">
        <f>+A4-E78/100</f>
        <v>30.000000000000004</v>
      </c>
      <c r="F81" s="1505" t="s">
        <v>136</v>
      </c>
      <c r="G81" s="1506"/>
      <c r="H81" s="246">
        <f>+IF(E81&gt;1000,INT(E81/1000),0)</f>
        <v>0</v>
      </c>
      <c r="I81" s="1505" t="s">
        <v>137</v>
      </c>
      <c r="J81" s="1506"/>
      <c r="K81" s="246">
        <f>+INT(H81/1000)</f>
        <v>0</v>
      </c>
      <c r="L81" s="1505" t="s">
        <v>138</v>
      </c>
      <c r="M81" s="1506"/>
      <c r="N81" s="246">
        <f>+INT(K81/1000)</f>
        <v>0</v>
      </c>
      <c r="O81" s="1505" t="s">
        <v>139</v>
      </c>
      <c r="P81" s="1506"/>
      <c r="Q81" s="246">
        <f>+INT(N81)</f>
        <v>0</v>
      </c>
      <c r="R81" s="1505" t="s">
        <v>139</v>
      </c>
      <c r="S81" s="1506"/>
      <c r="U81" s="240" t="str">
        <f>+IF(E78=0,CONCATENATE("00",U82),IF(E78&lt;10,CONCATENATE(" 0",E78,U82),CONCATENATE(" ",E78,U82)))</f>
        <v xml:space="preserve"> 37/100 BOLIVIANOS</v>
      </c>
    </row>
    <row r="82" spans="4:21" ht="13.5" thickBot="1">
      <c r="D82" s="243"/>
      <c r="E82" s="247">
        <f>+RIGHT(E81)*1</f>
        <v>0</v>
      </c>
      <c r="F82" s="248" t="s">
        <v>141</v>
      </c>
      <c r="G82" s="249" t="str">
        <f ca="1">+IF(AND(E82&gt;0,E82&lt;10),LOOKUP(CELL("contenido",E82),$A$26:$B$35),"")</f>
        <v/>
      </c>
      <c r="H82" s="250">
        <f>+RIGHT(H81)*1</f>
        <v>0</v>
      </c>
      <c r="I82" s="251" t="s">
        <v>141</v>
      </c>
      <c r="J82" s="252" t="str">
        <f ca="1">IF(E81&lt;2000,"",IF(CELL("contenido",H82)=1,"UN",IF(AND(H82&gt;0,H82&lt;10),LOOKUP(CELL("contenido",H82),$A$26:$B$35),"")))</f>
        <v/>
      </c>
      <c r="K82" s="253">
        <f>+RIGHT(K81)*1</f>
        <v>0</v>
      </c>
      <c r="L82" s="254" t="s">
        <v>141</v>
      </c>
      <c r="M82" s="255" t="str">
        <f ca="1">+IF(CELL("contenido",K82)=1,"UN",IF(AND(K82&gt;0,K82&lt;10),LOOKUP(CELL("contenido",K82),$A$26:$B$35),""))</f>
        <v/>
      </c>
      <c r="N82" s="256">
        <f>+RIGHT(N81)*1</f>
        <v>0</v>
      </c>
      <c r="O82" s="257" t="s">
        <v>141</v>
      </c>
      <c r="P82" s="258" t="str">
        <f ca="1">+IF(CELL("contenido",N82)=1,"UN",IF(AND(N82&gt;0,N82&lt;10),LOOKUP(CELL("contenido",N82),$A$26:$B$35),""))</f>
        <v/>
      </c>
      <c r="Q82" s="259">
        <f>+RIGHT(Q81)*1</f>
        <v>0</v>
      </c>
      <c r="R82" s="260" t="s">
        <v>141</v>
      </c>
      <c r="S82" s="261" t="str">
        <f ca="1">+IF(CELL("contenido",Q82)=1,"UN",IF(AND(Q82&gt;0,Q82&lt;10),LOOKUP(CELL("contenido",Q82),$A$26:$B$35),""))</f>
        <v/>
      </c>
      <c r="U82" s="262" t="s">
        <v>142</v>
      </c>
    </row>
    <row r="83" spans="4:21" ht="13.5" thickBot="1">
      <c r="D83" s="243"/>
      <c r="E83" s="247">
        <f>+RIGHT(E81,2)*1</f>
        <v>30</v>
      </c>
      <c r="F83" s="248" t="s">
        <v>144</v>
      </c>
      <c r="G83" s="249" t="str">
        <f ca="1">IF(AND(E83&gt;0,E83&lt;30),LOOKUP(CELL("contenido",E83),$A$26:$B$55),"")</f>
        <v/>
      </c>
      <c r="H83" s="250">
        <f>+RIGHT(H81,2)*1</f>
        <v>0</v>
      </c>
      <c r="I83" s="251" t="s">
        <v>144</v>
      </c>
      <c r="J83" s="252" t="str">
        <f ca="1">IF(E81&lt;2000,"",IF(CELL("contenido",H83)=1,"UN",IF(AND(H83&gt;0,H83&lt;30),LOOKUP(CELL("contenido",H83),$A$26:$B$55),"")))</f>
        <v/>
      </c>
      <c r="K83" s="253">
        <f>+RIGHT(K81,2)*1</f>
        <v>0</v>
      </c>
      <c r="L83" s="254" t="s">
        <v>144</v>
      </c>
      <c r="M83" s="255" t="str">
        <f ca="1">IF(CELL("contenido",K83)=1,"UN",IF(AND(K83&gt;0,K83&lt;30),LOOKUP(CELL("contenido",K83),$A$26:$B$55),""))</f>
        <v/>
      </c>
      <c r="N83" s="256">
        <f>+RIGHT(N81,2)*1</f>
        <v>0</v>
      </c>
      <c r="O83" s="257" t="s">
        <v>144</v>
      </c>
      <c r="P83" s="258" t="str">
        <f ca="1">IF(CELL("contenido",N83)=1,"UN",IF(AND(N83&gt;0,N83&lt;30),LOOKUP(CELL("contenido",N83),$A$26:$B$55),""))</f>
        <v/>
      </c>
      <c r="Q83" s="259">
        <f>+RIGHT(Q81,2)*1</f>
        <v>0</v>
      </c>
      <c r="R83" s="260" t="s">
        <v>144</v>
      </c>
      <c r="S83" s="261" t="str">
        <f ca="1">IF(CELL("contenido",Q83)=1,"UN",IF(AND(Q83&gt;0,Q83&lt;30),LOOKUP(CELL("contenido",Q83),$A$26:$B$55),""))</f>
        <v/>
      </c>
      <c r="U83" s="240" t="str">
        <f ca="1">+IF(CELL("contenido",G83)&lt;&gt;"",CONCATENATE(G86," ",G85," ",G83," ",U81),IF(CELL("contenido",G82)="",CONCATENATE(G86," ",G85," ",G84," ",U81),CONCATENATE(G86," ",G85," ",G84," Y ",G82," ",U81)))</f>
        <v xml:space="preserve">  TREINTA  37/100 BOLIVIANOS</v>
      </c>
    </row>
    <row r="84" spans="4:21" ht="13.5" thickBot="1">
      <c r="D84" s="243"/>
      <c r="E84" s="247">
        <f>+RIGHT(E81,2)*1-E82</f>
        <v>30</v>
      </c>
      <c r="F84" s="248" t="s">
        <v>146</v>
      </c>
      <c r="G84" s="249" t="str">
        <f ca="1">+IF(AND(E84&gt;0,E81&gt;=30),LOOKUP(CELL("contenido",E84),$C$26:$D$35),"")</f>
        <v>TREINTA</v>
      </c>
      <c r="H84" s="250">
        <f>+RIGHT(H81,2)*1-H82</f>
        <v>0</v>
      </c>
      <c r="I84" s="251" t="s">
        <v>146</v>
      </c>
      <c r="J84" s="252" t="str">
        <f ca="1">+IF(AND(H84&gt;0,H81&gt;=30),LOOKUP(CELL("contenido",H84),$C$26:$D$35),"")</f>
        <v/>
      </c>
      <c r="K84" s="253">
        <f>+RIGHT(K81,2)*1-K82</f>
        <v>0</v>
      </c>
      <c r="L84" s="254" t="s">
        <v>146</v>
      </c>
      <c r="M84" s="255" t="str">
        <f ca="1">+IF(AND(K84&gt;0,K81&gt;=30),LOOKUP(CELL("contenido",K84),$C$26:$D$35),"")</f>
        <v/>
      </c>
      <c r="N84" s="256">
        <f>+RIGHT(N81,2)*1-N82</f>
        <v>0</v>
      </c>
      <c r="O84" s="257" t="s">
        <v>146</v>
      </c>
      <c r="P84" s="258" t="str">
        <f ca="1">+IF(AND(N84&gt;0,K86&gt;=30),LOOKUP(CELL("contenido",N84),$C$26:$D$35),"")</f>
        <v/>
      </c>
      <c r="Q84" s="259">
        <f>+RIGHT(Q81,2)*1-Q82</f>
        <v>0</v>
      </c>
      <c r="R84" s="260" t="s">
        <v>146</v>
      </c>
      <c r="S84" s="261" t="str">
        <f ca="1">+IF(AND(Q84&gt;0,N86&gt;=30),LOOKUP(CELL("contenido",Q84),$C$26:$D$35),"")</f>
        <v/>
      </c>
      <c r="U84" s="240" t="str">
        <f ca="1">+IF(CELL("contenido",J83)&lt;&gt;"",CONCATENATE(J86," ",J85," ",J83," "),IF(CELL("contenido",J82)="",CONCATENATE(J86," ",J85," ",J84," "),CONCATENATE(J86," ",J85," ",J84," Y ",J82," ")))</f>
        <v xml:space="preserve">   </v>
      </c>
    </row>
    <row r="85" spans="4:21" ht="13.5" thickBot="1">
      <c r="D85" s="243"/>
      <c r="E85" s="247">
        <f>+RIGHT(E81,3)*1-E84-E82</f>
        <v>0</v>
      </c>
      <c r="F85" s="248" t="s">
        <v>148</v>
      </c>
      <c r="G85" s="249" t="str">
        <f ca="1">+IF((RIGHT(E81,3)*1)=100,"CIEN",IF(AND(E85&gt;0,E85&lt;1000),LOOKUP(CELL("contenido",E85),$E$26:$F$35),""))</f>
        <v/>
      </c>
      <c r="H85" s="250">
        <f>+RIGHT(H81,3)*1-H84-H82</f>
        <v>0</v>
      </c>
      <c r="I85" s="251" t="s">
        <v>148</v>
      </c>
      <c r="J85" s="252" t="str">
        <f ca="1">+IF(H81=100,"CIEN",IF(AND(H85&gt;0,H85&lt;1000),LOOKUP(CELL("contenido",H85),$E$26:$F$35),""))</f>
        <v/>
      </c>
      <c r="K85" s="253">
        <f>+RIGHT(K81,3)*1-K84-K82</f>
        <v>0</v>
      </c>
      <c r="L85" s="254" t="s">
        <v>148</v>
      </c>
      <c r="M85" s="255" t="str">
        <f ca="1">+IF(K81=100,"CIEN",IF(AND(K85&gt;0,K85&lt;1000),LOOKUP(CELL("contenido",K85),$E$26:$F$35),""))</f>
        <v/>
      </c>
      <c r="N85" s="256">
        <f>+RIGHT(N81,3)*1-N84-N82</f>
        <v>0</v>
      </c>
      <c r="O85" s="257" t="s">
        <v>148</v>
      </c>
      <c r="P85" s="258" t="str">
        <f ca="1">+IF(N81=100,"CIEN",IF(AND(N85&gt;0,N85&lt;1000),LOOKUP(CELL("contenido",N85),$E$26:$F$35),""))</f>
        <v/>
      </c>
      <c r="Q85" s="259">
        <f>+RIGHT(Q81,3)*1-Q84-Q82</f>
        <v>0</v>
      </c>
      <c r="R85" s="260" t="s">
        <v>148</v>
      </c>
      <c r="S85" s="261" t="str">
        <f ca="1">+IF(Q81=100,"CIEN",IF(AND(Q85&gt;0,Q85&lt;1000),LOOKUP(CELL("contenido",Q85),$E$26:$F$35),""))</f>
        <v/>
      </c>
      <c r="U85" s="240" t="str">
        <f ca="1">+IF(CELL("contenido",M83)&lt;&gt;"",CONCATENATE(M86," ",M85," ",M83," "),IF(CELL("contenido",M82)="",CONCATENATE(M86," ",M85," ",M84," "),CONCATENATE(M86," ",M85," ",M84," Y ",M82," ")))</f>
        <v xml:space="preserve">   </v>
      </c>
    </row>
    <row r="86" spans="4:21" ht="13.5" thickBot="1">
      <c r="D86" s="243"/>
      <c r="E86" s="263">
        <f>+RIGHT(E81,4)*1-E85-E84-E82</f>
        <v>0</v>
      </c>
      <c r="F86" s="264" t="s">
        <v>150</v>
      </c>
      <c r="G86" s="265" t="str">
        <f ca="1">+IF(E81&gt;999,"MIL",IF(AND(E86&gt;0,E86&lt;10000),LOOKUP(CELL("contenido",E86),$E$26:$F$35),""))</f>
        <v/>
      </c>
      <c r="H86" s="266">
        <f>INT(E81/1000000)</f>
        <v>0</v>
      </c>
      <c r="I86" s="267" t="s">
        <v>151</v>
      </c>
      <c r="J86" s="268" t="str">
        <f ca="1">+IF(CELL("contenido",M83)=1,"MILLÓN",IF(H86=1,"MILLÓN",IF(H86&gt;1,"MILLONES","")))</f>
        <v/>
      </c>
      <c r="K86" s="269">
        <f>+RIGHT(K81,4)*1-K85-K84-K82</f>
        <v>0</v>
      </c>
      <c r="L86" s="270" t="s">
        <v>152</v>
      </c>
      <c r="M86" s="271" t="str">
        <f ca="1">+IF(AND(K86&gt;0,K86&lt;10000),LOOKUP(CELL("contenido",K86),$E$26:$F$35),"")</f>
        <v/>
      </c>
      <c r="N86" s="272">
        <f>+RIGHT(N81,4)*1-N85-N84-N82</f>
        <v>0</v>
      </c>
      <c r="O86" s="273" t="s">
        <v>153</v>
      </c>
      <c r="P86" s="274" t="str">
        <f>+IF(N86=1,"UN MILLARDO",IF(N81&gt;1,"MILLARDOS",""))</f>
        <v/>
      </c>
      <c r="Q86" s="275">
        <f>+RIGHT(Q81,4)*1-Q85-Q84-Q82</f>
        <v>0</v>
      </c>
      <c r="R86" s="276" t="s">
        <v>153</v>
      </c>
      <c r="S86" s="277" t="str">
        <f>+IF(Q86=1,"UN MILLARDO",IF(Q81&gt;1,"MILLARDOS",""))</f>
        <v/>
      </c>
      <c r="U86" s="240" t="str">
        <f ca="1">+IF(CELL("contenido",P83)&lt;&gt;"",CONCATENATE(P86," ",P85," ",P83," "),IF(CELL("contenido",P82)="",CONCATENATE(P86," ",P85," ",P84," "),CONCATENATE(P86," ",P85," ",P84," Y ",P82," ")))</f>
        <v xml:space="preserve">   </v>
      </c>
    </row>
    <row r="87" spans="4:21" ht="13.5" thickTop="1">
      <c r="D87" s="243"/>
      <c r="E87" s="240"/>
      <c r="F87" s="240"/>
      <c r="G87" s="240"/>
      <c r="H87" s="240"/>
      <c r="I87" s="240"/>
      <c r="J87" s="278"/>
      <c r="K87" s="278"/>
      <c r="L87" s="278"/>
      <c r="M87" s="241"/>
      <c r="N87" s="241"/>
      <c r="O87" s="241"/>
      <c r="P87" s="240"/>
      <c r="Q87" s="241"/>
      <c r="R87" s="241"/>
      <c r="S87" s="240"/>
      <c r="U87" s="240" t="str">
        <f ca="1">+IF(CELL("contenido",S83)&lt;&gt;"",CONCATENATE(S85," ",S83," "),IF(CELL("contenido",S82)="",CONCATENATE(S85," ",S84," "),CONCATENATE(S85," ",S84," Y ",S82," ")))</f>
        <v xml:space="preserve">  </v>
      </c>
    </row>
    <row r="88" spans="4:21">
      <c r="D88" s="240" t="s">
        <v>159</v>
      </c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40"/>
      <c r="R88" s="240"/>
      <c r="S88" s="240"/>
      <c r="U88" s="237"/>
    </row>
    <row r="89" spans="4:21">
      <c r="D89" s="243"/>
      <c r="E89" s="244">
        <f>ROUND(100*(A5-INT(A5)),2)</f>
        <v>32</v>
      </c>
      <c r="F89" s="240" t="s">
        <v>132</v>
      </c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</row>
    <row r="90" spans="4:21">
      <c r="D90" s="240"/>
      <c r="E90" s="240">
        <f>+LEN(E92)</f>
        <v>1</v>
      </c>
      <c r="F90" s="240" t="s">
        <v>133</v>
      </c>
      <c r="G90" s="240"/>
      <c r="H90" s="240"/>
      <c r="I90" s="240"/>
      <c r="J90" s="240"/>
      <c r="K90" s="240"/>
      <c r="L90" s="240"/>
      <c r="M90" s="240"/>
      <c r="N90" s="240"/>
      <c r="O90" s="240"/>
      <c r="P90" s="240"/>
      <c r="Q90" s="240"/>
      <c r="R90" s="240"/>
      <c r="S90" s="240"/>
    </row>
    <row r="91" spans="4:21" ht="13.5" thickBot="1">
      <c r="D91" s="243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</row>
    <row r="92" spans="4:21" ht="14.25" thickTop="1" thickBot="1">
      <c r="D92" s="240"/>
      <c r="E92" s="245">
        <f>+A5-E89/100</f>
        <v>8</v>
      </c>
      <c r="F92" s="1505" t="s">
        <v>136</v>
      </c>
      <c r="G92" s="1506"/>
      <c r="H92" s="246">
        <f>+IF(E92&gt;1000,INT(E92/1000),0)</f>
        <v>0</v>
      </c>
      <c r="I92" s="1505" t="s">
        <v>137</v>
      </c>
      <c r="J92" s="1506"/>
      <c r="K92" s="246">
        <f>+INT(H92/1000)</f>
        <v>0</v>
      </c>
      <c r="L92" s="1505" t="s">
        <v>138</v>
      </c>
      <c r="M92" s="1506"/>
      <c r="N92" s="246">
        <f>+INT(K92/1000)</f>
        <v>0</v>
      </c>
      <c r="O92" s="1505" t="s">
        <v>139</v>
      </c>
      <c r="P92" s="1506"/>
      <c r="Q92" s="246">
        <f>+INT(N92)</f>
        <v>0</v>
      </c>
      <c r="R92" s="1505" t="s">
        <v>139</v>
      </c>
      <c r="S92" s="1506"/>
      <c r="U92" s="240" t="str">
        <f>+IF(E89=0,CONCATENATE("00",U93),IF(E89&lt;10,CONCATENATE(" 0",E89,U93),CONCATENATE(" ",E89,U93)))</f>
        <v xml:space="preserve"> 32/100 BOLIVIANOS</v>
      </c>
    </row>
    <row r="93" spans="4:21" ht="13.5" thickBot="1">
      <c r="D93" s="243"/>
      <c r="E93" s="247">
        <f>+RIGHT(E92)*1</f>
        <v>8</v>
      </c>
      <c r="F93" s="248" t="s">
        <v>141</v>
      </c>
      <c r="G93" s="249" t="str">
        <f ca="1">+IF(AND(E93&gt;0,E93&lt;10),LOOKUP(CELL("contenido",E93),$A$26:$B$35),"")</f>
        <v>OCHO</v>
      </c>
      <c r="H93" s="250">
        <f>+RIGHT(H92)*1</f>
        <v>0</v>
      </c>
      <c r="I93" s="251" t="s">
        <v>141</v>
      </c>
      <c r="J93" s="252" t="str">
        <f ca="1">IF(E92&lt;2000,"",IF(CELL("contenido",H93)=1,"UN",IF(AND(H93&gt;0,H93&lt;10),LOOKUP(CELL("contenido",H93),$A$26:$B$35),"")))</f>
        <v/>
      </c>
      <c r="K93" s="253">
        <f>+RIGHT(K92)*1</f>
        <v>0</v>
      </c>
      <c r="L93" s="254" t="s">
        <v>141</v>
      </c>
      <c r="M93" s="255" t="str">
        <f ca="1">+IF(CELL("contenido",K93)=1,"UN",IF(AND(K93&gt;0,K93&lt;10),LOOKUP(CELL("contenido",K93),$A$26:$B$35),""))</f>
        <v/>
      </c>
      <c r="N93" s="256">
        <f>+RIGHT(N92)*1</f>
        <v>0</v>
      </c>
      <c r="O93" s="257" t="s">
        <v>141</v>
      </c>
      <c r="P93" s="258" t="str">
        <f ca="1">+IF(CELL("contenido",N93)=1,"UN",IF(AND(N93&gt;0,N93&lt;10),LOOKUP(CELL("contenido",N93),$A$26:$B$35),""))</f>
        <v/>
      </c>
      <c r="Q93" s="259">
        <f>+RIGHT(Q92)*1</f>
        <v>0</v>
      </c>
      <c r="R93" s="260" t="s">
        <v>141</v>
      </c>
      <c r="S93" s="261" t="str">
        <f ca="1">+IF(CELL("contenido",Q93)=1,"UN",IF(AND(Q93&gt;0,Q93&lt;10),LOOKUP(CELL("contenido",Q93),$A$26:$B$35),""))</f>
        <v/>
      </c>
      <c r="U93" s="262" t="s">
        <v>142</v>
      </c>
    </row>
    <row r="94" spans="4:21" ht="13.5" thickBot="1">
      <c r="D94" s="243"/>
      <c r="E94" s="247">
        <f>+RIGHT(E92,2)*1</f>
        <v>8</v>
      </c>
      <c r="F94" s="248" t="s">
        <v>144</v>
      </c>
      <c r="G94" s="249" t="str">
        <f ca="1">IF(AND(E94&gt;0,E94&lt;30),LOOKUP(CELL("contenido",E94),$A$26:$B$55),"")</f>
        <v>OCHO</v>
      </c>
      <c r="H94" s="250">
        <f>+RIGHT(H92,2)*1</f>
        <v>0</v>
      </c>
      <c r="I94" s="251" t="s">
        <v>144</v>
      </c>
      <c r="J94" s="252" t="str">
        <f ca="1">IF(E92&lt;2000,"",IF(CELL("contenido",H94)=1,"UN",IF(AND(H94&gt;0,H94&lt;30),LOOKUP(CELL("contenido",H94),$A$26:$B$55),"")))</f>
        <v/>
      </c>
      <c r="K94" s="253">
        <f>+RIGHT(K92,2)*1</f>
        <v>0</v>
      </c>
      <c r="L94" s="254" t="s">
        <v>144</v>
      </c>
      <c r="M94" s="255" t="str">
        <f ca="1">IF(CELL("contenido",K94)=1,"UN",IF(AND(K94&gt;0,K94&lt;30),LOOKUP(CELL("contenido",K94),$A$26:$B$55),""))</f>
        <v/>
      </c>
      <c r="N94" s="256">
        <f>+RIGHT(N92,2)*1</f>
        <v>0</v>
      </c>
      <c r="O94" s="257" t="s">
        <v>144</v>
      </c>
      <c r="P94" s="258" t="str">
        <f ca="1">IF(CELL("contenido",N94)=1,"UN",IF(AND(N94&gt;0,N94&lt;30),LOOKUP(CELL("contenido",N94),$A$26:$B$55),""))</f>
        <v/>
      </c>
      <c r="Q94" s="259">
        <f>+RIGHT(Q92,2)*1</f>
        <v>0</v>
      </c>
      <c r="R94" s="260" t="s">
        <v>144</v>
      </c>
      <c r="S94" s="261" t="str">
        <f ca="1">IF(CELL("contenido",Q94)=1,"UN",IF(AND(Q94&gt;0,Q94&lt;30),LOOKUP(CELL("contenido",Q94),$A$26:$B$55),""))</f>
        <v/>
      </c>
      <c r="U94" s="240" t="str">
        <f ca="1">+IF(CELL("contenido",G94)&lt;&gt;"",CONCATENATE(G97," ",G96," ",G94," ",U92),IF(CELL("contenido",G93)="",CONCATENATE(G97," ",G96," ",G95," ",U92),CONCATENATE(G97," ",G96," ",G95," Y ",G93," ",U92)))</f>
        <v xml:space="preserve">  OCHO  32/100 BOLIVIANOS</v>
      </c>
    </row>
    <row r="95" spans="4:21" ht="13.5" thickBot="1">
      <c r="D95" s="243"/>
      <c r="E95" s="247">
        <f>+RIGHT(E92,2)*1-E93</f>
        <v>0</v>
      </c>
      <c r="F95" s="248" t="s">
        <v>146</v>
      </c>
      <c r="G95" s="249" t="str">
        <f ca="1">+IF(AND(E95&gt;0,E92&gt;=30),LOOKUP(CELL("contenido",E95),$C$26:$D$35),"")</f>
        <v/>
      </c>
      <c r="H95" s="250">
        <f>+RIGHT(H92,2)*1-H93</f>
        <v>0</v>
      </c>
      <c r="I95" s="251" t="s">
        <v>146</v>
      </c>
      <c r="J95" s="252" t="str">
        <f ca="1">+IF(AND(H95&gt;0,H92&gt;=30),LOOKUP(CELL("contenido",H95),$C$26:$D$35),"")</f>
        <v/>
      </c>
      <c r="K95" s="253">
        <f>+RIGHT(K92,2)*1-K93</f>
        <v>0</v>
      </c>
      <c r="L95" s="254" t="s">
        <v>146</v>
      </c>
      <c r="M95" s="255" t="str">
        <f ca="1">+IF(AND(K95&gt;0,K92&gt;=30),LOOKUP(CELL("contenido",K95),$C$26:$D$35),"")</f>
        <v/>
      </c>
      <c r="N95" s="256">
        <f>+RIGHT(N92,2)*1-N93</f>
        <v>0</v>
      </c>
      <c r="O95" s="257" t="s">
        <v>146</v>
      </c>
      <c r="P95" s="258" t="str">
        <f ca="1">+IF(AND(N95&gt;0,K97&gt;=30),LOOKUP(CELL("contenido",N95),$C$26:$D$35),"")</f>
        <v/>
      </c>
      <c r="Q95" s="259">
        <f>+RIGHT(Q92,2)*1-Q93</f>
        <v>0</v>
      </c>
      <c r="R95" s="260" t="s">
        <v>146</v>
      </c>
      <c r="S95" s="261" t="str">
        <f ca="1">+IF(AND(Q95&gt;0,N97&gt;=30),LOOKUP(CELL("contenido",Q95),$C$26:$D$35),"")</f>
        <v/>
      </c>
      <c r="U95" s="240" t="str">
        <f ca="1">+IF(CELL("contenido",J94)&lt;&gt;"",CONCATENATE(J97," ",J96," ",J94," "),IF(CELL("contenido",J93)="",CONCATENATE(J97," ",J96," ",J95," "),CONCATENATE(J97," ",J96," ",J95," Y ",J93," ")))</f>
        <v xml:space="preserve">   </v>
      </c>
    </row>
    <row r="96" spans="4:21" ht="13.5" thickBot="1">
      <c r="D96" s="243"/>
      <c r="E96" s="247">
        <f>+RIGHT(E92,3)*1-E95-E93</f>
        <v>0</v>
      </c>
      <c r="F96" s="248" t="s">
        <v>148</v>
      </c>
      <c r="G96" s="249" t="str">
        <f ca="1">+IF((RIGHT(E92,3)*1)=100,"CIEN",IF(AND(E96&gt;0,E96&lt;1000),LOOKUP(CELL("contenido",E96),$E$26:$F$35),""))</f>
        <v/>
      </c>
      <c r="H96" s="250">
        <f>+RIGHT(H92,3)*1-H95-H93</f>
        <v>0</v>
      </c>
      <c r="I96" s="251" t="s">
        <v>148</v>
      </c>
      <c r="J96" s="252" t="str">
        <f ca="1">+IF(H92=100,"CIEN",IF(AND(H96&gt;0,H96&lt;1000),LOOKUP(CELL("contenido",H96),$E$26:$F$35),""))</f>
        <v/>
      </c>
      <c r="K96" s="253">
        <f>+RIGHT(K92,3)*1-K95-K93</f>
        <v>0</v>
      </c>
      <c r="L96" s="254" t="s">
        <v>148</v>
      </c>
      <c r="M96" s="255" t="str">
        <f ca="1">+IF(K92=100,"CIEN",IF(AND(K96&gt;0,K96&lt;1000),LOOKUP(CELL("contenido",K96),$E$26:$F$35),""))</f>
        <v/>
      </c>
      <c r="N96" s="256">
        <f>+RIGHT(N92,3)*1-N95-N93</f>
        <v>0</v>
      </c>
      <c r="O96" s="257" t="s">
        <v>148</v>
      </c>
      <c r="P96" s="258" t="str">
        <f ca="1">+IF(N92=100,"CIEN",IF(AND(N96&gt;0,N96&lt;1000),LOOKUP(CELL("contenido",N96),$E$26:$F$35),""))</f>
        <v/>
      </c>
      <c r="Q96" s="259">
        <f>+RIGHT(Q92,3)*1-Q95-Q93</f>
        <v>0</v>
      </c>
      <c r="R96" s="260" t="s">
        <v>148</v>
      </c>
      <c r="S96" s="261" t="str">
        <f ca="1">+IF(Q92=100,"CIEN",IF(AND(Q96&gt;0,Q96&lt;1000),LOOKUP(CELL("contenido",Q96),$E$26:$F$35),""))</f>
        <v/>
      </c>
      <c r="U96" s="240" t="str">
        <f ca="1">+IF(CELL("contenido",M94)&lt;&gt;"",CONCATENATE(M97," ",M96," ",M94," "),IF(CELL("contenido",M93)="",CONCATENATE(M97," ",M96," ",M95," "),CONCATENATE(M97," ",M96," ",M95," Y ",M93," ")))</f>
        <v xml:space="preserve">   </v>
      </c>
    </row>
    <row r="97" spans="4:21" ht="13.5" thickBot="1">
      <c r="D97" s="243"/>
      <c r="E97" s="263">
        <f>+RIGHT(E92,4)*1-E96-E95-E93</f>
        <v>0</v>
      </c>
      <c r="F97" s="264" t="s">
        <v>150</v>
      </c>
      <c r="G97" s="265" t="str">
        <f ca="1">+IF(E92&gt;999,"MIL",IF(AND(E97&gt;0,E97&lt;10000),LOOKUP(CELL("contenido",E97),$E$26:$F$35),""))</f>
        <v/>
      </c>
      <c r="H97" s="266">
        <f>INT(E92/1000000)</f>
        <v>0</v>
      </c>
      <c r="I97" s="267" t="s">
        <v>151</v>
      </c>
      <c r="J97" s="268" t="str">
        <f ca="1">+IF(CELL("contenido",M94)=1,"MILLÓN",IF(H97=1,"MILLÓN",IF(H97&gt;1,"MILLONES","")))</f>
        <v/>
      </c>
      <c r="K97" s="269">
        <f>+RIGHT(K92,4)*1-K96-K95-K93</f>
        <v>0</v>
      </c>
      <c r="L97" s="270" t="s">
        <v>152</v>
      </c>
      <c r="M97" s="271" t="str">
        <f ca="1">+IF(AND(K97&gt;0,K97&lt;10000),LOOKUP(CELL("contenido",K97),$E$26:$F$35),"")</f>
        <v/>
      </c>
      <c r="N97" s="272">
        <f>+RIGHT(N92,4)*1-N96-N95-N93</f>
        <v>0</v>
      </c>
      <c r="O97" s="273" t="s">
        <v>153</v>
      </c>
      <c r="P97" s="274" t="str">
        <f>+IF(N97=1,"UN MILLARDO",IF(N92&gt;1,"MILLARDOS",""))</f>
        <v/>
      </c>
      <c r="Q97" s="275">
        <f>+RIGHT(Q92,4)*1-Q96-Q95-Q93</f>
        <v>0</v>
      </c>
      <c r="R97" s="276" t="s">
        <v>153</v>
      </c>
      <c r="S97" s="277" t="str">
        <f>+IF(Q97=1,"UN MILLARDO",IF(Q92&gt;1,"MILLARDOS",""))</f>
        <v/>
      </c>
      <c r="U97" s="240" t="str">
        <f ca="1">+IF(CELL("contenido",P94)&lt;&gt;"",CONCATENATE(P97," ",P96," ",P94," "),IF(CELL("contenido",P93)="",CONCATENATE(P97," ",P96," ",P95," "),CONCATENATE(P97," ",P96," ",P95," Y ",P93," ")))</f>
        <v xml:space="preserve">   </v>
      </c>
    </row>
    <row r="98" spans="4:21" ht="13.5" thickTop="1">
      <c r="D98" s="243"/>
      <c r="E98" s="240"/>
      <c r="F98" s="240"/>
      <c r="G98" s="240"/>
      <c r="H98" s="240"/>
      <c r="I98" s="240"/>
      <c r="J98" s="278"/>
      <c r="K98" s="278"/>
      <c r="L98" s="278"/>
      <c r="M98" s="241"/>
      <c r="N98" s="241"/>
      <c r="O98" s="241"/>
      <c r="P98" s="240"/>
      <c r="Q98" s="241"/>
      <c r="R98" s="241"/>
      <c r="S98" s="240"/>
      <c r="U98" s="240" t="str">
        <f ca="1">+IF(CELL("contenido",S94)&lt;&gt;"",CONCATENATE(S96," ",S94," "),IF(CELL("contenido",S93)="",CONCATENATE(S96," ",S95," "),CONCATENATE(S96," ",S95," Y ",S93," ")))</f>
        <v xml:space="preserve">  </v>
      </c>
    </row>
    <row r="99" spans="4:21">
      <c r="D99" s="240" t="s">
        <v>160</v>
      </c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U99" s="237"/>
    </row>
    <row r="100" spans="4:21">
      <c r="D100" s="243"/>
      <c r="E100" s="244">
        <f>ROUND(100*(A6-INT(A6)),2)</f>
        <v>55</v>
      </c>
      <c r="F100" s="240" t="s">
        <v>132</v>
      </c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</row>
    <row r="101" spans="4:21">
      <c r="D101" s="240"/>
      <c r="E101" s="240">
        <f>+LEN(E103)</f>
        <v>2</v>
      </c>
      <c r="F101" s="240" t="s">
        <v>133</v>
      </c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</row>
    <row r="102" spans="4:21" ht="13.5" thickBot="1">
      <c r="D102" s="243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</row>
    <row r="103" spans="4:21" ht="14.25" thickTop="1" thickBot="1">
      <c r="D103" s="240"/>
      <c r="E103" s="245">
        <f>+A6-E100/100</f>
        <v>34</v>
      </c>
      <c r="F103" s="1505" t="s">
        <v>136</v>
      </c>
      <c r="G103" s="1506"/>
      <c r="H103" s="246">
        <f>+IF(E103&gt;1000,INT(E103/1000),0)</f>
        <v>0</v>
      </c>
      <c r="I103" s="1505" t="s">
        <v>137</v>
      </c>
      <c r="J103" s="1506"/>
      <c r="K103" s="246">
        <f>+INT(H103/1000)</f>
        <v>0</v>
      </c>
      <c r="L103" s="1505" t="s">
        <v>138</v>
      </c>
      <c r="M103" s="1506"/>
      <c r="N103" s="246">
        <f>+INT(K103/1000)</f>
        <v>0</v>
      </c>
      <c r="O103" s="1505" t="s">
        <v>139</v>
      </c>
      <c r="P103" s="1506"/>
      <c r="Q103" s="246">
        <f>+INT(N103)</f>
        <v>0</v>
      </c>
      <c r="R103" s="1505" t="s">
        <v>139</v>
      </c>
      <c r="S103" s="1506"/>
      <c r="U103" s="240" t="str">
        <f>+IF(E100=0,CONCATENATE("00",U104),IF(E100&lt;10,CONCATENATE(" 0",E100,U104),CONCATENATE(" ",E100,U104)))</f>
        <v xml:space="preserve"> 55/100 BOLIVIANOS</v>
      </c>
    </row>
    <row r="104" spans="4:21" ht="13.5" thickBot="1">
      <c r="D104" s="243"/>
      <c r="E104" s="247">
        <f>+RIGHT(E103)*1</f>
        <v>4</v>
      </c>
      <c r="F104" s="248" t="s">
        <v>141</v>
      </c>
      <c r="G104" s="249" t="str">
        <f ca="1">+IF(AND(E104&gt;0,E104&lt;10),LOOKUP(CELL("contenido",E104),$A$26:$B$35),"")</f>
        <v>CUATRO</v>
      </c>
      <c r="H104" s="250">
        <f>+RIGHT(H103)*1</f>
        <v>0</v>
      </c>
      <c r="I104" s="251" t="s">
        <v>141</v>
      </c>
      <c r="J104" s="252" t="str">
        <f ca="1">IF(E103&lt;2000,"",IF(CELL("contenido",H104)=1,"UN",IF(AND(H104&gt;0,H104&lt;10),LOOKUP(CELL("contenido",H104),$A$26:$B$35),"")))</f>
        <v/>
      </c>
      <c r="K104" s="253">
        <f>+RIGHT(K103)*1</f>
        <v>0</v>
      </c>
      <c r="L104" s="254" t="s">
        <v>141</v>
      </c>
      <c r="M104" s="255" t="str">
        <f ca="1">+IF(CELL("contenido",K104)=1,"UN",IF(AND(K104&gt;0,K104&lt;10),LOOKUP(CELL("contenido",K104),$A$26:$B$35),""))</f>
        <v/>
      </c>
      <c r="N104" s="256">
        <f>+RIGHT(N103)*1</f>
        <v>0</v>
      </c>
      <c r="O104" s="257" t="s">
        <v>141</v>
      </c>
      <c r="P104" s="258" t="str">
        <f ca="1">+IF(CELL("contenido",N104)=1,"UN",IF(AND(N104&gt;0,N104&lt;10),LOOKUP(CELL("contenido",N104),$A$26:$B$35),""))</f>
        <v/>
      </c>
      <c r="Q104" s="259">
        <f>+RIGHT(Q103)*1</f>
        <v>0</v>
      </c>
      <c r="R104" s="260" t="s">
        <v>141</v>
      </c>
      <c r="S104" s="261" t="str">
        <f ca="1">+IF(CELL("contenido",Q104)=1,"UN",IF(AND(Q104&gt;0,Q104&lt;10),LOOKUP(CELL("contenido",Q104),$A$26:$B$35),""))</f>
        <v/>
      </c>
      <c r="U104" s="262" t="s">
        <v>142</v>
      </c>
    </row>
    <row r="105" spans="4:21" ht="13.5" thickBot="1">
      <c r="D105" s="243"/>
      <c r="E105" s="247">
        <f>+RIGHT(E103,2)*1</f>
        <v>34</v>
      </c>
      <c r="F105" s="248" t="s">
        <v>144</v>
      </c>
      <c r="G105" s="249" t="str">
        <f ca="1">IF(AND(E105&gt;0,E105&lt;30),LOOKUP(CELL("contenido",E105),$A$26:$B$55),"")</f>
        <v/>
      </c>
      <c r="H105" s="250">
        <f>+RIGHT(H103,2)*1</f>
        <v>0</v>
      </c>
      <c r="I105" s="251" t="s">
        <v>144</v>
      </c>
      <c r="J105" s="252" t="str">
        <f ca="1">IF(E103&lt;2000,"",IF(CELL("contenido",H105)=1,"UN",IF(AND(H105&gt;0,H105&lt;30),LOOKUP(CELL("contenido",H105),$A$26:$B$55),"")))</f>
        <v/>
      </c>
      <c r="K105" s="253">
        <f>+RIGHT(K103,2)*1</f>
        <v>0</v>
      </c>
      <c r="L105" s="254" t="s">
        <v>144</v>
      </c>
      <c r="M105" s="255" t="str">
        <f ca="1">IF(CELL("contenido",K105)=1,"UN",IF(AND(K105&gt;0,K105&lt;30),LOOKUP(CELL("contenido",K105),$A$26:$B$55),""))</f>
        <v/>
      </c>
      <c r="N105" s="256">
        <f>+RIGHT(N103,2)*1</f>
        <v>0</v>
      </c>
      <c r="O105" s="257" t="s">
        <v>144</v>
      </c>
      <c r="P105" s="258" t="str">
        <f ca="1">IF(CELL("contenido",N105)=1,"UN",IF(AND(N105&gt;0,N105&lt;30),LOOKUP(CELL("contenido",N105),$A$26:$B$55),""))</f>
        <v/>
      </c>
      <c r="Q105" s="259">
        <f>+RIGHT(Q103,2)*1</f>
        <v>0</v>
      </c>
      <c r="R105" s="260" t="s">
        <v>144</v>
      </c>
      <c r="S105" s="261" t="str">
        <f ca="1">IF(CELL("contenido",Q105)=1,"UN",IF(AND(Q105&gt;0,Q105&lt;30),LOOKUP(CELL("contenido",Q105),$A$26:$B$55),""))</f>
        <v/>
      </c>
      <c r="U105" s="240" t="str">
        <f ca="1">+IF(CELL("contenido",G105)&lt;&gt;"",CONCATENATE(G108," ",G107," ",G105," ",U103),IF(CELL("contenido",G104)="",CONCATENATE(G108," ",G107," ",G106," ",U103),CONCATENATE(G108," ",G107," ",G106," Y ",G104," ",U103)))</f>
        <v xml:space="preserve">  TREINTA Y CUATRO  55/100 BOLIVIANOS</v>
      </c>
    </row>
    <row r="106" spans="4:21" ht="13.5" thickBot="1">
      <c r="D106" s="243"/>
      <c r="E106" s="247">
        <f>+RIGHT(E103,2)*1-E104</f>
        <v>30</v>
      </c>
      <c r="F106" s="248" t="s">
        <v>146</v>
      </c>
      <c r="G106" s="249" t="str">
        <f ca="1">+IF(AND(E106&gt;0,E103&gt;=30),LOOKUP(CELL("contenido",E106),$C$26:$D$35),"")</f>
        <v>TREINTA</v>
      </c>
      <c r="H106" s="250">
        <f>+RIGHT(H103,2)*1-H104</f>
        <v>0</v>
      </c>
      <c r="I106" s="251" t="s">
        <v>146</v>
      </c>
      <c r="J106" s="252" t="str">
        <f ca="1">+IF(AND(H106&gt;0,H103&gt;=30),LOOKUP(CELL("contenido",H106),$C$26:$D$35),"")</f>
        <v/>
      </c>
      <c r="K106" s="253">
        <f>+RIGHT(K103,2)*1-K104</f>
        <v>0</v>
      </c>
      <c r="L106" s="254" t="s">
        <v>146</v>
      </c>
      <c r="M106" s="255" t="str">
        <f ca="1">+IF(AND(K106&gt;0,K103&gt;=30),LOOKUP(CELL("contenido",K106),$C$26:$D$35),"")</f>
        <v/>
      </c>
      <c r="N106" s="256">
        <f>+RIGHT(N103,2)*1-N104</f>
        <v>0</v>
      </c>
      <c r="O106" s="257" t="s">
        <v>146</v>
      </c>
      <c r="P106" s="258" t="str">
        <f ca="1">+IF(AND(N106&gt;0,K108&gt;=30),LOOKUP(CELL("contenido",N106),$C$26:$D$35),"")</f>
        <v/>
      </c>
      <c r="Q106" s="259">
        <f>+RIGHT(Q103,2)*1-Q104</f>
        <v>0</v>
      </c>
      <c r="R106" s="260" t="s">
        <v>146</v>
      </c>
      <c r="S106" s="261" t="str">
        <f ca="1">+IF(AND(Q106&gt;0,N108&gt;=30),LOOKUP(CELL("contenido",Q106),$C$26:$D$35),"")</f>
        <v/>
      </c>
      <c r="U106" s="240" t="str">
        <f ca="1">+IF(CELL("contenido",J105)&lt;&gt;"",CONCATENATE(J108," ",J107," ",J105," "),IF(CELL("contenido",J104)="",CONCATENATE(J108," ",J107," ",J106," "),CONCATENATE(J108," ",J107," ",J106," Y ",J104," ")))</f>
        <v xml:space="preserve">   </v>
      </c>
    </row>
    <row r="107" spans="4:21" ht="13.5" thickBot="1">
      <c r="D107" s="243"/>
      <c r="E107" s="247">
        <f>+RIGHT(E103,3)*1-E106-E104</f>
        <v>0</v>
      </c>
      <c r="F107" s="248" t="s">
        <v>148</v>
      </c>
      <c r="G107" s="249" t="str">
        <f ca="1">+IF((RIGHT(E103,3)*1)=100,"CIEN",IF(AND(E107&gt;0,E107&lt;1000),LOOKUP(CELL("contenido",E107),$E$26:$F$35),""))</f>
        <v/>
      </c>
      <c r="H107" s="250">
        <f>+RIGHT(H103,3)*1-H106-H104</f>
        <v>0</v>
      </c>
      <c r="I107" s="251" t="s">
        <v>148</v>
      </c>
      <c r="J107" s="252" t="str">
        <f ca="1">+IF(H103=100,"CIEN",IF(AND(H107&gt;0,H107&lt;1000),LOOKUP(CELL("contenido",H107),$E$26:$F$35),""))</f>
        <v/>
      </c>
      <c r="K107" s="253">
        <f>+RIGHT(K103,3)*1-K106-K104</f>
        <v>0</v>
      </c>
      <c r="L107" s="254" t="s">
        <v>148</v>
      </c>
      <c r="M107" s="255" t="str">
        <f ca="1">+IF(K103=100,"CIEN",IF(AND(K107&gt;0,K107&lt;1000),LOOKUP(CELL("contenido",K107),$E$26:$F$35),""))</f>
        <v/>
      </c>
      <c r="N107" s="256">
        <f>+RIGHT(N103,3)*1-N106-N104</f>
        <v>0</v>
      </c>
      <c r="O107" s="257" t="s">
        <v>148</v>
      </c>
      <c r="P107" s="258" t="str">
        <f ca="1">+IF(N103=100,"CIEN",IF(AND(N107&gt;0,N107&lt;1000),LOOKUP(CELL("contenido",N107),$E$26:$F$35),""))</f>
        <v/>
      </c>
      <c r="Q107" s="259">
        <f>+RIGHT(Q103,3)*1-Q106-Q104</f>
        <v>0</v>
      </c>
      <c r="R107" s="260" t="s">
        <v>148</v>
      </c>
      <c r="S107" s="261" t="str">
        <f ca="1">+IF(Q103=100,"CIEN",IF(AND(Q107&gt;0,Q107&lt;1000),LOOKUP(CELL("contenido",Q107),$E$26:$F$35),""))</f>
        <v/>
      </c>
      <c r="U107" s="240" t="str">
        <f ca="1">+IF(CELL("contenido",M105)&lt;&gt;"",CONCATENATE(M108," ",M107," ",M105," "),IF(CELL("contenido",M104)="",CONCATENATE(M108," ",M107," ",M106," "),CONCATENATE(M108," ",M107," ",M106," Y ",M104," ")))</f>
        <v xml:space="preserve">   </v>
      </c>
    </row>
    <row r="108" spans="4:21" ht="13.5" thickBot="1">
      <c r="D108" s="243"/>
      <c r="E108" s="263">
        <f>+RIGHT(E103,4)*1-E107-E106-E104</f>
        <v>0</v>
      </c>
      <c r="F108" s="264" t="s">
        <v>150</v>
      </c>
      <c r="G108" s="265" t="str">
        <f ca="1">+IF(E103&gt;999,"MIL",IF(AND(E108&gt;0,E108&lt;10000),LOOKUP(CELL("contenido",E108),$E$26:$F$35),""))</f>
        <v/>
      </c>
      <c r="H108" s="266">
        <f>INT(E103/1000000)</f>
        <v>0</v>
      </c>
      <c r="I108" s="267" t="s">
        <v>151</v>
      </c>
      <c r="J108" s="268" t="str">
        <f ca="1">+IF(CELL("contenido",M105)=1,"MILLÓN",IF(H108=1,"MILLÓN",IF(H108&gt;1,"MILLONES","")))</f>
        <v/>
      </c>
      <c r="K108" s="269">
        <f>+RIGHT(K103,4)*1-K107-K106-K104</f>
        <v>0</v>
      </c>
      <c r="L108" s="270" t="s">
        <v>152</v>
      </c>
      <c r="M108" s="271" t="str">
        <f ca="1">+IF(AND(K108&gt;0,K108&lt;10000),LOOKUP(CELL("contenido",K108),$E$26:$F$35),"")</f>
        <v/>
      </c>
      <c r="N108" s="272">
        <f>+RIGHT(N103,4)*1-N107-N106-N104</f>
        <v>0</v>
      </c>
      <c r="O108" s="273" t="s">
        <v>153</v>
      </c>
      <c r="P108" s="274" t="str">
        <f>+IF(N108=1,"UN MILLARDO",IF(N103&gt;1,"MILLARDOS",""))</f>
        <v/>
      </c>
      <c r="Q108" s="275">
        <f>+RIGHT(Q103,4)*1-Q107-Q106-Q104</f>
        <v>0</v>
      </c>
      <c r="R108" s="276" t="s">
        <v>153</v>
      </c>
      <c r="S108" s="277" t="str">
        <f>+IF(Q108=1,"UN MILLARDO",IF(Q103&gt;1,"MILLARDOS",""))</f>
        <v/>
      </c>
      <c r="U108" s="240" t="str">
        <f ca="1">+IF(CELL("contenido",P105)&lt;&gt;"",CONCATENATE(P108," ",P107," ",P105," "),IF(CELL("contenido",P104)="",CONCATENATE(P108," ",P107," ",P106," "),CONCATENATE(P108," ",P107," ",P106," Y ",P104," ")))</f>
        <v xml:space="preserve">   </v>
      </c>
    </row>
    <row r="109" spans="4:21" ht="13.5" thickTop="1">
      <c r="D109" s="243"/>
      <c r="E109" s="240"/>
      <c r="F109" s="240"/>
      <c r="G109" s="240"/>
      <c r="H109" s="240"/>
      <c r="I109" s="240"/>
      <c r="J109" s="278"/>
      <c r="K109" s="278"/>
      <c r="L109" s="278"/>
      <c r="M109" s="241"/>
      <c r="N109" s="241"/>
      <c r="O109" s="241"/>
      <c r="P109" s="240"/>
      <c r="Q109" s="241"/>
      <c r="R109" s="241"/>
      <c r="S109" s="240"/>
      <c r="U109" s="240" t="str">
        <f ca="1">+IF(CELL("contenido",S105)&lt;&gt;"",CONCATENATE(S107," ",S105," "),IF(CELL("contenido",S104)="",CONCATENATE(S107," ",S106," "),CONCATENATE(S107," ",S106," Y ",S104," ")))</f>
        <v xml:space="preserve">  </v>
      </c>
    </row>
    <row r="110" spans="4:21">
      <c r="D110" s="240" t="s">
        <v>161</v>
      </c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U110" s="237"/>
    </row>
    <row r="111" spans="4:21">
      <c r="D111" s="243"/>
      <c r="E111" s="244">
        <f>ROUND(100*(A7-INT(A7)),2)</f>
        <v>43</v>
      </c>
      <c r="F111" s="240" t="s">
        <v>132</v>
      </c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</row>
    <row r="112" spans="4:21">
      <c r="D112" s="240"/>
      <c r="E112" s="240">
        <f>+LEN(E114)</f>
        <v>2</v>
      </c>
      <c r="F112" s="240" t="s">
        <v>133</v>
      </c>
      <c r="G112" s="240"/>
      <c r="H112" s="240"/>
      <c r="I112" s="240"/>
      <c r="J112" s="240"/>
      <c r="K112" s="240"/>
      <c r="L112" s="240"/>
      <c r="M112" s="240"/>
      <c r="N112" s="240"/>
      <c r="O112" s="240"/>
      <c r="P112" s="240"/>
      <c r="Q112" s="240"/>
      <c r="R112" s="240"/>
      <c r="S112" s="240"/>
    </row>
    <row r="113" spans="4:21" ht="13.5" thickBot="1">
      <c r="D113" s="243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</row>
    <row r="114" spans="4:21" ht="14.25" thickTop="1" thickBot="1">
      <c r="D114" s="240"/>
      <c r="E114" s="245">
        <f>+A7-E111/100</f>
        <v>89</v>
      </c>
      <c r="F114" s="1505" t="s">
        <v>136</v>
      </c>
      <c r="G114" s="1506"/>
      <c r="H114" s="246">
        <f>+IF(E114&gt;1000,INT(E114/1000),0)</f>
        <v>0</v>
      </c>
      <c r="I114" s="1505" t="s">
        <v>137</v>
      </c>
      <c r="J114" s="1506"/>
      <c r="K114" s="246">
        <f>+INT(H114/1000)</f>
        <v>0</v>
      </c>
      <c r="L114" s="1505" t="s">
        <v>138</v>
      </c>
      <c r="M114" s="1506"/>
      <c r="N114" s="246">
        <f>+INT(K114/1000)</f>
        <v>0</v>
      </c>
      <c r="O114" s="1505" t="s">
        <v>139</v>
      </c>
      <c r="P114" s="1506"/>
      <c r="Q114" s="246">
        <f>+INT(N114)</f>
        <v>0</v>
      </c>
      <c r="R114" s="1505" t="s">
        <v>139</v>
      </c>
      <c r="S114" s="1506"/>
      <c r="U114" s="240" t="str">
        <f>+IF(E111=0,CONCATENATE("00",U115),IF(E111&lt;10,CONCATENATE(" 0",E111,U115),CONCATENATE(" ",E111,U115)))</f>
        <v xml:space="preserve"> 43/100 BOLIVIANOS</v>
      </c>
    </row>
    <row r="115" spans="4:21" ht="13.5" thickBot="1">
      <c r="D115" s="243"/>
      <c r="E115" s="247">
        <f>+RIGHT(E114)*1</f>
        <v>9</v>
      </c>
      <c r="F115" s="248" t="s">
        <v>141</v>
      </c>
      <c r="G115" s="249" t="str">
        <f ca="1">+IF(AND(E115&gt;0,E115&lt;10),LOOKUP(CELL("contenido",E115),$A$26:$B$35),"")</f>
        <v>NUEVE</v>
      </c>
      <c r="H115" s="250">
        <f>+RIGHT(H114)*1</f>
        <v>0</v>
      </c>
      <c r="I115" s="251" t="s">
        <v>141</v>
      </c>
      <c r="J115" s="252" t="str">
        <f ca="1">IF(E114&lt;2000,"",IF(CELL("contenido",H115)=1,"UN",IF(AND(H115&gt;0,H115&lt;10),LOOKUP(CELL("contenido",H115),$A$26:$B$35),"")))</f>
        <v/>
      </c>
      <c r="K115" s="253">
        <f>+RIGHT(K114)*1</f>
        <v>0</v>
      </c>
      <c r="L115" s="254" t="s">
        <v>141</v>
      </c>
      <c r="M115" s="255" t="str">
        <f ca="1">+IF(CELL("contenido",K115)=1,"UN",IF(AND(K115&gt;0,K115&lt;10),LOOKUP(CELL("contenido",K115),$A$26:$B$35),""))</f>
        <v/>
      </c>
      <c r="N115" s="256">
        <f>+RIGHT(N114)*1</f>
        <v>0</v>
      </c>
      <c r="O115" s="257" t="s">
        <v>141</v>
      </c>
      <c r="P115" s="258" t="str">
        <f ca="1">+IF(CELL("contenido",N115)=1,"UN",IF(AND(N115&gt;0,N115&lt;10),LOOKUP(CELL("contenido",N115),$A$26:$B$35),""))</f>
        <v/>
      </c>
      <c r="Q115" s="259">
        <f>+RIGHT(Q114)*1</f>
        <v>0</v>
      </c>
      <c r="R115" s="260" t="s">
        <v>141</v>
      </c>
      <c r="S115" s="261" t="str">
        <f ca="1">+IF(CELL("contenido",Q115)=1,"UN",IF(AND(Q115&gt;0,Q115&lt;10),LOOKUP(CELL("contenido",Q115),$A$26:$B$35),""))</f>
        <v/>
      </c>
      <c r="U115" s="262" t="s">
        <v>142</v>
      </c>
    </row>
    <row r="116" spans="4:21" ht="13.5" thickBot="1">
      <c r="D116" s="243"/>
      <c r="E116" s="247">
        <f>+RIGHT(E114,2)*1</f>
        <v>89</v>
      </c>
      <c r="F116" s="248" t="s">
        <v>144</v>
      </c>
      <c r="G116" s="249" t="str">
        <f ca="1">IF(AND(E116&gt;0,E116&lt;30),LOOKUP(CELL("contenido",E116),$A$26:$B$55),"")</f>
        <v/>
      </c>
      <c r="H116" s="250">
        <f>+RIGHT(H114,2)*1</f>
        <v>0</v>
      </c>
      <c r="I116" s="251" t="s">
        <v>144</v>
      </c>
      <c r="J116" s="252" t="str">
        <f ca="1">IF(E114&lt;2000,"",IF(CELL("contenido",H116)=1,"UN",IF(AND(H116&gt;0,H116&lt;30),LOOKUP(CELL("contenido",H116),$A$26:$B$55),"")))</f>
        <v/>
      </c>
      <c r="K116" s="253">
        <f>+RIGHT(K114,2)*1</f>
        <v>0</v>
      </c>
      <c r="L116" s="254" t="s">
        <v>144</v>
      </c>
      <c r="M116" s="255" t="str">
        <f ca="1">IF(CELL("contenido",K116)=1,"UN",IF(AND(K116&gt;0,K116&lt;30),LOOKUP(CELL("contenido",K116),$A$26:$B$55),""))</f>
        <v/>
      </c>
      <c r="N116" s="256">
        <f>+RIGHT(N114,2)*1</f>
        <v>0</v>
      </c>
      <c r="O116" s="257" t="s">
        <v>144</v>
      </c>
      <c r="P116" s="258" t="str">
        <f ca="1">IF(CELL("contenido",N116)=1,"UN",IF(AND(N116&gt;0,N116&lt;30),LOOKUP(CELL("contenido",N116),$A$26:$B$55),""))</f>
        <v/>
      </c>
      <c r="Q116" s="259">
        <f>+RIGHT(Q114,2)*1</f>
        <v>0</v>
      </c>
      <c r="R116" s="260" t="s">
        <v>144</v>
      </c>
      <c r="S116" s="261" t="str">
        <f ca="1">IF(CELL("contenido",Q116)=1,"UN",IF(AND(Q116&gt;0,Q116&lt;30),LOOKUP(CELL("contenido",Q116),$A$26:$B$55),""))</f>
        <v/>
      </c>
      <c r="U116" s="240" t="str">
        <f ca="1">+IF(CELL("contenido",G116)&lt;&gt;"",CONCATENATE(G119," ",G118," ",G116," ",U114),IF(CELL("contenido",G115)="",CONCATENATE(G119," ",G118," ",G117," ",U114),CONCATENATE(G119," ",G118," ",G117," Y ",G115," ",U114)))</f>
        <v xml:space="preserve">  OCHENTA Y NUEVE  43/100 BOLIVIANOS</v>
      </c>
    </row>
    <row r="117" spans="4:21" ht="13.5" thickBot="1">
      <c r="D117" s="243"/>
      <c r="E117" s="247">
        <f>+RIGHT(E114,2)*1-E115</f>
        <v>80</v>
      </c>
      <c r="F117" s="248" t="s">
        <v>146</v>
      </c>
      <c r="G117" s="249" t="str">
        <f ca="1">+IF(AND(E117&gt;0,E114&gt;=30),LOOKUP(CELL("contenido",E117),$C$26:$D$35),"")</f>
        <v>OCHENTA</v>
      </c>
      <c r="H117" s="250">
        <f>+RIGHT(H114,2)*1-H115</f>
        <v>0</v>
      </c>
      <c r="I117" s="251" t="s">
        <v>146</v>
      </c>
      <c r="J117" s="252" t="str">
        <f ca="1">+IF(AND(H117&gt;0,H114&gt;=30),LOOKUP(CELL("contenido",H117),$C$26:$D$35),"")</f>
        <v/>
      </c>
      <c r="K117" s="253">
        <f>+RIGHT(K114,2)*1-K115</f>
        <v>0</v>
      </c>
      <c r="L117" s="254" t="s">
        <v>146</v>
      </c>
      <c r="M117" s="255" t="str">
        <f ca="1">+IF(AND(K117&gt;0,K114&gt;=30),LOOKUP(CELL("contenido",K117),$C$26:$D$35),"")</f>
        <v/>
      </c>
      <c r="N117" s="256">
        <f>+RIGHT(N114,2)*1-N115</f>
        <v>0</v>
      </c>
      <c r="O117" s="257" t="s">
        <v>146</v>
      </c>
      <c r="P117" s="258" t="str">
        <f ca="1">+IF(AND(N117&gt;0,K119&gt;=30),LOOKUP(CELL("contenido",N117),$C$26:$D$35),"")</f>
        <v/>
      </c>
      <c r="Q117" s="259">
        <f>+RIGHT(Q114,2)*1-Q115</f>
        <v>0</v>
      </c>
      <c r="R117" s="260" t="s">
        <v>146</v>
      </c>
      <c r="S117" s="261" t="str">
        <f ca="1">+IF(AND(Q117&gt;0,N119&gt;=30),LOOKUP(CELL("contenido",Q117),$C$26:$D$35),"")</f>
        <v/>
      </c>
      <c r="U117" s="240" t="str">
        <f ca="1">+IF(CELL("contenido",J116)&lt;&gt;"",CONCATENATE(J119," ",J118," ",J116," "),IF(CELL("contenido",J115)="",CONCATENATE(J119," ",J118," ",J117," "),CONCATENATE(J119," ",J118," ",J117," Y ",J115," ")))</f>
        <v xml:space="preserve">   </v>
      </c>
    </row>
    <row r="118" spans="4:21" ht="13.5" thickBot="1">
      <c r="D118" s="243"/>
      <c r="E118" s="247">
        <f>+RIGHT(E114,3)*1-E117-E115</f>
        <v>0</v>
      </c>
      <c r="F118" s="248" t="s">
        <v>148</v>
      </c>
      <c r="G118" s="249" t="str">
        <f ca="1">+IF((RIGHT(E114,3)*1)=100,"CIEN",IF(AND(E118&gt;0,E118&lt;1000),LOOKUP(CELL("contenido",E118),$E$26:$F$35),""))</f>
        <v/>
      </c>
      <c r="H118" s="250">
        <f>+RIGHT(H114,3)*1-H117-H115</f>
        <v>0</v>
      </c>
      <c r="I118" s="251" t="s">
        <v>148</v>
      </c>
      <c r="J118" s="252" t="str">
        <f ca="1">+IF(H114=100,"CIEN",IF(AND(H118&gt;0,H118&lt;1000),LOOKUP(CELL("contenido",H118),$E$26:$F$35),""))</f>
        <v/>
      </c>
      <c r="K118" s="253">
        <f>+RIGHT(K114,3)*1-K117-K115</f>
        <v>0</v>
      </c>
      <c r="L118" s="254" t="s">
        <v>148</v>
      </c>
      <c r="M118" s="255" t="str">
        <f ca="1">+IF(K114=100,"CIEN",IF(AND(K118&gt;0,K118&lt;1000),LOOKUP(CELL("contenido",K118),$E$26:$F$35),""))</f>
        <v/>
      </c>
      <c r="N118" s="256">
        <f>+RIGHT(N114,3)*1-N117-N115</f>
        <v>0</v>
      </c>
      <c r="O118" s="257" t="s">
        <v>148</v>
      </c>
      <c r="P118" s="258" t="str">
        <f ca="1">+IF(N114=100,"CIEN",IF(AND(N118&gt;0,N118&lt;1000),LOOKUP(CELL("contenido",N118),$E$26:$F$35),""))</f>
        <v/>
      </c>
      <c r="Q118" s="259">
        <f>+RIGHT(Q114,3)*1-Q117-Q115</f>
        <v>0</v>
      </c>
      <c r="R118" s="260" t="s">
        <v>148</v>
      </c>
      <c r="S118" s="261" t="str">
        <f ca="1">+IF(Q114=100,"CIEN",IF(AND(Q118&gt;0,Q118&lt;1000),LOOKUP(CELL("contenido",Q118),$E$26:$F$35),""))</f>
        <v/>
      </c>
      <c r="U118" s="240" t="str">
        <f ca="1">+IF(CELL("contenido",M116)&lt;&gt;"",CONCATENATE(M119," ",M118," ",M116," "),IF(CELL("contenido",M115)="",CONCATENATE(M119," ",M118," ",M117," "),CONCATENATE(M119," ",M118," ",M117," Y ",M115," ")))</f>
        <v xml:space="preserve">   </v>
      </c>
    </row>
    <row r="119" spans="4:21" ht="13.5" thickBot="1">
      <c r="D119" s="243"/>
      <c r="E119" s="263">
        <f>+RIGHT(E114,4)*1-E118-E117-E115</f>
        <v>0</v>
      </c>
      <c r="F119" s="264" t="s">
        <v>150</v>
      </c>
      <c r="G119" s="265" t="str">
        <f ca="1">+IF(E114&gt;999,"MIL",IF(AND(E119&gt;0,E119&lt;10000),LOOKUP(CELL("contenido",E119),$E$26:$F$35),""))</f>
        <v/>
      </c>
      <c r="H119" s="266">
        <f>INT(E114/1000000)</f>
        <v>0</v>
      </c>
      <c r="I119" s="267" t="s">
        <v>151</v>
      </c>
      <c r="J119" s="268" t="str">
        <f ca="1">+IF(CELL("contenido",M116)=1,"MILLÓN",IF(H119=1,"MILLÓN",IF(H119&gt;1,"MILLONES","")))</f>
        <v/>
      </c>
      <c r="K119" s="269">
        <f>+RIGHT(K114,4)*1-K118-K117-K115</f>
        <v>0</v>
      </c>
      <c r="L119" s="270" t="s">
        <v>152</v>
      </c>
      <c r="M119" s="271" t="str">
        <f ca="1">+IF(AND(K119&gt;0,K119&lt;10000),LOOKUP(CELL("contenido",K119),$E$26:$F$35),"")</f>
        <v/>
      </c>
      <c r="N119" s="272">
        <f>+RIGHT(N114,4)*1-N118-N117-N115</f>
        <v>0</v>
      </c>
      <c r="O119" s="273" t="s">
        <v>153</v>
      </c>
      <c r="P119" s="274" t="str">
        <f>+IF(N119=1,"UN MILLARDO",IF(N114&gt;1,"MILLARDOS",""))</f>
        <v/>
      </c>
      <c r="Q119" s="275">
        <f>+RIGHT(Q114,4)*1-Q118-Q117-Q115</f>
        <v>0</v>
      </c>
      <c r="R119" s="276" t="s">
        <v>153</v>
      </c>
      <c r="S119" s="277" t="str">
        <f>+IF(Q119=1,"UN MILLARDO",IF(Q114&gt;1,"MILLARDOS",""))</f>
        <v/>
      </c>
      <c r="U119" s="240" t="str">
        <f ca="1">+IF(CELL("contenido",P116)&lt;&gt;"",CONCATENATE(P119," ",P118," ",P116," "),IF(CELL("contenido",P115)="",CONCATENATE(P119," ",P118," ",P117," "),CONCATENATE(P119," ",P118," ",P117," Y ",P115," ")))</f>
        <v xml:space="preserve">   </v>
      </c>
    </row>
    <row r="120" spans="4:21" ht="13.5" thickTop="1">
      <c r="D120" s="243"/>
      <c r="E120" s="240"/>
      <c r="F120" s="240"/>
      <c r="G120" s="240"/>
      <c r="H120" s="240"/>
      <c r="I120" s="240"/>
      <c r="J120" s="278"/>
      <c r="K120" s="278"/>
      <c r="L120" s="278"/>
      <c r="M120" s="241"/>
      <c r="N120" s="241"/>
      <c r="O120" s="241"/>
      <c r="P120" s="240"/>
      <c r="Q120" s="241"/>
      <c r="R120" s="241"/>
      <c r="S120" s="240"/>
      <c r="U120" s="240" t="str">
        <f ca="1">+IF(CELL("contenido",S116)&lt;&gt;"",CONCATENATE(S118," ",S116," "),IF(CELL("contenido",S115)="",CONCATENATE(S118," ",S117," "),CONCATENATE(S118," ",S117," Y ",S115," ")))</f>
        <v xml:space="preserve">  </v>
      </c>
    </row>
    <row r="121" spans="4:21">
      <c r="D121" s="240" t="s">
        <v>162</v>
      </c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U121" s="237"/>
    </row>
    <row r="122" spans="4:21">
      <c r="D122" s="243"/>
      <c r="E122" s="244">
        <f>ROUND(100*(A8-INT(A8)),2)</f>
        <v>23</v>
      </c>
      <c r="F122" s="240" t="s">
        <v>132</v>
      </c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</row>
    <row r="123" spans="4:21">
      <c r="D123" s="240"/>
      <c r="E123" s="240">
        <f>+LEN(E125)</f>
        <v>3</v>
      </c>
      <c r="F123" s="240" t="s">
        <v>133</v>
      </c>
      <c r="G123" s="240"/>
      <c r="H123" s="240"/>
      <c r="I123" s="240"/>
      <c r="J123" s="240"/>
      <c r="K123" s="240"/>
      <c r="L123" s="240"/>
      <c r="M123" s="240"/>
      <c r="N123" s="240"/>
      <c r="O123" s="240"/>
      <c r="P123" s="240"/>
      <c r="Q123" s="240"/>
      <c r="R123" s="240"/>
      <c r="S123" s="240"/>
    </row>
    <row r="124" spans="4:21" ht="13.5" thickBot="1">
      <c r="D124" s="243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</row>
    <row r="125" spans="4:21" ht="14.25" thickTop="1" thickBot="1">
      <c r="D125" s="240"/>
      <c r="E125" s="245">
        <f>+A8-E122/100</f>
        <v>108.99999999999997</v>
      </c>
      <c r="F125" s="1505" t="s">
        <v>136</v>
      </c>
      <c r="G125" s="1506"/>
      <c r="H125" s="246">
        <f>+IF(E125&gt;1000,INT(E125/1000),0)</f>
        <v>0</v>
      </c>
      <c r="I125" s="1505" t="s">
        <v>137</v>
      </c>
      <c r="J125" s="1506"/>
      <c r="K125" s="246">
        <f>+INT(H125/1000)</f>
        <v>0</v>
      </c>
      <c r="L125" s="1505" t="s">
        <v>138</v>
      </c>
      <c r="M125" s="1506"/>
      <c r="N125" s="246">
        <f>+INT(K125/1000)</f>
        <v>0</v>
      </c>
      <c r="O125" s="1505" t="s">
        <v>139</v>
      </c>
      <c r="P125" s="1506"/>
      <c r="Q125" s="246">
        <f>+INT(N125)</f>
        <v>0</v>
      </c>
      <c r="R125" s="1505" t="s">
        <v>139</v>
      </c>
      <c r="S125" s="1506"/>
      <c r="U125" s="240" t="str">
        <f>+IF(E122=0,CONCATENATE("00",U126),IF(E122&lt;10,CONCATENATE(" 0",E122,U126),CONCATENATE(" ",E122,U126)))</f>
        <v xml:space="preserve"> 23/100 BOLIVIANOS</v>
      </c>
    </row>
    <row r="126" spans="4:21" ht="13.5" thickBot="1">
      <c r="D126" s="243"/>
      <c r="E126" s="247">
        <f>+RIGHT(E125)*1</f>
        <v>9</v>
      </c>
      <c r="F126" s="248" t="s">
        <v>141</v>
      </c>
      <c r="G126" s="249" t="str">
        <f ca="1">+IF(AND(E126&gt;0,E126&lt;10),LOOKUP(CELL("contenido",E126),$A$26:$B$35),"")</f>
        <v>NUEVE</v>
      </c>
      <c r="H126" s="250">
        <f>+RIGHT(H125)*1</f>
        <v>0</v>
      </c>
      <c r="I126" s="251" t="s">
        <v>141</v>
      </c>
      <c r="J126" s="252" t="str">
        <f ca="1">IF(E125&lt;2000,"",IF(CELL("contenido",H126)=1,"UN",IF(AND(H126&gt;0,H126&lt;10),LOOKUP(CELL("contenido",H126),$A$26:$B$35),"")))</f>
        <v/>
      </c>
      <c r="K126" s="253">
        <f>+RIGHT(K125)*1</f>
        <v>0</v>
      </c>
      <c r="L126" s="254" t="s">
        <v>141</v>
      </c>
      <c r="M126" s="255" t="str">
        <f ca="1">+IF(CELL("contenido",K126)=1,"UN",IF(AND(K126&gt;0,K126&lt;10),LOOKUP(CELL("contenido",K126),$A$26:$B$35),""))</f>
        <v/>
      </c>
      <c r="N126" s="256">
        <f>+RIGHT(N125)*1</f>
        <v>0</v>
      </c>
      <c r="O126" s="257" t="s">
        <v>141</v>
      </c>
      <c r="P126" s="258" t="str">
        <f ca="1">+IF(CELL("contenido",N126)=1,"UN",IF(AND(N126&gt;0,N126&lt;10),LOOKUP(CELL("contenido",N126),$A$26:$B$35),""))</f>
        <v/>
      </c>
      <c r="Q126" s="259">
        <f>+RIGHT(Q125)*1</f>
        <v>0</v>
      </c>
      <c r="R126" s="260" t="s">
        <v>141</v>
      </c>
      <c r="S126" s="261" t="str">
        <f ca="1">+IF(CELL("contenido",Q126)=1,"UN",IF(AND(Q126&gt;0,Q126&lt;10),LOOKUP(CELL("contenido",Q126),$A$26:$B$35),""))</f>
        <v/>
      </c>
      <c r="U126" s="262" t="s">
        <v>142</v>
      </c>
    </row>
    <row r="127" spans="4:21" ht="13.5" thickBot="1">
      <c r="D127" s="243"/>
      <c r="E127" s="247">
        <f>+RIGHT(E125,2)*1</f>
        <v>9</v>
      </c>
      <c r="F127" s="248" t="s">
        <v>144</v>
      </c>
      <c r="G127" s="249" t="str">
        <f ca="1">IF(AND(E127&gt;0,E127&lt;30),LOOKUP(CELL("contenido",E127),$A$26:$B$55),"")</f>
        <v>NUEVE</v>
      </c>
      <c r="H127" s="250">
        <f>+RIGHT(H125,2)*1</f>
        <v>0</v>
      </c>
      <c r="I127" s="251" t="s">
        <v>144</v>
      </c>
      <c r="J127" s="252" t="str">
        <f ca="1">IF(E125&lt;2000,"",IF(CELL("contenido",H127)=1,"UN",IF(AND(H127&gt;0,H127&lt;30),LOOKUP(CELL("contenido",H127),$A$26:$B$55),"")))</f>
        <v/>
      </c>
      <c r="K127" s="253">
        <f>+RIGHT(K125,2)*1</f>
        <v>0</v>
      </c>
      <c r="L127" s="254" t="s">
        <v>144</v>
      </c>
      <c r="M127" s="255" t="str">
        <f ca="1">IF(CELL("contenido",K127)=1,"UN",IF(AND(K127&gt;0,K127&lt;30),LOOKUP(CELL("contenido",K127),$A$26:$B$55),""))</f>
        <v/>
      </c>
      <c r="N127" s="256">
        <f>+RIGHT(N125,2)*1</f>
        <v>0</v>
      </c>
      <c r="O127" s="257" t="s">
        <v>144</v>
      </c>
      <c r="P127" s="258" t="str">
        <f ca="1">IF(CELL("contenido",N127)=1,"UN",IF(AND(N127&gt;0,N127&lt;30),LOOKUP(CELL("contenido",N127),$A$26:$B$55),""))</f>
        <v/>
      </c>
      <c r="Q127" s="259">
        <f>+RIGHT(Q125,2)*1</f>
        <v>0</v>
      </c>
      <c r="R127" s="260" t="s">
        <v>144</v>
      </c>
      <c r="S127" s="261" t="str">
        <f ca="1">IF(CELL("contenido",Q127)=1,"UN",IF(AND(Q127&gt;0,Q127&lt;30),LOOKUP(CELL("contenido",Q127),$A$26:$B$55),""))</f>
        <v/>
      </c>
      <c r="U127" s="240" t="str">
        <f ca="1">+IF(CELL("contenido",G127)&lt;&gt;"",CONCATENATE(G130," ",G129," ",G127," ",U125),IF(CELL("contenido",G126)="",CONCATENATE(G130," ",G129," ",G128," ",U125),CONCATENATE(G130," ",G129," ",G128," Y ",G126," ",U125)))</f>
        <v xml:space="preserve"> CIENTO NUEVE  23/100 BOLIVIANOS</v>
      </c>
    </row>
    <row r="128" spans="4:21" ht="13.5" thickBot="1">
      <c r="D128" s="243"/>
      <c r="E128" s="247">
        <f>+RIGHT(E125,2)*1-E126</f>
        <v>0</v>
      </c>
      <c r="F128" s="248" t="s">
        <v>146</v>
      </c>
      <c r="G128" s="249" t="str">
        <f ca="1">+IF(AND(E128&gt;0,E125&gt;=30),LOOKUP(CELL("contenido",E128),$C$26:$D$35),"")</f>
        <v/>
      </c>
      <c r="H128" s="250">
        <f>+RIGHT(H125,2)*1-H126</f>
        <v>0</v>
      </c>
      <c r="I128" s="251" t="s">
        <v>146</v>
      </c>
      <c r="J128" s="252" t="str">
        <f ca="1">+IF(AND(H128&gt;0,H125&gt;=30),LOOKUP(CELL("contenido",H128),$C$26:$D$35),"")</f>
        <v/>
      </c>
      <c r="K128" s="253">
        <f>+RIGHT(K125,2)*1-K126</f>
        <v>0</v>
      </c>
      <c r="L128" s="254" t="s">
        <v>146</v>
      </c>
      <c r="M128" s="255" t="str">
        <f ca="1">+IF(AND(K128&gt;0,K125&gt;=30),LOOKUP(CELL("contenido",K128),$C$26:$D$35),"")</f>
        <v/>
      </c>
      <c r="N128" s="256">
        <f>+RIGHT(N125,2)*1-N126</f>
        <v>0</v>
      </c>
      <c r="O128" s="257" t="s">
        <v>146</v>
      </c>
      <c r="P128" s="258" t="str">
        <f ca="1">+IF(AND(N128&gt;0,K130&gt;=30),LOOKUP(CELL("contenido",N128),$C$26:$D$35),"")</f>
        <v/>
      </c>
      <c r="Q128" s="259">
        <f>+RIGHT(Q125,2)*1-Q126</f>
        <v>0</v>
      </c>
      <c r="R128" s="260" t="s">
        <v>146</v>
      </c>
      <c r="S128" s="261" t="str">
        <f ca="1">+IF(AND(Q128&gt;0,N130&gt;=30),LOOKUP(CELL("contenido",Q128),$C$26:$D$35),"")</f>
        <v/>
      </c>
      <c r="U128" s="240" t="str">
        <f ca="1">+IF(CELL("contenido",J127)&lt;&gt;"",CONCATENATE(J130," ",J129," ",J127," "),IF(CELL("contenido",J126)="",CONCATENATE(J130," ",J129," ",J128," "),CONCATENATE(J130," ",J129," ",J128," Y ",J126," ")))</f>
        <v xml:space="preserve">   </v>
      </c>
    </row>
    <row r="129" spans="4:21" ht="13.5" thickBot="1">
      <c r="D129" s="243"/>
      <c r="E129" s="247">
        <f>+RIGHT(E125,3)*1-E128-E126</f>
        <v>100</v>
      </c>
      <c r="F129" s="248" t="s">
        <v>148</v>
      </c>
      <c r="G129" s="249" t="str">
        <f ca="1">+IF((RIGHT(E125,3)*1)=100,"CIEN",IF(AND(E129&gt;0,E129&lt;1000),LOOKUP(CELL("contenido",E129),$E$26:$F$35),""))</f>
        <v>CIENTO</v>
      </c>
      <c r="H129" s="250">
        <f>+RIGHT(H125,3)*1-H128-H126</f>
        <v>0</v>
      </c>
      <c r="I129" s="251" t="s">
        <v>148</v>
      </c>
      <c r="J129" s="252" t="str">
        <f ca="1">+IF(H125=100,"CIEN",IF(AND(H129&gt;0,H129&lt;1000),LOOKUP(CELL("contenido",H129),$E$26:$F$35),""))</f>
        <v/>
      </c>
      <c r="K129" s="253">
        <f>+RIGHT(K125,3)*1-K128-K126</f>
        <v>0</v>
      </c>
      <c r="L129" s="254" t="s">
        <v>148</v>
      </c>
      <c r="M129" s="255" t="str">
        <f ca="1">+IF(K125=100,"CIEN",IF(AND(K129&gt;0,K129&lt;1000),LOOKUP(CELL("contenido",K129),$E$26:$F$35),""))</f>
        <v/>
      </c>
      <c r="N129" s="256">
        <f>+RIGHT(N125,3)*1-N128-N126</f>
        <v>0</v>
      </c>
      <c r="O129" s="257" t="s">
        <v>148</v>
      </c>
      <c r="P129" s="258" t="str">
        <f ca="1">+IF(N125=100,"CIEN",IF(AND(N129&gt;0,N129&lt;1000),LOOKUP(CELL("contenido",N129),$E$26:$F$35),""))</f>
        <v/>
      </c>
      <c r="Q129" s="259">
        <f>+RIGHT(Q125,3)*1-Q128-Q126</f>
        <v>0</v>
      </c>
      <c r="R129" s="260" t="s">
        <v>148</v>
      </c>
      <c r="S129" s="261" t="str">
        <f ca="1">+IF(Q125=100,"CIEN",IF(AND(Q129&gt;0,Q129&lt;1000),LOOKUP(CELL("contenido",Q129),$E$26:$F$35),""))</f>
        <v/>
      </c>
      <c r="U129" s="240" t="str">
        <f ca="1">+IF(CELL("contenido",M127)&lt;&gt;"",CONCATENATE(M130," ",M129," ",M127," "),IF(CELL("contenido",M126)="",CONCATENATE(M130," ",M129," ",M128," "),CONCATENATE(M130," ",M129," ",M128," Y ",M126," ")))</f>
        <v xml:space="preserve">   </v>
      </c>
    </row>
    <row r="130" spans="4:21" ht="13.5" thickBot="1">
      <c r="D130" s="243"/>
      <c r="E130" s="263">
        <f>+RIGHT(E125,4)*1-E129-E128-E126</f>
        <v>0</v>
      </c>
      <c r="F130" s="264" t="s">
        <v>150</v>
      </c>
      <c r="G130" s="265" t="str">
        <f ca="1">+IF(E125&gt;999,"MIL",IF(AND(E130&gt;0,E130&lt;10000),LOOKUP(CELL("contenido",E130),$E$26:$F$35),""))</f>
        <v/>
      </c>
      <c r="H130" s="266">
        <f>INT(E125/1000000)</f>
        <v>0</v>
      </c>
      <c r="I130" s="267" t="s">
        <v>151</v>
      </c>
      <c r="J130" s="268" t="str">
        <f ca="1">+IF(CELL("contenido",M127)=1,"MILLÓN",IF(H130=1,"MILLÓN",IF(H130&gt;1,"MILLONES","")))</f>
        <v/>
      </c>
      <c r="K130" s="269">
        <f>+RIGHT(K125,4)*1-K129-K128-K126</f>
        <v>0</v>
      </c>
      <c r="L130" s="270" t="s">
        <v>152</v>
      </c>
      <c r="M130" s="271" t="str">
        <f ca="1">+IF(AND(K130&gt;0,K130&lt;10000),LOOKUP(CELL("contenido",K130),$E$26:$F$35),"")</f>
        <v/>
      </c>
      <c r="N130" s="272">
        <f>+RIGHT(N125,4)*1-N129-N128-N126</f>
        <v>0</v>
      </c>
      <c r="O130" s="273" t="s">
        <v>153</v>
      </c>
      <c r="P130" s="274" t="str">
        <f>+IF(N130=1,"UN MILLARDO",IF(N125&gt;1,"MILLARDOS",""))</f>
        <v/>
      </c>
      <c r="Q130" s="275">
        <f>+RIGHT(Q125,4)*1-Q129-Q128-Q126</f>
        <v>0</v>
      </c>
      <c r="R130" s="276" t="s">
        <v>153</v>
      </c>
      <c r="S130" s="277" t="str">
        <f>+IF(Q130=1,"UN MILLARDO",IF(Q125&gt;1,"MILLARDOS",""))</f>
        <v/>
      </c>
      <c r="U130" s="240" t="str">
        <f ca="1">+IF(CELL("contenido",P127)&lt;&gt;"",CONCATENATE(P130," ",P129," ",P127," "),IF(CELL("contenido",P126)="",CONCATENATE(P130," ",P129," ",P128," "),CONCATENATE(P130," ",P129," ",P128," Y ",P126," ")))</f>
        <v xml:space="preserve">   </v>
      </c>
    </row>
    <row r="131" spans="4:21" ht="13.5" thickTop="1">
      <c r="D131" s="243"/>
      <c r="E131" s="240"/>
      <c r="F131" s="240"/>
      <c r="G131" s="240"/>
      <c r="H131" s="240"/>
      <c r="I131" s="240"/>
      <c r="J131" s="278"/>
      <c r="K131" s="278"/>
      <c r="L131" s="278"/>
      <c r="M131" s="241"/>
      <c r="N131" s="241"/>
      <c r="O131" s="241"/>
      <c r="P131" s="240"/>
      <c r="Q131" s="241"/>
      <c r="R131" s="241"/>
      <c r="S131" s="240"/>
      <c r="U131" s="240" t="str">
        <f ca="1">+IF(CELL("contenido",S127)&lt;&gt;"",CONCATENATE(S129," ",S127," "),IF(CELL("contenido",S126)="",CONCATENATE(S129," ",S128," "),CONCATENATE(S129," ",S128," Y ",S126," ")))</f>
        <v xml:space="preserve">  </v>
      </c>
    </row>
    <row r="132" spans="4:21">
      <c r="D132" s="240" t="s">
        <v>163</v>
      </c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U132" s="237"/>
    </row>
    <row r="133" spans="4:21">
      <c r="D133" s="243"/>
      <c r="E133" s="244">
        <f>ROUND(100*(A9-INT(A9)),2)</f>
        <v>80</v>
      </c>
      <c r="F133" s="240" t="s">
        <v>132</v>
      </c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</row>
    <row r="134" spans="4:21">
      <c r="D134" s="240"/>
      <c r="E134" s="240">
        <f>+LEN(E136)</f>
        <v>1</v>
      </c>
      <c r="F134" s="240" t="s">
        <v>133</v>
      </c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</row>
    <row r="135" spans="4:21" ht="13.5" thickBot="1">
      <c r="D135" s="243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</row>
    <row r="136" spans="4:21" ht="14.25" thickTop="1" thickBot="1">
      <c r="D136" s="240"/>
      <c r="E136" s="245">
        <f>+A9-E133/100</f>
        <v>3</v>
      </c>
      <c r="F136" s="1505" t="s">
        <v>136</v>
      </c>
      <c r="G136" s="1506"/>
      <c r="H136" s="246">
        <f>+IF(E136&gt;1000,INT(E136/1000),0)</f>
        <v>0</v>
      </c>
      <c r="I136" s="1505" t="s">
        <v>137</v>
      </c>
      <c r="J136" s="1506"/>
      <c r="K136" s="246">
        <f>+INT(H136/1000)</f>
        <v>0</v>
      </c>
      <c r="L136" s="1505" t="s">
        <v>138</v>
      </c>
      <c r="M136" s="1506"/>
      <c r="N136" s="246">
        <f>+INT(K136/1000)</f>
        <v>0</v>
      </c>
      <c r="O136" s="1505" t="s">
        <v>139</v>
      </c>
      <c r="P136" s="1506"/>
      <c r="Q136" s="246">
        <f>+INT(N136)</f>
        <v>0</v>
      </c>
      <c r="R136" s="1505" t="s">
        <v>139</v>
      </c>
      <c r="S136" s="1506"/>
      <c r="U136" s="240" t="str">
        <f>+IF(E133=0,CONCATENATE("00",U137),IF(E133&lt;10,CONCATENATE(" 0",E133,U137),CONCATENATE(" ",E133,U137)))</f>
        <v xml:space="preserve"> 80/100 BOLIVIANOS</v>
      </c>
    </row>
    <row r="137" spans="4:21" ht="13.5" thickBot="1">
      <c r="D137" s="243"/>
      <c r="E137" s="247">
        <f>+RIGHT(E136)*1</f>
        <v>3</v>
      </c>
      <c r="F137" s="248" t="s">
        <v>141</v>
      </c>
      <c r="G137" s="249" t="str">
        <f ca="1">+IF(AND(E137&gt;0,E137&lt;10),LOOKUP(CELL("contenido",E137),$A$26:$B$35),"")</f>
        <v>TRES</v>
      </c>
      <c r="H137" s="250">
        <f>+RIGHT(H136)*1</f>
        <v>0</v>
      </c>
      <c r="I137" s="251" t="s">
        <v>141</v>
      </c>
      <c r="J137" s="252" t="str">
        <f ca="1">IF(E136&lt;2000,"",IF(CELL("contenido",H137)=1,"UN",IF(AND(H137&gt;0,H137&lt;10),LOOKUP(CELL("contenido",H137),$A$26:$B$35),"")))</f>
        <v/>
      </c>
      <c r="K137" s="253">
        <f>+RIGHT(K136)*1</f>
        <v>0</v>
      </c>
      <c r="L137" s="254" t="s">
        <v>141</v>
      </c>
      <c r="M137" s="255" t="str">
        <f ca="1">+IF(CELL("contenido",K137)=1,"UN",IF(AND(K137&gt;0,K137&lt;10),LOOKUP(CELL("contenido",K137),$A$26:$B$35),""))</f>
        <v/>
      </c>
      <c r="N137" s="256">
        <f>+RIGHT(N136)*1</f>
        <v>0</v>
      </c>
      <c r="O137" s="257" t="s">
        <v>141</v>
      </c>
      <c r="P137" s="258" t="str">
        <f ca="1">+IF(CELL("contenido",N137)=1,"UN",IF(AND(N137&gt;0,N137&lt;10),LOOKUP(CELL("contenido",N137),$A$26:$B$35),""))</f>
        <v/>
      </c>
      <c r="Q137" s="259">
        <f>+RIGHT(Q136)*1</f>
        <v>0</v>
      </c>
      <c r="R137" s="260" t="s">
        <v>141</v>
      </c>
      <c r="S137" s="261" t="str">
        <f ca="1">+IF(CELL("contenido",Q137)=1,"UN",IF(AND(Q137&gt;0,Q137&lt;10),LOOKUP(CELL("contenido",Q137),$A$26:$B$35),""))</f>
        <v/>
      </c>
      <c r="U137" s="262" t="s">
        <v>142</v>
      </c>
    </row>
    <row r="138" spans="4:21" ht="13.5" thickBot="1">
      <c r="D138" s="243"/>
      <c r="E138" s="247">
        <f>+RIGHT(E136,2)*1</f>
        <v>3</v>
      </c>
      <c r="F138" s="248" t="s">
        <v>144</v>
      </c>
      <c r="G138" s="249" t="str">
        <f ca="1">IF(AND(E138&gt;0,E138&lt;30),LOOKUP(CELL("contenido",E138),$A$26:$B$55),"")</f>
        <v>TRES</v>
      </c>
      <c r="H138" s="250">
        <f>+RIGHT(H136,2)*1</f>
        <v>0</v>
      </c>
      <c r="I138" s="251" t="s">
        <v>144</v>
      </c>
      <c r="J138" s="252" t="str">
        <f ca="1">IF(E136&lt;2000,"",IF(CELL("contenido",H138)=1,"UN",IF(AND(H138&gt;0,H138&lt;30),LOOKUP(CELL("contenido",H138),$A$26:$B$55),"")))</f>
        <v/>
      </c>
      <c r="K138" s="253">
        <f>+RIGHT(K136,2)*1</f>
        <v>0</v>
      </c>
      <c r="L138" s="254" t="s">
        <v>144</v>
      </c>
      <c r="M138" s="255" t="str">
        <f ca="1">IF(CELL("contenido",K138)=1,"UN",IF(AND(K138&gt;0,K138&lt;30),LOOKUP(CELL("contenido",K138),$A$26:$B$55),""))</f>
        <v/>
      </c>
      <c r="N138" s="256">
        <f>+RIGHT(N136,2)*1</f>
        <v>0</v>
      </c>
      <c r="O138" s="257" t="s">
        <v>144</v>
      </c>
      <c r="P138" s="258" t="str">
        <f ca="1">IF(CELL("contenido",N138)=1,"UN",IF(AND(N138&gt;0,N138&lt;30),LOOKUP(CELL("contenido",N138),$A$26:$B$55),""))</f>
        <v/>
      </c>
      <c r="Q138" s="259">
        <f>+RIGHT(Q136,2)*1</f>
        <v>0</v>
      </c>
      <c r="R138" s="260" t="s">
        <v>144</v>
      </c>
      <c r="S138" s="261" t="str">
        <f ca="1">IF(CELL("contenido",Q138)=1,"UN",IF(AND(Q138&gt;0,Q138&lt;30),LOOKUP(CELL("contenido",Q138),$A$26:$B$55),""))</f>
        <v/>
      </c>
      <c r="U138" s="240" t="str">
        <f ca="1">+IF(CELL("contenido",G138)&lt;&gt;"",CONCATENATE(G141," ",G140," ",G138," ",U136),IF(CELL("contenido",G137)="",CONCATENATE(G141," ",G140," ",G139," ",U136),CONCATENATE(G141," ",G140," ",G139," Y ",G137," ",U136)))</f>
        <v xml:space="preserve">  TRES  80/100 BOLIVIANOS</v>
      </c>
    </row>
    <row r="139" spans="4:21" ht="13.5" thickBot="1">
      <c r="D139" s="243"/>
      <c r="E139" s="247">
        <f>+RIGHT(E136,2)*1-E137</f>
        <v>0</v>
      </c>
      <c r="F139" s="248" t="s">
        <v>146</v>
      </c>
      <c r="G139" s="249" t="str">
        <f ca="1">+IF(AND(E139&gt;0,E136&gt;=30),LOOKUP(CELL("contenido",E139),$C$26:$D$35),"")</f>
        <v/>
      </c>
      <c r="H139" s="250">
        <f>+RIGHT(H136,2)*1-H137</f>
        <v>0</v>
      </c>
      <c r="I139" s="251" t="s">
        <v>146</v>
      </c>
      <c r="J139" s="252" t="str">
        <f ca="1">+IF(AND(H139&gt;0,H136&gt;=30),LOOKUP(CELL("contenido",H139),$C$26:$D$35),"")</f>
        <v/>
      </c>
      <c r="K139" s="253">
        <f>+RIGHT(K136,2)*1-K137</f>
        <v>0</v>
      </c>
      <c r="L139" s="254" t="s">
        <v>146</v>
      </c>
      <c r="M139" s="255" t="str">
        <f ca="1">+IF(AND(K139&gt;0,K136&gt;=30),LOOKUP(CELL("contenido",K139),$C$26:$D$35),"")</f>
        <v/>
      </c>
      <c r="N139" s="256">
        <f>+RIGHT(N136,2)*1-N137</f>
        <v>0</v>
      </c>
      <c r="O139" s="257" t="s">
        <v>146</v>
      </c>
      <c r="P139" s="258" t="str">
        <f ca="1">+IF(AND(N139&gt;0,K141&gt;=30),LOOKUP(CELL("contenido",N139),$C$26:$D$35),"")</f>
        <v/>
      </c>
      <c r="Q139" s="259">
        <f>+RIGHT(Q136,2)*1-Q137</f>
        <v>0</v>
      </c>
      <c r="R139" s="260" t="s">
        <v>146</v>
      </c>
      <c r="S139" s="261" t="str">
        <f ca="1">+IF(AND(Q139&gt;0,N141&gt;=30),LOOKUP(CELL("contenido",Q139),$C$26:$D$35),"")</f>
        <v/>
      </c>
      <c r="U139" s="240" t="str">
        <f ca="1">+IF(CELL("contenido",J138)&lt;&gt;"",CONCATENATE(J141," ",J140," ",J138," "),IF(CELL("contenido",J137)="",CONCATENATE(J141," ",J140," ",J139," "),CONCATENATE(J141," ",J140," ",J139," Y ",J137," ")))</f>
        <v xml:space="preserve">   </v>
      </c>
    </row>
    <row r="140" spans="4:21" ht="13.5" thickBot="1">
      <c r="D140" s="243"/>
      <c r="E140" s="247">
        <f>+RIGHT(E136,3)*1-E139-E137</f>
        <v>0</v>
      </c>
      <c r="F140" s="248" t="s">
        <v>148</v>
      </c>
      <c r="G140" s="249" t="str">
        <f ca="1">+IF((RIGHT(E136,3)*1)=100,"CIEN",IF(AND(E140&gt;0,E140&lt;1000),LOOKUP(CELL("contenido",E140),$E$26:$F$35),""))</f>
        <v/>
      </c>
      <c r="H140" s="250">
        <f>+RIGHT(H136,3)*1-H139-H137</f>
        <v>0</v>
      </c>
      <c r="I140" s="251" t="s">
        <v>148</v>
      </c>
      <c r="J140" s="252" t="str">
        <f ca="1">+IF(H136=100,"CIEN",IF(AND(H140&gt;0,H140&lt;1000),LOOKUP(CELL("contenido",H140),$E$26:$F$35),""))</f>
        <v/>
      </c>
      <c r="K140" s="253">
        <f>+RIGHT(K136,3)*1-K139-K137</f>
        <v>0</v>
      </c>
      <c r="L140" s="254" t="s">
        <v>148</v>
      </c>
      <c r="M140" s="255" t="str">
        <f ca="1">+IF(K136=100,"CIEN",IF(AND(K140&gt;0,K140&lt;1000),LOOKUP(CELL("contenido",K140),$E$26:$F$35),""))</f>
        <v/>
      </c>
      <c r="N140" s="256">
        <f>+RIGHT(N136,3)*1-N139-N137</f>
        <v>0</v>
      </c>
      <c r="O140" s="257" t="s">
        <v>148</v>
      </c>
      <c r="P140" s="258" t="str">
        <f ca="1">+IF(N136=100,"CIEN",IF(AND(N140&gt;0,N140&lt;1000),LOOKUP(CELL("contenido",N140),$E$26:$F$35),""))</f>
        <v/>
      </c>
      <c r="Q140" s="259">
        <f>+RIGHT(Q136,3)*1-Q139-Q137</f>
        <v>0</v>
      </c>
      <c r="R140" s="260" t="s">
        <v>148</v>
      </c>
      <c r="S140" s="261" t="str">
        <f ca="1">+IF(Q136=100,"CIEN",IF(AND(Q140&gt;0,Q140&lt;1000),LOOKUP(CELL("contenido",Q140),$E$26:$F$35),""))</f>
        <v/>
      </c>
      <c r="U140" s="240" t="str">
        <f ca="1">+IF(CELL("contenido",M138)&lt;&gt;"",CONCATENATE(M141," ",M140," ",M138," "),IF(CELL("contenido",M137)="",CONCATENATE(M141," ",M140," ",M139," "),CONCATENATE(M141," ",M140," ",M139," Y ",M137," ")))</f>
        <v xml:space="preserve">   </v>
      </c>
    </row>
    <row r="141" spans="4:21" ht="13.5" thickBot="1">
      <c r="D141" s="243"/>
      <c r="E141" s="263">
        <f>+RIGHT(E136,4)*1-E140-E139-E137</f>
        <v>0</v>
      </c>
      <c r="F141" s="264" t="s">
        <v>150</v>
      </c>
      <c r="G141" s="265" t="str">
        <f ca="1">+IF(E136&gt;999,"MIL",IF(AND(E141&gt;0,E141&lt;10000),LOOKUP(CELL("contenido",E141),$E$26:$F$35),""))</f>
        <v/>
      </c>
      <c r="H141" s="266">
        <f>INT(E136/1000000)</f>
        <v>0</v>
      </c>
      <c r="I141" s="267" t="s">
        <v>151</v>
      </c>
      <c r="J141" s="268" t="str">
        <f ca="1">+IF(CELL("contenido",M138)=1,"MILLÓN",IF(H141=1,"MILLÓN",IF(H141&gt;1,"MILLONES","")))</f>
        <v/>
      </c>
      <c r="K141" s="269">
        <f>+RIGHT(K136,4)*1-K140-K139-K137</f>
        <v>0</v>
      </c>
      <c r="L141" s="270" t="s">
        <v>152</v>
      </c>
      <c r="M141" s="271" t="str">
        <f ca="1">+IF(AND(K141&gt;0,K141&lt;10000),LOOKUP(CELL("contenido",K141),$E$26:$F$35),"")</f>
        <v/>
      </c>
      <c r="N141" s="272">
        <f>+RIGHT(N136,4)*1-N140-N139-N137</f>
        <v>0</v>
      </c>
      <c r="O141" s="273" t="s">
        <v>153</v>
      </c>
      <c r="P141" s="274" t="str">
        <f>+IF(N141=1,"UN MILLARDO",IF(N136&gt;1,"MILLARDOS",""))</f>
        <v/>
      </c>
      <c r="Q141" s="275">
        <f>+RIGHT(Q136,4)*1-Q140-Q139-Q137</f>
        <v>0</v>
      </c>
      <c r="R141" s="276" t="s">
        <v>153</v>
      </c>
      <c r="S141" s="277" t="str">
        <f>+IF(Q141=1,"UN MILLARDO",IF(Q136&gt;1,"MILLARDOS",""))</f>
        <v/>
      </c>
      <c r="U141" s="240" t="str">
        <f ca="1">+IF(CELL("contenido",P138)&lt;&gt;"",CONCATENATE(P141," ",P140," ",P138," "),IF(CELL("contenido",P137)="",CONCATENATE(P141," ",P140," ",P139," "),CONCATENATE(P141," ",P140," ",P139," Y ",P137," ")))</f>
        <v xml:space="preserve">   </v>
      </c>
    </row>
    <row r="142" spans="4:21" ht="13.5" thickTop="1">
      <c r="D142" s="243"/>
      <c r="E142" s="240"/>
      <c r="F142" s="240"/>
      <c r="G142" s="240"/>
      <c r="H142" s="240"/>
      <c r="I142" s="240"/>
      <c r="J142" s="278"/>
      <c r="K142" s="278"/>
      <c r="L142" s="278"/>
      <c r="M142" s="241"/>
      <c r="N142" s="241"/>
      <c r="O142" s="241"/>
      <c r="P142" s="240"/>
      <c r="Q142" s="241"/>
      <c r="R142" s="241"/>
      <c r="S142" s="240"/>
      <c r="U142" s="240" t="str">
        <f ca="1">+IF(CELL("contenido",S138)&lt;&gt;"",CONCATENATE(S140," ",S138," "),IF(CELL("contenido",S137)="",CONCATENATE(S140," ",S139," "),CONCATENATE(S140," ",S139," Y ",S137," ")))</f>
        <v xml:space="preserve">  </v>
      </c>
    </row>
    <row r="143" spans="4:21">
      <c r="D143" s="240" t="s">
        <v>164</v>
      </c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U143" s="237"/>
    </row>
    <row r="144" spans="4:21">
      <c r="D144" s="243"/>
      <c r="E144" s="244">
        <f>ROUND(100*(A10-INT(A10)),2)</f>
        <v>31</v>
      </c>
      <c r="F144" s="240" t="s">
        <v>132</v>
      </c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</row>
    <row r="145" spans="4:21">
      <c r="D145" s="240"/>
      <c r="E145" s="240">
        <f>+LEN(E147)</f>
        <v>1</v>
      </c>
      <c r="F145" s="240" t="s">
        <v>133</v>
      </c>
      <c r="G145" s="240"/>
      <c r="H145" s="240"/>
      <c r="I145" s="240"/>
      <c r="J145" s="240"/>
      <c r="K145" s="240"/>
      <c r="L145" s="240"/>
      <c r="M145" s="240"/>
      <c r="N145" s="240"/>
      <c r="O145" s="240"/>
      <c r="P145" s="240"/>
      <c r="Q145" s="240"/>
      <c r="R145" s="240"/>
      <c r="S145" s="240"/>
    </row>
    <row r="146" spans="4:21" ht="13.5" thickBot="1">
      <c r="D146" s="243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</row>
    <row r="147" spans="4:21" ht="14.25" thickTop="1" thickBot="1">
      <c r="D147" s="240"/>
      <c r="E147" s="245">
        <f>+A10-E144/100</f>
        <v>3.0000000000000004</v>
      </c>
      <c r="F147" s="1505" t="s">
        <v>136</v>
      </c>
      <c r="G147" s="1506"/>
      <c r="H147" s="246">
        <f>+IF(E147&gt;1000,INT(E147/1000),0)</f>
        <v>0</v>
      </c>
      <c r="I147" s="1505" t="s">
        <v>137</v>
      </c>
      <c r="J147" s="1506"/>
      <c r="K147" s="246">
        <f>+INT(H147/1000)</f>
        <v>0</v>
      </c>
      <c r="L147" s="1505" t="s">
        <v>138</v>
      </c>
      <c r="M147" s="1506"/>
      <c r="N147" s="246">
        <f>+INT(K147/1000)</f>
        <v>0</v>
      </c>
      <c r="O147" s="1505" t="s">
        <v>139</v>
      </c>
      <c r="P147" s="1506"/>
      <c r="Q147" s="246">
        <f>+INT(N147)</f>
        <v>0</v>
      </c>
      <c r="R147" s="1505" t="s">
        <v>139</v>
      </c>
      <c r="S147" s="1506"/>
      <c r="U147" s="240" t="str">
        <f>+IF(E144=0,CONCATENATE("00",U148),IF(E144&lt;10,CONCATENATE(" 0",E144,U148),CONCATENATE(" ",E144,U148)))</f>
        <v xml:space="preserve"> 31/100 BOLIVIANOS</v>
      </c>
    </row>
    <row r="148" spans="4:21" ht="13.5" thickBot="1">
      <c r="D148" s="243"/>
      <c r="E148" s="247">
        <f>+RIGHT(E147)*1</f>
        <v>3</v>
      </c>
      <c r="F148" s="248" t="s">
        <v>141</v>
      </c>
      <c r="G148" s="249" t="str">
        <f ca="1">+IF(AND(E148&gt;0,E148&lt;10),LOOKUP(CELL("contenido",E148),$A$26:$B$35),"")</f>
        <v>TRES</v>
      </c>
      <c r="H148" s="250">
        <f>+RIGHT(H147)*1</f>
        <v>0</v>
      </c>
      <c r="I148" s="251" t="s">
        <v>141</v>
      </c>
      <c r="J148" s="252" t="str">
        <f ca="1">IF(E147&lt;2000,"",IF(CELL("contenido",H148)=1,"UN",IF(AND(H148&gt;0,H148&lt;10),LOOKUP(CELL("contenido",H148),$A$26:$B$35),"")))</f>
        <v/>
      </c>
      <c r="K148" s="253">
        <f>+RIGHT(K147)*1</f>
        <v>0</v>
      </c>
      <c r="L148" s="254" t="s">
        <v>141</v>
      </c>
      <c r="M148" s="255" t="str">
        <f ca="1">+IF(CELL("contenido",K148)=1,"UN",IF(AND(K148&gt;0,K148&lt;10),LOOKUP(CELL("contenido",K148),$A$26:$B$35),""))</f>
        <v/>
      </c>
      <c r="N148" s="256">
        <f>+RIGHT(N147)*1</f>
        <v>0</v>
      </c>
      <c r="O148" s="257" t="s">
        <v>141</v>
      </c>
      <c r="P148" s="258" t="str">
        <f ca="1">+IF(CELL("contenido",N148)=1,"UN",IF(AND(N148&gt;0,N148&lt;10),LOOKUP(CELL("contenido",N148),$A$26:$B$35),""))</f>
        <v/>
      </c>
      <c r="Q148" s="259">
        <f>+RIGHT(Q147)*1</f>
        <v>0</v>
      </c>
      <c r="R148" s="260" t="s">
        <v>141</v>
      </c>
      <c r="S148" s="261" t="str">
        <f ca="1">+IF(CELL("contenido",Q148)=1,"UN",IF(AND(Q148&gt;0,Q148&lt;10),LOOKUP(CELL("contenido",Q148),$A$26:$B$35),""))</f>
        <v/>
      </c>
      <c r="U148" s="262" t="s">
        <v>142</v>
      </c>
    </row>
    <row r="149" spans="4:21" ht="13.5" thickBot="1">
      <c r="D149" s="243"/>
      <c r="E149" s="247">
        <f>+RIGHT(E147,2)*1</f>
        <v>3</v>
      </c>
      <c r="F149" s="248" t="s">
        <v>144</v>
      </c>
      <c r="G149" s="249" t="str">
        <f ca="1">IF(AND(E149&gt;0,E149&lt;30),LOOKUP(CELL("contenido",E149),$A$26:$B$55),"")</f>
        <v>TRES</v>
      </c>
      <c r="H149" s="250">
        <f>+RIGHT(H147,2)*1</f>
        <v>0</v>
      </c>
      <c r="I149" s="251" t="s">
        <v>144</v>
      </c>
      <c r="J149" s="252" t="str">
        <f ca="1">IF(E147&lt;2000,"",IF(CELL("contenido",H149)=1,"UN",IF(AND(H149&gt;0,H149&lt;30),LOOKUP(CELL("contenido",H149),$A$26:$B$55),"")))</f>
        <v/>
      </c>
      <c r="K149" s="253">
        <f>+RIGHT(K147,2)*1</f>
        <v>0</v>
      </c>
      <c r="L149" s="254" t="s">
        <v>144</v>
      </c>
      <c r="M149" s="255" t="str">
        <f ca="1">IF(CELL("contenido",K149)=1,"UN",IF(AND(K149&gt;0,K149&lt;30),LOOKUP(CELL("contenido",K149),$A$26:$B$55),""))</f>
        <v/>
      </c>
      <c r="N149" s="256">
        <f>+RIGHT(N147,2)*1</f>
        <v>0</v>
      </c>
      <c r="O149" s="257" t="s">
        <v>144</v>
      </c>
      <c r="P149" s="258" t="str">
        <f ca="1">IF(CELL("contenido",N149)=1,"UN",IF(AND(N149&gt;0,N149&lt;30),LOOKUP(CELL("contenido",N149),$A$26:$B$55),""))</f>
        <v/>
      </c>
      <c r="Q149" s="259">
        <f>+RIGHT(Q147,2)*1</f>
        <v>0</v>
      </c>
      <c r="R149" s="260" t="s">
        <v>144</v>
      </c>
      <c r="S149" s="261" t="str">
        <f ca="1">IF(CELL("contenido",Q149)=1,"UN",IF(AND(Q149&gt;0,Q149&lt;30),LOOKUP(CELL("contenido",Q149),$A$26:$B$55),""))</f>
        <v/>
      </c>
      <c r="U149" s="240" t="str">
        <f ca="1">+IF(CELL("contenido",G149)&lt;&gt;"",CONCATENATE(G152," ",G151," ",G149," ",U147),IF(CELL("contenido",G148)="",CONCATENATE(G152," ",G151," ",G150," ",U147),CONCATENATE(G152," ",G151," ",G150," Y ",G148," ",U147)))</f>
        <v xml:space="preserve">  TRES  31/100 BOLIVIANOS</v>
      </c>
    </row>
    <row r="150" spans="4:21" ht="13.5" thickBot="1">
      <c r="D150" s="243"/>
      <c r="E150" s="247">
        <f>+RIGHT(E147,2)*1-E148</f>
        <v>0</v>
      </c>
      <c r="F150" s="248" t="s">
        <v>146</v>
      </c>
      <c r="G150" s="249" t="str">
        <f ca="1">+IF(AND(E150&gt;0,E147&gt;=30),LOOKUP(CELL("contenido",E150),$C$26:$D$35),"")</f>
        <v/>
      </c>
      <c r="H150" s="250">
        <f>+RIGHT(H147,2)*1-H148</f>
        <v>0</v>
      </c>
      <c r="I150" s="251" t="s">
        <v>146</v>
      </c>
      <c r="J150" s="252" t="str">
        <f ca="1">+IF(AND(H150&gt;0,H147&gt;=30),LOOKUP(CELL("contenido",H150),$C$26:$D$35),"")</f>
        <v/>
      </c>
      <c r="K150" s="253">
        <f>+RIGHT(K147,2)*1-K148</f>
        <v>0</v>
      </c>
      <c r="L150" s="254" t="s">
        <v>146</v>
      </c>
      <c r="M150" s="255" t="str">
        <f ca="1">+IF(AND(K150&gt;0,K147&gt;=30),LOOKUP(CELL("contenido",K150),$C$26:$D$35),"")</f>
        <v/>
      </c>
      <c r="N150" s="256">
        <f>+RIGHT(N147,2)*1-N148</f>
        <v>0</v>
      </c>
      <c r="O150" s="257" t="s">
        <v>146</v>
      </c>
      <c r="P150" s="258" t="str">
        <f ca="1">+IF(AND(N150&gt;0,K152&gt;=30),LOOKUP(CELL("contenido",N150),$C$26:$D$35),"")</f>
        <v/>
      </c>
      <c r="Q150" s="259">
        <f>+RIGHT(Q147,2)*1-Q148</f>
        <v>0</v>
      </c>
      <c r="R150" s="260" t="s">
        <v>146</v>
      </c>
      <c r="S150" s="261" t="str">
        <f ca="1">+IF(AND(Q150&gt;0,N152&gt;=30),LOOKUP(CELL("contenido",Q150),$C$26:$D$35),"")</f>
        <v/>
      </c>
      <c r="U150" s="240" t="str">
        <f ca="1">+IF(CELL("contenido",J149)&lt;&gt;"",CONCATENATE(J152," ",J151," ",J149," "),IF(CELL("contenido",J148)="",CONCATENATE(J152," ",J151," ",J150," "),CONCATENATE(J152," ",J151," ",J150," Y ",J148," ")))</f>
        <v xml:space="preserve">   </v>
      </c>
    </row>
    <row r="151" spans="4:21" ht="13.5" thickBot="1">
      <c r="D151" s="243"/>
      <c r="E151" s="247">
        <f>+RIGHT(E147,3)*1-E150-E148</f>
        <v>0</v>
      </c>
      <c r="F151" s="248" t="s">
        <v>148</v>
      </c>
      <c r="G151" s="249" t="str">
        <f ca="1">+IF((RIGHT(E147,3)*1)=100,"CIEN",IF(AND(E151&gt;0,E151&lt;1000),LOOKUP(CELL("contenido",E151),$E$26:$F$35),""))</f>
        <v/>
      </c>
      <c r="H151" s="250">
        <f>+RIGHT(H147,3)*1-H150-H148</f>
        <v>0</v>
      </c>
      <c r="I151" s="251" t="s">
        <v>148</v>
      </c>
      <c r="J151" s="252" t="str">
        <f ca="1">+IF(H147=100,"CIEN",IF(AND(H151&gt;0,H151&lt;1000),LOOKUP(CELL("contenido",H151),$E$26:$F$35),""))</f>
        <v/>
      </c>
      <c r="K151" s="253">
        <f>+RIGHT(K147,3)*1-K150-K148</f>
        <v>0</v>
      </c>
      <c r="L151" s="254" t="s">
        <v>148</v>
      </c>
      <c r="M151" s="255" t="str">
        <f ca="1">+IF(K147=100,"CIEN",IF(AND(K151&gt;0,K151&lt;1000),LOOKUP(CELL("contenido",K151),$E$26:$F$35),""))</f>
        <v/>
      </c>
      <c r="N151" s="256">
        <f>+RIGHT(N147,3)*1-N150-N148</f>
        <v>0</v>
      </c>
      <c r="O151" s="257" t="s">
        <v>148</v>
      </c>
      <c r="P151" s="258" t="str">
        <f ca="1">+IF(N147=100,"CIEN",IF(AND(N151&gt;0,N151&lt;1000),LOOKUP(CELL("contenido",N151),$E$26:$F$35),""))</f>
        <v/>
      </c>
      <c r="Q151" s="259">
        <f>+RIGHT(Q147,3)*1-Q150-Q148</f>
        <v>0</v>
      </c>
      <c r="R151" s="260" t="s">
        <v>148</v>
      </c>
      <c r="S151" s="261" t="str">
        <f ca="1">+IF(Q147=100,"CIEN",IF(AND(Q151&gt;0,Q151&lt;1000),LOOKUP(CELL("contenido",Q151),$E$26:$F$35),""))</f>
        <v/>
      </c>
      <c r="U151" s="240" t="str">
        <f ca="1">+IF(CELL("contenido",M149)&lt;&gt;"",CONCATENATE(M152," ",M151," ",M149," "),IF(CELL("contenido",M148)="",CONCATENATE(M152," ",M151," ",M150," "),CONCATENATE(M152," ",M151," ",M150," Y ",M148," ")))</f>
        <v xml:space="preserve">   </v>
      </c>
    </row>
    <row r="152" spans="4:21" ht="13.5" thickBot="1">
      <c r="D152" s="243"/>
      <c r="E152" s="263">
        <f>+RIGHT(E147,4)*1-E151-E150-E148</f>
        <v>0</v>
      </c>
      <c r="F152" s="264" t="s">
        <v>150</v>
      </c>
      <c r="G152" s="265" t="str">
        <f ca="1">+IF(E147&gt;999,"MIL",IF(AND(E152&gt;0,E152&lt;10000),LOOKUP(CELL("contenido",E152),$E$26:$F$35),""))</f>
        <v/>
      </c>
      <c r="H152" s="266">
        <f>INT(E147/1000000)</f>
        <v>0</v>
      </c>
      <c r="I152" s="267" t="s">
        <v>151</v>
      </c>
      <c r="J152" s="268" t="str">
        <f ca="1">+IF(CELL("contenido",M149)=1,"MILLÓN",IF(H152=1,"MILLÓN",IF(H152&gt;1,"MILLONES","")))</f>
        <v/>
      </c>
      <c r="K152" s="269">
        <f>+RIGHT(K147,4)*1-K151-K150-K148</f>
        <v>0</v>
      </c>
      <c r="L152" s="270" t="s">
        <v>152</v>
      </c>
      <c r="M152" s="271" t="str">
        <f ca="1">+IF(AND(K152&gt;0,K152&lt;10000),LOOKUP(CELL("contenido",K152),$E$26:$F$35),"")</f>
        <v/>
      </c>
      <c r="N152" s="272">
        <f>+RIGHT(N147,4)*1-N151-N150-N148</f>
        <v>0</v>
      </c>
      <c r="O152" s="273" t="s">
        <v>153</v>
      </c>
      <c r="P152" s="274" t="str">
        <f>+IF(N152=1,"UN MILLARDO",IF(N147&gt;1,"MILLARDOS",""))</f>
        <v/>
      </c>
      <c r="Q152" s="275">
        <f>+RIGHT(Q147,4)*1-Q151-Q150-Q148</f>
        <v>0</v>
      </c>
      <c r="R152" s="276" t="s">
        <v>153</v>
      </c>
      <c r="S152" s="277" t="str">
        <f>+IF(Q152=1,"UN MILLARDO",IF(Q147&gt;1,"MILLARDOS",""))</f>
        <v/>
      </c>
      <c r="U152" s="240" t="str">
        <f ca="1">+IF(CELL("contenido",P149)&lt;&gt;"",CONCATENATE(P152," ",P151," ",P149," "),IF(CELL("contenido",P148)="",CONCATENATE(P152," ",P151," ",P150," "),CONCATENATE(P152," ",P151," ",P150," Y ",P148," ")))</f>
        <v xml:space="preserve">   </v>
      </c>
    </row>
    <row r="153" spans="4:21" ht="13.5" thickTop="1">
      <c r="D153" s="243"/>
      <c r="E153" s="240"/>
      <c r="F153" s="240"/>
      <c r="G153" s="240"/>
      <c r="H153" s="240"/>
      <c r="I153" s="240"/>
      <c r="J153" s="278"/>
      <c r="K153" s="278"/>
      <c r="L153" s="278"/>
      <c r="M153" s="241"/>
      <c r="N153" s="241"/>
      <c r="O153" s="241"/>
      <c r="P153" s="240"/>
      <c r="Q153" s="241"/>
      <c r="R153" s="241"/>
      <c r="S153" s="240"/>
      <c r="U153" s="240" t="str">
        <f ca="1">+IF(CELL("contenido",S149)&lt;&gt;"",CONCATENATE(S151," ",S149," "),IF(CELL("contenido",S148)="",CONCATENATE(S151," ",S150," "),CONCATENATE(S151," ",S150," Y ",S148," ")))</f>
        <v xml:space="preserve">  </v>
      </c>
    </row>
    <row r="154" spans="4:21">
      <c r="D154" s="240" t="s">
        <v>165</v>
      </c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U154" s="237"/>
    </row>
    <row r="155" spans="4:21">
      <c r="D155" s="243"/>
      <c r="E155" s="244">
        <f>ROUND(100*(A11-INT(A11)),2)</f>
        <v>37</v>
      </c>
      <c r="F155" s="240" t="s">
        <v>132</v>
      </c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</row>
    <row r="156" spans="4:21">
      <c r="D156" s="240"/>
      <c r="E156" s="240">
        <f>+LEN(E158)</f>
        <v>1</v>
      </c>
      <c r="F156" s="240" t="s">
        <v>133</v>
      </c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</row>
    <row r="157" spans="4:21" ht="13.5" thickBot="1">
      <c r="D157" s="243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</row>
    <row r="158" spans="4:21" ht="14.25" thickTop="1" thickBot="1">
      <c r="D158" s="240"/>
      <c r="E158" s="245">
        <f>+A11-E155/100</f>
        <v>6</v>
      </c>
      <c r="F158" s="1505" t="s">
        <v>136</v>
      </c>
      <c r="G158" s="1506"/>
      <c r="H158" s="246">
        <f>+IF(E158&gt;1000,INT(E158/1000),0)</f>
        <v>0</v>
      </c>
      <c r="I158" s="1505" t="s">
        <v>137</v>
      </c>
      <c r="J158" s="1506"/>
      <c r="K158" s="246">
        <f>+INT(H158/1000)</f>
        <v>0</v>
      </c>
      <c r="L158" s="1505" t="s">
        <v>138</v>
      </c>
      <c r="M158" s="1506"/>
      <c r="N158" s="246">
        <f>+INT(K158/1000)</f>
        <v>0</v>
      </c>
      <c r="O158" s="1505" t="s">
        <v>139</v>
      </c>
      <c r="P158" s="1506"/>
      <c r="Q158" s="246">
        <f>+INT(N158)</f>
        <v>0</v>
      </c>
      <c r="R158" s="1505" t="s">
        <v>139</v>
      </c>
      <c r="S158" s="1506"/>
      <c r="U158" s="240" t="str">
        <f>+IF(E155=0,CONCATENATE("00",U159),IF(E155&lt;10,CONCATENATE(" 0",E155,U159),CONCATENATE(" ",E155,U159)))</f>
        <v xml:space="preserve"> 37/100 BOLIVIANOS</v>
      </c>
    </row>
    <row r="159" spans="4:21" ht="13.5" thickBot="1">
      <c r="D159" s="243"/>
      <c r="E159" s="247">
        <f>+RIGHT(E158)*1</f>
        <v>6</v>
      </c>
      <c r="F159" s="248" t="s">
        <v>141</v>
      </c>
      <c r="G159" s="249" t="str">
        <f ca="1">+IF(AND(E159&gt;0,E159&lt;10),LOOKUP(CELL("contenido",E159),$A$26:$B$35),"")</f>
        <v>SEIS</v>
      </c>
      <c r="H159" s="250">
        <f>+RIGHT(H158)*1</f>
        <v>0</v>
      </c>
      <c r="I159" s="251" t="s">
        <v>141</v>
      </c>
      <c r="J159" s="252" t="str">
        <f ca="1">IF(E158&lt;2000,"",IF(CELL("contenido",H159)=1,"UN",IF(AND(H159&gt;0,H159&lt;10),LOOKUP(CELL("contenido",H159),$A$26:$B$35),"")))</f>
        <v/>
      </c>
      <c r="K159" s="253">
        <f>+RIGHT(K158)*1</f>
        <v>0</v>
      </c>
      <c r="L159" s="254" t="s">
        <v>141</v>
      </c>
      <c r="M159" s="255" t="str">
        <f ca="1">+IF(CELL("contenido",K159)=1,"UN",IF(AND(K159&gt;0,K159&lt;10),LOOKUP(CELL("contenido",K159),$A$26:$B$35),""))</f>
        <v/>
      </c>
      <c r="N159" s="256">
        <f>+RIGHT(N158)*1</f>
        <v>0</v>
      </c>
      <c r="O159" s="257" t="s">
        <v>141</v>
      </c>
      <c r="P159" s="258" t="str">
        <f ca="1">+IF(CELL("contenido",N159)=1,"UN",IF(AND(N159&gt;0,N159&lt;10),LOOKUP(CELL("contenido",N159),$A$26:$B$35),""))</f>
        <v/>
      </c>
      <c r="Q159" s="259">
        <f>+RIGHT(Q158)*1</f>
        <v>0</v>
      </c>
      <c r="R159" s="260" t="s">
        <v>141</v>
      </c>
      <c r="S159" s="261" t="str">
        <f ca="1">+IF(CELL("contenido",Q159)=1,"UN",IF(AND(Q159&gt;0,Q159&lt;10),LOOKUP(CELL("contenido",Q159),$A$26:$B$35),""))</f>
        <v/>
      </c>
      <c r="U159" s="262" t="s">
        <v>142</v>
      </c>
    </row>
    <row r="160" spans="4:21" ht="13.5" thickBot="1">
      <c r="D160" s="243"/>
      <c r="E160" s="247">
        <f>+RIGHT(E158,2)*1</f>
        <v>6</v>
      </c>
      <c r="F160" s="248" t="s">
        <v>144</v>
      </c>
      <c r="G160" s="249" t="str">
        <f ca="1">IF(AND(E160&gt;0,E160&lt;30),LOOKUP(CELL("contenido",E160),$A$26:$B$55),"")</f>
        <v>SEIS</v>
      </c>
      <c r="H160" s="250">
        <f>+RIGHT(H158,2)*1</f>
        <v>0</v>
      </c>
      <c r="I160" s="251" t="s">
        <v>144</v>
      </c>
      <c r="J160" s="252" t="str">
        <f ca="1">IF(E158&lt;2000,"",IF(CELL("contenido",H160)=1,"UN",IF(AND(H160&gt;0,H160&lt;30),LOOKUP(CELL("contenido",H160),$A$26:$B$55),"")))</f>
        <v/>
      </c>
      <c r="K160" s="253">
        <f>+RIGHT(K158,2)*1</f>
        <v>0</v>
      </c>
      <c r="L160" s="254" t="s">
        <v>144</v>
      </c>
      <c r="M160" s="255" t="str">
        <f ca="1">IF(CELL("contenido",K160)=1,"UN",IF(AND(K160&gt;0,K160&lt;30),LOOKUP(CELL("contenido",K160),$A$26:$B$55),""))</f>
        <v/>
      </c>
      <c r="N160" s="256">
        <f>+RIGHT(N158,2)*1</f>
        <v>0</v>
      </c>
      <c r="O160" s="257" t="s">
        <v>144</v>
      </c>
      <c r="P160" s="258" t="str">
        <f ca="1">IF(CELL("contenido",N160)=1,"UN",IF(AND(N160&gt;0,N160&lt;30),LOOKUP(CELL("contenido",N160),$A$26:$B$55),""))</f>
        <v/>
      </c>
      <c r="Q160" s="259">
        <f>+RIGHT(Q158,2)*1</f>
        <v>0</v>
      </c>
      <c r="R160" s="260" t="s">
        <v>144</v>
      </c>
      <c r="S160" s="261" t="str">
        <f ca="1">IF(CELL("contenido",Q160)=1,"UN",IF(AND(Q160&gt;0,Q160&lt;30),LOOKUP(CELL("contenido",Q160),$A$26:$B$55),""))</f>
        <v/>
      </c>
      <c r="U160" s="240" t="str">
        <f ca="1">+IF(CELL("contenido",G160)&lt;&gt;"",CONCATENATE(G163," ",G162," ",G160," ",U158),IF(CELL("contenido",G159)="",CONCATENATE(G163," ",G162," ",G161," ",U158),CONCATENATE(G163," ",G162," ",G161," Y ",G159," ",U158)))</f>
        <v xml:space="preserve">  SEIS  37/100 BOLIVIANOS</v>
      </c>
    </row>
    <row r="161" spans="4:21" ht="13.5" thickBot="1">
      <c r="D161" s="243"/>
      <c r="E161" s="247">
        <f>+RIGHT(E158,2)*1-E159</f>
        <v>0</v>
      </c>
      <c r="F161" s="248" t="s">
        <v>146</v>
      </c>
      <c r="G161" s="249" t="str">
        <f ca="1">+IF(AND(E161&gt;0,E158&gt;=30),LOOKUP(CELL("contenido",E161),$C$26:$D$35),"")</f>
        <v/>
      </c>
      <c r="H161" s="250">
        <f>+RIGHT(H158,2)*1-H159</f>
        <v>0</v>
      </c>
      <c r="I161" s="251" t="s">
        <v>146</v>
      </c>
      <c r="J161" s="252" t="str">
        <f ca="1">+IF(AND(H161&gt;0,H158&gt;=30),LOOKUP(CELL("contenido",H161),$C$26:$D$35),"")</f>
        <v/>
      </c>
      <c r="K161" s="253">
        <f>+RIGHT(K158,2)*1-K159</f>
        <v>0</v>
      </c>
      <c r="L161" s="254" t="s">
        <v>146</v>
      </c>
      <c r="M161" s="255" t="str">
        <f ca="1">+IF(AND(K161&gt;0,K158&gt;=30),LOOKUP(CELL("contenido",K161),$C$26:$D$35),"")</f>
        <v/>
      </c>
      <c r="N161" s="256">
        <f>+RIGHT(N158,2)*1-N159</f>
        <v>0</v>
      </c>
      <c r="O161" s="257" t="s">
        <v>146</v>
      </c>
      <c r="P161" s="258" t="str">
        <f ca="1">+IF(AND(N161&gt;0,K163&gt;=30),LOOKUP(CELL("contenido",N161),$C$26:$D$35),"")</f>
        <v/>
      </c>
      <c r="Q161" s="259">
        <f>+RIGHT(Q158,2)*1-Q159</f>
        <v>0</v>
      </c>
      <c r="R161" s="260" t="s">
        <v>146</v>
      </c>
      <c r="S161" s="261" t="str">
        <f ca="1">+IF(AND(Q161&gt;0,N163&gt;=30),LOOKUP(CELL("contenido",Q161),$C$26:$D$35),"")</f>
        <v/>
      </c>
      <c r="U161" s="240" t="str">
        <f ca="1">+IF(CELL("contenido",J160)&lt;&gt;"",CONCATENATE(J163," ",J162," ",J160," "),IF(CELL("contenido",J159)="",CONCATENATE(J163," ",J162," ",J161," "),CONCATENATE(J163," ",J162," ",J161," Y ",J159," ")))</f>
        <v xml:space="preserve">   </v>
      </c>
    </row>
    <row r="162" spans="4:21" ht="13.5" thickBot="1">
      <c r="D162" s="243"/>
      <c r="E162" s="247">
        <f>+RIGHT(E158,3)*1-E161-E159</f>
        <v>0</v>
      </c>
      <c r="F162" s="248" t="s">
        <v>148</v>
      </c>
      <c r="G162" s="249" t="str">
        <f ca="1">+IF((RIGHT(E158,3)*1)=100,"CIEN",IF(AND(E162&gt;0,E162&lt;1000),LOOKUP(CELL("contenido",E162),$E$26:$F$35),""))</f>
        <v/>
      </c>
      <c r="H162" s="250">
        <f>+RIGHT(H158,3)*1-H161-H159</f>
        <v>0</v>
      </c>
      <c r="I162" s="251" t="s">
        <v>148</v>
      </c>
      <c r="J162" s="252" t="str">
        <f ca="1">+IF(H158=100,"CIEN",IF(AND(H162&gt;0,H162&lt;1000),LOOKUP(CELL("contenido",H162),$E$26:$F$35),""))</f>
        <v/>
      </c>
      <c r="K162" s="253">
        <f>+RIGHT(K158,3)*1-K161-K159</f>
        <v>0</v>
      </c>
      <c r="L162" s="254" t="s">
        <v>148</v>
      </c>
      <c r="M162" s="255" t="str">
        <f ca="1">+IF(K158=100,"CIEN",IF(AND(K162&gt;0,K162&lt;1000),LOOKUP(CELL("contenido",K162),$E$26:$F$35),""))</f>
        <v/>
      </c>
      <c r="N162" s="256">
        <f>+RIGHT(N158,3)*1-N161-N159</f>
        <v>0</v>
      </c>
      <c r="O162" s="257" t="s">
        <v>148</v>
      </c>
      <c r="P162" s="258" t="str">
        <f ca="1">+IF(N158=100,"CIEN",IF(AND(N162&gt;0,N162&lt;1000),LOOKUP(CELL("contenido",N162),$E$26:$F$35),""))</f>
        <v/>
      </c>
      <c r="Q162" s="259">
        <f>+RIGHT(Q158,3)*1-Q161-Q159</f>
        <v>0</v>
      </c>
      <c r="R162" s="260" t="s">
        <v>148</v>
      </c>
      <c r="S162" s="261" t="str">
        <f ca="1">+IF(Q158=100,"CIEN",IF(AND(Q162&gt;0,Q162&lt;1000),LOOKUP(CELL("contenido",Q162),$E$26:$F$35),""))</f>
        <v/>
      </c>
      <c r="U162" s="240" t="str">
        <f ca="1">+IF(CELL("contenido",M160)&lt;&gt;"",CONCATENATE(M163," ",M162," ",M160," "),IF(CELL("contenido",M159)="",CONCATENATE(M163," ",M162," ",M161," "),CONCATENATE(M163," ",M162," ",M161," Y ",M159," ")))</f>
        <v xml:space="preserve">   </v>
      </c>
    </row>
    <row r="163" spans="4:21" ht="13.5" thickBot="1">
      <c r="D163" s="243"/>
      <c r="E163" s="263">
        <f>+RIGHT(E158,4)*1-E162-E161-E159</f>
        <v>0</v>
      </c>
      <c r="F163" s="264" t="s">
        <v>150</v>
      </c>
      <c r="G163" s="265" t="str">
        <f ca="1">+IF(E158&gt;999,"MIL",IF(AND(E163&gt;0,E163&lt;10000),LOOKUP(CELL("contenido",E163),$E$26:$F$35),""))</f>
        <v/>
      </c>
      <c r="H163" s="266">
        <f>INT(E158/1000000)</f>
        <v>0</v>
      </c>
      <c r="I163" s="267" t="s">
        <v>151</v>
      </c>
      <c r="J163" s="268" t="str">
        <f ca="1">+IF(CELL("contenido",M160)=1,"MILLÓN",IF(H163=1,"MILLÓN",IF(H163&gt;1,"MILLONES","")))</f>
        <v/>
      </c>
      <c r="K163" s="269">
        <f>+RIGHT(K158,4)*1-K162-K161-K159</f>
        <v>0</v>
      </c>
      <c r="L163" s="270" t="s">
        <v>152</v>
      </c>
      <c r="M163" s="271" t="str">
        <f ca="1">+IF(AND(K163&gt;0,K163&lt;10000),LOOKUP(CELL("contenido",K163),$E$26:$F$35),"")</f>
        <v/>
      </c>
      <c r="N163" s="272">
        <f>+RIGHT(N158,4)*1-N162-N161-N159</f>
        <v>0</v>
      </c>
      <c r="O163" s="273" t="s">
        <v>153</v>
      </c>
      <c r="P163" s="274" t="str">
        <f>+IF(N163=1,"UN MILLARDO",IF(N158&gt;1,"MILLARDOS",""))</f>
        <v/>
      </c>
      <c r="Q163" s="275">
        <f>+RIGHT(Q158,4)*1-Q162-Q161-Q159</f>
        <v>0</v>
      </c>
      <c r="R163" s="276" t="s">
        <v>153</v>
      </c>
      <c r="S163" s="277" t="str">
        <f>+IF(Q163=1,"UN MILLARDO",IF(Q158&gt;1,"MILLARDOS",""))</f>
        <v/>
      </c>
      <c r="U163" s="240" t="str">
        <f ca="1">+IF(CELL("contenido",P160)&lt;&gt;"",CONCATENATE(P163," ",P162," ",P160," "),IF(CELL("contenido",P159)="",CONCATENATE(P163," ",P162," ",P161," "),CONCATENATE(P163," ",P162," ",P161," Y ",P159," ")))</f>
        <v xml:space="preserve">   </v>
      </c>
    </row>
    <row r="164" spans="4:21" ht="13.5" thickTop="1">
      <c r="D164" s="243"/>
      <c r="E164" s="240"/>
      <c r="F164" s="240"/>
      <c r="G164" s="240"/>
      <c r="H164" s="240"/>
      <c r="I164" s="240"/>
      <c r="J164" s="278"/>
      <c r="K164" s="278"/>
      <c r="L164" s="278"/>
      <c r="M164" s="241"/>
      <c r="N164" s="241"/>
      <c r="O164" s="241"/>
      <c r="P164" s="240"/>
      <c r="Q164" s="241"/>
      <c r="R164" s="241"/>
      <c r="S164" s="240"/>
      <c r="U164" s="240" t="str">
        <f ca="1">+IF(CELL("contenido",S160)&lt;&gt;"",CONCATENATE(S162," ",S160," "),IF(CELL("contenido",S159)="",CONCATENATE(S162," ",S161," "),CONCATENATE(S162," ",S161," Y ",S159," ")))</f>
        <v xml:space="preserve">  </v>
      </c>
    </row>
    <row r="165" spans="4:21">
      <c r="D165" s="240" t="s">
        <v>166</v>
      </c>
      <c r="E165" s="240"/>
      <c r="F165" s="240"/>
      <c r="G165" s="240"/>
      <c r="H165" s="240"/>
      <c r="I165" s="240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U165" s="237"/>
    </row>
    <row r="166" spans="4:21">
      <c r="D166" s="243"/>
      <c r="E166" s="244">
        <f>ROUND(100*(A12-INT(A12)),2)</f>
        <v>23</v>
      </c>
      <c r="F166" s="240" t="s">
        <v>132</v>
      </c>
      <c r="G166" s="240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</row>
    <row r="167" spans="4:21">
      <c r="D167" s="240"/>
      <c r="E167" s="240">
        <f>+LEN(E169)</f>
        <v>2</v>
      </c>
      <c r="F167" s="240" t="s">
        <v>133</v>
      </c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</row>
    <row r="168" spans="4:21" ht="13.5" thickBot="1">
      <c r="D168" s="243"/>
      <c r="E168" s="240"/>
      <c r="F168" s="240"/>
      <c r="G168" s="240"/>
      <c r="H168" s="240"/>
      <c r="I168" s="240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</row>
    <row r="169" spans="4:21" ht="14.25" thickTop="1" thickBot="1">
      <c r="D169" s="240"/>
      <c r="E169" s="245">
        <f>+A12-E166/100</f>
        <v>13</v>
      </c>
      <c r="F169" s="1505" t="s">
        <v>136</v>
      </c>
      <c r="G169" s="1506"/>
      <c r="H169" s="246">
        <f>+IF(E169&gt;1000,INT(E169/1000),0)</f>
        <v>0</v>
      </c>
      <c r="I169" s="1505" t="s">
        <v>137</v>
      </c>
      <c r="J169" s="1506"/>
      <c r="K169" s="246">
        <f>+INT(H169/1000)</f>
        <v>0</v>
      </c>
      <c r="L169" s="1505" t="s">
        <v>138</v>
      </c>
      <c r="M169" s="1506"/>
      <c r="N169" s="246">
        <f>+INT(K169/1000)</f>
        <v>0</v>
      </c>
      <c r="O169" s="1505" t="s">
        <v>139</v>
      </c>
      <c r="P169" s="1506"/>
      <c r="Q169" s="246">
        <f>+INT(N169)</f>
        <v>0</v>
      </c>
      <c r="R169" s="1505" t="s">
        <v>139</v>
      </c>
      <c r="S169" s="1506"/>
      <c r="U169" s="240" t="str">
        <f>+IF(E166=0,CONCATENATE("00",U170),IF(E166&lt;10,CONCATENATE(" 0",E166,U170),CONCATENATE(" ",E166,U170)))</f>
        <v xml:space="preserve"> 23/100 BOLIVIANOS</v>
      </c>
    </row>
    <row r="170" spans="4:21" ht="13.5" thickBot="1">
      <c r="D170" s="243"/>
      <c r="E170" s="247">
        <f>+RIGHT(E169)*1</f>
        <v>3</v>
      </c>
      <c r="F170" s="248" t="s">
        <v>141</v>
      </c>
      <c r="G170" s="249" t="str">
        <f ca="1">+IF(AND(E170&gt;0,E170&lt;10),LOOKUP(CELL("contenido",E170),$A$26:$B$35),"")</f>
        <v>TRES</v>
      </c>
      <c r="H170" s="250">
        <f>+RIGHT(H169)*1</f>
        <v>0</v>
      </c>
      <c r="I170" s="251" t="s">
        <v>141</v>
      </c>
      <c r="J170" s="252" t="str">
        <f ca="1">IF(E169&lt;2000,"",IF(CELL("contenido",H170)=1,"UN",IF(AND(H170&gt;0,H170&lt;10),LOOKUP(CELL("contenido",H170),$A$26:$B$35),"")))</f>
        <v/>
      </c>
      <c r="K170" s="253">
        <f>+RIGHT(K169)*1</f>
        <v>0</v>
      </c>
      <c r="L170" s="254" t="s">
        <v>141</v>
      </c>
      <c r="M170" s="255" t="str">
        <f ca="1">+IF(CELL("contenido",K170)=1,"UN",IF(AND(K170&gt;0,K170&lt;10),LOOKUP(CELL("contenido",K170),$A$26:$B$35),""))</f>
        <v/>
      </c>
      <c r="N170" s="256">
        <f>+RIGHT(N169)*1</f>
        <v>0</v>
      </c>
      <c r="O170" s="257" t="s">
        <v>141</v>
      </c>
      <c r="P170" s="258" t="str">
        <f ca="1">+IF(CELL("contenido",N170)=1,"UN",IF(AND(N170&gt;0,N170&lt;10),LOOKUP(CELL("contenido",N170),$A$26:$B$35),""))</f>
        <v/>
      </c>
      <c r="Q170" s="259">
        <f>+RIGHT(Q169)*1</f>
        <v>0</v>
      </c>
      <c r="R170" s="260" t="s">
        <v>141</v>
      </c>
      <c r="S170" s="261" t="str">
        <f ca="1">+IF(CELL("contenido",Q170)=1,"UN",IF(AND(Q170&gt;0,Q170&lt;10),LOOKUP(CELL("contenido",Q170),$A$26:$B$35),""))</f>
        <v/>
      </c>
      <c r="U170" s="262" t="s">
        <v>142</v>
      </c>
    </row>
    <row r="171" spans="4:21" ht="13.5" thickBot="1">
      <c r="D171" s="243"/>
      <c r="E171" s="247">
        <f>+RIGHT(E169,2)*1</f>
        <v>13</v>
      </c>
      <c r="F171" s="248" t="s">
        <v>144</v>
      </c>
      <c r="G171" s="249" t="str">
        <f ca="1">IF(AND(E171&gt;0,E171&lt;30),LOOKUP(CELL("contenido",E171),$A$26:$B$55),"")</f>
        <v>TRECE</v>
      </c>
      <c r="H171" s="250">
        <f>+RIGHT(H169,2)*1</f>
        <v>0</v>
      </c>
      <c r="I171" s="251" t="s">
        <v>144</v>
      </c>
      <c r="J171" s="252" t="str">
        <f ca="1">IF(E169&lt;2000,"",IF(CELL("contenido",H171)=1,"UN",IF(AND(H171&gt;0,H171&lt;30),LOOKUP(CELL("contenido",H171),$A$26:$B$55),"")))</f>
        <v/>
      </c>
      <c r="K171" s="253">
        <f>+RIGHT(K169,2)*1</f>
        <v>0</v>
      </c>
      <c r="L171" s="254" t="s">
        <v>144</v>
      </c>
      <c r="M171" s="255" t="str">
        <f ca="1">IF(CELL("contenido",K171)=1,"UN",IF(AND(K171&gt;0,K171&lt;30),LOOKUP(CELL("contenido",K171),$A$26:$B$55),""))</f>
        <v/>
      </c>
      <c r="N171" s="256">
        <f>+RIGHT(N169,2)*1</f>
        <v>0</v>
      </c>
      <c r="O171" s="257" t="s">
        <v>144</v>
      </c>
      <c r="P171" s="258" t="str">
        <f ca="1">IF(CELL("contenido",N171)=1,"UN",IF(AND(N171&gt;0,N171&lt;30),LOOKUP(CELL("contenido",N171),$A$26:$B$55),""))</f>
        <v/>
      </c>
      <c r="Q171" s="259">
        <f>+RIGHT(Q169,2)*1</f>
        <v>0</v>
      </c>
      <c r="R171" s="260" t="s">
        <v>144</v>
      </c>
      <c r="S171" s="261" t="str">
        <f ca="1">IF(CELL("contenido",Q171)=1,"UN",IF(AND(Q171&gt;0,Q171&lt;30),LOOKUP(CELL("contenido",Q171),$A$26:$B$55),""))</f>
        <v/>
      </c>
      <c r="U171" s="240" t="str">
        <f ca="1">+IF(CELL("contenido",G171)&lt;&gt;"",CONCATENATE(G174," ",G173," ",G171," ",U169),IF(CELL("contenido",G170)="",CONCATENATE(G174," ",G173," ",G172," ",U169),CONCATENATE(G174," ",G173," ",G172," Y ",G170," ",U169)))</f>
        <v xml:space="preserve">  TRECE  23/100 BOLIVIANOS</v>
      </c>
    </row>
    <row r="172" spans="4:21" ht="13.5" thickBot="1">
      <c r="D172" s="243"/>
      <c r="E172" s="247">
        <f>+RIGHT(E169,2)*1-E170</f>
        <v>10</v>
      </c>
      <c r="F172" s="248" t="s">
        <v>146</v>
      </c>
      <c r="G172" s="249" t="str">
        <f ca="1">+IF(AND(E172&gt;0,E169&gt;=30),LOOKUP(CELL("contenido",E172),$C$26:$D$35),"")</f>
        <v/>
      </c>
      <c r="H172" s="250">
        <f>+RIGHT(H169,2)*1-H170</f>
        <v>0</v>
      </c>
      <c r="I172" s="251" t="s">
        <v>146</v>
      </c>
      <c r="J172" s="252" t="str">
        <f ca="1">+IF(AND(H172&gt;0,H169&gt;=30),LOOKUP(CELL("contenido",H172),$C$26:$D$35),"")</f>
        <v/>
      </c>
      <c r="K172" s="253">
        <f>+RIGHT(K169,2)*1-K170</f>
        <v>0</v>
      </c>
      <c r="L172" s="254" t="s">
        <v>146</v>
      </c>
      <c r="M172" s="255" t="str">
        <f ca="1">+IF(AND(K172&gt;0,K169&gt;=30),LOOKUP(CELL("contenido",K172),$C$26:$D$35),"")</f>
        <v/>
      </c>
      <c r="N172" s="256">
        <f>+RIGHT(N169,2)*1-N170</f>
        <v>0</v>
      </c>
      <c r="O172" s="257" t="s">
        <v>146</v>
      </c>
      <c r="P172" s="258" t="str">
        <f ca="1">+IF(AND(N172&gt;0,K174&gt;=30),LOOKUP(CELL("contenido",N172),$C$26:$D$35),"")</f>
        <v/>
      </c>
      <c r="Q172" s="259">
        <f>+RIGHT(Q169,2)*1-Q170</f>
        <v>0</v>
      </c>
      <c r="R172" s="260" t="s">
        <v>146</v>
      </c>
      <c r="S172" s="261" t="str">
        <f ca="1">+IF(AND(Q172&gt;0,N174&gt;=30),LOOKUP(CELL("contenido",Q172),$C$26:$D$35),"")</f>
        <v/>
      </c>
      <c r="U172" s="240" t="str">
        <f ca="1">+IF(CELL("contenido",J171)&lt;&gt;"",CONCATENATE(J174," ",J173," ",J171," "),IF(CELL("contenido",J170)="",CONCATENATE(J174," ",J173," ",J172," "),CONCATENATE(J174," ",J173," ",J172," Y ",J170," ")))</f>
        <v xml:space="preserve">   </v>
      </c>
    </row>
    <row r="173" spans="4:21" ht="13.5" thickBot="1">
      <c r="D173" s="243"/>
      <c r="E173" s="247">
        <f>+RIGHT(E169,3)*1-E172-E170</f>
        <v>0</v>
      </c>
      <c r="F173" s="248" t="s">
        <v>148</v>
      </c>
      <c r="G173" s="249" t="str">
        <f ca="1">+IF((RIGHT(E169,3)*1)=100,"CIEN",IF(AND(E173&gt;0,E173&lt;1000),LOOKUP(CELL("contenido",E173),$E$26:$F$35),""))</f>
        <v/>
      </c>
      <c r="H173" s="250">
        <f>+RIGHT(H169,3)*1-H172-H170</f>
        <v>0</v>
      </c>
      <c r="I173" s="251" t="s">
        <v>148</v>
      </c>
      <c r="J173" s="252" t="str">
        <f ca="1">+IF(H169=100,"CIEN",IF(AND(H173&gt;0,H173&lt;1000),LOOKUP(CELL("contenido",H173),$E$26:$F$35),""))</f>
        <v/>
      </c>
      <c r="K173" s="253">
        <f>+RIGHT(K169,3)*1-K172-K170</f>
        <v>0</v>
      </c>
      <c r="L173" s="254" t="s">
        <v>148</v>
      </c>
      <c r="M173" s="255" t="str">
        <f ca="1">+IF(K169=100,"CIEN",IF(AND(K173&gt;0,K173&lt;1000),LOOKUP(CELL("contenido",K173),$E$26:$F$35),""))</f>
        <v/>
      </c>
      <c r="N173" s="256">
        <f>+RIGHT(N169,3)*1-N172-N170</f>
        <v>0</v>
      </c>
      <c r="O173" s="257" t="s">
        <v>148</v>
      </c>
      <c r="P173" s="258" t="str">
        <f ca="1">+IF(N169=100,"CIEN",IF(AND(N173&gt;0,N173&lt;1000),LOOKUP(CELL("contenido",N173),$E$26:$F$35),""))</f>
        <v/>
      </c>
      <c r="Q173" s="259">
        <f>+RIGHT(Q169,3)*1-Q172-Q170</f>
        <v>0</v>
      </c>
      <c r="R173" s="260" t="s">
        <v>148</v>
      </c>
      <c r="S173" s="261" t="str">
        <f ca="1">+IF(Q169=100,"CIEN",IF(AND(Q173&gt;0,Q173&lt;1000),LOOKUP(CELL("contenido",Q173),$E$26:$F$35),""))</f>
        <v/>
      </c>
      <c r="U173" s="240" t="str">
        <f ca="1">+IF(CELL("contenido",M171)&lt;&gt;"",CONCATENATE(M174," ",M173," ",M171," "),IF(CELL("contenido",M170)="",CONCATENATE(M174," ",M173," ",M172," "),CONCATENATE(M174," ",M173," ",M172," Y ",M170," ")))</f>
        <v xml:space="preserve">   </v>
      </c>
    </row>
    <row r="174" spans="4:21" ht="13.5" thickBot="1">
      <c r="D174" s="243"/>
      <c r="E174" s="263">
        <f>+RIGHT(E169,4)*1-E173-E172-E170</f>
        <v>0</v>
      </c>
      <c r="F174" s="264" t="s">
        <v>150</v>
      </c>
      <c r="G174" s="265" t="str">
        <f ca="1">+IF(E169&gt;999,"MIL",IF(AND(E174&gt;0,E174&lt;10000),LOOKUP(CELL("contenido",E174),$E$26:$F$35),""))</f>
        <v/>
      </c>
      <c r="H174" s="266">
        <f>INT(E169/1000000)</f>
        <v>0</v>
      </c>
      <c r="I174" s="267" t="s">
        <v>151</v>
      </c>
      <c r="J174" s="268" t="str">
        <f ca="1">+IF(CELL("contenido",M171)=1,"MILLÓN",IF(H174=1,"MILLÓN",IF(H174&gt;1,"MILLONES","")))</f>
        <v/>
      </c>
      <c r="K174" s="269">
        <f>+RIGHT(K169,4)*1-K173-K172-K170</f>
        <v>0</v>
      </c>
      <c r="L174" s="270" t="s">
        <v>152</v>
      </c>
      <c r="M174" s="271" t="str">
        <f ca="1">+IF(AND(K174&gt;0,K174&lt;10000),LOOKUP(CELL("contenido",K174),$E$26:$F$35),"")</f>
        <v/>
      </c>
      <c r="N174" s="272">
        <f>+RIGHT(N169,4)*1-N173-N172-N170</f>
        <v>0</v>
      </c>
      <c r="O174" s="273" t="s">
        <v>153</v>
      </c>
      <c r="P174" s="274" t="str">
        <f>+IF(N174=1,"UN MILLARDO",IF(N169&gt;1,"MILLARDOS",""))</f>
        <v/>
      </c>
      <c r="Q174" s="275">
        <f>+RIGHT(Q169,4)*1-Q173-Q172-Q170</f>
        <v>0</v>
      </c>
      <c r="R174" s="276" t="s">
        <v>153</v>
      </c>
      <c r="S174" s="277" t="str">
        <f>+IF(Q174=1,"UN MILLARDO",IF(Q169&gt;1,"MILLARDOS",""))</f>
        <v/>
      </c>
      <c r="U174" s="240" t="str">
        <f ca="1">+IF(CELL("contenido",P171)&lt;&gt;"",CONCATENATE(P174," ",P173," ",P171," "),IF(CELL("contenido",P170)="",CONCATENATE(P174," ",P173," ",P172," "),CONCATENATE(P174," ",P173," ",P172," Y ",P170," ")))</f>
        <v xml:space="preserve">   </v>
      </c>
    </row>
    <row r="175" spans="4:21" ht="13.5" thickTop="1">
      <c r="D175" s="243"/>
      <c r="E175" s="240"/>
      <c r="F175" s="240"/>
      <c r="G175" s="240"/>
      <c r="H175" s="240"/>
      <c r="I175" s="240"/>
      <c r="J175" s="278"/>
      <c r="K175" s="278"/>
      <c r="L175" s="278"/>
      <c r="M175" s="241"/>
      <c r="N175" s="241"/>
      <c r="O175" s="241"/>
      <c r="P175" s="240"/>
      <c r="Q175" s="241"/>
      <c r="R175" s="241"/>
      <c r="S175" s="240"/>
      <c r="U175" s="240" t="str">
        <f ca="1">+IF(CELL("contenido",S171)&lt;&gt;"",CONCATENATE(S173," ",S171," "),IF(CELL("contenido",S170)="",CONCATENATE(S173," ",S172," "),CONCATENATE(S173," ",S172," Y ",S170," ")))</f>
        <v xml:space="preserve">  </v>
      </c>
    </row>
    <row r="176" spans="4:21">
      <c r="D176" s="240" t="s">
        <v>167</v>
      </c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U176" s="237"/>
    </row>
    <row r="177" spans="4:21">
      <c r="D177" s="243"/>
      <c r="E177" s="244">
        <f>ROUND(100*(A13-INT(A13)),2)</f>
        <v>96</v>
      </c>
      <c r="F177" s="240" t="s">
        <v>132</v>
      </c>
      <c r="G177" s="240"/>
      <c r="H177" s="240"/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</row>
    <row r="178" spans="4:21">
      <c r="D178" s="240"/>
      <c r="E178" s="240">
        <f>+LEN(E180)</f>
        <v>2</v>
      </c>
      <c r="F178" s="240" t="s">
        <v>133</v>
      </c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</row>
    <row r="179" spans="4:21" ht="13.5" thickBot="1">
      <c r="D179" s="243"/>
      <c r="E179" s="240"/>
      <c r="F179" s="240"/>
      <c r="G179" s="240"/>
      <c r="H179" s="240"/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</row>
    <row r="180" spans="4:21" ht="14.25" thickTop="1" thickBot="1">
      <c r="D180" s="240"/>
      <c r="E180" s="245">
        <f>+A13-E177/100</f>
        <v>20</v>
      </c>
      <c r="F180" s="1505" t="s">
        <v>136</v>
      </c>
      <c r="G180" s="1506"/>
      <c r="H180" s="246">
        <f>+IF(E180&gt;1000,INT(E180/1000),0)</f>
        <v>0</v>
      </c>
      <c r="I180" s="1505" t="s">
        <v>137</v>
      </c>
      <c r="J180" s="1506"/>
      <c r="K180" s="246">
        <f>+INT(H180/1000)</f>
        <v>0</v>
      </c>
      <c r="L180" s="1505" t="s">
        <v>138</v>
      </c>
      <c r="M180" s="1506"/>
      <c r="N180" s="246">
        <f>+INT(K180/1000)</f>
        <v>0</v>
      </c>
      <c r="O180" s="1505" t="s">
        <v>139</v>
      </c>
      <c r="P180" s="1506"/>
      <c r="Q180" s="246">
        <f>+INT(N180)</f>
        <v>0</v>
      </c>
      <c r="R180" s="1505" t="s">
        <v>139</v>
      </c>
      <c r="S180" s="1506"/>
      <c r="U180" s="240" t="str">
        <f>+IF(E177=0,CONCATENATE("00",U181),IF(E177&lt;10,CONCATENATE(" 0",E177,U181),CONCATENATE(" ",E177,U181)))</f>
        <v xml:space="preserve"> 96/100 BOLIVIANOS</v>
      </c>
    </row>
    <row r="181" spans="4:21" ht="13.5" thickBot="1">
      <c r="D181" s="243"/>
      <c r="E181" s="247">
        <f>+RIGHT(E180)*1</f>
        <v>0</v>
      </c>
      <c r="F181" s="248" t="s">
        <v>141</v>
      </c>
      <c r="G181" s="249" t="str">
        <f ca="1">+IF(AND(E181&gt;0,E181&lt;10),LOOKUP(CELL("contenido",E181),$A$26:$B$35),"")</f>
        <v/>
      </c>
      <c r="H181" s="250">
        <f>+RIGHT(H180)*1</f>
        <v>0</v>
      </c>
      <c r="I181" s="251" t="s">
        <v>141</v>
      </c>
      <c r="J181" s="252" t="str">
        <f ca="1">IF(E180&lt;2000,"",IF(CELL("contenido",H181)=1,"UN",IF(AND(H181&gt;0,H181&lt;10),LOOKUP(CELL("contenido",H181),$A$26:$B$35),"")))</f>
        <v/>
      </c>
      <c r="K181" s="253">
        <f>+RIGHT(K180)*1</f>
        <v>0</v>
      </c>
      <c r="L181" s="254" t="s">
        <v>141</v>
      </c>
      <c r="M181" s="255" t="str">
        <f ca="1">+IF(CELL("contenido",K181)=1,"UN",IF(AND(K181&gt;0,K181&lt;10),LOOKUP(CELL("contenido",K181),$A$26:$B$35),""))</f>
        <v/>
      </c>
      <c r="N181" s="256">
        <f>+RIGHT(N180)*1</f>
        <v>0</v>
      </c>
      <c r="O181" s="257" t="s">
        <v>141</v>
      </c>
      <c r="P181" s="258" t="str">
        <f ca="1">+IF(CELL("contenido",N181)=1,"UN",IF(AND(N181&gt;0,N181&lt;10),LOOKUP(CELL("contenido",N181),$A$26:$B$35),""))</f>
        <v/>
      </c>
      <c r="Q181" s="259">
        <f>+RIGHT(Q180)*1</f>
        <v>0</v>
      </c>
      <c r="R181" s="260" t="s">
        <v>141</v>
      </c>
      <c r="S181" s="261" t="str">
        <f ca="1">+IF(CELL("contenido",Q181)=1,"UN",IF(AND(Q181&gt;0,Q181&lt;10),LOOKUP(CELL("contenido",Q181),$A$26:$B$35),""))</f>
        <v/>
      </c>
      <c r="U181" s="262" t="s">
        <v>142</v>
      </c>
    </row>
    <row r="182" spans="4:21" ht="13.5" thickBot="1">
      <c r="D182" s="243"/>
      <c r="E182" s="247">
        <f>+RIGHT(E180,2)*1</f>
        <v>20</v>
      </c>
      <c r="F182" s="248" t="s">
        <v>144</v>
      </c>
      <c r="G182" s="249" t="str">
        <f ca="1">IF(AND(E182&gt;0,E182&lt;30),LOOKUP(CELL("contenido",E182),$A$26:$B$55),"")</f>
        <v>VEINTE</v>
      </c>
      <c r="H182" s="250">
        <f>+RIGHT(H180,2)*1</f>
        <v>0</v>
      </c>
      <c r="I182" s="251" t="s">
        <v>144</v>
      </c>
      <c r="J182" s="252" t="str">
        <f ca="1">IF(E180&lt;2000,"",IF(CELL("contenido",H182)=1,"UN",IF(AND(H182&gt;0,H182&lt;30),LOOKUP(CELL("contenido",H182),$A$26:$B$55),"")))</f>
        <v/>
      </c>
      <c r="K182" s="253">
        <f>+RIGHT(K180,2)*1</f>
        <v>0</v>
      </c>
      <c r="L182" s="254" t="s">
        <v>144</v>
      </c>
      <c r="M182" s="255" t="str">
        <f ca="1">IF(CELL("contenido",K182)=1,"UN",IF(AND(K182&gt;0,K182&lt;30),LOOKUP(CELL("contenido",K182),$A$26:$B$55),""))</f>
        <v/>
      </c>
      <c r="N182" s="256">
        <f>+RIGHT(N180,2)*1</f>
        <v>0</v>
      </c>
      <c r="O182" s="257" t="s">
        <v>144</v>
      </c>
      <c r="P182" s="258" t="str">
        <f ca="1">IF(CELL("contenido",N182)=1,"UN",IF(AND(N182&gt;0,N182&lt;30),LOOKUP(CELL("contenido",N182),$A$26:$B$55),""))</f>
        <v/>
      </c>
      <c r="Q182" s="259">
        <f>+RIGHT(Q180,2)*1</f>
        <v>0</v>
      </c>
      <c r="R182" s="260" t="s">
        <v>144</v>
      </c>
      <c r="S182" s="261" t="str">
        <f ca="1">IF(CELL("contenido",Q182)=1,"UN",IF(AND(Q182&gt;0,Q182&lt;30),LOOKUP(CELL("contenido",Q182),$A$26:$B$55),""))</f>
        <v/>
      </c>
      <c r="U182" s="240" t="str">
        <f ca="1">+IF(CELL("contenido",G182)&lt;&gt;"",CONCATENATE(G185," ",G184," ",G182," ",U180),IF(CELL("contenido",G181)="",CONCATENATE(G185," ",G184," ",G183," ",U180),CONCATENATE(G185," ",G184," ",G183," Y ",G181," ",U180)))</f>
        <v xml:space="preserve">  VEINTE  96/100 BOLIVIANOS</v>
      </c>
    </row>
    <row r="183" spans="4:21" ht="13.5" thickBot="1">
      <c r="D183" s="243"/>
      <c r="E183" s="247">
        <f>+RIGHT(E180,2)*1-E181</f>
        <v>20</v>
      </c>
      <c r="F183" s="248" t="s">
        <v>146</v>
      </c>
      <c r="G183" s="249" t="str">
        <f ca="1">+IF(AND(E183&gt;0,E180&gt;=30),LOOKUP(CELL("contenido",E183),$C$26:$D$35),"")</f>
        <v/>
      </c>
      <c r="H183" s="250">
        <f>+RIGHT(H180,2)*1-H181</f>
        <v>0</v>
      </c>
      <c r="I183" s="251" t="s">
        <v>146</v>
      </c>
      <c r="J183" s="252" t="str">
        <f ca="1">+IF(AND(H183&gt;0,H180&gt;=30),LOOKUP(CELL("contenido",H183),$C$26:$D$35),"")</f>
        <v/>
      </c>
      <c r="K183" s="253">
        <f>+RIGHT(K180,2)*1-K181</f>
        <v>0</v>
      </c>
      <c r="L183" s="254" t="s">
        <v>146</v>
      </c>
      <c r="M183" s="255" t="str">
        <f ca="1">+IF(AND(K183&gt;0,K180&gt;=30),LOOKUP(CELL("contenido",K183),$C$26:$D$35),"")</f>
        <v/>
      </c>
      <c r="N183" s="256">
        <f>+RIGHT(N180,2)*1-N181</f>
        <v>0</v>
      </c>
      <c r="O183" s="257" t="s">
        <v>146</v>
      </c>
      <c r="P183" s="258" t="str">
        <f ca="1">+IF(AND(N183&gt;0,K185&gt;=30),LOOKUP(CELL("contenido",N183),$C$26:$D$35),"")</f>
        <v/>
      </c>
      <c r="Q183" s="259">
        <f>+RIGHT(Q180,2)*1-Q181</f>
        <v>0</v>
      </c>
      <c r="R183" s="260" t="s">
        <v>146</v>
      </c>
      <c r="S183" s="261" t="str">
        <f ca="1">+IF(AND(Q183&gt;0,N185&gt;=30),LOOKUP(CELL("contenido",Q183),$C$26:$D$35),"")</f>
        <v/>
      </c>
      <c r="U183" s="240" t="str">
        <f ca="1">+IF(CELL("contenido",J182)&lt;&gt;"",CONCATENATE(J185," ",J184," ",J182," "),IF(CELL("contenido",J181)="",CONCATENATE(J185," ",J184," ",J183," "),CONCATENATE(J185," ",J184," ",J183," Y ",J181," ")))</f>
        <v xml:space="preserve">   </v>
      </c>
    </row>
    <row r="184" spans="4:21" ht="13.5" thickBot="1">
      <c r="D184" s="243"/>
      <c r="E184" s="247">
        <f>+RIGHT(E180,3)*1-E183-E181</f>
        <v>0</v>
      </c>
      <c r="F184" s="248" t="s">
        <v>148</v>
      </c>
      <c r="G184" s="249" t="str">
        <f ca="1">+IF((RIGHT(E180,3)*1)=100,"CIEN",IF(AND(E184&gt;0,E184&lt;1000),LOOKUP(CELL("contenido",E184),$E$26:$F$35),""))</f>
        <v/>
      </c>
      <c r="H184" s="250">
        <f>+RIGHT(H180,3)*1-H183-H181</f>
        <v>0</v>
      </c>
      <c r="I184" s="251" t="s">
        <v>148</v>
      </c>
      <c r="J184" s="252" t="str">
        <f ca="1">+IF(H180=100,"CIEN",IF(AND(H184&gt;0,H184&lt;1000),LOOKUP(CELL("contenido",H184),$E$26:$F$35),""))</f>
        <v/>
      </c>
      <c r="K184" s="253">
        <f>+RIGHT(K180,3)*1-K183-K181</f>
        <v>0</v>
      </c>
      <c r="L184" s="254" t="s">
        <v>148</v>
      </c>
      <c r="M184" s="255" t="str">
        <f ca="1">+IF(K180=100,"CIEN",IF(AND(K184&gt;0,K184&lt;1000),LOOKUP(CELL("contenido",K184),$E$26:$F$35),""))</f>
        <v/>
      </c>
      <c r="N184" s="256">
        <f>+RIGHT(N180,3)*1-N183-N181</f>
        <v>0</v>
      </c>
      <c r="O184" s="257" t="s">
        <v>148</v>
      </c>
      <c r="P184" s="258" t="str">
        <f ca="1">+IF(N180=100,"CIEN",IF(AND(N184&gt;0,N184&lt;1000),LOOKUP(CELL("contenido",N184),$E$26:$F$35),""))</f>
        <v/>
      </c>
      <c r="Q184" s="259">
        <f>+RIGHT(Q180,3)*1-Q183-Q181</f>
        <v>0</v>
      </c>
      <c r="R184" s="260" t="s">
        <v>148</v>
      </c>
      <c r="S184" s="261" t="str">
        <f ca="1">+IF(Q180=100,"CIEN",IF(AND(Q184&gt;0,Q184&lt;1000),LOOKUP(CELL("contenido",Q184),$E$26:$F$35),""))</f>
        <v/>
      </c>
      <c r="U184" s="240" t="str">
        <f ca="1">+IF(CELL("contenido",M182)&lt;&gt;"",CONCATENATE(M185," ",M184," ",M182," "),IF(CELL("contenido",M181)="",CONCATENATE(M185," ",M184," ",M183," "),CONCATENATE(M185," ",M184," ",M183," Y ",M181," ")))</f>
        <v xml:space="preserve">   </v>
      </c>
    </row>
    <row r="185" spans="4:21" ht="13.5" thickBot="1">
      <c r="D185" s="243"/>
      <c r="E185" s="263">
        <f>+RIGHT(E180,4)*1-E184-E183-E181</f>
        <v>0</v>
      </c>
      <c r="F185" s="264" t="s">
        <v>150</v>
      </c>
      <c r="G185" s="265" t="str">
        <f ca="1">+IF(E180&gt;999,"MIL",IF(AND(E185&gt;0,E185&lt;10000),LOOKUP(CELL("contenido",E185),$E$26:$F$35),""))</f>
        <v/>
      </c>
      <c r="H185" s="266">
        <f>INT(E180/1000000)</f>
        <v>0</v>
      </c>
      <c r="I185" s="267" t="s">
        <v>151</v>
      </c>
      <c r="J185" s="268" t="str">
        <f ca="1">+IF(CELL("contenido",M182)=1,"MILLÓN",IF(H185=1,"MILLÓN",IF(H185&gt;1,"MILLONES","")))</f>
        <v/>
      </c>
      <c r="K185" s="269">
        <f>+RIGHT(K180,4)*1-K184-K183-K181</f>
        <v>0</v>
      </c>
      <c r="L185" s="270" t="s">
        <v>152</v>
      </c>
      <c r="M185" s="271" t="str">
        <f ca="1">+IF(AND(K185&gt;0,K185&lt;10000),LOOKUP(CELL("contenido",K185),$E$26:$F$35),"")</f>
        <v/>
      </c>
      <c r="N185" s="272">
        <f>+RIGHT(N180,4)*1-N184-N183-N181</f>
        <v>0</v>
      </c>
      <c r="O185" s="273" t="s">
        <v>153</v>
      </c>
      <c r="P185" s="274" t="str">
        <f>+IF(N185=1,"UN MILLARDO",IF(N180&gt;1,"MILLARDOS",""))</f>
        <v/>
      </c>
      <c r="Q185" s="275">
        <f>+RIGHT(Q180,4)*1-Q184-Q183-Q181</f>
        <v>0</v>
      </c>
      <c r="R185" s="276" t="s">
        <v>153</v>
      </c>
      <c r="S185" s="277" t="str">
        <f>+IF(Q185=1,"UN MILLARDO",IF(Q180&gt;1,"MILLARDOS",""))</f>
        <v/>
      </c>
      <c r="U185" s="240" t="str">
        <f ca="1">+IF(CELL("contenido",P182)&lt;&gt;"",CONCATENATE(P185," ",P184," ",P182," "),IF(CELL("contenido",P181)="",CONCATENATE(P185," ",P184," ",P183," "),CONCATENATE(P185," ",P184," ",P183," Y ",P181," ")))</f>
        <v xml:space="preserve">   </v>
      </c>
    </row>
    <row r="186" spans="4:21" ht="13.5" thickTop="1">
      <c r="D186" s="243"/>
      <c r="E186" s="240"/>
      <c r="F186" s="240"/>
      <c r="G186" s="240"/>
      <c r="H186" s="240"/>
      <c r="I186" s="240"/>
      <c r="J186" s="278"/>
      <c r="K186" s="278"/>
      <c r="L186" s="278"/>
      <c r="M186" s="241"/>
      <c r="N186" s="241"/>
      <c r="O186" s="241"/>
      <c r="P186" s="240"/>
      <c r="Q186" s="241"/>
      <c r="R186" s="241"/>
      <c r="S186" s="240"/>
      <c r="U186" s="240" t="str">
        <f ca="1">+IF(CELL("contenido",S182)&lt;&gt;"",CONCATENATE(S184," ",S182," "),IF(CELL("contenido",S181)="",CONCATENATE(S184," ",S183," "),CONCATENATE(S184," ",S183," Y ",S181," ")))</f>
        <v xml:space="preserve">  </v>
      </c>
    </row>
    <row r="187" spans="4:21">
      <c r="D187" s="240" t="s">
        <v>168</v>
      </c>
      <c r="E187" s="240"/>
      <c r="F187" s="240"/>
      <c r="G187" s="240"/>
      <c r="H187" s="240"/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U187" s="237"/>
    </row>
    <row r="188" spans="4:21">
      <c r="D188" s="243"/>
      <c r="E188" s="244">
        <f>ROUND(100*(A14-INT(A14)),2)</f>
        <v>15</v>
      </c>
      <c r="F188" s="240" t="s">
        <v>132</v>
      </c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</row>
    <row r="189" spans="4:21">
      <c r="D189" s="240"/>
      <c r="E189" s="240">
        <f>+LEN(E191)</f>
        <v>2</v>
      </c>
      <c r="F189" s="240" t="s">
        <v>133</v>
      </c>
      <c r="G189" s="240"/>
      <c r="H189" s="240"/>
      <c r="I189" s="240"/>
      <c r="J189" s="240"/>
      <c r="K189" s="240"/>
      <c r="L189" s="240"/>
      <c r="M189" s="240"/>
      <c r="N189" s="240"/>
      <c r="O189" s="240"/>
      <c r="P189" s="240"/>
      <c r="Q189" s="240"/>
      <c r="R189" s="240"/>
      <c r="S189" s="240"/>
    </row>
    <row r="190" spans="4:21" ht="13.5" thickBot="1">
      <c r="D190" s="243"/>
      <c r="E190" s="240"/>
      <c r="F190" s="240"/>
      <c r="G190" s="240"/>
      <c r="H190" s="240"/>
      <c r="I190" s="240"/>
      <c r="J190" s="240"/>
      <c r="K190" s="240"/>
      <c r="L190" s="240"/>
      <c r="M190" s="240"/>
      <c r="N190" s="240"/>
      <c r="O190" s="240"/>
      <c r="P190" s="240"/>
      <c r="Q190" s="240"/>
      <c r="R190" s="240"/>
      <c r="S190" s="240"/>
    </row>
    <row r="191" spans="4:21" ht="14.25" thickTop="1" thickBot="1">
      <c r="D191" s="240"/>
      <c r="E191" s="245">
        <f>+A14-E188/100</f>
        <v>40.000000000000007</v>
      </c>
      <c r="F191" s="1505" t="s">
        <v>136</v>
      </c>
      <c r="G191" s="1506"/>
      <c r="H191" s="246">
        <f>+IF(E191&gt;1000,INT(E191/1000),0)</f>
        <v>0</v>
      </c>
      <c r="I191" s="1505" t="s">
        <v>137</v>
      </c>
      <c r="J191" s="1506"/>
      <c r="K191" s="246">
        <f>+INT(H191/1000)</f>
        <v>0</v>
      </c>
      <c r="L191" s="1505" t="s">
        <v>138</v>
      </c>
      <c r="M191" s="1506"/>
      <c r="N191" s="246">
        <f>+INT(K191/1000)</f>
        <v>0</v>
      </c>
      <c r="O191" s="1505" t="s">
        <v>139</v>
      </c>
      <c r="P191" s="1506"/>
      <c r="Q191" s="246">
        <f>+INT(N191)</f>
        <v>0</v>
      </c>
      <c r="R191" s="1505" t="s">
        <v>139</v>
      </c>
      <c r="S191" s="1506"/>
      <c r="U191" s="240" t="str">
        <f>+IF(E188=0,CONCATENATE("00",U192),IF(E188&lt;10,CONCATENATE(" 0",E188,U192),CONCATENATE(" ",E188,U192)))</f>
        <v xml:space="preserve"> 15/100 BOLIVIANOS</v>
      </c>
    </row>
    <row r="192" spans="4:21" ht="13.5" thickBot="1">
      <c r="D192" s="243"/>
      <c r="E192" s="247">
        <f>+RIGHT(E191)*1</f>
        <v>0</v>
      </c>
      <c r="F192" s="248" t="s">
        <v>141</v>
      </c>
      <c r="G192" s="249" t="str">
        <f ca="1">+IF(AND(E192&gt;0,E192&lt;10),LOOKUP(CELL("contenido",E192),$A$26:$B$35),"")</f>
        <v/>
      </c>
      <c r="H192" s="250">
        <f>+RIGHT(H191)*1</f>
        <v>0</v>
      </c>
      <c r="I192" s="251" t="s">
        <v>141</v>
      </c>
      <c r="J192" s="252" t="str">
        <f ca="1">IF(E191&lt;2000,"",IF(CELL("contenido",H192)=1,"UN",IF(AND(H192&gt;0,H192&lt;10),LOOKUP(CELL("contenido",H192),$A$26:$B$35),"")))</f>
        <v/>
      </c>
      <c r="K192" s="253">
        <f>+RIGHT(K191)*1</f>
        <v>0</v>
      </c>
      <c r="L192" s="254" t="s">
        <v>141</v>
      </c>
      <c r="M192" s="255" t="str">
        <f ca="1">+IF(CELL("contenido",K192)=1,"UN",IF(AND(K192&gt;0,K192&lt;10),LOOKUP(CELL("contenido",K192),$A$26:$B$35),""))</f>
        <v/>
      </c>
      <c r="N192" s="256">
        <f>+RIGHT(N191)*1</f>
        <v>0</v>
      </c>
      <c r="O192" s="257" t="s">
        <v>141</v>
      </c>
      <c r="P192" s="258" t="str">
        <f ca="1">+IF(CELL("contenido",N192)=1,"UN",IF(AND(N192&gt;0,N192&lt;10),LOOKUP(CELL("contenido",N192),$A$26:$B$35),""))</f>
        <v/>
      </c>
      <c r="Q192" s="259">
        <f>+RIGHT(Q191)*1</f>
        <v>0</v>
      </c>
      <c r="R192" s="260" t="s">
        <v>141</v>
      </c>
      <c r="S192" s="261" t="str">
        <f ca="1">+IF(CELL("contenido",Q192)=1,"UN",IF(AND(Q192&gt;0,Q192&lt;10),LOOKUP(CELL("contenido",Q192),$A$26:$B$35),""))</f>
        <v/>
      </c>
      <c r="U192" s="262" t="s">
        <v>142</v>
      </c>
    </row>
    <row r="193" spans="4:21" ht="13.5" thickBot="1">
      <c r="D193" s="243"/>
      <c r="E193" s="247">
        <f>+RIGHT(E191,2)*1</f>
        <v>40</v>
      </c>
      <c r="F193" s="248" t="s">
        <v>144</v>
      </c>
      <c r="G193" s="249" t="str">
        <f ca="1">IF(AND(E193&gt;0,E193&lt;30),LOOKUP(CELL("contenido",E193),$A$26:$B$55),"")</f>
        <v/>
      </c>
      <c r="H193" s="250">
        <f>+RIGHT(H191,2)*1</f>
        <v>0</v>
      </c>
      <c r="I193" s="251" t="s">
        <v>144</v>
      </c>
      <c r="J193" s="252" t="str">
        <f ca="1">IF(E191&lt;2000,"",IF(CELL("contenido",H193)=1,"UN",IF(AND(H193&gt;0,H193&lt;30),LOOKUP(CELL("contenido",H193),$A$26:$B$55),"")))</f>
        <v/>
      </c>
      <c r="K193" s="253">
        <f>+RIGHT(K191,2)*1</f>
        <v>0</v>
      </c>
      <c r="L193" s="254" t="s">
        <v>144</v>
      </c>
      <c r="M193" s="255" t="str">
        <f ca="1">IF(CELL("contenido",K193)=1,"UN",IF(AND(K193&gt;0,K193&lt;30),LOOKUP(CELL("contenido",K193),$A$26:$B$55),""))</f>
        <v/>
      </c>
      <c r="N193" s="256">
        <f>+RIGHT(N191,2)*1</f>
        <v>0</v>
      </c>
      <c r="O193" s="257" t="s">
        <v>144</v>
      </c>
      <c r="P193" s="258" t="str">
        <f ca="1">IF(CELL("contenido",N193)=1,"UN",IF(AND(N193&gt;0,N193&lt;30),LOOKUP(CELL("contenido",N193),$A$26:$B$55),""))</f>
        <v/>
      </c>
      <c r="Q193" s="259">
        <f>+RIGHT(Q191,2)*1</f>
        <v>0</v>
      </c>
      <c r="R193" s="260" t="s">
        <v>144</v>
      </c>
      <c r="S193" s="261" t="str">
        <f ca="1">IF(CELL("contenido",Q193)=1,"UN",IF(AND(Q193&gt;0,Q193&lt;30),LOOKUP(CELL("contenido",Q193),$A$26:$B$55),""))</f>
        <v/>
      </c>
      <c r="U193" s="240" t="str">
        <f ca="1">+IF(CELL("contenido",G193)&lt;&gt;"",CONCATENATE(G196," ",G195," ",G193," ",U191),IF(CELL("contenido",G192)="",CONCATENATE(G196," ",G195," ",G194," ",U191),CONCATENATE(G196," ",G195," ",G194," Y ",G192," ",U191)))</f>
        <v xml:space="preserve">  CUARENTA  15/100 BOLIVIANOS</v>
      </c>
    </row>
    <row r="194" spans="4:21" ht="13.5" thickBot="1">
      <c r="D194" s="243"/>
      <c r="E194" s="247">
        <f>+RIGHT(E191,2)*1-E192</f>
        <v>40</v>
      </c>
      <c r="F194" s="248" t="s">
        <v>146</v>
      </c>
      <c r="G194" s="249" t="str">
        <f ca="1">+IF(AND(E194&gt;0,E191&gt;=30),LOOKUP(CELL("contenido",E194),$C$26:$D$35),"")</f>
        <v>CUARENTA</v>
      </c>
      <c r="H194" s="250">
        <f>+RIGHT(H191,2)*1-H192</f>
        <v>0</v>
      </c>
      <c r="I194" s="251" t="s">
        <v>146</v>
      </c>
      <c r="J194" s="252" t="str">
        <f ca="1">+IF(AND(H194&gt;0,H191&gt;=30),LOOKUP(CELL("contenido",H194),$C$26:$D$35),"")</f>
        <v/>
      </c>
      <c r="K194" s="253">
        <f>+RIGHT(K191,2)*1-K192</f>
        <v>0</v>
      </c>
      <c r="L194" s="254" t="s">
        <v>146</v>
      </c>
      <c r="M194" s="255" t="str">
        <f ca="1">+IF(AND(K194&gt;0,K191&gt;=30),LOOKUP(CELL("contenido",K194),$C$26:$D$35),"")</f>
        <v/>
      </c>
      <c r="N194" s="256">
        <f>+RIGHT(N191,2)*1-N192</f>
        <v>0</v>
      </c>
      <c r="O194" s="257" t="s">
        <v>146</v>
      </c>
      <c r="P194" s="258" t="str">
        <f ca="1">+IF(AND(N194&gt;0,K196&gt;=30),LOOKUP(CELL("contenido",N194),$C$26:$D$35),"")</f>
        <v/>
      </c>
      <c r="Q194" s="259">
        <f>+RIGHT(Q191,2)*1-Q192</f>
        <v>0</v>
      </c>
      <c r="R194" s="260" t="s">
        <v>146</v>
      </c>
      <c r="S194" s="261" t="str">
        <f ca="1">+IF(AND(Q194&gt;0,N196&gt;=30),LOOKUP(CELL("contenido",Q194),$C$26:$D$35),"")</f>
        <v/>
      </c>
      <c r="U194" s="240" t="str">
        <f ca="1">+IF(CELL("contenido",J193)&lt;&gt;"",CONCATENATE(J196," ",J195," ",J193," "),IF(CELL("contenido",J192)="",CONCATENATE(J196," ",J195," ",J194," "),CONCATENATE(J196," ",J195," ",J194," Y ",J192," ")))</f>
        <v xml:space="preserve">   </v>
      </c>
    </row>
    <row r="195" spans="4:21" ht="13.5" thickBot="1">
      <c r="D195" s="243"/>
      <c r="E195" s="247">
        <f>+RIGHT(E191,3)*1-E194-E192</f>
        <v>0</v>
      </c>
      <c r="F195" s="248" t="s">
        <v>148</v>
      </c>
      <c r="G195" s="249" t="str">
        <f ca="1">+IF((RIGHT(E191,3)*1)=100,"CIEN",IF(AND(E195&gt;0,E195&lt;1000),LOOKUP(CELL("contenido",E195),$E$26:$F$35),""))</f>
        <v/>
      </c>
      <c r="H195" s="250">
        <f>+RIGHT(H191,3)*1-H194-H192</f>
        <v>0</v>
      </c>
      <c r="I195" s="251" t="s">
        <v>148</v>
      </c>
      <c r="J195" s="252" t="str">
        <f ca="1">+IF(H191=100,"CIEN",IF(AND(H195&gt;0,H195&lt;1000),LOOKUP(CELL("contenido",H195),$E$26:$F$35),""))</f>
        <v/>
      </c>
      <c r="K195" s="253">
        <f>+RIGHT(K191,3)*1-K194-K192</f>
        <v>0</v>
      </c>
      <c r="L195" s="254" t="s">
        <v>148</v>
      </c>
      <c r="M195" s="255" t="str">
        <f ca="1">+IF(K191=100,"CIEN",IF(AND(K195&gt;0,K195&lt;1000),LOOKUP(CELL("contenido",K195),$E$26:$F$35),""))</f>
        <v/>
      </c>
      <c r="N195" s="256">
        <f>+RIGHT(N191,3)*1-N194-N192</f>
        <v>0</v>
      </c>
      <c r="O195" s="257" t="s">
        <v>148</v>
      </c>
      <c r="P195" s="258" t="str">
        <f ca="1">+IF(N191=100,"CIEN",IF(AND(N195&gt;0,N195&lt;1000),LOOKUP(CELL("contenido",N195),$E$26:$F$35),""))</f>
        <v/>
      </c>
      <c r="Q195" s="259">
        <f>+RIGHT(Q191,3)*1-Q194-Q192</f>
        <v>0</v>
      </c>
      <c r="R195" s="260" t="s">
        <v>148</v>
      </c>
      <c r="S195" s="261" t="str">
        <f ca="1">+IF(Q191=100,"CIEN",IF(AND(Q195&gt;0,Q195&lt;1000),LOOKUP(CELL("contenido",Q195),$E$26:$F$35),""))</f>
        <v/>
      </c>
      <c r="U195" s="240" t="str">
        <f ca="1">+IF(CELL("contenido",M193)&lt;&gt;"",CONCATENATE(M196," ",M195," ",M193," "),IF(CELL("contenido",M192)="",CONCATENATE(M196," ",M195," ",M194," "),CONCATENATE(M196," ",M195," ",M194," Y ",M192," ")))</f>
        <v xml:space="preserve">   </v>
      </c>
    </row>
    <row r="196" spans="4:21" ht="13.5" thickBot="1">
      <c r="D196" s="243"/>
      <c r="E196" s="263">
        <f>+RIGHT(E191,4)*1-E195-E194-E192</f>
        <v>0</v>
      </c>
      <c r="F196" s="264" t="s">
        <v>150</v>
      </c>
      <c r="G196" s="265" t="str">
        <f ca="1">+IF(E191&gt;999,"MIL",IF(AND(E196&gt;0,E196&lt;10000),LOOKUP(CELL("contenido",E196),$E$26:$F$35),""))</f>
        <v/>
      </c>
      <c r="H196" s="266">
        <f>INT(E191/1000000)</f>
        <v>0</v>
      </c>
      <c r="I196" s="267" t="s">
        <v>151</v>
      </c>
      <c r="J196" s="268" t="str">
        <f ca="1">+IF(CELL("contenido",M193)=1,"MILLÓN",IF(H196=1,"MILLÓN",IF(H196&gt;1,"MILLONES","")))</f>
        <v/>
      </c>
      <c r="K196" s="269">
        <f>+RIGHT(K191,4)*1-K195-K194-K192</f>
        <v>0</v>
      </c>
      <c r="L196" s="270" t="s">
        <v>152</v>
      </c>
      <c r="M196" s="271" t="str">
        <f ca="1">+IF(AND(K196&gt;0,K196&lt;10000),LOOKUP(CELL("contenido",K196),$E$26:$F$35),"")</f>
        <v/>
      </c>
      <c r="N196" s="272">
        <f>+RIGHT(N191,4)*1-N195-N194-N192</f>
        <v>0</v>
      </c>
      <c r="O196" s="273" t="s">
        <v>153</v>
      </c>
      <c r="P196" s="274" t="str">
        <f>+IF(N196=1,"UN MILLARDO",IF(N191&gt;1,"MILLARDOS",""))</f>
        <v/>
      </c>
      <c r="Q196" s="275">
        <f>+RIGHT(Q191,4)*1-Q195-Q194-Q192</f>
        <v>0</v>
      </c>
      <c r="R196" s="276" t="s">
        <v>153</v>
      </c>
      <c r="S196" s="277" t="str">
        <f>+IF(Q196=1,"UN MILLARDO",IF(Q191&gt;1,"MILLARDOS",""))</f>
        <v/>
      </c>
      <c r="U196" s="240" t="str">
        <f ca="1">+IF(CELL("contenido",P193)&lt;&gt;"",CONCATENATE(P196," ",P195," ",P193," "),IF(CELL("contenido",P192)="",CONCATENATE(P196," ",P195," ",P194," "),CONCATENATE(P196," ",P195," ",P194," Y ",P192," ")))</f>
        <v xml:space="preserve">   </v>
      </c>
    </row>
    <row r="197" spans="4:21" ht="13.5" thickTop="1">
      <c r="D197" s="243"/>
      <c r="E197" s="240"/>
      <c r="F197" s="240"/>
      <c r="G197" s="240"/>
      <c r="H197" s="240"/>
      <c r="I197" s="240"/>
      <c r="J197" s="278"/>
      <c r="K197" s="278"/>
      <c r="L197" s="278"/>
      <c r="M197" s="241"/>
      <c r="N197" s="241"/>
      <c r="O197" s="241"/>
      <c r="P197" s="240"/>
      <c r="Q197" s="241"/>
      <c r="R197" s="241"/>
      <c r="S197" s="240"/>
      <c r="U197" s="240" t="str">
        <f ca="1">+IF(CELL("contenido",S193)&lt;&gt;"",CONCATENATE(S195," ",S193," "),IF(CELL("contenido",S192)="",CONCATENATE(S195," ",S194," "),CONCATENATE(S195," ",S194," Y ",S192," ")))</f>
        <v xml:space="preserve">  </v>
      </c>
    </row>
    <row r="198" spans="4:21">
      <c r="D198" s="240" t="s">
        <v>169</v>
      </c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U198" s="237"/>
    </row>
    <row r="199" spans="4:21">
      <c r="D199" s="243"/>
      <c r="E199" s="244">
        <f>ROUND(100*(A15-INT(A15)),2)</f>
        <v>6</v>
      </c>
      <c r="F199" s="240" t="s">
        <v>132</v>
      </c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</row>
    <row r="200" spans="4:21">
      <c r="D200" s="240"/>
      <c r="E200" s="240">
        <f>+LEN(E202)</f>
        <v>2</v>
      </c>
      <c r="F200" s="240" t="s">
        <v>133</v>
      </c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</row>
    <row r="201" spans="4:21" ht="13.5" thickBot="1">
      <c r="D201" s="243"/>
      <c r="E201" s="240"/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</row>
    <row r="202" spans="4:21" ht="14.25" thickTop="1" thickBot="1">
      <c r="D202" s="240"/>
      <c r="E202" s="245">
        <f>+A15-E199/100</f>
        <v>56.999999999999993</v>
      </c>
      <c r="F202" s="1505" t="s">
        <v>136</v>
      </c>
      <c r="G202" s="1506"/>
      <c r="H202" s="246">
        <f>+IF(E202&gt;1000,INT(E202/1000),0)</f>
        <v>0</v>
      </c>
      <c r="I202" s="1505" t="s">
        <v>137</v>
      </c>
      <c r="J202" s="1506"/>
      <c r="K202" s="246">
        <f>+INT(H202/1000)</f>
        <v>0</v>
      </c>
      <c r="L202" s="1505" t="s">
        <v>138</v>
      </c>
      <c r="M202" s="1506"/>
      <c r="N202" s="246">
        <f>+INT(K202/1000)</f>
        <v>0</v>
      </c>
      <c r="O202" s="1505" t="s">
        <v>139</v>
      </c>
      <c r="P202" s="1506"/>
      <c r="Q202" s="246">
        <f>+INT(N202)</f>
        <v>0</v>
      </c>
      <c r="R202" s="1505" t="s">
        <v>139</v>
      </c>
      <c r="S202" s="1506"/>
      <c r="U202" s="240" t="str">
        <f>+IF(E199=0,CONCATENATE("00",U203),IF(E199&lt;10,CONCATENATE(" 0",E199,U203),CONCATENATE(" ",E199,U203)))</f>
        <v xml:space="preserve"> 06/100 BOLIVIANOS</v>
      </c>
    </row>
    <row r="203" spans="4:21" ht="13.5" thickBot="1">
      <c r="D203" s="243"/>
      <c r="E203" s="247">
        <f>+RIGHT(E202)*1</f>
        <v>7</v>
      </c>
      <c r="F203" s="248" t="s">
        <v>141</v>
      </c>
      <c r="G203" s="249" t="str">
        <f ca="1">+IF(AND(E203&gt;0,E203&lt;10),LOOKUP(CELL("contenido",E203),$A$26:$B$35),"")</f>
        <v>SIETE</v>
      </c>
      <c r="H203" s="250">
        <f>+RIGHT(H202)*1</f>
        <v>0</v>
      </c>
      <c r="I203" s="251" t="s">
        <v>141</v>
      </c>
      <c r="J203" s="252" t="str">
        <f ca="1">IF(E202&lt;2000,"",IF(CELL("contenido",H203)=1,"UN",IF(AND(H203&gt;0,H203&lt;10),LOOKUP(CELL("contenido",H203),$A$26:$B$35),"")))</f>
        <v/>
      </c>
      <c r="K203" s="253">
        <f>+RIGHT(K202)*1</f>
        <v>0</v>
      </c>
      <c r="L203" s="254" t="s">
        <v>141</v>
      </c>
      <c r="M203" s="255" t="str">
        <f ca="1">+IF(CELL("contenido",K203)=1,"UN",IF(AND(K203&gt;0,K203&lt;10),LOOKUP(CELL("contenido",K203),$A$26:$B$35),""))</f>
        <v/>
      </c>
      <c r="N203" s="256">
        <f>+RIGHT(N202)*1</f>
        <v>0</v>
      </c>
      <c r="O203" s="257" t="s">
        <v>141</v>
      </c>
      <c r="P203" s="258" t="str">
        <f ca="1">+IF(CELL("contenido",N203)=1,"UN",IF(AND(N203&gt;0,N203&lt;10),LOOKUP(CELL("contenido",N203),$A$26:$B$35),""))</f>
        <v/>
      </c>
      <c r="Q203" s="259">
        <f>+RIGHT(Q202)*1</f>
        <v>0</v>
      </c>
      <c r="R203" s="260" t="s">
        <v>141</v>
      </c>
      <c r="S203" s="261" t="str">
        <f ca="1">+IF(CELL("contenido",Q203)=1,"UN",IF(AND(Q203&gt;0,Q203&lt;10),LOOKUP(CELL("contenido",Q203),$A$26:$B$35),""))</f>
        <v/>
      </c>
      <c r="U203" s="262" t="s">
        <v>142</v>
      </c>
    </row>
    <row r="204" spans="4:21" ht="13.5" thickBot="1">
      <c r="D204" s="243"/>
      <c r="E204" s="247">
        <f>+RIGHT(E202,2)*1</f>
        <v>57</v>
      </c>
      <c r="F204" s="248" t="s">
        <v>144</v>
      </c>
      <c r="G204" s="249" t="str">
        <f ca="1">IF(AND(E204&gt;0,E204&lt;30),LOOKUP(CELL("contenido",E204),$A$26:$B$55),"")</f>
        <v/>
      </c>
      <c r="H204" s="250">
        <f>+RIGHT(H202,2)*1</f>
        <v>0</v>
      </c>
      <c r="I204" s="251" t="s">
        <v>144</v>
      </c>
      <c r="J204" s="252" t="str">
        <f ca="1">IF(E202&lt;2000,"",IF(CELL("contenido",H204)=1,"UN",IF(AND(H204&gt;0,H204&lt;30),LOOKUP(CELL("contenido",H204),$A$26:$B$55),"")))</f>
        <v/>
      </c>
      <c r="K204" s="253">
        <f>+RIGHT(K202,2)*1</f>
        <v>0</v>
      </c>
      <c r="L204" s="254" t="s">
        <v>144</v>
      </c>
      <c r="M204" s="255" t="str">
        <f ca="1">IF(CELL("contenido",K204)=1,"UN",IF(AND(K204&gt;0,K204&lt;30),LOOKUP(CELL("contenido",K204),$A$26:$B$55),""))</f>
        <v/>
      </c>
      <c r="N204" s="256">
        <f>+RIGHT(N202,2)*1</f>
        <v>0</v>
      </c>
      <c r="O204" s="257" t="s">
        <v>144</v>
      </c>
      <c r="P204" s="258" t="str">
        <f ca="1">IF(CELL("contenido",N204)=1,"UN",IF(AND(N204&gt;0,N204&lt;30),LOOKUP(CELL("contenido",N204),$A$26:$B$55),""))</f>
        <v/>
      </c>
      <c r="Q204" s="259">
        <f>+RIGHT(Q202,2)*1</f>
        <v>0</v>
      </c>
      <c r="R204" s="260" t="s">
        <v>144</v>
      </c>
      <c r="S204" s="261" t="str">
        <f ca="1">IF(CELL("contenido",Q204)=1,"UN",IF(AND(Q204&gt;0,Q204&lt;30),LOOKUP(CELL("contenido",Q204),$A$26:$B$55),""))</f>
        <v/>
      </c>
      <c r="U204" s="240" t="str">
        <f ca="1">+IF(CELL("contenido",G204)&lt;&gt;"",CONCATENATE(G207," ",G206," ",G204," ",U202),IF(CELL("contenido",G203)="",CONCATENATE(G207," ",G206," ",G205," ",U202),CONCATENATE(G207," ",G206," ",G205," Y ",G203," ",U202)))</f>
        <v xml:space="preserve">  CINCUENTA Y SIETE  06/100 BOLIVIANOS</v>
      </c>
    </row>
    <row r="205" spans="4:21" ht="13.5" thickBot="1">
      <c r="D205" s="243"/>
      <c r="E205" s="247">
        <f>+RIGHT(E202,2)*1-E203</f>
        <v>50</v>
      </c>
      <c r="F205" s="248" t="s">
        <v>146</v>
      </c>
      <c r="G205" s="249" t="str">
        <f ca="1">+IF(AND(E205&gt;0,E202&gt;=30),LOOKUP(CELL("contenido",E205),$C$26:$D$35),"")</f>
        <v>CINCUENTA</v>
      </c>
      <c r="H205" s="250">
        <f>+RIGHT(H202,2)*1-H203</f>
        <v>0</v>
      </c>
      <c r="I205" s="251" t="s">
        <v>146</v>
      </c>
      <c r="J205" s="252" t="str">
        <f ca="1">+IF(AND(H205&gt;0,H202&gt;=30),LOOKUP(CELL("contenido",H205),$C$26:$D$35),"")</f>
        <v/>
      </c>
      <c r="K205" s="253">
        <f>+RIGHT(K202,2)*1-K203</f>
        <v>0</v>
      </c>
      <c r="L205" s="254" t="s">
        <v>146</v>
      </c>
      <c r="M205" s="255" t="str">
        <f ca="1">+IF(AND(K205&gt;0,K202&gt;=30),LOOKUP(CELL("contenido",K205),$C$26:$D$35),"")</f>
        <v/>
      </c>
      <c r="N205" s="256">
        <f>+RIGHT(N202,2)*1-N203</f>
        <v>0</v>
      </c>
      <c r="O205" s="257" t="s">
        <v>146</v>
      </c>
      <c r="P205" s="258" t="str">
        <f ca="1">+IF(AND(N205&gt;0,K207&gt;=30),LOOKUP(CELL("contenido",N205),$C$26:$D$35),"")</f>
        <v/>
      </c>
      <c r="Q205" s="259">
        <f>+RIGHT(Q202,2)*1-Q203</f>
        <v>0</v>
      </c>
      <c r="R205" s="260" t="s">
        <v>146</v>
      </c>
      <c r="S205" s="261" t="str">
        <f ca="1">+IF(AND(Q205&gt;0,N207&gt;=30),LOOKUP(CELL("contenido",Q205),$C$26:$D$35),"")</f>
        <v/>
      </c>
      <c r="U205" s="240" t="str">
        <f ca="1">+IF(CELL("contenido",J204)&lt;&gt;"",CONCATENATE(J207," ",J206," ",J204," "),IF(CELL("contenido",J203)="",CONCATENATE(J207," ",J206," ",J205," "),CONCATENATE(J207," ",J206," ",J205," Y ",J203," ")))</f>
        <v xml:space="preserve">   </v>
      </c>
    </row>
    <row r="206" spans="4:21" ht="13.5" thickBot="1">
      <c r="D206" s="243"/>
      <c r="E206" s="247">
        <f>+RIGHT(E202,3)*1-E205-E203</f>
        <v>0</v>
      </c>
      <c r="F206" s="248" t="s">
        <v>148</v>
      </c>
      <c r="G206" s="249" t="str">
        <f ca="1">+IF((RIGHT(E202,3)*1)=100,"CIEN",IF(AND(E206&gt;0,E206&lt;1000),LOOKUP(CELL("contenido",E206),$E$26:$F$35),""))</f>
        <v/>
      </c>
      <c r="H206" s="250">
        <f>+RIGHT(H202,3)*1-H205-H203</f>
        <v>0</v>
      </c>
      <c r="I206" s="251" t="s">
        <v>148</v>
      </c>
      <c r="J206" s="252" t="str">
        <f ca="1">+IF(H202=100,"CIEN",IF(AND(H206&gt;0,H206&lt;1000),LOOKUP(CELL("contenido",H206),$E$26:$F$35),""))</f>
        <v/>
      </c>
      <c r="K206" s="253">
        <f>+RIGHT(K202,3)*1-K205-K203</f>
        <v>0</v>
      </c>
      <c r="L206" s="254" t="s">
        <v>148</v>
      </c>
      <c r="M206" s="255" t="str">
        <f ca="1">+IF(K202=100,"CIEN",IF(AND(K206&gt;0,K206&lt;1000),LOOKUP(CELL("contenido",K206),$E$26:$F$35),""))</f>
        <v/>
      </c>
      <c r="N206" s="256">
        <f>+RIGHT(N202,3)*1-N205-N203</f>
        <v>0</v>
      </c>
      <c r="O206" s="257" t="s">
        <v>148</v>
      </c>
      <c r="P206" s="258" t="str">
        <f ca="1">+IF(N202=100,"CIEN",IF(AND(N206&gt;0,N206&lt;1000),LOOKUP(CELL("contenido",N206),$E$26:$F$35),""))</f>
        <v/>
      </c>
      <c r="Q206" s="259">
        <f>+RIGHT(Q202,3)*1-Q205-Q203</f>
        <v>0</v>
      </c>
      <c r="R206" s="260" t="s">
        <v>148</v>
      </c>
      <c r="S206" s="261" t="str">
        <f ca="1">+IF(Q202=100,"CIEN",IF(AND(Q206&gt;0,Q206&lt;1000),LOOKUP(CELL("contenido",Q206),$E$26:$F$35),""))</f>
        <v/>
      </c>
      <c r="U206" s="240" t="str">
        <f ca="1">+IF(CELL("contenido",M204)&lt;&gt;"",CONCATENATE(M207," ",M206," ",M204," "),IF(CELL("contenido",M203)="",CONCATENATE(M207," ",M206," ",M205," "),CONCATENATE(M207," ",M206," ",M205," Y ",M203," ")))</f>
        <v xml:space="preserve">   </v>
      </c>
    </row>
    <row r="207" spans="4:21" ht="13.5" thickBot="1">
      <c r="D207" s="243"/>
      <c r="E207" s="263">
        <f>+RIGHT(E202,4)*1-E206-E205-E203</f>
        <v>0</v>
      </c>
      <c r="F207" s="264" t="s">
        <v>150</v>
      </c>
      <c r="G207" s="265" t="str">
        <f ca="1">+IF(E202&gt;999,"MIL",IF(AND(E207&gt;0,E207&lt;10000),LOOKUP(CELL("contenido",E207),$E$26:$F$35),""))</f>
        <v/>
      </c>
      <c r="H207" s="266">
        <f>INT(E202/1000000)</f>
        <v>0</v>
      </c>
      <c r="I207" s="267" t="s">
        <v>151</v>
      </c>
      <c r="J207" s="268" t="str">
        <f ca="1">+IF(CELL("contenido",M204)=1,"MILLÓN",IF(H207=1,"MILLÓN",IF(H207&gt;1,"MILLONES","")))</f>
        <v/>
      </c>
      <c r="K207" s="269">
        <f>+RIGHT(K202,4)*1-K206-K205-K203</f>
        <v>0</v>
      </c>
      <c r="L207" s="270" t="s">
        <v>152</v>
      </c>
      <c r="M207" s="271" t="str">
        <f ca="1">+IF(AND(K207&gt;0,K207&lt;10000),LOOKUP(CELL("contenido",K207),$E$26:$F$35),"")</f>
        <v/>
      </c>
      <c r="N207" s="272">
        <f>+RIGHT(N202,4)*1-N206-N205-N203</f>
        <v>0</v>
      </c>
      <c r="O207" s="273" t="s">
        <v>153</v>
      </c>
      <c r="P207" s="274" t="str">
        <f>+IF(N207=1,"UN MILLARDO",IF(N202&gt;1,"MILLARDOS",""))</f>
        <v/>
      </c>
      <c r="Q207" s="275">
        <f>+RIGHT(Q202,4)*1-Q206-Q205-Q203</f>
        <v>0</v>
      </c>
      <c r="R207" s="276" t="s">
        <v>153</v>
      </c>
      <c r="S207" s="277" t="str">
        <f>+IF(Q207=1,"UN MILLARDO",IF(Q202&gt;1,"MILLARDOS",""))</f>
        <v/>
      </c>
      <c r="U207" s="240" t="str">
        <f ca="1">+IF(CELL("contenido",P204)&lt;&gt;"",CONCATENATE(P207," ",P206," ",P204," "),IF(CELL("contenido",P203)="",CONCATENATE(P207," ",P206," ",P205," "),CONCATENATE(P207," ",P206," ",P205," Y ",P203," ")))</f>
        <v xml:space="preserve">   </v>
      </c>
    </row>
    <row r="208" spans="4:21" ht="13.5" thickTop="1">
      <c r="D208" s="243"/>
      <c r="E208" s="240"/>
      <c r="F208" s="240"/>
      <c r="G208" s="240"/>
      <c r="H208" s="240"/>
      <c r="I208" s="240"/>
      <c r="J208" s="278"/>
      <c r="K208" s="278"/>
      <c r="L208" s="278"/>
      <c r="M208" s="241"/>
      <c r="N208" s="241"/>
      <c r="O208" s="241"/>
      <c r="P208" s="240"/>
      <c r="Q208" s="241"/>
      <c r="R208" s="241"/>
      <c r="S208" s="240"/>
      <c r="U208" s="240" t="str">
        <f ca="1">+IF(CELL("contenido",S204)&lt;&gt;"",CONCATENATE(S206," ",S204," "),IF(CELL("contenido",S203)="",CONCATENATE(S206," ",S205," "),CONCATENATE(S206," ",S205," Y ",S203," ")))</f>
        <v xml:space="preserve">  </v>
      </c>
    </row>
    <row r="209" spans="4:21">
      <c r="D209" s="240" t="s">
        <v>170</v>
      </c>
      <c r="E209" s="240"/>
      <c r="F209" s="240"/>
      <c r="G209" s="240"/>
      <c r="H209" s="240"/>
      <c r="I209" s="240"/>
      <c r="J209" s="240"/>
      <c r="K209" s="240"/>
      <c r="L209" s="240"/>
      <c r="M209" s="240"/>
      <c r="N209" s="240"/>
      <c r="O209" s="240"/>
      <c r="P209" s="240"/>
      <c r="Q209" s="240"/>
      <c r="R209" s="240"/>
      <c r="S209" s="240"/>
      <c r="U209" s="237"/>
    </row>
    <row r="210" spans="4:21">
      <c r="D210" s="243"/>
      <c r="E210" s="244">
        <f>ROUND(100*(A16-INT(A16)),2)</f>
        <v>86</v>
      </c>
      <c r="F210" s="240" t="s">
        <v>132</v>
      </c>
      <c r="G210" s="240"/>
      <c r="H210" s="240"/>
      <c r="I210" s="240"/>
      <c r="J210" s="240"/>
      <c r="K210" s="240"/>
      <c r="L210" s="240"/>
      <c r="M210" s="240"/>
      <c r="N210" s="240"/>
      <c r="O210" s="240"/>
      <c r="P210" s="240"/>
      <c r="Q210" s="240"/>
      <c r="R210" s="240"/>
      <c r="S210" s="240"/>
    </row>
    <row r="211" spans="4:21">
      <c r="D211" s="240"/>
      <c r="E211" s="240">
        <f>+LEN(E213)</f>
        <v>3</v>
      </c>
      <c r="F211" s="240" t="s">
        <v>133</v>
      </c>
      <c r="G211" s="240"/>
      <c r="H211" s="240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</row>
    <row r="212" spans="4:21" ht="13.5" thickBot="1">
      <c r="D212" s="243"/>
      <c r="E212" s="240"/>
      <c r="F212" s="240"/>
      <c r="G212" s="240"/>
      <c r="H212" s="240"/>
      <c r="I212" s="240"/>
      <c r="J212" s="240"/>
      <c r="K212" s="240"/>
      <c r="L212" s="240"/>
      <c r="M212" s="240"/>
      <c r="N212" s="240"/>
      <c r="O212" s="240"/>
      <c r="P212" s="240"/>
      <c r="Q212" s="240"/>
      <c r="R212" s="240"/>
      <c r="S212" s="240"/>
    </row>
    <row r="213" spans="4:21" ht="14.25" thickTop="1" thickBot="1">
      <c r="D213" s="240"/>
      <c r="E213" s="245">
        <f>+A16-E210/100</f>
        <v>104</v>
      </c>
      <c r="F213" s="1505" t="s">
        <v>136</v>
      </c>
      <c r="G213" s="1506"/>
      <c r="H213" s="246">
        <f>+IF(E213&gt;1000,INT(E213/1000),0)</f>
        <v>0</v>
      </c>
      <c r="I213" s="1505" t="s">
        <v>137</v>
      </c>
      <c r="J213" s="1506"/>
      <c r="K213" s="246">
        <f>+INT(H213/1000)</f>
        <v>0</v>
      </c>
      <c r="L213" s="1505" t="s">
        <v>138</v>
      </c>
      <c r="M213" s="1506"/>
      <c r="N213" s="246">
        <f>+INT(K213/1000)</f>
        <v>0</v>
      </c>
      <c r="O213" s="1505" t="s">
        <v>139</v>
      </c>
      <c r="P213" s="1506"/>
      <c r="Q213" s="246">
        <f>+INT(N213)</f>
        <v>0</v>
      </c>
      <c r="R213" s="1505" t="s">
        <v>139</v>
      </c>
      <c r="S213" s="1506"/>
      <c r="U213" s="240" t="str">
        <f>+IF(E210=0,CONCATENATE("00",U214),IF(E210&lt;10,CONCATENATE(" 0",E210,U214),CONCATENATE(" ",E210,U214)))</f>
        <v xml:space="preserve"> 86/100 BOLIVIANOS</v>
      </c>
    </row>
    <row r="214" spans="4:21" ht="13.5" thickBot="1">
      <c r="D214" s="243"/>
      <c r="E214" s="247">
        <f>+RIGHT(E213)*1</f>
        <v>4</v>
      </c>
      <c r="F214" s="248" t="s">
        <v>141</v>
      </c>
      <c r="G214" s="249" t="str">
        <f ca="1">+IF(AND(E214&gt;0,E214&lt;10),LOOKUP(CELL("contenido",E214),$A$26:$B$35),"")</f>
        <v>CUATRO</v>
      </c>
      <c r="H214" s="250">
        <f>+RIGHT(H213)*1</f>
        <v>0</v>
      </c>
      <c r="I214" s="251" t="s">
        <v>141</v>
      </c>
      <c r="J214" s="252" t="str">
        <f ca="1">IF(E213&lt;2000,"",IF(CELL("contenido",H214)=1,"UN",IF(AND(H214&gt;0,H214&lt;10),LOOKUP(CELL("contenido",H214),$A$26:$B$35),"")))</f>
        <v/>
      </c>
      <c r="K214" s="253">
        <f>+RIGHT(K213)*1</f>
        <v>0</v>
      </c>
      <c r="L214" s="254" t="s">
        <v>141</v>
      </c>
      <c r="M214" s="255" t="str">
        <f ca="1">+IF(CELL("contenido",K214)=1,"UN",IF(AND(K214&gt;0,K214&lt;10),LOOKUP(CELL("contenido",K214),$A$26:$B$35),""))</f>
        <v/>
      </c>
      <c r="N214" s="256">
        <f>+RIGHT(N213)*1</f>
        <v>0</v>
      </c>
      <c r="O214" s="257" t="s">
        <v>141</v>
      </c>
      <c r="P214" s="258" t="str">
        <f ca="1">+IF(CELL("contenido",N214)=1,"UN",IF(AND(N214&gt;0,N214&lt;10),LOOKUP(CELL("contenido",N214),$A$26:$B$35),""))</f>
        <v/>
      </c>
      <c r="Q214" s="259">
        <f>+RIGHT(Q213)*1</f>
        <v>0</v>
      </c>
      <c r="R214" s="260" t="s">
        <v>141</v>
      </c>
      <c r="S214" s="261" t="str">
        <f ca="1">+IF(CELL("contenido",Q214)=1,"UN",IF(AND(Q214&gt;0,Q214&lt;10),LOOKUP(CELL("contenido",Q214),$A$26:$B$35),""))</f>
        <v/>
      </c>
      <c r="U214" s="262" t="s">
        <v>142</v>
      </c>
    </row>
    <row r="215" spans="4:21" ht="13.5" thickBot="1">
      <c r="D215" s="243"/>
      <c r="E215" s="247">
        <f>+RIGHT(E213,2)*1</f>
        <v>4</v>
      </c>
      <c r="F215" s="248" t="s">
        <v>144</v>
      </c>
      <c r="G215" s="249" t="str">
        <f ca="1">IF(AND(E215&gt;0,E215&lt;30),LOOKUP(CELL("contenido",E215),$A$26:$B$55),"")</f>
        <v>CUATRO</v>
      </c>
      <c r="H215" s="250">
        <f>+RIGHT(H213,2)*1</f>
        <v>0</v>
      </c>
      <c r="I215" s="251" t="s">
        <v>144</v>
      </c>
      <c r="J215" s="252" t="str">
        <f ca="1">IF(E213&lt;2000,"",IF(CELL("contenido",H215)=1,"UN",IF(AND(H215&gt;0,H215&lt;30),LOOKUP(CELL("contenido",H215),$A$26:$B$55),"")))</f>
        <v/>
      </c>
      <c r="K215" s="253">
        <f>+RIGHT(K213,2)*1</f>
        <v>0</v>
      </c>
      <c r="L215" s="254" t="s">
        <v>144</v>
      </c>
      <c r="M215" s="255" t="str">
        <f ca="1">IF(CELL("contenido",K215)=1,"UN",IF(AND(K215&gt;0,K215&lt;30),LOOKUP(CELL("contenido",K215),$A$26:$B$55),""))</f>
        <v/>
      </c>
      <c r="N215" s="256">
        <f>+RIGHT(N213,2)*1</f>
        <v>0</v>
      </c>
      <c r="O215" s="257" t="s">
        <v>144</v>
      </c>
      <c r="P215" s="258" t="str">
        <f ca="1">IF(CELL("contenido",N215)=1,"UN",IF(AND(N215&gt;0,N215&lt;30),LOOKUP(CELL("contenido",N215),$A$26:$B$55),""))</f>
        <v/>
      </c>
      <c r="Q215" s="259">
        <f>+RIGHT(Q213,2)*1</f>
        <v>0</v>
      </c>
      <c r="R215" s="260" t="s">
        <v>144</v>
      </c>
      <c r="S215" s="261" t="str">
        <f ca="1">IF(CELL("contenido",Q215)=1,"UN",IF(AND(Q215&gt;0,Q215&lt;30),LOOKUP(CELL("contenido",Q215),$A$26:$B$55),""))</f>
        <v/>
      </c>
      <c r="U215" s="240" t="str">
        <f ca="1">+IF(CELL("contenido",G215)&lt;&gt;"",CONCATENATE(G218," ",G217," ",G215," ",U213),IF(CELL("contenido",G214)="",CONCATENATE(G218," ",G217," ",G216," ",U213),CONCATENATE(G218," ",G217," ",G216," Y ",G214," ",U213)))</f>
        <v xml:space="preserve"> CIENTO CUATRO  86/100 BOLIVIANOS</v>
      </c>
    </row>
    <row r="216" spans="4:21" ht="13.5" thickBot="1">
      <c r="D216" s="243"/>
      <c r="E216" s="247">
        <f>+RIGHT(E213,2)*1-E214</f>
        <v>0</v>
      </c>
      <c r="F216" s="248" t="s">
        <v>146</v>
      </c>
      <c r="G216" s="249" t="str">
        <f ca="1">+IF(AND(E216&gt;0,E213&gt;=30),LOOKUP(CELL("contenido",E216),$C$26:$D$35),"")</f>
        <v/>
      </c>
      <c r="H216" s="250">
        <f>+RIGHT(H213,2)*1-H214</f>
        <v>0</v>
      </c>
      <c r="I216" s="251" t="s">
        <v>146</v>
      </c>
      <c r="J216" s="252" t="str">
        <f ca="1">+IF(AND(H216&gt;0,H213&gt;=30),LOOKUP(CELL("contenido",H216),$C$26:$D$35),"")</f>
        <v/>
      </c>
      <c r="K216" s="253">
        <f>+RIGHT(K213,2)*1-K214</f>
        <v>0</v>
      </c>
      <c r="L216" s="254" t="s">
        <v>146</v>
      </c>
      <c r="M216" s="255" t="str">
        <f ca="1">+IF(AND(K216&gt;0,K213&gt;=30),LOOKUP(CELL("contenido",K216),$C$26:$D$35),"")</f>
        <v/>
      </c>
      <c r="N216" s="256">
        <f>+RIGHT(N213,2)*1-N214</f>
        <v>0</v>
      </c>
      <c r="O216" s="257" t="s">
        <v>146</v>
      </c>
      <c r="P216" s="258" t="str">
        <f ca="1">+IF(AND(N216&gt;0,K218&gt;=30),LOOKUP(CELL("contenido",N216),$C$26:$D$35),"")</f>
        <v/>
      </c>
      <c r="Q216" s="259">
        <f>+RIGHT(Q213,2)*1-Q214</f>
        <v>0</v>
      </c>
      <c r="R216" s="260" t="s">
        <v>146</v>
      </c>
      <c r="S216" s="261" t="str">
        <f ca="1">+IF(AND(Q216&gt;0,N218&gt;=30),LOOKUP(CELL("contenido",Q216),$C$26:$D$35),"")</f>
        <v/>
      </c>
      <c r="U216" s="240" t="str">
        <f ca="1">+IF(CELL("contenido",J215)&lt;&gt;"",CONCATENATE(J218," ",J217," ",J215," "),IF(CELL("contenido",J214)="",CONCATENATE(J218," ",J217," ",J216," "),CONCATENATE(J218," ",J217," ",J216," Y ",J214," ")))</f>
        <v xml:space="preserve">   </v>
      </c>
    </row>
    <row r="217" spans="4:21" ht="13.5" thickBot="1">
      <c r="D217" s="243"/>
      <c r="E217" s="247">
        <f>+RIGHT(E213,3)*1-E216-E214</f>
        <v>100</v>
      </c>
      <c r="F217" s="248" t="s">
        <v>148</v>
      </c>
      <c r="G217" s="249" t="str">
        <f ca="1">+IF((RIGHT(E213,3)*1)=100,"CIEN",IF(AND(E217&gt;0,E217&lt;1000),LOOKUP(CELL("contenido",E217),$E$26:$F$35),""))</f>
        <v>CIENTO</v>
      </c>
      <c r="H217" s="250">
        <f>+RIGHT(H213,3)*1-H216-H214</f>
        <v>0</v>
      </c>
      <c r="I217" s="251" t="s">
        <v>148</v>
      </c>
      <c r="J217" s="252" t="str">
        <f ca="1">+IF(H213=100,"CIEN",IF(AND(H217&gt;0,H217&lt;1000),LOOKUP(CELL("contenido",H217),$E$26:$F$35),""))</f>
        <v/>
      </c>
      <c r="K217" s="253">
        <f>+RIGHT(K213,3)*1-K216-K214</f>
        <v>0</v>
      </c>
      <c r="L217" s="254" t="s">
        <v>148</v>
      </c>
      <c r="M217" s="255" t="str">
        <f ca="1">+IF(K213=100,"CIEN",IF(AND(K217&gt;0,K217&lt;1000),LOOKUP(CELL("contenido",K217),$E$26:$F$35),""))</f>
        <v/>
      </c>
      <c r="N217" s="256">
        <f>+RIGHT(N213,3)*1-N216-N214</f>
        <v>0</v>
      </c>
      <c r="O217" s="257" t="s">
        <v>148</v>
      </c>
      <c r="P217" s="258" t="str">
        <f ca="1">+IF(N213=100,"CIEN",IF(AND(N217&gt;0,N217&lt;1000),LOOKUP(CELL("contenido",N217),$E$26:$F$35),""))</f>
        <v/>
      </c>
      <c r="Q217" s="259">
        <f>+RIGHT(Q213,3)*1-Q216-Q214</f>
        <v>0</v>
      </c>
      <c r="R217" s="260" t="s">
        <v>148</v>
      </c>
      <c r="S217" s="261" t="str">
        <f ca="1">+IF(Q213=100,"CIEN",IF(AND(Q217&gt;0,Q217&lt;1000),LOOKUP(CELL("contenido",Q217),$E$26:$F$35),""))</f>
        <v/>
      </c>
      <c r="U217" s="240" t="str">
        <f ca="1">+IF(CELL("contenido",M215)&lt;&gt;"",CONCATENATE(M218," ",M217," ",M215," "),IF(CELL("contenido",M214)="",CONCATENATE(M218," ",M217," ",M216," "),CONCATENATE(M218," ",M217," ",M216," Y ",M214," ")))</f>
        <v xml:space="preserve">   </v>
      </c>
    </row>
    <row r="218" spans="4:21" ht="13.5" thickBot="1">
      <c r="D218" s="243"/>
      <c r="E218" s="263">
        <f>+RIGHT(E213,4)*1-E217-E216-E214</f>
        <v>0</v>
      </c>
      <c r="F218" s="264" t="s">
        <v>150</v>
      </c>
      <c r="G218" s="265" t="str">
        <f ca="1">+IF(E213&gt;999,"MIL",IF(AND(E218&gt;0,E218&lt;10000),LOOKUP(CELL("contenido",E218),$E$26:$F$35),""))</f>
        <v/>
      </c>
      <c r="H218" s="266">
        <f>INT(E213/1000000)</f>
        <v>0</v>
      </c>
      <c r="I218" s="267" t="s">
        <v>151</v>
      </c>
      <c r="J218" s="268" t="str">
        <f ca="1">+IF(CELL("contenido",M215)=1,"MILLÓN",IF(H218=1,"MILLÓN",IF(H218&gt;1,"MILLONES","")))</f>
        <v/>
      </c>
      <c r="K218" s="269">
        <f>+RIGHT(K213,4)*1-K217-K216-K214</f>
        <v>0</v>
      </c>
      <c r="L218" s="270" t="s">
        <v>152</v>
      </c>
      <c r="M218" s="271" t="str">
        <f ca="1">+IF(AND(K218&gt;0,K218&lt;10000),LOOKUP(CELL("contenido",K218),$E$26:$F$35),"")</f>
        <v/>
      </c>
      <c r="N218" s="272">
        <f>+RIGHT(N213,4)*1-N217-N216-N214</f>
        <v>0</v>
      </c>
      <c r="O218" s="273" t="s">
        <v>153</v>
      </c>
      <c r="P218" s="274" t="str">
        <f>+IF(N218=1,"UN MILLARDO",IF(N213&gt;1,"MILLARDOS",""))</f>
        <v/>
      </c>
      <c r="Q218" s="275">
        <f>+RIGHT(Q213,4)*1-Q217-Q216-Q214</f>
        <v>0</v>
      </c>
      <c r="R218" s="276" t="s">
        <v>153</v>
      </c>
      <c r="S218" s="277" t="str">
        <f>+IF(Q218=1,"UN MILLARDO",IF(Q213&gt;1,"MILLARDOS",""))</f>
        <v/>
      </c>
      <c r="U218" s="240" t="str">
        <f ca="1">+IF(CELL("contenido",P215)&lt;&gt;"",CONCATENATE(P218," ",P217," ",P215," "),IF(CELL("contenido",P214)="",CONCATENATE(P218," ",P217," ",P216," "),CONCATENATE(P218," ",P217," ",P216," Y ",P214," ")))</f>
        <v xml:space="preserve">   </v>
      </c>
    </row>
    <row r="219" spans="4:21" ht="13.5" thickTop="1">
      <c r="D219" s="243"/>
      <c r="E219" s="240"/>
      <c r="F219" s="240"/>
      <c r="G219" s="240"/>
      <c r="H219" s="240"/>
      <c r="I219" s="240"/>
      <c r="J219" s="278"/>
      <c r="K219" s="278"/>
      <c r="L219" s="278"/>
      <c r="M219" s="241"/>
      <c r="N219" s="241"/>
      <c r="O219" s="241"/>
      <c r="P219" s="240"/>
      <c r="Q219" s="241"/>
      <c r="R219" s="241"/>
      <c r="S219" s="240"/>
      <c r="U219" s="240" t="str">
        <f ca="1">+IF(CELL("contenido",S215)&lt;&gt;"",CONCATENATE(S217," ",S215," "),IF(CELL("contenido",S214)="",CONCATENATE(S217," ",S216," "),CONCATENATE(S217," ",S216," Y ",S214," ")))</f>
        <v xml:space="preserve">  </v>
      </c>
    </row>
    <row r="220" spans="4:21">
      <c r="D220" s="240" t="s">
        <v>171</v>
      </c>
      <c r="E220" s="240"/>
      <c r="F220" s="240"/>
      <c r="G220" s="240"/>
      <c r="H220" s="240"/>
      <c r="I220" s="240"/>
      <c r="J220" s="240"/>
      <c r="K220" s="240"/>
      <c r="L220" s="240"/>
      <c r="M220" s="240"/>
      <c r="N220" s="240"/>
      <c r="O220" s="240"/>
      <c r="P220" s="240"/>
      <c r="Q220" s="240"/>
      <c r="R220" s="240"/>
      <c r="S220" s="240"/>
      <c r="U220" s="237"/>
    </row>
    <row r="221" spans="4:21">
      <c r="D221" s="243"/>
      <c r="E221" s="244">
        <f>ROUND(100*(A17-INT(A17)),2)</f>
        <v>88</v>
      </c>
      <c r="F221" s="240" t="s">
        <v>132</v>
      </c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</row>
    <row r="222" spans="4:21">
      <c r="D222" s="240"/>
      <c r="E222" s="240">
        <f>+LEN(E224)</f>
        <v>4</v>
      </c>
      <c r="F222" s="240" t="s">
        <v>133</v>
      </c>
      <c r="G222" s="240"/>
      <c r="H222" s="240"/>
      <c r="I222" s="240"/>
      <c r="J222" s="240"/>
      <c r="K222" s="240"/>
      <c r="L222" s="240"/>
      <c r="M222" s="240"/>
      <c r="N222" s="240"/>
      <c r="O222" s="240"/>
      <c r="P222" s="240"/>
      <c r="Q222" s="240"/>
      <c r="R222" s="240"/>
      <c r="S222" s="240"/>
    </row>
    <row r="223" spans="4:21" ht="13.5" thickBot="1">
      <c r="D223" s="243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</row>
    <row r="224" spans="4:21" ht="14.25" thickTop="1" thickBot="1">
      <c r="D224" s="240"/>
      <c r="E224" s="245">
        <f>+A17-E221/100</f>
        <v>1404</v>
      </c>
      <c r="F224" s="1505" t="s">
        <v>136</v>
      </c>
      <c r="G224" s="1506"/>
      <c r="H224" s="246">
        <f>+IF(E224&gt;1000,INT(E224/1000),0)</f>
        <v>1</v>
      </c>
      <c r="I224" s="1505" t="s">
        <v>137</v>
      </c>
      <c r="J224" s="1506"/>
      <c r="K224" s="246">
        <f>+INT(H224/1000)</f>
        <v>0</v>
      </c>
      <c r="L224" s="1505" t="s">
        <v>138</v>
      </c>
      <c r="M224" s="1506"/>
      <c r="N224" s="246">
        <f>+INT(K224/1000)</f>
        <v>0</v>
      </c>
      <c r="O224" s="1505" t="s">
        <v>139</v>
      </c>
      <c r="P224" s="1506"/>
      <c r="Q224" s="246">
        <f>+INT(N224)</f>
        <v>0</v>
      </c>
      <c r="R224" s="1505" t="s">
        <v>139</v>
      </c>
      <c r="S224" s="1506"/>
      <c r="U224" s="240" t="str">
        <f>+IF(E221=0,CONCATENATE("00",U225),IF(E221&lt;10,CONCATENATE(" 0",E221,U225),CONCATENATE(" ",E221,U225)))</f>
        <v xml:space="preserve"> 88/100 BOLIVIANOS</v>
      </c>
    </row>
    <row r="225" spans="4:21" ht="13.5" thickBot="1">
      <c r="D225" s="243"/>
      <c r="E225" s="247">
        <f>+RIGHT(E224)*1</f>
        <v>4</v>
      </c>
      <c r="F225" s="248" t="s">
        <v>141</v>
      </c>
      <c r="G225" s="249" t="str">
        <f ca="1">+IF(AND(E225&gt;0,E225&lt;10),LOOKUP(CELL("contenido",E225),$A$26:$B$35),"")</f>
        <v>CUATRO</v>
      </c>
      <c r="H225" s="250">
        <f>+RIGHT(H224)*1</f>
        <v>1</v>
      </c>
      <c r="I225" s="251" t="s">
        <v>141</v>
      </c>
      <c r="J225" s="252" t="str">
        <f ca="1">IF(E224&lt;2000,"",IF(CELL("contenido",H225)=1,"UN",IF(AND(H225&gt;0,H225&lt;10),LOOKUP(CELL("contenido",H225),$A$26:$B$35),"")))</f>
        <v/>
      </c>
      <c r="K225" s="253">
        <f>+RIGHT(K224)*1</f>
        <v>0</v>
      </c>
      <c r="L225" s="254" t="s">
        <v>141</v>
      </c>
      <c r="M225" s="255" t="str">
        <f ca="1">+IF(CELL("contenido",K225)=1,"UN",IF(AND(K225&gt;0,K225&lt;10),LOOKUP(CELL("contenido",K225),$A$26:$B$35),""))</f>
        <v/>
      </c>
      <c r="N225" s="256">
        <f>+RIGHT(N224)*1</f>
        <v>0</v>
      </c>
      <c r="O225" s="257" t="s">
        <v>141</v>
      </c>
      <c r="P225" s="258" t="str">
        <f ca="1">+IF(CELL("contenido",N225)=1,"UN",IF(AND(N225&gt;0,N225&lt;10),LOOKUP(CELL("contenido",N225),$A$26:$B$35),""))</f>
        <v/>
      </c>
      <c r="Q225" s="259">
        <f>+RIGHT(Q224)*1</f>
        <v>0</v>
      </c>
      <c r="R225" s="260" t="s">
        <v>141</v>
      </c>
      <c r="S225" s="261" t="str">
        <f ca="1">+IF(CELL("contenido",Q225)=1,"UN",IF(AND(Q225&gt;0,Q225&lt;10),LOOKUP(CELL("contenido",Q225),$A$26:$B$35),""))</f>
        <v/>
      </c>
      <c r="U225" s="262" t="s">
        <v>142</v>
      </c>
    </row>
    <row r="226" spans="4:21" ht="13.5" thickBot="1">
      <c r="D226" s="243"/>
      <c r="E226" s="247">
        <f>+RIGHT(E224,2)*1</f>
        <v>4</v>
      </c>
      <c r="F226" s="248" t="s">
        <v>144</v>
      </c>
      <c r="G226" s="249" t="str">
        <f ca="1">IF(AND(E226&gt;0,E226&lt;30),LOOKUP(CELL("contenido",E226),$A$26:$B$55),"")</f>
        <v>CUATRO</v>
      </c>
      <c r="H226" s="250">
        <f>+RIGHT(H224,2)*1</f>
        <v>1</v>
      </c>
      <c r="I226" s="251" t="s">
        <v>144</v>
      </c>
      <c r="J226" s="252" t="str">
        <f ca="1">IF(E224&lt;2000,"",IF(CELL("contenido",H226)=1,"UN",IF(AND(H226&gt;0,H226&lt;30),LOOKUP(CELL("contenido",H226),$A$26:$B$55),"")))</f>
        <v/>
      </c>
      <c r="K226" s="253">
        <f>+RIGHT(K224,2)*1</f>
        <v>0</v>
      </c>
      <c r="L226" s="254" t="s">
        <v>144</v>
      </c>
      <c r="M226" s="255" t="str">
        <f ca="1">IF(CELL("contenido",K226)=1,"UN",IF(AND(K226&gt;0,K226&lt;30),LOOKUP(CELL("contenido",K226),$A$26:$B$55),""))</f>
        <v/>
      </c>
      <c r="N226" s="256">
        <f>+RIGHT(N224,2)*1</f>
        <v>0</v>
      </c>
      <c r="O226" s="257" t="s">
        <v>144</v>
      </c>
      <c r="P226" s="258" t="str">
        <f ca="1">IF(CELL("contenido",N226)=1,"UN",IF(AND(N226&gt;0,N226&lt;30),LOOKUP(CELL("contenido",N226),$A$26:$B$55),""))</f>
        <v/>
      </c>
      <c r="Q226" s="259">
        <f>+RIGHT(Q224,2)*1</f>
        <v>0</v>
      </c>
      <c r="R226" s="260" t="s">
        <v>144</v>
      </c>
      <c r="S226" s="261" t="str">
        <f ca="1">IF(CELL("contenido",Q226)=1,"UN",IF(AND(Q226&gt;0,Q226&lt;30),LOOKUP(CELL("contenido",Q226),$A$26:$B$55),""))</f>
        <v/>
      </c>
      <c r="U226" s="240" t="str">
        <f ca="1">+IF(CELL("contenido",G226)&lt;&gt;"",CONCATENATE(G229," ",G228," ",G226," ",U224),IF(CELL("contenido",G225)="",CONCATENATE(G229," ",G228," ",G227," ",U224),CONCATENATE(G229," ",G228," ",G227," Y ",G225," ",U224)))</f>
        <v>MIL CUATROCIENTOS CUATRO  88/100 BOLIVIANOS</v>
      </c>
    </row>
    <row r="227" spans="4:21" ht="13.5" thickBot="1">
      <c r="D227" s="243"/>
      <c r="E227" s="247">
        <f>+RIGHT(E224,2)*1-E225</f>
        <v>0</v>
      </c>
      <c r="F227" s="248" t="s">
        <v>146</v>
      </c>
      <c r="G227" s="249" t="str">
        <f ca="1">+IF(AND(E227&gt;0,E224&gt;=30),LOOKUP(CELL("contenido",E227),$C$26:$D$35),"")</f>
        <v/>
      </c>
      <c r="H227" s="250">
        <f>+RIGHT(H224,2)*1-H225</f>
        <v>0</v>
      </c>
      <c r="I227" s="251" t="s">
        <v>146</v>
      </c>
      <c r="J227" s="252" t="str">
        <f ca="1">+IF(AND(H227&gt;0,H224&gt;=30),LOOKUP(CELL("contenido",H227),$C$26:$D$35),"")</f>
        <v/>
      </c>
      <c r="K227" s="253">
        <f>+RIGHT(K224,2)*1-K225</f>
        <v>0</v>
      </c>
      <c r="L227" s="254" t="s">
        <v>146</v>
      </c>
      <c r="M227" s="255" t="str">
        <f ca="1">+IF(AND(K227&gt;0,K224&gt;=30),LOOKUP(CELL("contenido",K227),$C$26:$D$35),"")</f>
        <v/>
      </c>
      <c r="N227" s="256">
        <f>+RIGHT(N224,2)*1-N225</f>
        <v>0</v>
      </c>
      <c r="O227" s="257" t="s">
        <v>146</v>
      </c>
      <c r="P227" s="258" t="str">
        <f ca="1">+IF(AND(N227&gt;0,K229&gt;=30),LOOKUP(CELL("contenido",N227),$C$26:$D$35),"")</f>
        <v/>
      </c>
      <c r="Q227" s="259">
        <f>+RIGHT(Q224,2)*1-Q225</f>
        <v>0</v>
      </c>
      <c r="R227" s="260" t="s">
        <v>146</v>
      </c>
      <c r="S227" s="261" t="str">
        <f ca="1">+IF(AND(Q227&gt;0,N229&gt;=30),LOOKUP(CELL("contenido",Q227),$C$26:$D$35),"")</f>
        <v/>
      </c>
      <c r="U227" s="240" t="str">
        <f ca="1">+IF(CELL("contenido",J226)&lt;&gt;"",CONCATENATE(J229," ",J228," ",J226," "),IF(CELL("contenido",J225)="",CONCATENATE(J229," ",J228," ",J227," "),CONCATENATE(J229," ",J228," ",J227," Y ",J225," ")))</f>
        <v xml:space="preserve">   </v>
      </c>
    </row>
    <row r="228" spans="4:21" ht="13.5" thickBot="1">
      <c r="D228" s="243"/>
      <c r="E228" s="247">
        <f>+RIGHT(E224,3)*1-E227-E225</f>
        <v>400</v>
      </c>
      <c r="F228" s="248" t="s">
        <v>148</v>
      </c>
      <c r="G228" s="249" t="str">
        <f ca="1">+IF((RIGHT(E224,3)*1)=100,"CIEN",IF(AND(E228&gt;0,E228&lt;1000),LOOKUP(CELL("contenido",E228),$E$26:$F$35),""))</f>
        <v>CUATROCIENTOS</v>
      </c>
      <c r="H228" s="250">
        <f>+RIGHT(H224,3)*1-H227-H225</f>
        <v>0</v>
      </c>
      <c r="I228" s="251" t="s">
        <v>148</v>
      </c>
      <c r="J228" s="252" t="str">
        <f ca="1">+IF(H224=100,"CIEN",IF(AND(H228&gt;0,H228&lt;1000),LOOKUP(CELL("contenido",H228),$E$26:$F$35),""))</f>
        <v/>
      </c>
      <c r="K228" s="253">
        <f>+RIGHT(K224,3)*1-K227-K225</f>
        <v>0</v>
      </c>
      <c r="L228" s="254" t="s">
        <v>148</v>
      </c>
      <c r="M228" s="255" t="str">
        <f ca="1">+IF(K224=100,"CIEN",IF(AND(K228&gt;0,K228&lt;1000),LOOKUP(CELL("contenido",K228),$E$26:$F$35),""))</f>
        <v/>
      </c>
      <c r="N228" s="256">
        <f>+RIGHT(N224,3)*1-N227-N225</f>
        <v>0</v>
      </c>
      <c r="O228" s="257" t="s">
        <v>148</v>
      </c>
      <c r="P228" s="258" t="str">
        <f ca="1">+IF(N224=100,"CIEN",IF(AND(N228&gt;0,N228&lt;1000),LOOKUP(CELL("contenido",N228),$E$26:$F$35),""))</f>
        <v/>
      </c>
      <c r="Q228" s="259">
        <f>+RIGHT(Q224,3)*1-Q227-Q225</f>
        <v>0</v>
      </c>
      <c r="R228" s="260" t="s">
        <v>148</v>
      </c>
      <c r="S228" s="261" t="str">
        <f ca="1">+IF(Q224=100,"CIEN",IF(AND(Q228&gt;0,Q228&lt;1000),LOOKUP(CELL("contenido",Q228),$E$26:$F$35),""))</f>
        <v/>
      </c>
      <c r="U228" s="240" t="str">
        <f ca="1">+IF(CELL("contenido",M226)&lt;&gt;"",CONCATENATE(M229," ",M228," ",M226," "),IF(CELL("contenido",M225)="",CONCATENATE(M229," ",M228," ",M227," "),CONCATENATE(M229," ",M228," ",M227," Y ",M225," ")))</f>
        <v xml:space="preserve">   </v>
      </c>
    </row>
    <row r="229" spans="4:21" ht="13.5" thickBot="1">
      <c r="D229" s="243"/>
      <c r="E229" s="263">
        <f>+RIGHT(E224,4)*1-E228-E227-E225</f>
        <v>1000</v>
      </c>
      <c r="F229" s="264" t="s">
        <v>150</v>
      </c>
      <c r="G229" s="265" t="str">
        <f ca="1">+IF(E224&gt;999,"MIL",IF(AND(E229&gt;0,E229&lt;10000),LOOKUP(CELL("contenido",E229),$E$26:$F$35),""))</f>
        <v>MIL</v>
      </c>
      <c r="H229" s="266">
        <f>INT(E224/1000000)</f>
        <v>0</v>
      </c>
      <c r="I229" s="267" t="s">
        <v>151</v>
      </c>
      <c r="J229" s="268" t="str">
        <f ca="1">+IF(CELL("contenido",M226)=1,"MILLÓN",IF(H229=1,"MILLÓN",IF(H229&gt;1,"MILLONES","")))</f>
        <v/>
      </c>
      <c r="K229" s="269">
        <f>+RIGHT(K224,4)*1-K228-K227-K225</f>
        <v>0</v>
      </c>
      <c r="L229" s="270" t="s">
        <v>152</v>
      </c>
      <c r="M229" s="271" t="str">
        <f ca="1">+IF(AND(K229&gt;0,K229&lt;10000),LOOKUP(CELL("contenido",K229),$E$26:$F$35),"")</f>
        <v/>
      </c>
      <c r="N229" s="272">
        <f>+RIGHT(N224,4)*1-N228-N227-N225</f>
        <v>0</v>
      </c>
      <c r="O229" s="273" t="s">
        <v>153</v>
      </c>
      <c r="P229" s="274" t="str">
        <f>+IF(N229=1,"UN MILLARDO",IF(N224&gt;1,"MILLARDOS",""))</f>
        <v/>
      </c>
      <c r="Q229" s="275">
        <f>+RIGHT(Q224,4)*1-Q228-Q227-Q225</f>
        <v>0</v>
      </c>
      <c r="R229" s="276" t="s">
        <v>153</v>
      </c>
      <c r="S229" s="277" t="str">
        <f>+IF(Q229=1,"UN MILLARDO",IF(Q224&gt;1,"MILLARDOS",""))</f>
        <v/>
      </c>
      <c r="U229" s="240" t="str">
        <f ca="1">+IF(CELL("contenido",P226)&lt;&gt;"",CONCATENATE(P229," ",P228," ",P226," "),IF(CELL("contenido",P225)="",CONCATENATE(P229," ",P228," ",P227," "),CONCATENATE(P229," ",P228," ",P227," Y ",P225," ")))</f>
        <v xml:space="preserve">   </v>
      </c>
    </row>
    <row r="230" spans="4:21" ht="13.5" thickTop="1">
      <c r="D230" s="243"/>
      <c r="E230" s="240"/>
      <c r="F230" s="240"/>
      <c r="G230" s="240"/>
      <c r="H230" s="240"/>
      <c r="I230" s="240"/>
      <c r="J230" s="278"/>
      <c r="K230" s="278"/>
      <c r="L230" s="278"/>
      <c r="M230" s="241"/>
      <c r="N230" s="241"/>
      <c r="O230" s="241"/>
      <c r="P230" s="240"/>
      <c r="Q230" s="241"/>
      <c r="R230" s="241"/>
      <c r="S230" s="240"/>
      <c r="U230" s="240" t="str">
        <f ca="1">+IF(CELL("contenido",S226)&lt;&gt;"",CONCATENATE(S228," ",S226," "),IF(CELL("contenido",S225)="",CONCATENATE(S228," ",S227," "),CONCATENATE(S228," ",S227," Y ",S225," ")))</f>
        <v xml:space="preserve">  </v>
      </c>
    </row>
    <row r="231" spans="4:21">
      <c r="D231" s="240" t="s">
        <v>172</v>
      </c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U231" s="237"/>
    </row>
    <row r="232" spans="4:21">
      <c r="D232" s="243"/>
      <c r="E232" s="244">
        <f>ROUND(100*(A18-INT(A18)),2)</f>
        <v>76</v>
      </c>
      <c r="F232" s="240" t="s">
        <v>132</v>
      </c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</row>
    <row r="233" spans="4:21">
      <c r="D233" s="240"/>
      <c r="E233" s="240">
        <f>+LEN(E235)</f>
        <v>2</v>
      </c>
      <c r="F233" s="240" t="s">
        <v>133</v>
      </c>
      <c r="G233" s="240"/>
      <c r="H233" s="240"/>
      <c r="I233" s="240"/>
      <c r="J233" s="240"/>
      <c r="K233" s="240"/>
      <c r="L233" s="240"/>
      <c r="M233" s="240"/>
      <c r="N233" s="240"/>
      <c r="O233" s="240"/>
      <c r="P233" s="240"/>
      <c r="Q233" s="240"/>
      <c r="R233" s="240"/>
      <c r="S233" s="240"/>
    </row>
    <row r="234" spans="4:21" ht="13.5" thickBot="1">
      <c r="D234" s="243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</row>
    <row r="235" spans="4:21" ht="14.25" thickTop="1" thickBot="1">
      <c r="D235" s="240"/>
      <c r="E235" s="245">
        <f>+A18-E232/100</f>
        <v>30</v>
      </c>
      <c r="F235" s="1505" t="s">
        <v>136</v>
      </c>
      <c r="G235" s="1506"/>
      <c r="H235" s="246">
        <f>+IF(E235&gt;1000,INT(E235/1000),0)</f>
        <v>0</v>
      </c>
      <c r="I235" s="1505" t="s">
        <v>137</v>
      </c>
      <c r="J235" s="1506"/>
      <c r="K235" s="246">
        <f>+INT(H235/1000)</f>
        <v>0</v>
      </c>
      <c r="L235" s="1505" t="s">
        <v>138</v>
      </c>
      <c r="M235" s="1506"/>
      <c r="N235" s="246">
        <f>+INT(K235/1000)</f>
        <v>0</v>
      </c>
      <c r="O235" s="1505" t="s">
        <v>139</v>
      </c>
      <c r="P235" s="1506"/>
      <c r="Q235" s="246">
        <f>+INT(N235)</f>
        <v>0</v>
      </c>
      <c r="R235" s="1505" t="s">
        <v>139</v>
      </c>
      <c r="S235" s="1506"/>
      <c r="U235" s="240" t="str">
        <f>+IF(E232=0,CONCATENATE("00",U236),IF(E232&lt;10,CONCATENATE(" 0",E232,U236),CONCATENATE(" ",E232,U236)))</f>
        <v xml:space="preserve"> 76/100 BOLIVIANOS</v>
      </c>
    </row>
    <row r="236" spans="4:21" ht="13.5" thickBot="1">
      <c r="D236" s="243"/>
      <c r="E236" s="247">
        <f>+RIGHT(E235)*1</f>
        <v>0</v>
      </c>
      <c r="F236" s="248" t="s">
        <v>141</v>
      </c>
      <c r="G236" s="249" t="str">
        <f ca="1">+IF(AND(E236&gt;0,E236&lt;10),LOOKUP(CELL("contenido",E236),$A$26:$B$35),"")</f>
        <v/>
      </c>
      <c r="H236" s="250">
        <f>+RIGHT(H235)*1</f>
        <v>0</v>
      </c>
      <c r="I236" s="251" t="s">
        <v>141</v>
      </c>
      <c r="J236" s="252" t="str">
        <f ca="1">IF(E235&lt;2000,"",IF(CELL("contenido",H236)=1,"UN",IF(AND(H236&gt;0,H236&lt;10),LOOKUP(CELL("contenido",H236),$A$26:$B$35),"")))</f>
        <v/>
      </c>
      <c r="K236" s="253">
        <f>+RIGHT(K235)*1</f>
        <v>0</v>
      </c>
      <c r="L236" s="254" t="s">
        <v>141</v>
      </c>
      <c r="M236" s="255" t="str">
        <f ca="1">+IF(CELL("contenido",K236)=1,"UN",IF(AND(K236&gt;0,K236&lt;10),LOOKUP(CELL("contenido",K236),$A$26:$B$35),""))</f>
        <v/>
      </c>
      <c r="N236" s="256">
        <f>+RIGHT(N235)*1</f>
        <v>0</v>
      </c>
      <c r="O236" s="257" t="s">
        <v>141</v>
      </c>
      <c r="P236" s="258" t="str">
        <f ca="1">+IF(CELL("contenido",N236)=1,"UN",IF(AND(N236&gt;0,N236&lt;10),LOOKUP(CELL("contenido",N236),$A$26:$B$35),""))</f>
        <v/>
      </c>
      <c r="Q236" s="259">
        <f>+RIGHT(Q235)*1</f>
        <v>0</v>
      </c>
      <c r="R236" s="260" t="s">
        <v>141</v>
      </c>
      <c r="S236" s="261" t="str">
        <f ca="1">+IF(CELL("contenido",Q236)=1,"UN",IF(AND(Q236&gt;0,Q236&lt;10),LOOKUP(CELL("contenido",Q236),$A$26:$B$35),""))</f>
        <v/>
      </c>
      <c r="U236" s="262" t="s">
        <v>142</v>
      </c>
    </row>
    <row r="237" spans="4:21" ht="13.5" thickBot="1">
      <c r="D237" s="243"/>
      <c r="E237" s="247">
        <f>+RIGHT(E235,2)*1</f>
        <v>30</v>
      </c>
      <c r="F237" s="248" t="s">
        <v>144</v>
      </c>
      <c r="G237" s="249" t="str">
        <f ca="1">IF(AND(E237&gt;0,E237&lt;30),LOOKUP(CELL("contenido",E237),$A$26:$B$55),"")</f>
        <v/>
      </c>
      <c r="H237" s="250">
        <f>+RIGHT(H235,2)*1</f>
        <v>0</v>
      </c>
      <c r="I237" s="251" t="s">
        <v>144</v>
      </c>
      <c r="J237" s="252" t="str">
        <f ca="1">IF(E235&lt;2000,"",IF(CELL("contenido",H237)=1,"UN",IF(AND(H237&gt;0,H237&lt;30),LOOKUP(CELL("contenido",H237),$A$26:$B$55),"")))</f>
        <v/>
      </c>
      <c r="K237" s="253">
        <f>+RIGHT(K235,2)*1</f>
        <v>0</v>
      </c>
      <c r="L237" s="254" t="s">
        <v>144</v>
      </c>
      <c r="M237" s="255" t="str">
        <f ca="1">IF(CELL("contenido",K237)=1,"UN",IF(AND(K237&gt;0,K237&lt;30),LOOKUP(CELL("contenido",K237),$A$26:$B$55),""))</f>
        <v/>
      </c>
      <c r="N237" s="256">
        <f>+RIGHT(N235,2)*1</f>
        <v>0</v>
      </c>
      <c r="O237" s="257" t="s">
        <v>144</v>
      </c>
      <c r="P237" s="258" t="str">
        <f ca="1">IF(CELL("contenido",N237)=1,"UN",IF(AND(N237&gt;0,N237&lt;30),LOOKUP(CELL("contenido",N237),$A$26:$B$55),""))</f>
        <v/>
      </c>
      <c r="Q237" s="259">
        <f>+RIGHT(Q235,2)*1</f>
        <v>0</v>
      </c>
      <c r="R237" s="260" t="s">
        <v>144</v>
      </c>
      <c r="S237" s="261" t="str">
        <f ca="1">IF(CELL("contenido",Q237)=1,"UN",IF(AND(Q237&gt;0,Q237&lt;30),LOOKUP(CELL("contenido",Q237),$A$26:$B$55),""))</f>
        <v/>
      </c>
      <c r="U237" s="240" t="str">
        <f ca="1">+IF(CELL("contenido",G237)&lt;&gt;"",CONCATENATE(G240," ",G239," ",G237," ",U235),IF(CELL("contenido",G236)="",CONCATENATE(G240," ",G239," ",G238," ",U235),CONCATENATE(G240," ",G239," ",G238," Y ",G236," ",U235)))</f>
        <v xml:space="preserve">  TREINTA  76/100 BOLIVIANOS</v>
      </c>
    </row>
    <row r="238" spans="4:21" ht="13.5" thickBot="1">
      <c r="D238" s="243"/>
      <c r="E238" s="247">
        <f>+RIGHT(E235,2)*1-E236</f>
        <v>30</v>
      </c>
      <c r="F238" s="248" t="s">
        <v>146</v>
      </c>
      <c r="G238" s="249" t="str">
        <f ca="1">+IF(AND(E238&gt;0,E235&gt;=30),LOOKUP(CELL("contenido",E238),$C$26:$D$35),"")</f>
        <v>TREINTA</v>
      </c>
      <c r="H238" s="250">
        <f>+RIGHT(H235,2)*1-H236</f>
        <v>0</v>
      </c>
      <c r="I238" s="251" t="s">
        <v>146</v>
      </c>
      <c r="J238" s="252" t="str">
        <f ca="1">+IF(AND(H238&gt;0,H235&gt;=30),LOOKUP(CELL("contenido",H238),$C$26:$D$35),"")</f>
        <v/>
      </c>
      <c r="K238" s="253">
        <f>+RIGHT(K235,2)*1-K236</f>
        <v>0</v>
      </c>
      <c r="L238" s="254" t="s">
        <v>146</v>
      </c>
      <c r="M238" s="255" t="str">
        <f ca="1">+IF(AND(K238&gt;0,K235&gt;=30),LOOKUP(CELL("contenido",K238),$C$26:$D$35),"")</f>
        <v/>
      </c>
      <c r="N238" s="256">
        <f>+RIGHT(N235,2)*1-N236</f>
        <v>0</v>
      </c>
      <c r="O238" s="257" t="s">
        <v>146</v>
      </c>
      <c r="P238" s="258" t="str">
        <f ca="1">+IF(AND(N238&gt;0,K240&gt;=30),LOOKUP(CELL("contenido",N238),$C$26:$D$35),"")</f>
        <v/>
      </c>
      <c r="Q238" s="259">
        <f>+RIGHT(Q235,2)*1-Q236</f>
        <v>0</v>
      </c>
      <c r="R238" s="260" t="s">
        <v>146</v>
      </c>
      <c r="S238" s="261" t="str">
        <f ca="1">+IF(AND(Q238&gt;0,N240&gt;=30),LOOKUP(CELL("contenido",Q238),$C$26:$D$35),"")</f>
        <v/>
      </c>
      <c r="U238" s="240" t="str">
        <f ca="1">+IF(CELL("contenido",J237)&lt;&gt;"",CONCATENATE(J240," ",J239," ",J237," "),IF(CELL("contenido",J236)="",CONCATENATE(J240," ",J239," ",J238," "),CONCATENATE(J240," ",J239," ",J238," Y ",J236," ")))</f>
        <v xml:space="preserve">   </v>
      </c>
    </row>
    <row r="239" spans="4:21" ht="13.5" thickBot="1">
      <c r="D239" s="243"/>
      <c r="E239" s="247">
        <f>+RIGHT(E235,3)*1-E238-E236</f>
        <v>0</v>
      </c>
      <c r="F239" s="248" t="s">
        <v>148</v>
      </c>
      <c r="G239" s="249" t="str">
        <f ca="1">+IF((RIGHT(E235,3)*1)=100,"CIEN",IF(AND(E239&gt;0,E239&lt;1000),LOOKUP(CELL("contenido",E239),$E$26:$F$35),""))</f>
        <v/>
      </c>
      <c r="H239" s="250">
        <f>+RIGHT(H235,3)*1-H238-H236</f>
        <v>0</v>
      </c>
      <c r="I239" s="251" t="s">
        <v>148</v>
      </c>
      <c r="J239" s="252" t="str">
        <f ca="1">+IF(H235=100,"CIEN",IF(AND(H239&gt;0,H239&lt;1000),LOOKUP(CELL("contenido",H239),$E$26:$F$35),""))</f>
        <v/>
      </c>
      <c r="K239" s="253">
        <f>+RIGHT(K235,3)*1-K238-K236</f>
        <v>0</v>
      </c>
      <c r="L239" s="254" t="s">
        <v>148</v>
      </c>
      <c r="M239" s="255" t="str">
        <f ca="1">+IF(K235=100,"CIEN",IF(AND(K239&gt;0,K239&lt;1000),LOOKUP(CELL("contenido",K239),$E$26:$F$35),""))</f>
        <v/>
      </c>
      <c r="N239" s="256">
        <f>+RIGHT(N235,3)*1-N238-N236</f>
        <v>0</v>
      </c>
      <c r="O239" s="257" t="s">
        <v>148</v>
      </c>
      <c r="P239" s="258" t="str">
        <f ca="1">+IF(N235=100,"CIEN",IF(AND(N239&gt;0,N239&lt;1000),LOOKUP(CELL("contenido",N239),$E$26:$F$35),""))</f>
        <v/>
      </c>
      <c r="Q239" s="259">
        <f>+RIGHT(Q235,3)*1-Q238-Q236</f>
        <v>0</v>
      </c>
      <c r="R239" s="260" t="s">
        <v>148</v>
      </c>
      <c r="S239" s="261" t="str">
        <f ca="1">+IF(Q235=100,"CIEN",IF(AND(Q239&gt;0,Q239&lt;1000),LOOKUP(CELL("contenido",Q239),$E$26:$F$35),""))</f>
        <v/>
      </c>
      <c r="U239" s="240" t="str">
        <f ca="1">+IF(CELL("contenido",M237)&lt;&gt;"",CONCATENATE(M240," ",M239," ",M237," "),IF(CELL("contenido",M236)="",CONCATENATE(M240," ",M239," ",M238," "),CONCATENATE(M240," ",M239," ",M238," Y ",M236," ")))</f>
        <v xml:space="preserve">   </v>
      </c>
    </row>
    <row r="240" spans="4:21" ht="13.5" thickBot="1">
      <c r="D240" s="243"/>
      <c r="E240" s="263">
        <f>+RIGHT(E235,4)*1-E239-E238-E236</f>
        <v>0</v>
      </c>
      <c r="F240" s="264" t="s">
        <v>150</v>
      </c>
      <c r="G240" s="265" t="str">
        <f ca="1">+IF(E235&gt;999,"MIL",IF(AND(E240&gt;0,E240&lt;10000),LOOKUP(CELL("contenido",E240),$E$26:$F$35),""))</f>
        <v/>
      </c>
      <c r="H240" s="266">
        <f>INT(E235/1000000)</f>
        <v>0</v>
      </c>
      <c r="I240" s="267" t="s">
        <v>151</v>
      </c>
      <c r="J240" s="268" t="str">
        <f ca="1">+IF(CELL("contenido",M237)=1,"MILLÓN",IF(H240=1,"MILLÓN",IF(H240&gt;1,"MILLONES","")))</f>
        <v/>
      </c>
      <c r="K240" s="269">
        <f>+RIGHT(K235,4)*1-K239-K238-K236</f>
        <v>0</v>
      </c>
      <c r="L240" s="270" t="s">
        <v>152</v>
      </c>
      <c r="M240" s="271" t="str">
        <f ca="1">+IF(AND(K240&gt;0,K240&lt;10000),LOOKUP(CELL("contenido",K240),$E$26:$F$35),"")</f>
        <v/>
      </c>
      <c r="N240" s="272">
        <f>+RIGHT(N235,4)*1-N239-N238-N236</f>
        <v>0</v>
      </c>
      <c r="O240" s="273" t="s">
        <v>153</v>
      </c>
      <c r="P240" s="274" t="str">
        <f>+IF(N240=1,"UN MILLARDO",IF(N235&gt;1,"MILLARDOS",""))</f>
        <v/>
      </c>
      <c r="Q240" s="275">
        <f>+RIGHT(Q235,4)*1-Q239-Q238-Q236</f>
        <v>0</v>
      </c>
      <c r="R240" s="276" t="s">
        <v>153</v>
      </c>
      <c r="S240" s="277" t="str">
        <f>+IF(Q240=1,"UN MILLARDO",IF(Q235&gt;1,"MILLARDOS",""))</f>
        <v/>
      </c>
      <c r="U240" s="240" t="str">
        <f ca="1">+IF(CELL("contenido",P237)&lt;&gt;"",CONCATENATE(P240," ",P239," ",P237," "),IF(CELL("contenido",P236)="",CONCATENATE(P240," ",P239," ",P238," "),CONCATENATE(P240," ",P239," ",P238," Y ",P236," ")))</f>
        <v xml:space="preserve">   </v>
      </c>
    </row>
    <row r="241" spans="4:21" ht="13.5" thickTop="1">
      <c r="D241" s="243"/>
      <c r="E241" s="240"/>
      <c r="F241" s="240"/>
      <c r="G241" s="240"/>
      <c r="H241" s="240"/>
      <c r="I241" s="240"/>
      <c r="J241" s="278"/>
      <c r="K241" s="278"/>
      <c r="L241" s="278"/>
      <c r="M241" s="241"/>
      <c r="N241" s="241"/>
      <c r="O241" s="241"/>
      <c r="P241" s="240"/>
      <c r="Q241" s="241"/>
      <c r="R241" s="241"/>
      <c r="S241" s="240"/>
      <c r="U241" s="240" t="str">
        <f ca="1">+IF(CELL("contenido",S237)&lt;&gt;"",CONCATENATE(S239," ",S237," "),IF(CELL("contenido",S236)="",CONCATENATE(S239," ",S238," "),CONCATENATE(S239," ",S238," Y ",S236," ")))</f>
        <v xml:space="preserve">  </v>
      </c>
    </row>
    <row r="242" spans="4:21">
      <c r="D242" s="240" t="s">
        <v>173</v>
      </c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U242" s="237"/>
    </row>
    <row r="243" spans="4:21">
      <c r="D243" s="243"/>
      <c r="E243" s="244">
        <f>ROUND(100*(A19-INT(A19)),2)</f>
        <v>16</v>
      </c>
      <c r="F243" s="240" t="s">
        <v>132</v>
      </c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</row>
    <row r="244" spans="4:21">
      <c r="D244" s="240"/>
      <c r="E244" s="240">
        <f>+LEN(E246)</f>
        <v>3</v>
      </c>
      <c r="F244" s="240" t="s">
        <v>133</v>
      </c>
      <c r="G244" s="240"/>
      <c r="H244" s="240"/>
      <c r="I244" s="240"/>
      <c r="J244" s="240"/>
      <c r="K244" s="240"/>
      <c r="L244" s="240"/>
      <c r="M244" s="240"/>
      <c r="N244" s="240"/>
      <c r="O244" s="240"/>
      <c r="P244" s="240"/>
      <c r="Q244" s="240"/>
      <c r="R244" s="240"/>
      <c r="S244" s="240"/>
    </row>
    <row r="245" spans="4:21" ht="13.5" thickBot="1">
      <c r="D245" s="243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</row>
    <row r="246" spans="4:21" ht="14.25" thickTop="1" thickBot="1">
      <c r="D246" s="240"/>
      <c r="E246" s="245">
        <f>+A19-E243/100</f>
        <v>895</v>
      </c>
      <c r="F246" s="1505" t="s">
        <v>136</v>
      </c>
      <c r="G246" s="1506"/>
      <c r="H246" s="246">
        <f>+IF(E246&gt;1000,INT(E246/1000),0)</f>
        <v>0</v>
      </c>
      <c r="I246" s="1505" t="s">
        <v>137</v>
      </c>
      <c r="J246" s="1506"/>
      <c r="K246" s="246">
        <f>+INT(H246/1000)</f>
        <v>0</v>
      </c>
      <c r="L246" s="1505" t="s">
        <v>138</v>
      </c>
      <c r="M246" s="1506"/>
      <c r="N246" s="246">
        <f>+INT(K246/1000)</f>
        <v>0</v>
      </c>
      <c r="O246" s="1505" t="s">
        <v>139</v>
      </c>
      <c r="P246" s="1506"/>
      <c r="Q246" s="246">
        <f>+INT(N246)</f>
        <v>0</v>
      </c>
      <c r="R246" s="1505" t="s">
        <v>139</v>
      </c>
      <c r="S246" s="1506"/>
      <c r="U246" s="240" t="str">
        <f>+IF(E243=0,CONCATENATE("00",U247),IF(E243&lt;10,CONCATENATE(" 0",E243,U247),CONCATENATE(" ",E243,U247)))</f>
        <v xml:space="preserve"> 16/100 BOLIVIANOS</v>
      </c>
    </row>
    <row r="247" spans="4:21" ht="13.5" thickBot="1">
      <c r="D247" s="243"/>
      <c r="E247" s="247">
        <f>+RIGHT(E246)*1</f>
        <v>5</v>
      </c>
      <c r="F247" s="248" t="s">
        <v>141</v>
      </c>
      <c r="G247" s="249" t="str">
        <f ca="1">+IF(AND(E247&gt;0,E247&lt;10),LOOKUP(CELL("contenido",E247),$A$26:$B$35),"")</f>
        <v>CINCO</v>
      </c>
      <c r="H247" s="250">
        <f>+RIGHT(H246)*1</f>
        <v>0</v>
      </c>
      <c r="I247" s="251" t="s">
        <v>141</v>
      </c>
      <c r="J247" s="252" t="str">
        <f ca="1">IF(E246&lt;2000,"",IF(CELL("contenido",H247)=1,"UN",IF(AND(H247&gt;0,H247&lt;10),LOOKUP(CELL("contenido",H247),$A$26:$B$35),"")))</f>
        <v/>
      </c>
      <c r="K247" s="253">
        <f>+RIGHT(K246)*1</f>
        <v>0</v>
      </c>
      <c r="L247" s="254" t="s">
        <v>141</v>
      </c>
      <c r="M247" s="255" t="str">
        <f ca="1">+IF(CELL("contenido",K247)=1,"UN",IF(AND(K247&gt;0,K247&lt;10),LOOKUP(CELL("contenido",K247),$A$26:$B$35),""))</f>
        <v/>
      </c>
      <c r="N247" s="256">
        <f>+RIGHT(N246)*1</f>
        <v>0</v>
      </c>
      <c r="O247" s="257" t="s">
        <v>141</v>
      </c>
      <c r="P247" s="258" t="str">
        <f ca="1">+IF(CELL("contenido",N247)=1,"UN",IF(AND(N247&gt;0,N247&lt;10),LOOKUP(CELL("contenido",N247),$A$26:$B$35),""))</f>
        <v/>
      </c>
      <c r="Q247" s="259">
        <f>+RIGHT(Q246)*1</f>
        <v>0</v>
      </c>
      <c r="R247" s="260" t="s">
        <v>141</v>
      </c>
      <c r="S247" s="261" t="str">
        <f ca="1">+IF(CELL("contenido",Q247)=1,"UN",IF(AND(Q247&gt;0,Q247&lt;10),LOOKUP(CELL("contenido",Q247),$A$26:$B$35),""))</f>
        <v/>
      </c>
      <c r="U247" s="262" t="s">
        <v>142</v>
      </c>
    </row>
    <row r="248" spans="4:21" ht="13.5" thickBot="1">
      <c r="D248" s="243"/>
      <c r="E248" s="247">
        <f>+RIGHT(E246,2)*1</f>
        <v>95</v>
      </c>
      <c r="F248" s="248" t="s">
        <v>144</v>
      </c>
      <c r="G248" s="249" t="str">
        <f ca="1">IF(AND(E248&gt;0,E248&lt;30),LOOKUP(CELL("contenido",E248),$A$26:$B$55),"")</f>
        <v/>
      </c>
      <c r="H248" s="250">
        <f>+RIGHT(H246,2)*1</f>
        <v>0</v>
      </c>
      <c r="I248" s="251" t="s">
        <v>144</v>
      </c>
      <c r="J248" s="252" t="str">
        <f ca="1">IF(E246&lt;2000,"",IF(CELL("contenido",H248)=1,"UN",IF(AND(H248&gt;0,H248&lt;30),LOOKUP(CELL("contenido",H248),$A$26:$B$55),"")))</f>
        <v/>
      </c>
      <c r="K248" s="253">
        <f>+RIGHT(K246,2)*1</f>
        <v>0</v>
      </c>
      <c r="L248" s="254" t="s">
        <v>144</v>
      </c>
      <c r="M248" s="255" t="str">
        <f ca="1">IF(CELL("contenido",K248)=1,"UN",IF(AND(K248&gt;0,K248&lt;30),LOOKUP(CELL("contenido",K248),$A$26:$B$55),""))</f>
        <v/>
      </c>
      <c r="N248" s="256">
        <f>+RIGHT(N246,2)*1</f>
        <v>0</v>
      </c>
      <c r="O248" s="257" t="s">
        <v>144</v>
      </c>
      <c r="P248" s="258" t="str">
        <f ca="1">IF(CELL("contenido",N248)=1,"UN",IF(AND(N248&gt;0,N248&lt;30),LOOKUP(CELL("contenido",N248),$A$26:$B$55),""))</f>
        <v/>
      </c>
      <c r="Q248" s="259">
        <f>+RIGHT(Q246,2)*1</f>
        <v>0</v>
      </c>
      <c r="R248" s="260" t="s">
        <v>144</v>
      </c>
      <c r="S248" s="261" t="str">
        <f ca="1">IF(CELL("contenido",Q248)=1,"UN",IF(AND(Q248&gt;0,Q248&lt;30),LOOKUP(CELL("contenido",Q248),$A$26:$B$55),""))</f>
        <v/>
      </c>
      <c r="U248" s="240" t="str">
        <f ca="1">+IF(CELL("contenido",G248)&lt;&gt;"",CONCATENATE(G251," ",G250," ",G248," ",U246),IF(CELL("contenido",G247)="",CONCATENATE(G251," ",G250," ",G249," ",U246),CONCATENATE(G251," ",G250," ",G249," Y ",G247," ",U246)))</f>
        <v xml:space="preserve"> OCHOCIENTOS NOVENTA Y CINCO  16/100 BOLIVIANOS</v>
      </c>
    </row>
    <row r="249" spans="4:21" ht="13.5" thickBot="1">
      <c r="D249" s="243"/>
      <c r="E249" s="247">
        <f>+RIGHT(E246,2)*1-E247</f>
        <v>90</v>
      </c>
      <c r="F249" s="248" t="s">
        <v>146</v>
      </c>
      <c r="G249" s="249" t="str">
        <f ca="1">+IF(AND(E249&gt;0,E246&gt;=30),LOOKUP(CELL("contenido",E249),$C$26:$D$35),"")</f>
        <v>NOVENTA</v>
      </c>
      <c r="H249" s="250">
        <f>+RIGHT(H246,2)*1-H247</f>
        <v>0</v>
      </c>
      <c r="I249" s="251" t="s">
        <v>146</v>
      </c>
      <c r="J249" s="252" t="str">
        <f ca="1">+IF(AND(H249&gt;0,H246&gt;=30),LOOKUP(CELL("contenido",H249),$C$26:$D$35),"")</f>
        <v/>
      </c>
      <c r="K249" s="253">
        <f>+RIGHT(K246,2)*1-K247</f>
        <v>0</v>
      </c>
      <c r="L249" s="254" t="s">
        <v>146</v>
      </c>
      <c r="M249" s="255" t="str">
        <f ca="1">+IF(AND(K249&gt;0,K246&gt;=30),LOOKUP(CELL("contenido",K249),$C$26:$D$35),"")</f>
        <v/>
      </c>
      <c r="N249" s="256">
        <f>+RIGHT(N246,2)*1-N247</f>
        <v>0</v>
      </c>
      <c r="O249" s="257" t="s">
        <v>146</v>
      </c>
      <c r="P249" s="258" t="str">
        <f ca="1">+IF(AND(N249&gt;0,K251&gt;=30),LOOKUP(CELL("contenido",N249),$C$26:$D$35),"")</f>
        <v/>
      </c>
      <c r="Q249" s="259">
        <f>+RIGHT(Q246,2)*1-Q247</f>
        <v>0</v>
      </c>
      <c r="R249" s="260" t="s">
        <v>146</v>
      </c>
      <c r="S249" s="261" t="str">
        <f ca="1">+IF(AND(Q249&gt;0,N251&gt;=30),LOOKUP(CELL("contenido",Q249),$C$26:$D$35),"")</f>
        <v/>
      </c>
      <c r="U249" s="240" t="str">
        <f ca="1">+IF(CELL("contenido",J248)&lt;&gt;"",CONCATENATE(J251," ",J250," ",J248," "),IF(CELL("contenido",J247)="",CONCATENATE(J251," ",J250," ",J249," "),CONCATENATE(J251," ",J250," ",J249," Y ",J247," ")))</f>
        <v xml:space="preserve">   </v>
      </c>
    </row>
    <row r="250" spans="4:21" ht="13.5" thickBot="1">
      <c r="D250" s="243"/>
      <c r="E250" s="247">
        <f>+RIGHT(E246,3)*1-E249-E247</f>
        <v>800</v>
      </c>
      <c r="F250" s="248" t="s">
        <v>148</v>
      </c>
      <c r="G250" s="249" t="str">
        <f ca="1">+IF((RIGHT(E246,3)*1)=100,"CIEN",IF(AND(E250&gt;0,E250&lt;1000),LOOKUP(CELL("contenido",E250),$E$26:$F$35),""))</f>
        <v>OCHOCIENTOS</v>
      </c>
      <c r="H250" s="250">
        <f>+RIGHT(H246,3)*1-H249-H247</f>
        <v>0</v>
      </c>
      <c r="I250" s="251" t="s">
        <v>148</v>
      </c>
      <c r="J250" s="252" t="str">
        <f ca="1">+IF(H246=100,"CIEN",IF(AND(H250&gt;0,H250&lt;1000),LOOKUP(CELL("contenido",H250),$E$26:$F$35),""))</f>
        <v/>
      </c>
      <c r="K250" s="253">
        <f>+RIGHT(K246,3)*1-K249-K247</f>
        <v>0</v>
      </c>
      <c r="L250" s="254" t="s">
        <v>148</v>
      </c>
      <c r="M250" s="255" t="str">
        <f ca="1">+IF(K246=100,"CIEN",IF(AND(K250&gt;0,K250&lt;1000),LOOKUP(CELL("contenido",K250),$E$26:$F$35),""))</f>
        <v/>
      </c>
      <c r="N250" s="256">
        <f>+RIGHT(N246,3)*1-N249-N247</f>
        <v>0</v>
      </c>
      <c r="O250" s="257" t="s">
        <v>148</v>
      </c>
      <c r="P250" s="258" t="str">
        <f ca="1">+IF(N246=100,"CIEN",IF(AND(N250&gt;0,N250&lt;1000),LOOKUP(CELL("contenido",N250),$E$26:$F$35),""))</f>
        <v/>
      </c>
      <c r="Q250" s="259">
        <f>+RIGHT(Q246,3)*1-Q249-Q247</f>
        <v>0</v>
      </c>
      <c r="R250" s="260" t="s">
        <v>148</v>
      </c>
      <c r="S250" s="261" t="str">
        <f ca="1">+IF(Q246=100,"CIEN",IF(AND(Q250&gt;0,Q250&lt;1000),LOOKUP(CELL("contenido",Q250),$E$26:$F$35),""))</f>
        <v/>
      </c>
      <c r="U250" s="240" t="str">
        <f ca="1">+IF(CELL("contenido",M248)&lt;&gt;"",CONCATENATE(M251," ",M250," ",M248," "),IF(CELL("contenido",M247)="",CONCATENATE(M251," ",M250," ",M249," "),CONCATENATE(M251," ",M250," ",M249," Y ",M247," ")))</f>
        <v xml:space="preserve">   </v>
      </c>
    </row>
    <row r="251" spans="4:21" ht="13.5" thickBot="1">
      <c r="D251" s="243"/>
      <c r="E251" s="263">
        <f>+RIGHT(E246,4)*1-E250-E249-E247</f>
        <v>0</v>
      </c>
      <c r="F251" s="264" t="s">
        <v>150</v>
      </c>
      <c r="G251" s="265" t="str">
        <f ca="1">+IF(E246&gt;999,"MIL",IF(AND(E251&gt;0,E251&lt;10000),LOOKUP(CELL("contenido",E251),$E$26:$F$35),""))</f>
        <v/>
      </c>
      <c r="H251" s="266">
        <f>INT(E246/1000000)</f>
        <v>0</v>
      </c>
      <c r="I251" s="267" t="s">
        <v>151</v>
      </c>
      <c r="J251" s="268" t="str">
        <f ca="1">+IF(CELL("contenido",M248)=1,"MILLÓN",IF(H251=1,"MILLÓN",IF(H251&gt;1,"MILLONES","")))</f>
        <v/>
      </c>
      <c r="K251" s="269">
        <f>+RIGHT(K246,4)*1-K250-K249-K247</f>
        <v>0</v>
      </c>
      <c r="L251" s="270" t="s">
        <v>152</v>
      </c>
      <c r="M251" s="271" t="str">
        <f ca="1">+IF(AND(K251&gt;0,K251&lt;10000),LOOKUP(CELL("contenido",K251),$E$26:$F$35),"")</f>
        <v/>
      </c>
      <c r="N251" s="272">
        <f>+RIGHT(N246,4)*1-N250-N249-N247</f>
        <v>0</v>
      </c>
      <c r="O251" s="273" t="s">
        <v>153</v>
      </c>
      <c r="P251" s="274" t="str">
        <f>+IF(N251=1,"UN MILLARDO",IF(N246&gt;1,"MILLARDOS",""))</f>
        <v/>
      </c>
      <c r="Q251" s="275">
        <f>+RIGHT(Q246,4)*1-Q250-Q249-Q247</f>
        <v>0</v>
      </c>
      <c r="R251" s="276" t="s">
        <v>153</v>
      </c>
      <c r="S251" s="277" t="str">
        <f>+IF(Q251=1,"UN MILLARDO",IF(Q246&gt;1,"MILLARDOS",""))</f>
        <v/>
      </c>
      <c r="U251" s="240" t="str">
        <f ca="1">+IF(CELL("contenido",P248)&lt;&gt;"",CONCATENATE(P251," ",P250," ",P248," "),IF(CELL("contenido",P247)="",CONCATENATE(P251," ",P250," ",P249," "),CONCATENATE(P251," ",P250," ",P249," Y ",P247," ")))</f>
        <v xml:space="preserve">   </v>
      </c>
    </row>
    <row r="252" spans="4:21" ht="13.5" thickTop="1">
      <c r="D252" s="243"/>
      <c r="E252" s="240"/>
      <c r="F252" s="240"/>
      <c r="G252" s="240"/>
      <c r="H252" s="240"/>
      <c r="I252" s="240"/>
      <c r="J252" s="278"/>
      <c r="K252" s="278"/>
      <c r="L252" s="278"/>
      <c r="M252" s="241"/>
      <c r="N252" s="241"/>
      <c r="O252" s="241"/>
      <c r="P252" s="240"/>
      <c r="Q252" s="241"/>
      <c r="R252" s="241"/>
      <c r="S252" s="240"/>
      <c r="U252" s="240" t="str">
        <f ca="1">+IF(CELL("contenido",S248)&lt;&gt;"",CONCATENATE(S250," ",S248," "),IF(CELL("contenido",S247)="",CONCATENATE(S250," ",S249," "),CONCATENATE(S250," ",S249," Y ",S247," ")))</f>
        <v xml:space="preserve">  </v>
      </c>
    </row>
    <row r="253" spans="4:21">
      <c r="D253" s="240" t="s">
        <v>174</v>
      </c>
      <c r="E253" s="240"/>
      <c r="F253" s="240"/>
      <c r="G253" s="240"/>
      <c r="H253" s="240"/>
      <c r="I253" s="240"/>
      <c r="J253" s="240"/>
      <c r="K253" s="240"/>
      <c r="L253" s="240"/>
      <c r="M253" s="240"/>
      <c r="N253" s="240"/>
      <c r="O253" s="240"/>
      <c r="P253" s="240"/>
      <c r="Q253" s="240"/>
      <c r="R253" s="240"/>
      <c r="S253" s="240"/>
      <c r="U253" s="237"/>
    </row>
    <row r="254" spans="4:21">
      <c r="D254" s="243"/>
      <c r="E254" s="244">
        <f>ROUND(100*(A20-INT(A20)),2)</f>
        <v>35</v>
      </c>
      <c r="F254" s="240" t="s">
        <v>132</v>
      </c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</row>
    <row r="255" spans="4:21">
      <c r="D255" s="240"/>
      <c r="E255" s="240">
        <f>+LEN(E257)</f>
        <v>3</v>
      </c>
      <c r="F255" s="240" t="s">
        <v>133</v>
      </c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</row>
    <row r="256" spans="4:21" ht="13.5" thickBot="1">
      <c r="D256" s="243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</row>
    <row r="257" spans="4:21" ht="14.25" thickTop="1" thickBot="1">
      <c r="D257" s="240"/>
      <c r="E257" s="245">
        <f>+A20-E254/100</f>
        <v>698</v>
      </c>
      <c r="F257" s="1505" t="s">
        <v>136</v>
      </c>
      <c r="G257" s="1506"/>
      <c r="H257" s="246">
        <f>+IF(E257&gt;1000,INT(E257/1000),0)</f>
        <v>0</v>
      </c>
      <c r="I257" s="1505" t="s">
        <v>137</v>
      </c>
      <c r="J257" s="1506"/>
      <c r="K257" s="246">
        <f>+INT(H257/1000)</f>
        <v>0</v>
      </c>
      <c r="L257" s="1505" t="s">
        <v>138</v>
      </c>
      <c r="M257" s="1506"/>
      <c r="N257" s="246">
        <f>+INT(K257/1000)</f>
        <v>0</v>
      </c>
      <c r="O257" s="1505" t="s">
        <v>139</v>
      </c>
      <c r="P257" s="1506"/>
      <c r="Q257" s="246">
        <f>+INT(N257)</f>
        <v>0</v>
      </c>
      <c r="R257" s="1505" t="s">
        <v>139</v>
      </c>
      <c r="S257" s="1506"/>
      <c r="U257" s="240" t="str">
        <f>+IF(E254=0,CONCATENATE("00",U258),IF(E254&lt;10,CONCATENATE(" 0",E254,U258),CONCATENATE(" ",E254,U258)))</f>
        <v xml:space="preserve"> 35/100 BOLIVIANOS</v>
      </c>
    </row>
    <row r="258" spans="4:21" ht="13.5" thickBot="1">
      <c r="D258" s="243"/>
      <c r="E258" s="247">
        <f>+RIGHT(E257)*1</f>
        <v>8</v>
      </c>
      <c r="F258" s="248" t="s">
        <v>141</v>
      </c>
      <c r="G258" s="249" t="str">
        <f ca="1">+IF(AND(E258&gt;0,E258&lt;10),LOOKUP(CELL("contenido",E258),$A$26:$B$35),"")</f>
        <v>OCHO</v>
      </c>
      <c r="H258" s="250">
        <f>+RIGHT(H257)*1</f>
        <v>0</v>
      </c>
      <c r="I258" s="251" t="s">
        <v>141</v>
      </c>
      <c r="J258" s="252" t="str">
        <f ca="1">IF(E257&lt;2000,"",IF(CELL("contenido",H258)=1,"UN",IF(AND(H258&gt;0,H258&lt;10),LOOKUP(CELL("contenido",H258),$A$26:$B$35),"")))</f>
        <v/>
      </c>
      <c r="K258" s="253">
        <f>+RIGHT(K257)*1</f>
        <v>0</v>
      </c>
      <c r="L258" s="254" t="s">
        <v>141</v>
      </c>
      <c r="M258" s="255" t="str">
        <f ca="1">+IF(CELL("contenido",K258)=1,"UN",IF(AND(K258&gt;0,K258&lt;10),LOOKUP(CELL("contenido",K258),$A$26:$B$35),""))</f>
        <v/>
      </c>
      <c r="N258" s="256">
        <f>+RIGHT(N257)*1</f>
        <v>0</v>
      </c>
      <c r="O258" s="257" t="s">
        <v>141</v>
      </c>
      <c r="P258" s="258" t="str">
        <f ca="1">+IF(CELL("contenido",N258)=1,"UN",IF(AND(N258&gt;0,N258&lt;10),LOOKUP(CELL("contenido",N258),$A$26:$B$35),""))</f>
        <v/>
      </c>
      <c r="Q258" s="259">
        <f>+RIGHT(Q257)*1</f>
        <v>0</v>
      </c>
      <c r="R258" s="260" t="s">
        <v>141</v>
      </c>
      <c r="S258" s="261" t="str">
        <f ca="1">+IF(CELL("contenido",Q258)=1,"UN",IF(AND(Q258&gt;0,Q258&lt;10),LOOKUP(CELL("contenido",Q258),$A$26:$B$35),""))</f>
        <v/>
      </c>
      <c r="U258" s="262" t="s">
        <v>142</v>
      </c>
    </row>
    <row r="259" spans="4:21" ht="13.5" thickBot="1">
      <c r="D259" s="243"/>
      <c r="E259" s="247">
        <f>+RIGHT(E257,2)*1</f>
        <v>98</v>
      </c>
      <c r="F259" s="248" t="s">
        <v>144</v>
      </c>
      <c r="G259" s="249" t="str">
        <f ca="1">IF(AND(E259&gt;0,E259&lt;30),LOOKUP(CELL("contenido",E259),$A$26:$B$55),"")</f>
        <v/>
      </c>
      <c r="H259" s="250">
        <f>+RIGHT(H257,2)*1</f>
        <v>0</v>
      </c>
      <c r="I259" s="251" t="s">
        <v>144</v>
      </c>
      <c r="J259" s="252" t="str">
        <f ca="1">IF(E257&lt;2000,"",IF(CELL("contenido",H259)=1,"UN",IF(AND(H259&gt;0,H259&lt;30),LOOKUP(CELL("contenido",H259),$A$26:$B$55),"")))</f>
        <v/>
      </c>
      <c r="K259" s="253">
        <f>+RIGHT(K257,2)*1</f>
        <v>0</v>
      </c>
      <c r="L259" s="254" t="s">
        <v>144</v>
      </c>
      <c r="M259" s="255" t="str">
        <f ca="1">IF(CELL("contenido",K259)=1,"UN",IF(AND(K259&gt;0,K259&lt;30),LOOKUP(CELL("contenido",K259),$A$26:$B$55),""))</f>
        <v/>
      </c>
      <c r="N259" s="256">
        <f>+RIGHT(N257,2)*1</f>
        <v>0</v>
      </c>
      <c r="O259" s="257" t="s">
        <v>144</v>
      </c>
      <c r="P259" s="258" t="str">
        <f ca="1">IF(CELL("contenido",N259)=1,"UN",IF(AND(N259&gt;0,N259&lt;30),LOOKUP(CELL("contenido",N259),$A$26:$B$55),""))</f>
        <v/>
      </c>
      <c r="Q259" s="259">
        <f>+RIGHT(Q257,2)*1</f>
        <v>0</v>
      </c>
      <c r="R259" s="260" t="s">
        <v>144</v>
      </c>
      <c r="S259" s="261" t="str">
        <f ca="1">IF(CELL("contenido",Q259)=1,"UN",IF(AND(Q259&gt;0,Q259&lt;30),LOOKUP(CELL("contenido",Q259),$A$26:$B$55),""))</f>
        <v/>
      </c>
      <c r="U259" s="240" t="str">
        <f ca="1">+IF(CELL("contenido",G259)&lt;&gt;"",CONCATENATE(G262," ",G261," ",G259," ",U257),IF(CELL("contenido",G258)="",CONCATENATE(G262," ",G261," ",G260," ",U257),CONCATENATE(G262," ",G261," ",G260," Y ",G258," ",U257)))</f>
        <v xml:space="preserve"> SEISCIENTOS NOVENTA Y OCHO  35/100 BOLIVIANOS</v>
      </c>
    </row>
    <row r="260" spans="4:21" ht="13.5" thickBot="1">
      <c r="D260" s="243"/>
      <c r="E260" s="247">
        <f>+RIGHT(E257,2)*1-E258</f>
        <v>90</v>
      </c>
      <c r="F260" s="248" t="s">
        <v>146</v>
      </c>
      <c r="G260" s="249" t="str">
        <f ca="1">+IF(AND(E260&gt;0,E257&gt;=30),LOOKUP(CELL("contenido",E260),$C$26:$D$35),"")</f>
        <v>NOVENTA</v>
      </c>
      <c r="H260" s="250">
        <f>+RIGHT(H257,2)*1-H258</f>
        <v>0</v>
      </c>
      <c r="I260" s="251" t="s">
        <v>146</v>
      </c>
      <c r="J260" s="252" t="str">
        <f ca="1">+IF(AND(H260&gt;0,H257&gt;=30),LOOKUP(CELL("contenido",H260),$C$26:$D$35),"")</f>
        <v/>
      </c>
      <c r="K260" s="253">
        <f>+RIGHT(K257,2)*1-K258</f>
        <v>0</v>
      </c>
      <c r="L260" s="254" t="s">
        <v>146</v>
      </c>
      <c r="M260" s="255" t="str">
        <f ca="1">+IF(AND(K260&gt;0,K257&gt;=30),LOOKUP(CELL("contenido",K260),$C$26:$D$35),"")</f>
        <v/>
      </c>
      <c r="N260" s="256">
        <f>+RIGHT(N257,2)*1-N258</f>
        <v>0</v>
      </c>
      <c r="O260" s="257" t="s">
        <v>146</v>
      </c>
      <c r="P260" s="258" t="str">
        <f ca="1">+IF(AND(N260&gt;0,K262&gt;=30),LOOKUP(CELL("contenido",N260),$C$26:$D$35),"")</f>
        <v/>
      </c>
      <c r="Q260" s="259">
        <f>+RIGHT(Q257,2)*1-Q258</f>
        <v>0</v>
      </c>
      <c r="R260" s="260" t="s">
        <v>146</v>
      </c>
      <c r="S260" s="261" t="str">
        <f ca="1">+IF(AND(Q260&gt;0,N262&gt;=30),LOOKUP(CELL("contenido",Q260),$C$26:$D$35),"")</f>
        <v/>
      </c>
      <c r="U260" s="240" t="str">
        <f ca="1">+IF(CELL("contenido",J259)&lt;&gt;"",CONCATENATE(J262," ",J261," ",J259," "),IF(CELL("contenido",J258)="",CONCATENATE(J262," ",J261," ",J260," "),CONCATENATE(J262," ",J261," ",J260," Y ",J258," ")))</f>
        <v xml:space="preserve">   </v>
      </c>
    </row>
    <row r="261" spans="4:21" ht="13.5" thickBot="1">
      <c r="D261" s="243"/>
      <c r="E261" s="247">
        <f>+RIGHT(E257,3)*1-E260-E258</f>
        <v>600</v>
      </c>
      <c r="F261" s="248" t="s">
        <v>148</v>
      </c>
      <c r="G261" s="249" t="str">
        <f ca="1">+IF((RIGHT(E257,3)*1)=100,"CIEN",IF(AND(E261&gt;0,E261&lt;1000),LOOKUP(CELL("contenido",E261),$E$26:$F$35),""))</f>
        <v>SEISCIENTOS</v>
      </c>
      <c r="H261" s="250">
        <f>+RIGHT(H257,3)*1-H260-H258</f>
        <v>0</v>
      </c>
      <c r="I261" s="251" t="s">
        <v>148</v>
      </c>
      <c r="J261" s="252" t="str">
        <f ca="1">+IF(H257=100,"CIEN",IF(AND(H261&gt;0,H261&lt;1000),LOOKUP(CELL("contenido",H261),$E$26:$F$35),""))</f>
        <v/>
      </c>
      <c r="K261" s="253">
        <f>+RIGHT(K257,3)*1-K260-K258</f>
        <v>0</v>
      </c>
      <c r="L261" s="254" t="s">
        <v>148</v>
      </c>
      <c r="M261" s="255" t="str">
        <f ca="1">+IF(K257=100,"CIEN",IF(AND(K261&gt;0,K261&lt;1000),LOOKUP(CELL("contenido",K261),$E$26:$F$35),""))</f>
        <v/>
      </c>
      <c r="N261" s="256">
        <f>+RIGHT(N257,3)*1-N260-N258</f>
        <v>0</v>
      </c>
      <c r="O261" s="257" t="s">
        <v>148</v>
      </c>
      <c r="P261" s="258" t="str">
        <f ca="1">+IF(N257=100,"CIEN",IF(AND(N261&gt;0,N261&lt;1000),LOOKUP(CELL("contenido",N261),$E$26:$F$35),""))</f>
        <v/>
      </c>
      <c r="Q261" s="259">
        <f>+RIGHT(Q257,3)*1-Q260-Q258</f>
        <v>0</v>
      </c>
      <c r="R261" s="260" t="s">
        <v>148</v>
      </c>
      <c r="S261" s="261" t="str">
        <f ca="1">+IF(Q257=100,"CIEN",IF(AND(Q261&gt;0,Q261&lt;1000),LOOKUP(CELL("contenido",Q261),$E$26:$F$35),""))</f>
        <v/>
      </c>
      <c r="U261" s="240" t="str">
        <f ca="1">+IF(CELL("contenido",M259)&lt;&gt;"",CONCATENATE(M262," ",M261," ",M259," "),IF(CELL("contenido",M258)="",CONCATENATE(M262," ",M261," ",M260," "),CONCATENATE(M262," ",M261," ",M260," Y ",M258," ")))</f>
        <v xml:space="preserve">   </v>
      </c>
    </row>
    <row r="262" spans="4:21" ht="13.5" thickBot="1">
      <c r="D262" s="243"/>
      <c r="E262" s="263">
        <f>+RIGHT(E257,4)*1-E261-E260-E258</f>
        <v>0</v>
      </c>
      <c r="F262" s="264" t="s">
        <v>150</v>
      </c>
      <c r="G262" s="265" t="str">
        <f ca="1">+IF(E257&gt;999,"MIL",IF(AND(E262&gt;0,E262&lt;10000),LOOKUP(CELL("contenido",E262),$E$26:$F$35),""))</f>
        <v/>
      </c>
      <c r="H262" s="266">
        <f>INT(E257/1000000)</f>
        <v>0</v>
      </c>
      <c r="I262" s="267" t="s">
        <v>151</v>
      </c>
      <c r="J262" s="268" t="str">
        <f ca="1">+IF(CELL("contenido",M259)=1,"MILLÓN",IF(H262=1,"MILLÓN",IF(H262&gt;1,"MILLONES","")))</f>
        <v/>
      </c>
      <c r="K262" s="269">
        <f>+RIGHT(K257,4)*1-K261-K260-K258</f>
        <v>0</v>
      </c>
      <c r="L262" s="270" t="s">
        <v>152</v>
      </c>
      <c r="M262" s="271" t="str">
        <f ca="1">+IF(AND(K262&gt;0,K262&lt;10000),LOOKUP(CELL("contenido",K262),$E$26:$F$35),"")</f>
        <v/>
      </c>
      <c r="N262" s="272">
        <f>+RIGHT(N257,4)*1-N261-N260-N258</f>
        <v>0</v>
      </c>
      <c r="O262" s="273" t="s">
        <v>153</v>
      </c>
      <c r="P262" s="274" t="str">
        <f>+IF(N262=1,"UN MILLARDO",IF(N257&gt;1,"MILLARDOS",""))</f>
        <v/>
      </c>
      <c r="Q262" s="275">
        <f>+RIGHT(Q257,4)*1-Q261-Q260-Q258</f>
        <v>0</v>
      </c>
      <c r="R262" s="276" t="s">
        <v>153</v>
      </c>
      <c r="S262" s="277" t="str">
        <f>+IF(Q262=1,"UN MILLARDO",IF(Q257&gt;1,"MILLARDOS",""))</f>
        <v/>
      </c>
      <c r="U262" s="240" t="str">
        <f ca="1">+IF(CELL("contenido",P259)&lt;&gt;"",CONCATENATE(P262," ",P261," ",P259," "),IF(CELL("contenido",P258)="",CONCATENATE(P262," ",P261," ",P260," "),CONCATENATE(P262," ",P261," ",P260," Y ",P258," ")))</f>
        <v xml:space="preserve">   </v>
      </c>
    </row>
    <row r="263" spans="4:21" ht="13.5" thickTop="1">
      <c r="D263" s="243"/>
      <c r="E263" s="240"/>
      <c r="F263" s="240"/>
      <c r="G263" s="240"/>
      <c r="H263" s="240"/>
      <c r="I263" s="240"/>
      <c r="J263" s="278"/>
      <c r="K263" s="278"/>
      <c r="L263" s="278"/>
      <c r="M263" s="241"/>
      <c r="N263" s="241"/>
      <c r="O263" s="241"/>
      <c r="P263" s="240"/>
      <c r="Q263" s="241"/>
      <c r="R263" s="241"/>
      <c r="S263" s="240"/>
      <c r="U263" s="240" t="str">
        <f ca="1">+IF(CELL("contenido",S259)&lt;&gt;"",CONCATENATE(S261," ",S259," "),IF(CELL("contenido",S258)="",CONCATENATE(S261," ",S260," "),CONCATENATE(S261," ",S260," Y ",S258," ")))</f>
        <v xml:space="preserve">  </v>
      </c>
    </row>
    <row r="264" spans="4:21">
      <c r="D264" s="240" t="s">
        <v>175</v>
      </c>
      <c r="E264" s="240"/>
      <c r="F264" s="240"/>
      <c r="G264" s="240"/>
      <c r="H264" s="240"/>
      <c r="I264" s="240"/>
      <c r="J264" s="240"/>
      <c r="K264" s="240"/>
      <c r="L264" s="240"/>
      <c r="M264" s="240"/>
      <c r="N264" s="240"/>
      <c r="O264" s="240"/>
      <c r="P264" s="240"/>
      <c r="Q264" s="240"/>
      <c r="R264" s="240"/>
      <c r="S264" s="240"/>
      <c r="U264" s="237"/>
    </row>
    <row r="265" spans="4:21">
      <c r="D265" s="243"/>
      <c r="E265" s="244">
        <f>ROUND(100*(A21-INT(A21)),2)</f>
        <v>14</v>
      </c>
      <c r="F265" s="240" t="s">
        <v>132</v>
      </c>
      <c r="G265" s="240"/>
      <c r="H265" s="240"/>
      <c r="I265" s="240"/>
      <c r="J265" s="240"/>
      <c r="K265" s="240"/>
      <c r="L265" s="240"/>
      <c r="M265" s="240"/>
      <c r="N265" s="240"/>
      <c r="O265" s="240"/>
      <c r="P265" s="240"/>
      <c r="Q265" s="240"/>
      <c r="R265" s="240"/>
      <c r="S265" s="240"/>
    </row>
    <row r="266" spans="4:21">
      <c r="D266" s="240"/>
      <c r="E266" s="240">
        <f>+LEN(E268)</f>
        <v>4</v>
      </c>
      <c r="F266" s="240" t="s">
        <v>133</v>
      </c>
      <c r="G266" s="240"/>
      <c r="H266" s="240"/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</row>
    <row r="267" spans="4:21" ht="13.5" thickBot="1">
      <c r="D267" s="243"/>
      <c r="E267" s="240"/>
      <c r="F267" s="240"/>
      <c r="G267" s="240"/>
      <c r="H267" s="240"/>
      <c r="I267" s="240"/>
      <c r="J267" s="240"/>
      <c r="K267" s="240"/>
      <c r="L267" s="240"/>
      <c r="M267" s="240"/>
      <c r="N267" s="240"/>
      <c r="O267" s="240"/>
      <c r="P267" s="240"/>
      <c r="Q267" s="240"/>
      <c r="R267" s="240"/>
      <c r="S267" s="240"/>
    </row>
    <row r="268" spans="4:21" ht="14.25" thickTop="1" thickBot="1">
      <c r="D268" s="240"/>
      <c r="E268" s="245">
        <f>+A21-E265/100</f>
        <v>1247</v>
      </c>
      <c r="F268" s="1505" t="s">
        <v>136</v>
      </c>
      <c r="G268" s="1506"/>
      <c r="H268" s="246">
        <f>+IF(E268&gt;1000,INT(E268/1000),0)</f>
        <v>1</v>
      </c>
      <c r="I268" s="1505" t="s">
        <v>137</v>
      </c>
      <c r="J268" s="1506"/>
      <c r="K268" s="246">
        <f>+INT(H268/1000)</f>
        <v>0</v>
      </c>
      <c r="L268" s="1505" t="s">
        <v>138</v>
      </c>
      <c r="M268" s="1506"/>
      <c r="N268" s="246">
        <f>+INT(K268/1000)</f>
        <v>0</v>
      </c>
      <c r="O268" s="1505" t="s">
        <v>139</v>
      </c>
      <c r="P268" s="1506"/>
      <c r="Q268" s="246">
        <f>+INT(N268)</f>
        <v>0</v>
      </c>
      <c r="R268" s="1505" t="s">
        <v>139</v>
      </c>
      <c r="S268" s="1506"/>
      <c r="U268" s="240" t="str">
        <f>+IF(E265=0,CONCATENATE("00",U269),IF(E265&lt;10,CONCATENATE(" 0",E265,U269),CONCATENATE(" ",E265,U269)))</f>
        <v xml:space="preserve"> 14/100 BOLIVIANOS</v>
      </c>
    </row>
    <row r="269" spans="4:21" ht="13.5" thickBot="1">
      <c r="D269" s="243"/>
      <c r="E269" s="247">
        <f>+RIGHT(E268)*1</f>
        <v>7</v>
      </c>
      <c r="F269" s="248" t="s">
        <v>141</v>
      </c>
      <c r="G269" s="249" t="str">
        <f ca="1">+IF(AND(E269&gt;0,E269&lt;10),LOOKUP(CELL("contenido",E269),$A$26:$B$35),"")</f>
        <v>SIETE</v>
      </c>
      <c r="H269" s="250">
        <f>+RIGHT(H268)*1</f>
        <v>1</v>
      </c>
      <c r="I269" s="251" t="s">
        <v>141</v>
      </c>
      <c r="J269" s="252" t="str">
        <f ca="1">IF(E268&lt;2000,"",IF(CELL("contenido",H269)=1,"UN",IF(AND(H269&gt;0,H269&lt;10),LOOKUP(CELL("contenido",H269),$A$26:$B$35),"")))</f>
        <v/>
      </c>
      <c r="K269" s="253">
        <f>+RIGHT(K268)*1</f>
        <v>0</v>
      </c>
      <c r="L269" s="254" t="s">
        <v>141</v>
      </c>
      <c r="M269" s="255" t="str">
        <f ca="1">+IF(CELL("contenido",K269)=1,"UN",IF(AND(K269&gt;0,K269&lt;10),LOOKUP(CELL("contenido",K269),$A$26:$B$35),""))</f>
        <v/>
      </c>
      <c r="N269" s="256">
        <f>+RIGHT(N268)*1</f>
        <v>0</v>
      </c>
      <c r="O269" s="257" t="s">
        <v>141</v>
      </c>
      <c r="P269" s="258" t="str">
        <f ca="1">+IF(CELL("contenido",N269)=1,"UN",IF(AND(N269&gt;0,N269&lt;10),LOOKUP(CELL("contenido",N269),$A$26:$B$35),""))</f>
        <v/>
      </c>
      <c r="Q269" s="259">
        <f>+RIGHT(Q268)*1</f>
        <v>0</v>
      </c>
      <c r="R269" s="260" t="s">
        <v>141</v>
      </c>
      <c r="S269" s="261" t="str">
        <f ca="1">+IF(CELL("contenido",Q269)=1,"UN",IF(AND(Q269&gt;0,Q269&lt;10),LOOKUP(CELL("contenido",Q269),$A$26:$B$35),""))</f>
        <v/>
      </c>
      <c r="U269" s="262" t="s">
        <v>142</v>
      </c>
    </row>
    <row r="270" spans="4:21" ht="13.5" thickBot="1">
      <c r="D270" s="243"/>
      <c r="E270" s="247">
        <f>+RIGHT(E268,2)*1</f>
        <v>47</v>
      </c>
      <c r="F270" s="248" t="s">
        <v>144</v>
      </c>
      <c r="G270" s="249" t="str">
        <f ca="1">IF(AND(E270&gt;0,E270&lt;30),LOOKUP(CELL("contenido",E270),$A$26:$B$55),"")</f>
        <v/>
      </c>
      <c r="H270" s="250">
        <f>+RIGHT(H268,2)*1</f>
        <v>1</v>
      </c>
      <c r="I270" s="251" t="s">
        <v>144</v>
      </c>
      <c r="J270" s="252" t="str">
        <f ca="1">IF(E268&lt;2000,"",IF(CELL("contenido",H270)=1,"UN",IF(AND(H270&gt;0,H270&lt;30),LOOKUP(CELL("contenido",H270),$A$26:$B$55),"")))</f>
        <v/>
      </c>
      <c r="K270" s="253">
        <f>+RIGHT(K268,2)*1</f>
        <v>0</v>
      </c>
      <c r="L270" s="254" t="s">
        <v>144</v>
      </c>
      <c r="M270" s="255" t="str">
        <f ca="1">IF(CELL("contenido",K270)=1,"UN",IF(AND(K270&gt;0,K270&lt;30),LOOKUP(CELL("contenido",K270),$A$26:$B$55),""))</f>
        <v/>
      </c>
      <c r="N270" s="256">
        <f>+RIGHT(N268,2)*1</f>
        <v>0</v>
      </c>
      <c r="O270" s="257" t="s">
        <v>144</v>
      </c>
      <c r="P270" s="258" t="str">
        <f ca="1">IF(CELL("contenido",N270)=1,"UN",IF(AND(N270&gt;0,N270&lt;30),LOOKUP(CELL("contenido",N270),$A$26:$B$55),""))</f>
        <v/>
      </c>
      <c r="Q270" s="259">
        <f>+RIGHT(Q268,2)*1</f>
        <v>0</v>
      </c>
      <c r="R270" s="260" t="s">
        <v>144</v>
      </c>
      <c r="S270" s="261" t="str">
        <f ca="1">IF(CELL("contenido",Q270)=1,"UN",IF(AND(Q270&gt;0,Q270&lt;30),LOOKUP(CELL("contenido",Q270),$A$26:$B$55),""))</f>
        <v/>
      </c>
      <c r="U270" s="240" t="str">
        <f ca="1">+IF(CELL("contenido",G270)&lt;&gt;"",CONCATENATE(G273," ",G272," ",G270," ",U268),IF(CELL("contenido",G269)="",CONCATENATE(G273," ",G272," ",G271," ",U268),CONCATENATE(G273," ",G272," ",G271," Y ",G269," ",U268)))</f>
        <v>MIL DOSCIENTOS CUARENTA Y SIETE  14/100 BOLIVIANOS</v>
      </c>
    </row>
    <row r="271" spans="4:21" ht="13.5" thickBot="1">
      <c r="D271" s="243"/>
      <c r="E271" s="247">
        <f>+RIGHT(E268,2)*1-E269</f>
        <v>40</v>
      </c>
      <c r="F271" s="248" t="s">
        <v>146</v>
      </c>
      <c r="G271" s="249" t="str">
        <f ca="1">+IF(AND(E271&gt;0,E268&gt;=30),LOOKUP(CELL("contenido",E271),$C$26:$D$35),"")</f>
        <v>CUARENTA</v>
      </c>
      <c r="H271" s="250">
        <f>+RIGHT(H268,2)*1-H269</f>
        <v>0</v>
      </c>
      <c r="I271" s="251" t="s">
        <v>146</v>
      </c>
      <c r="J271" s="252" t="str">
        <f ca="1">+IF(AND(H271&gt;0,H268&gt;=30),LOOKUP(CELL("contenido",H271),$C$26:$D$35),"")</f>
        <v/>
      </c>
      <c r="K271" s="253">
        <f>+RIGHT(K268,2)*1-K269</f>
        <v>0</v>
      </c>
      <c r="L271" s="254" t="s">
        <v>146</v>
      </c>
      <c r="M271" s="255" t="str">
        <f ca="1">+IF(AND(K271&gt;0,K268&gt;=30),LOOKUP(CELL("contenido",K271),$C$26:$D$35),"")</f>
        <v/>
      </c>
      <c r="N271" s="256">
        <f>+RIGHT(N268,2)*1-N269</f>
        <v>0</v>
      </c>
      <c r="O271" s="257" t="s">
        <v>146</v>
      </c>
      <c r="P271" s="258" t="str">
        <f ca="1">+IF(AND(N271&gt;0,K273&gt;=30),LOOKUP(CELL("contenido",N271),$C$26:$D$35),"")</f>
        <v/>
      </c>
      <c r="Q271" s="259">
        <f>+RIGHT(Q268,2)*1-Q269</f>
        <v>0</v>
      </c>
      <c r="R271" s="260" t="s">
        <v>146</v>
      </c>
      <c r="S271" s="261" t="str">
        <f ca="1">+IF(AND(Q271&gt;0,N273&gt;=30),LOOKUP(CELL("contenido",Q271),$C$26:$D$35),"")</f>
        <v/>
      </c>
      <c r="U271" s="240" t="str">
        <f ca="1">+IF(CELL("contenido",J270)&lt;&gt;"",CONCATENATE(J273," ",J272," ",J270," "),IF(CELL("contenido",J269)="",CONCATENATE(J273," ",J272," ",J271," "),CONCATENATE(J273," ",J272," ",J271," Y ",J269," ")))</f>
        <v xml:space="preserve">   </v>
      </c>
    </row>
    <row r="272" spans="4:21" ht="13.5" thickBot="1">
      <c r="D272" s="243"/>
      <c r="E272" s="247">
        <f>+RIGHT(E268,3)*1-E271-E269</f>
        <v>200</v>
      </c>
      <c r="F272" s="248" t="s">
        <v>148</v>
      </c>
      <c r="G272" s="249" t="str">
        <f ca="1">+IF((RIGHT(E268,3)*1)=100,"CIEN",IF(AND(E272&gt;0,E272&lt;1000),LOOKUP(CELL("contenido",E272),$E$26:$F$35),""))</f>
        <v>DOSCIENTOS</v>
      </c>
      <c r="H272" s="250">
        <f>+RIGHT(H268,3)*1-H271-H269</f>
        <v>0</v>
      </c>
      <c r="I272" s="251" t="s">
        <v>148</v>
      </c>
      <c r="J272" s="252" t="str">
        <f ca="1">+IF(H268=100,"CIEN",IF(AND(H272&gt;0,H272&lt;1000),LOOKUP(CELL("contenido",H272),$E$26:$F$35),""))</f>
        <v/>
      </c>
      <c r="K272" s="253">
        <f>+RIGHT(K268,3)*1-K271-K269</f>
        <v>0</v>
      </c>
      <c r="L272" s="254" t="s">
        <v>148</v>
      </c>
      <c r="M272" s="255" t="str">
        <f ca="1">+IF(K268=100,"CIEN",IF(AND(K272&gt;0,K272&lt;1000),LOOKUP(CELL("contenido",K272),$E$26:$F$35),""))</f>
        <v/>
      </c>
      <c r="N272" s="256">
        <f>+RIGHT(N268,3)*1-N271-N269</f>
        <v>0</v>
      </c>
      <c r="O272" s="257" t="s">
        <v>148</v>
      </c>
      <c r="P272" s="258" t="str">
        <f ca="1">+IF(N268=100,"CIEN",IF(AND(N272&gt;0,N272&lt;1000),LOOKUP(CELL("contenido",N272),$E$26:$F$35),""))</f>
        <v/>
      </c>
      <c r="Q272" s="259">
        <f>+RIGHT(Q268,3)*1-Q271-Q269</f>
        <v>0</v>
      </c>
      <c r="R272" s="260" t="s">
        <v>148</v>
      </c>
      <c r="S272" s="261" t="str">
        <f ca="1">+IF(Q268=100,"CIEN",IF(AND(Q272&gt;0,Q272&lt;1000),LOOKUP(CELL("contenido",Q272),$E$26:$F$35),""))</f>
        <v/>
      </c>
      <c r="U272" s="240" t="str">
        <f ca="1">+IF(CELL("contenido",M270)&lt;&gt;"",CONCATENATE(M273," ",M272," ",M270," "),IF(CELL("contenido",M269)="",CONCATENATE(M273," ",M272," ",M271," "),CONCATENATE(M273," ",M272," ",M271," Y ",M269," ")))</f>
        <v xml:space="preserve">   </v>
      </c>
    </row>
    <row r="273" spans="4:21" ht="13.5" thickBot="1">
      <c r="D273" s="243"/>
      <c r="E273" s="263">
        <f>+RIGHT(E268,4)*1-E272-E271-E269</f>
        <v>1000</v>
      </c>
      <c r="F273" s="264" t="s">
        <v>150</v>
      </c>
      <c r="G273" s="265" t="str">
        <f ca="1">+IF(E268&gt;999,"MIL",IF(AND(E273&gt;0,E273&lt;10000),LOOKUP(CELL("contenido",E273),$E$26:$F$35),""))</f>
        <v>MIL</v>
      </c>
      <c r="H273" s="266">
        <f>INT(E268/1000000)</f>
        <v>0</v>
      </c>
      <c r="I273" s="267" t="s">
        <v>151</v>
      </c>
      <c r="J273" s="268" t="str">
        <f ca="1">+IF(CELL("contenido",M270)=1,"MILLÓN",IF(H273=1,"MILLÓN",IF(H273&gt;1,"MILLONES","")))</f>
        <v/>
      </c>
      <c r="K273" s="269">
        <f>+RIGHT(K268,4)*1-K272-K271-K269</f>
        <v>0</v>
      </c>
      <c r="L273" s="270" t="s">
        <v>152</v>
      </c>
      <c r="M273" s="271" t="str">
        <f ca="1">+IF(AND(K273&gt;0,K273&lt;10000),LOOKUP(CELL("contenido",K273),$E$26:$F$35),"")</f>
        <v/>
      </c>
      <c r="N273" s="272">
        <f>+RIGHT(N268,4)*1-N272-N271-N269</f>
        <v>0</v>
      </c>
      <c r="O273" s="273" t="s">
        <v>153</v>
      </c>
      <c r="P273" s="274" t="str">
        <f>+IF(N273=1,"UN MILLARDO",IF(N268&gt;1,"MILLARDOS",""))</f>
        <v/>
      </c>
      <c r="Q273" s="275">
        <f>+RIGHT(Q268,4)*1-Q272-Q271-Q269</f>
        <v>0</v>
      </c>
      <c r="R273" s="276" t="s">
        <v>153</v>
      </c>
      <c r="S273" s="277" t="str">
        <f>+IF(Q273=1,"UN MILLARDO",IF(Q268&gt;1,"MILLARDOS",""))</f>
        <v/>
      </c>
      <c r="U273" s="240" t="str">
        <f ca="1">+IF(CELL("contenido",P270)&lt;&gt;"",CONCATENATE(P273," ",P272," ",P270," "),IF(CELL("contenido",P269)="",CONCATENATE(P273," ",P272," ",P271," "),CONCATENATE(P273," ",P272," ",P271," Y ",P269," ")))</f>
        <v xml:space="preserve">   </v>
      </c>
    </row>
    <row r="274" spans="4:21" ht="13.5" thickTop="1">
      <c r="D274" s="243"/>
      <c r="E274" s="240"/>
      <c r="F274" s="240"/>
      <c r="G274" s="240"/>
      <c r="H274" s="240"/>
      <c r="I274" s="240"/>
      <c r="J274" s="278"/>
      <c r="K274" s="278"/>
      <c r="L274" s="278"/>
      <c r="M274" s="241"/>
      <c r="N274" s="241"/>
      <c r="O274" s="241"/>
      <c r="P274" s="240"/>
      <c r="Q274" s="241"/>
      <c r="R274" s="241"/>
      <c r="S274" s="240"/>
      <c r="U274" s="240" t="str">
        <f ca="1">+IF(CELL("contenido",S270)&lt;&gt;"",CONCATENATE(S272," ",S270," "),IF(CELL("contenido",S269)="",CONCATENATE(S272," ",S271," "),CONCATENATE(S272," ",S271," Y ",S269," ")))</f>
        <v xml:space="preserve">  </v>
      </c>
    </row>
    <row r="275" spans="4:21">
      <c r="D275" s="240" t="s">
        <v>176</v>
      </c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U275" s="237"/>
    </row>
    <row r="276" spans="4:21">
      <c r="D276" s="243"/>
      <c r="E276" s="244" t="e">
        <f>ROUND(100*(A22-INT(A22)),2)</f>
        <v>#REF!</v>
      </c>
      <c r="F276" s="240" t="s">
        <v>132</v>
      </c>
      <c r="G276" s="240"/>
      <c r="H276" s="240"/>
      <c r="I276" s="240"/>
      <c r="J276" s="240"/>
      <c r="K276" s="240"/>
      <c r="L276" s="240"/>
      <c r="M276" s="240"/>
      <c r="N276" s="240"/>
      <c r="O276" s="240"/>
      <c r="P276" s="240"/>
      <c r="Q276" s="240"/>
      <c r="R276" s="240"/>
      <c r="S276" s="240"/>
    </row>
    <row r="277" spans="4:21">
      <c r="D277" s="240"/>
      <c r="E277" s="240" t="e">
        <f>+LEN(E279)</f>
        <v>#REF!</v>
      </c>
      <c r="F277" s="240" t="s">
        <v>133</v>
      </c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</row>
    <row r="278" spans="4:21" ht="13.5" thickBot="1">
      <c r="D278" s="243"/>
      <c r="E278" s="240"/>
      <c r="F278" s="240"/>
      <c r="G278" s="240"/>
      <c r="H278" s="240"/>
      <c r="I278" s="240"/>
      <c r="J278" s="240"/>
      <c r="K278" s="240"/>
      <c r="L278" s="240"/>
      <c r="M278" s="240"/>
      <c r="N278" s="240"/>
      <c r="O278" s="240"/>
      <c r="P278" s="240"/>
      <c r="Q278" s="240"/>
      <c r="R278" s="240"/>
      <c r="S278" s="240"/>
    </row>
    <row r="279" spans="4:21" ht="14.25" thickTop="1" thickBot="1">
      <c r="D279" s="240"/>
      <c r="E279" s="245" t="e">
        <f>+A22-E276/100</f>
        <v>#REF!</v>
      </c>
      <c r="F279" s="1505" t="s">
        <v>136</v>
      </c>
      <c r="G279" s="1506"/>
      <c r="H279" s="246" t="e">
        <f>+IF(E279&gt;1000,INT(E279/1000),0)</f>
        <v>#REF!</v>
      </c>
      <c r="I279" s="1505" t="s">
        <v>137</v>
      </c>
      <c r="J279" s="1506"/>
      <c r="K279" s="246" t="e">
        <f>+INT(H279/1000)</f>
        <v>#REF!</v>
      </c>
      <c r="L279" s="1505" t="s">
        <v>138</v>
      </c>
      <c r="M279" s="1506"/>
      <c r="N279" s="246" t="e">
        <f>+INT(K279/1000)</f>
        <v>#REF!</v>
      </c>
      <c r="O279" s="1505" t="s">
        <v>139</v>
      </c>
      <c r="P279" s="1506"/>
      <c r="Q279" s="246" t="e">
        <f>+INT(N279)</f>
        <v>#REF!</v>
      </c>
      <c r="R279" s="1505" t="s">
        <v>139</v>
      </c>
      <c r="S279" s="1506"/>
      <c r="U279" s="240" t="e">
        <f>+IF(E276=0,CONCATENATE("00",U280),IF(E276&lt;10,CONCATENATE(" 0",E276,U280),CONCATENATE(" ",E276,U280)))</f>
        <v>#REF!</v>
      </c>
    </row>
    <row r="280" spans="4:21" ht="13.5" thickBot="1">
      <c r="D280" s="243"/>
      <c r="E280" s="247" t="e">
        <f>+RIGHT(E279)*1</f>
        <v>#REF!</v>
      </c>
      <c r="F280" s="248" t="s">
        <v>141</v>
      </c>
      <c r="G280" s="249" t="e">
        <f ca="1">+IF(AND(E280&gt;0,E280&lt;10),LOOKUP(CELL("contenido",E280),$A$26:$B$35),"")</f>
        <v>#REF!</v>
      </c>
      <c r="H280" s="250" t="e">
        <f>+RIGHT(H279)*1</f>
        <v>#REF!</v>
      </c>
      <c r="I280" s="251" t="s">
        <v>141</v>
      </c>
      <c r="J280" s="252" t="e">
        <f ca="1">IF(E279&lt;2000,"",IF(CELL("contenido",H280)=1,"UN",IF(AND(H280&gt;0,H280&lt;10),LOOKUP(CELL("contenido",H280),$A$26:$B$35),"")))</f>
        <v>#REF!</v>
      </c>
      <c r="K280" s="253" t="e">
        <f>+RIGHT(K279)*1</f>
        <v>#REF!</v>
      </c>
      <c r="L280" s="254" t="s">
        <v>141</v>
      </c>
      <c r="M280" s="255" t="e">
        <f ca="1">+IF(CELL("contenido",K280)=1,"UN",IF(AND(K280&gt;0,K280&lt;10),LOOKUP(CELL("contenido",K280),$A$26:$B$35),""))</f>
        <v>#REF!</v>
      </c>
      <c r="N280" s="256" t="e">
        <f>+RIGHT(N279)*1</f>
        <v>#REF!</v>
      </c>
      <c r="O280" s="257" t="s">
        <v>141</v>
      </c>
      <c r="P280" s="258" t="e">
        <f ca="1">+IF(CELL("contenido",N280)=1,"UN",IF(AND(N280&gt;0,N280&lt;10),LOOKUP(CELL("contenido",N280),$A$26:$B$35),""))</f>
        <v>#REF!</v>
      </c>
      <c r="Q280" s="259" t="e">
        <f>+RIGHT(Q279)*1</f>
        <v>#REF!</v>
      </c>
      <c r="R280" s="260" t="s">
        <v>141</v>
      </c>
      <c r="S280" s="261" t="e">
        <f ca="1">+IF(CELL("contenido",Q280)=1,"UN",IF(AND(Q280&gt;0,Q280&lt;10),LOOKUP(CELL("contenido",Q280),$A$26:$B$35),""))</f>
        <v>#REF!</v>
      </c>
      <c r="U280" s="262" t="s">
        <v>142</v>
      </c>
    </row>
    <row r="281" spans="4:21" ht="13.5" thickBot="1">
      <c r="D281" s="243"/>
      <c r="E281" s="247" t="e">
        <f>+RIGHT(E279,2)*1</f>
        <v>#REF!</v>
      </c>
      <c r="F281" s="248" t="s">
        <v>144</v>
      </c>
      <c r="G281" s="249" t="e">
        <f ca="1">IF(AND(E281&gt;0,E281&lt;30),LOOKUP(CELL("contenido",E281),$A$26:$B$55),"")</f>
        <v>#REF!</v>
      </c>
      <c r="H281" s="250" t="e">
        <f>+RIGHT(H279,2)*1</f>
        <v>#REF!</v>
      </c>
      <c r="I281" s="251" t="s">
        <v>144</v>
      </c>
      <c r="J281" s="252" t="e">
        <f ca="1">IF(E279&lt;2000,"",IF(CELL("contenido",H281)=1,"UN",IF(AND(H281&gt;0,H281&lt;30),LOOKUP(CELL("contenido",H281),$A$26:$B$55),"")))</f>
        <v>#REF!</v>
      </c>
      <c r="K281" s="253" t="e">
        <f>+RIGHT(K279,2)*1</f>
        <v>#REF!</v>
      </c>
      <c r="L281" s="254" t="s">
        <v>144</v>
      </c>
      <c r="M281" s="255" t="e">
        <f ca="1">IF(CELL("contenido",K281)=1,"UN",IF(AND(K281&gt;0,K281&lt;30),LOOKUP(CELL("contenido",K281),$A$26:$B$55),""))</f>
        <v>#REF!</v>
      </c>
      <c r="N281" s="256" t="e">
        <f>+RIGHT(N279,2)*1</f>
        <v>#REF!</v>
      </c>
      <c r="O281" s="257" t="s">
        <v>144</v>
      </c>
      <c r="P281" s="258" t="e">
        <f ca="1">IF(CELL("contenido",N281)=1,"UN",IF(AND(N281&gt;0,N281&lt;30),LOOKUP(CELL("contenido",N281),$A$26:$B$55),""))</f>
        <v>#REF!</v>
      </c>
      <c r="Q281" s="259" t="e">
        <f>+RIGHT(Q279,2)*1</f>
        <v>#REF!</v>
      </c>
      <c r="R281" s="260" t="s">
        <v>144</v>
      </c>
      <c r="S281" s="261" t="e">
        <f ca="1">IF(CELL("contenido",Q281)=1,"UN",IF(AND(Q281&gt;0,Q281&lt;30),LOOKUP(CELL("contenido",Q281),$A$26:$B$55),""))</f>
        <v>#REF!</v>
      </c>
      <c r="U281" s="240" t="e">
        <f ca="1">+IF(CELL("contenido",G281)&lt;&gt;"",CONCATENATE(G284," ",G283," ",G281," ",U279),IF(CELL("contenido",G280)="",CONCATENATE(G284," ",G283," ",G282," ",U279),CONCATENATE(G284," ",G283," ",G282," Y ",G280," ",U279)))</f>
        <v>#REF!</v>
      </c>
    </row>
    <row r="282" spans="4:21" ht="13.5" thickBot="1">
      <c r="D282" s="243"/>
      <c r="E282" s="247" t="e">
        <f>+RIGHT(E279,2)*1-E280</f>
        <v>#REF!</v>
      </c>
      <c r="F282" s="248" t="s">
        <v>146</v>
      </c>
      <c r="G282" s="249" t="e">
        <f ca="1">+IF(AND(E282&gt;0,E279&gt;=30),LOOKUP(CELL("contenido",E282),$C$26:$D$35),"")</f>
        <v>#REF!</v>
      </c>
      <c r="H282" s="250" t="e">
        <f>+RIGHT(H279,2)*1-H280</f>
        <v>#REF!</v>
      </c>
      <c r="I282" s="251" t="s">
        <v>146</v>
      </c>
      <c r="J282" s="252" t="e">
        <f ca="1">+IF(AND(H282&gt;0,H279&gt;=30),LOOKUP(CELL("contenido",H282),$C$26:$D$35),"")</f>
        <v>#REF!</v>
      </c>
      <c r="K282" s="253" t="e">
        <f>+RIGHT(K279,2)*1-K280</f>
        <v>#REF!</v>
      </c>
      <c r="L282" s="254" t="s">
        <v>146</v>
      </c>
      <c r="M282" s="255" t="e">
        <f ca="1">+IF(AND(K282&gt;0,K279&gt;=30),LOOKUP(CELL("contenido",K282),$C$26:$D$35),"")</f>
        <v>#REF!</v>
      </c>
      <c r="N282" s="256" t="e">
        <f>+RIGHT(N279,2)*1-N280</f>
        <v>#REF!</v>
      </c>
      <c r="O282" s="257" t="s">
        <v>146</v>
      </c>
      <c r="P282" s="258" t="e">
        <f ca="1">+IF(AND(N282&gt;0,K284&gt;=30),LOOKUP(CELL("contenido",N282),$C$26:$D$35),"")</f>
        <v>#REF!</v>
      </c>
      <c r="Q282" s="259" t="e">
        <f>+RIGHT(Q279,2)*1-Q280</f>
        <v>#REF!</v>
      </c>
      <c r="R282" s="260" t="s">
        <v>146</v>
      </c>
      <c r="S282" s="261" t="e">
        <f ca="1">+IF(AND(Q282&gt;0,N284&gt;=30),LOOKUP(CELL("contenido",Q282),$C$26:$D$35),"")</f>
        <v>#REF!</v>
      </c>
      <c r="U282" s="240" t="e">
        <f ca="1">+IF(CELL("contenido",J281)&lt;&gt;"",CONCATENATE(J284," ",J283," ",J281," "),IF(CELL("contenido",J280)="",CONCATENATE(J284," ",J283," ",J282," "),CONCATENATE(J284," ",J283," ",J282," Y ",J280," ")))</f>
        <v>#REF!</v>
      </c>
    </row>
    <row r="283" spans="4:21" ht="13.5" thickBot="1">
      <c r="D283" s="243"/>
      <c r="E283" s="247" t="e">
        <f>+RIGHT(E279,3)*1-E282-E280</f>
        <v>#REF!</v>
      </c>
      <c r="F283" s="248" t="s">
        <v>148</v>
      </c>
      <c r="G283" s="249" t="e">
        <f ca="1">+IF((RIGHT(E279,3)*1)=100,"CIEN",IF(AND(E283&gt;0,E283&lt;1000),LOOKUP(CELL("contenido",E283),$E$26:$F$35),""))</f>
        <v>#REF!</v>
      </c>
      <c r="H283" s="250" t="e">
        <f>+RIGHT(H279,3)*1-H282-H280</f>
        <v>#REF!</v>
      </c>
      <c r="I283" s="251" t="s">
        <v>148</v>
      </c>
      <c r="J283" s="252" t="e">
        <f ca="1">+IF(H279=100,"CIEN",IF(AND(H283&gt;0,H283&lt;1000),LOOKUP(CELL("contenido",H283),$E$26:$F$35),""))</f>
        <v>#REF!</v>
      </c>
      <c r="K283" s="253" t="e">
        <f>+RIGHT(K279,3)*1-K282-K280</f>
        <v>#REF!</v>
      </c>
      <c r="L283" s="254" t="s">
        <v>148</v>
      </c>
      <c r="M283" s="255" t="e">
        <f ca="1">+IF(K279=100,"CIEN",IF(AND(K283&gt;0,K283&lt;1000),LOOKUP(CELL("contenido",K283),$E$26:$F$35),""))</f>
        <v>#REF!</v>
      </c>
      <c r="N283" s="256" t="e">
        <f>+RIGHT(N279,3)*1-N282-N280</f>
        <v>#REF!</v>
      </c>
      <c r="O283" s="257" t="s">
        <v>148</v>
      </c>
      <c r="P283" s="258" t="e">
        <f ca="1">+IF(N279=100,"CIEN",IF(AND(N283&gt;0,N283&lt;1000),LOOKUP(CELL("contenido",N283),$E$26:$F$35),""))</f>
        <v>#REF!</v>
      </c>
      <c r="Q283" s="259" t="e">
        <f>+RIGHT(Q279,3)*1-Q282-Q280</f>
        <v>#REF!</v>
      </c>
      <c r="R283" s="260" t="s">
        <v>148</v>
      </c>
      <c r="S283" s="261" t="e">
        <f ca="1">+IF(Q279=100,"CIEN",IF(AND(Q283&gt;0,Q283&lt;1000),LOOKUP(CELL("contenido",Q283),$E$26:$F$35),""))</f>
        <v>#REF!</v>
      </c>
      <c r="U283" s="240" t="e">
        <f ca="1">+IF(CELL("contenido",M281)&lt;&gt;"",CONCATENATE(M284," ",M283," ",M281," "),IF(CELL("contenido",M280)="",CONCATENATE(M284," ",M283," ",M282," "),CONCATENATE(M284," ",M283," ",M282," Y ",M280," ")))</f>
        <v>#REF!</v>
      </c>
    </row>
    <row r="284" spans="4:21" ht="13.5" thickBot="1">
      <c r="D284" s="243"/>
      <c r="E284" s="263" t="e">
        <f>+RIGHT(E279,4)*1-E283-E282-E280</f>
        <v>#REF!</v>
      </c>
      <c r="F284" s="264" t="s">
        <v>150</v>
      </c>
      <c r="G284" s="265" t="e">
        <f ca="1">+IF(E279&gt;999,"MIL",IF(AND(E284&gt;0,E284&lt;10000),LOOKUP(CELL("contenido",E284),$E$26:$F$35),""))</f>
        <v>#REF!</v>
      </c>
      <c r="H284" s="266" t="e">
        <f>INT(E279/1000000)</f>
        <v>#REF!</v>
      </c>
      <c r="I284" s="267" t="s">
        <v>151</v>
      </c>
      <c r="J284" s="268" t="e">
        <f ca="1">+IF(CELL("contenido",M281)=1,"MILLÓN",IF(H284=1,"MILLÓN",IF(H284&gt;1,"MILLONES","")))</f>
        <v>#REF!</v>
      </c>
      <c r="K284" s="269" t="e">
        <f>+RIGHT(K279,4)*1-K283-K282-K280</f>
        <v>#REF!</v>
      </c>
      <c r="L284" s="270" t="s">
        <v>152</v>
      </c>
      <c r="M284" s="271" t="e">
        <f ca="1">+IF(AND(K284&gt;0,K284&lt;10000),LOOKUP(CELL("contenido",K284),$E$26:$F$35),"")</f>
        <v>#REF!</v>
      </c>
      <c r="N284" s="272" t="e">
        <f>+RIGHT(N279,4)*1-N283-N282-N280</f>
        <v>#REF!</v>
      </c>
      <c r="O284" s="273" t="s">
        <v>153</v>
      </c>
      <c r="P284" s="274" t="e">
        <f>+IF(N284=1,"UN MILLARDO",IF(N279&gt;1,"MILLARDOS",""))</f>
        <v>#REF!</v>
      </c>
      <c r="Q284" s="275" t="e">
        <f>+RIGHT(Q279,4)*1-Q283-Q282-Q280</f>
        <v>#REF!</v>
      </c>
      <c r="R284" s="276" t="s">
        <v>153</v>
      </c>
      <c r="S284" s="277" t="e">
        <f>+IF(Q284=1,"UN MILLARDO",IF(Q279&gt;1,"MILLARDOS",""))</f>
        <v>#REF!</v>
      </c>
      <c r="U284" s="240" t="e">
        <f ca="1">+IF(CELL("contenido",P281)&lt;&gt;"",CONCATENATE(P284," ",P283," ",P281," "),IF(CELL("contenido",P280)="",CONCATENATE(P284," ",P283," ",P282," "),CONCATENATE(P284," ",P283," ",P282," Y ",P280," ")))</f>
        <v>#REF!</v>
      </c>
    </row>
    <row r="285" spans="4:21" ht="13.5" thickTop="1"/>
    <row r="286" spans="4:21">
      <c r="D286" s="240" t="s">
        <v>177</v>
      </c>
      <c r="E286" s="240"/>
      <c r="F286" s="240"/>
      <c r="G286" s="240"/>
      <c r="H286" s="240"/>
      <c r="I286" s="240"/>
      <c r="J286" s="240"/>
      <c r="K286" s="240"/>
      <c r="L286" s="240"/>
      <c r="M286" s="240"/>
      <c r="N286" s="240"/>
      <c r="O286" s="240"/>
      <c r="P286" s="240"/>
      <c r="Q286" s="240"/>
      <c r="R286" s="240"/>
      <c r="S286" s="240"/>
      <c r="U286" s="237"/>
    </row>
    <row r="287" spans="4:21">
      <c r="D287" s="243"/>
      <c r="E287" s="244">
        <f>ROUND(100*(G1-INT(G1)),0)</f>
        <v>5</v>
      </c>
      <c r="F287" s="240" t="s">
        <v>132</v>
      </c>
      <c r="G287" s="240"/>
      <c r="H287" s="240"/>
      <c r="I287" s="240"/>
      <c r="J287" s="240"/>
      <c r="K287" s="240"/>
      <c r="L287" s="240"/>
      <c r="M287" s="240"/>
      <c r="N287" s="240"/>
      <c r="O287" s="240"/>
      <c r="P287" s="240"/>
      <c r="Q287" s="240"/>
      <c r="R287" s="240"/>
      <c r="S287" s="240"/>
    </row>
    <row r="288" spans="4:21">
      <c r="D288" s="240"/>
      <c r="E288" s="240">
        <f>+LEN(E290)</f>
        <v>7</v>
      </c>
      <c r="F288" s="240" t="s">
        <v>133</v>
      </c>
      <c r="G288" s="240"/>
      <c r="H288" s="240"/>
      <c r="I288" s="240"/>
      <c r="J288" s="240"/>
      <c r="K288" s="240"/>
      <c r="L288" s="240"/>
      <c r="M288" s="240"/>
      <c r="N288" s="240"/>
      <c r="O288" s="240"/>
      <c r="P288" s="240"/>
      <c r="Q288" s="240"/>
      <c r="R288" s="240"/>
      <c r="S288" s="240"/>
    </row>
    <row r="289" spans="4:21" ht="13.5" thickBot="1">
      <c r="D289" s="243"/>
      <c r="E289" s="240"/>
      <c r="F289" s="240"/>
      <c r="G289" s="240"/>
      <c r="H289" s="240"/>
      <c r="I289" s="240"/>
      <c r="J289" s="240"/>
      <c r="K289" s="240"/>
      <c r="L289" s="240"/>
      <c r="M289" s="240"/>
      <c r="N289" s="240"/>
      <c r="O289" s="240"/>
      <c r="P289" s="240"/>
      <c r="Q289" s="240"/>
      <c r="R289" s="240"/>
      <c r="S289" s="240"/>
    </row>
    <row r="290" spans="4:21" ht="14.25" thickTop="1" thickBot="1">
      <c r="D290" s="240"/>
      <c r="E290" s="245">
        <f>+G1-E287/100</f>
        <v>1289586</v>
      </c>
      <c r="F290" s="1505" t="s">
        <v>136</v>
      </c>
      <c r="G290" s="1506"/>
      <c r="H290" s="246">
        <f>+IF(E290&gt;1000,INT(E290/1000),0)</f>
        <v>1289</v>
      </c>
      <c r="I290" s="1505" t="s">
        <v>137</v>
      </c>
      <c r="J290" s="1506"/>
      <c r="K290" s="246">
        <f>+INT(H290/1000)</f>
        <v>1</v>
      </c>
      <c r="L290" s="1505" t="s">
        <v>138</v>
      </c>
      <c r="M290" s="1506"/>
      <c r="N290" s="246">
        <f>+INT(K290/1000)</f>
        <v>0</v>
      </c>
      <c r="O290" s="1505" t="s">
        <v>139</v>
      </c>
      <c r="P290" s="1506"/>
      <c r="Q290" s="246">
        <f>+INT(N290)</f>
        <v>0</v>
      </c>
      <c r="R290" s="1505" t="s">
        <v>139</v>
      </c>
      <c r="S290" s="1506"/>
      <c r="U290" s="240" t="str">
        <f>+IF(E287=0,CONCATENATE("00",U291),IF(E287&lt;10,CONCATENATE(" 0",E287,U291),CONCATENATE(" ",E287,U291)))</f>
        <v xml:space="preserve"> 05/100 BOLIVIANOS</v>
      </c>
    </row>
    <row r="291" spans="4:21" ht="13.5" thickBot="1">
      <c r="D291" s="243"/>
      <c r="E291" s="247">
        <f>+RIGHT(E290)*1</f>
        <v>6</v>
      </c>
      <c r="F291" s="248" t="s">
        <v>141</v>
      </c>
      <c r="G291" s="249" t="str">
        <f ca="1">+IF(AND(E291&gt;0,E291&lt;10),LOOKUP(CELL("contenido",E291),$A$26:$B$35),"")</f>
        <v>SEIS</v>
      </c>
      <c r="H291" s="250">
        <f>+RIGHT(H290)*1</f>
        <v>9</v>
      </c>
      <c r="I291" s="251" t="s">
        <v>141</v>
      </c>
      <c r="J291" s="252" t="str">
        <f ca="1">IF(E290&lt;2000,"",IF(CELL("contenido",H291)=1,"UN",IF(AND(H291&gt;0,H291&lt;10),LOOKUP(CELL("contenido",H291),$A$26:$B$35),"")))</f>
        <v>NUEVE</v>
      </c>
      <c r="K291" s="253">
        <f>+RIGHT(K290)*1</f>
        <v>1</v>
      </c>
      <c r="L291" s="254" t="s">
        <v>141</v>
      </c>
      <c r="M291" s="255" t="str">
        <f ca="1">+IF(CELL("contenido",K291)=1,"UN",IF(AND(K291&gt;0,K291&lt;10),LOOKUP(CELL("contenido",K291),$A$26:$B$35),""))</f>
        <v>UN</v>
      </c>
      <c r="N291" s="256">
        <f>+RIGHT(N290)*1</f>
        <v>0</v>
      </c>
      <c r="O291" s="257" t="s">
        <v>141</v>
      </c>
      <c r="P291" s="258" t="str">
        <f ca="1">+IF(CELL("contenido",N291)=1,"UN",IF(AND(N291&gt;0,N291&lt;10),LOOKUP(CELL("contenido",N291),$A$26:$B$35),""))</f>
        <v/>
      </c>
      <c r="Q291" s="259">
        <f>+RIGHT(Q290)*1</f>
        <v>0</v>
      </c>
      <c r="R291" s="260" t="s">
        <v>141</v>
      </c>
      <c r="S291" s="261" t="str">
        <f ca="1">+IF(CELL("contenido",Q291)=1,"UN",IF(AND(Q291&gt;0,Q291&lt;10),LOOKUP(CELL("contenido",Q291),$A$26:$B$35),""))</f>
        <v/>
      </c>
      <c r="U291" s="262" t="s">
        <v>142</v>
      </c>
    </row>
    <row r="292" spans="4:21" ht="13.5" thickBot="1">
      <c r="D292" s="243"/>
      <c r="E292" s="247">
        <f>+RIGHT(E290,2)*1</f>
        <v>86</v>
      </c>
      <c r="F292" s="248" t="s">
        <v>144</v>
      </c>
      <c r="G292" s="249" t="str">
        <f ca="1">IF(AND(E292&gt;0,E292&lt;30),LOOKUP(CELL("contenido",E292),$A$26:$B$55),"")</f>
        <v/>
      </c>
      <c r="H292" s="250">
        <f>+RIGHT(H290,2)*1</f>
        <v>89</v>
      </c>
      <c r="I292" s="251" t="s">
        <v>144</v>
      </c>
      <c r="J292" s="252" t="str">
        <f ca="1">IF(E290&lt;2000,"",IF(CELL("contenido",H292)=1,"UN",IF(AND(H292&gt;0,H292&lt;30),LOOKUP(CELL("contenido",H292),$A$26:$B$55),"")))</f>
        <v/>
      </c>
      <c r="K292" s="253">
        <f>+RIGHT(K290,2)*1</f>
        <v>1</v>
      </c>
      <c r="L292" s="254" t="s">
        <v>144</v>
      </c>
      <c r="M292" s="255" t="str">
        <f ca="1">IF(CELL("contenido",K292)=1,"UN",IF(AND(K292&gt;0,K292&lt;30),LOOKUP(CELL("contenido",K292),$A$26:$B$55),""))</f>
        <v>UN</v>
      </c>
      <c r="N292" s="256">
        <f>+RIGHT(N290,2)*1</f>
        <v>0</v>
      </c>
      <c r="O292" s="257" t="s">
        <v>144</v>
      </c>
      <c r="P292" s="258" t="str">
        <f ca="1">IF(CELL("contenido",N292)=1,"UN",IF(AND(N292&gt;0,N292&lt;30),LOOKUP(CELL("contenido",N292),$A$26:$B$55),""))</f>
        <v/>
      </c>
      <c r="Q292" s="259">
        <f>+RIGHT(Q290,2)*1</f>
        <v>0</v>
      </c>
      <c r="R292" s="260" t="s">
        <v>144</v>
      </c>
      <c r="S292" s="261" t="str">
        <f ca="1">IF(CELL("contenido",Q292)=1,"UN",IF(AND(Q292&gt;0,Q292&lt;30),LOOKUP(CELL("contenido",Q292),$A$26:$B$55),""))</f>
        <v/>
      </c>
      <c r="U292" s="240" t="str">
        <f ca="1">+IF(CELL("contenido",G292)&lt;&gt;"",CONCATENATE(G295," ",G294," ",G292," ",U290),IF(CELL("contenido",G291)="",CONCATENATE(G295," ",G294," ",G293," ",U290),CONCATENATE(G295," ",G294," ",G293," Y ",G291," ",U290)))</f>
        <v>MIL QUINIENTOS OCHENTA Y SEIS  05/100 BOLIVIANOS</v>
      </c>
    </row>
    <row r="293" spans="4:21" ht="13.5" thickBot="1">
      <c r="D293" s="243"/>
      <c r="E293" s="247">
        <f>+RIGHT(E290,2)*1-E291</f>
        <v>80</v>
      </c>
      <c r="F293" s="248" t="s">
        <v>146</v>
      </c>
      <c r="G293" s="249" t="str">
        <f ca="1">+IF(AND(E293&gt;0,E290&gt;=30),LOOKUP(CELL("contenido",E293),$C$26:$D$35),"")</f>
        <v>OCHENTA</v>
      </c>
      <c r="H293" s="250">
        <f>+RIGHT(H290,2)*1-H291</f>
        <v>80</v>
      </c>
      <c r="I293" s="251" t="s">
        <v>146</v>
      </c>
      <c r="J293" s="252" t="str">
        <f ca="1">+IF(AND(H293&gt;0,H290&gt;=30),LOOKUP(CELL("contenido",H293),$C$26:$D$35),"")</f>
        <v>OCHENTA</v>
      </c>
      <c r="K293" s="253">
        <f>+RIGHT(K290,2)*1-K291</f>
        <v>0</v>
      </c>
      <c r="L293" s="254" t="s">
        <v>146</v>
      </c>
      <c r="M293" s="255" t="str">
        <f ca="1">+IF(AND(K293&gt;0,K290&gt;=30),LOOKUP(CELL("contenido",K293),$C$26:$D$35),"")</f>
        <v/>
      </c>
      <c r="N293" s="256">
        <f>+RIGHT(N290,2)*1-N291</f>
        <v>0</v>
      </c>
      <c r="O293" s="257" t="s">
        <v>146</v>
      </c>
      <c r="P293" s="258" t="str">
        <f ca="1">+IF(AND(N293&gt;0,K295&gt;=30),LOOKUP(CELL("contenido",N293),$C$26:$D$35),"")</f>
        <v/>
      </c>
      <c r="Q293" s="259">
        <f>+RIGHT(Q290,2)*1-Q291</f>
        <v>0</v>
      </c>
      <c r="R293" s="260" t="s">
        <v>146</v>
      </c>
      <c r="S293" s="261" t="str">
        <f ca="1">+IF(AND(Q293&gt;0,N295&gt;=30),LOOKUP(CELL("contenido",Q293),$C$26:$D$35),"")</f>
        <v/>
      </c>
      <c r="U293" s="240" t="str">
        <f ca="1">+IF(CELL("contenido",J292)&lt;&gt;"",CONCATENATE(J295," ",J294," ",J292," "),IF(CELL("contenido",J291)="",CONCATENATE(J295," ",J294," ",J293," "),CONCATENATE(J295," ",J294," ",J293," Y ",J291," ")))</f>
        <v xml:space="preserve">MILLÓN DOSCIENTOS OCHENTA Y NUEVE </v>
      </c>
    </row>
    <row r="294" spans="4:21" ht="13.5" thickBot="1">
      <c r="D294" s="243"/>
      <c r="E294" s="247">
        <f>+RIGHT(E290,3)*1-E293-E291</f>
        <v>500</v>
      </c>
      <c r="F294" s="248" t="s">
        <v>148</v>
      </c>
      <c r="G294" s="249" t="str">
        <f ca="1">+IF((RIGHT(E290,3)*1)=100,"CIEN",IF(AND(E294&gt;0,E294&lt;1000),LOOKUP(CELL("contenido",E294),$E$26:$F$35),""))</f>
        <v>QUINIENTOS</v>
      </c>
      <c r="H294" s="250">
        <f>+RIGHT(H290,3)*1-H293-H291</f>
        <v>200</v>
      </c>
      <c r="I294" s="251" t="s">
        <v>148</v>
      </c>
      <c r="J294" s="252" t="str">
        <f ca="1">+IF(H290=100,"CIEN",IF(AND(H294&gt;0,H294&lt;1000),LOOKUP(CELL("contenido",H294),$E$26:$F$35),""))</f>
        <v>DOSCIENTOS</v>
      </c>
      <c r="K294" s="253">
        <f>+RIGHT(K290,3)*1-K293-K291</f>
        <v>0</v>
      </c>
      <c r="L294" s="254" t="s">
        <v>148</v>
      </c>
      <c r="M294" s="255" t="str">
        <f ca="1">+IF(K290=100,"CIEN",IF(AND(K294&gt;0,K294&lt;1000),LOOKUP(CELL("contenido",K294),$E$26:$F$35),""))</f>
        <v/>
      </c>
      <c r="N294" s="256">
        <f>+RIGHT(N290,3)*1-N293-N291</f>
        <v>0</v>
      </c>
      <c r="O294" s="257" t="s">
        <v>148</v>
      </c>
      <c r="P294" s="258" t="str">
        <f ca="1">+IF(N290=100,"CIEN",IF(AND(N294&gt;0,N294&lt;1000),LOOKUP(CELL("contenido",N294),$E$26:$F$35),""))</f>
        <v/>
      </c>
      <c r="Q294" s="259">
        <f>+RIGHT(Q290,3)*1-Q293-Q291</f>
        <v>0</v>
      </c>
      <c r="R294" s="260" t="s">
        <v>148</v>
      </c>
      <c r="S294" s="261" t="str">
        <f ca="1">+IF(Q290=100,"CIEN",IF(AND(Q294&gt;0,Q294&lt;1000),LOOKUP(CELL("contenido",Q294),$E$26:$F$35),""))</f>
        <v/>
      </c>
      <c r="U294" s="240" t="str">
        <f ca="1">+IF(CELL("contenido",M292)&lt;&gt;"",CONCATENATE(M295," ",M294," ",M292," "),IF(CELL("contenido",M291)="",CONCATENATE(M295," ",M294," ",M293," "),CONCATENATE(M295," ",M294," ",M293," Y ",M291," ")))</f>
        <v xml:space="preserve">  UN </v>
      </c>
    </row>
    <row r="295" spans="4:21" ht="13.5" thickBot="1">
      <c r="D295" s="243"/>
      <c r="E295" s="263">
        <f>+RIGHT(E290,4)*1-E294-E293-E291</f>
        <v>9000</v>
      </c>
      <c r="F295" s="264" t="s">
        <v>150</v>
      </c>
      <c r="G295" s="265" t="str">
        <f ca="1">+IF(E290&gt;999,"MIL",IF(AND(E295&gt;0,E295&lt;10000),LOOKUP(CELL("contenido",E295),$E$26:$F$35),""))</f>
        <v>MIL</v>
      </c>
      <c r="H295" s="266">
        <f>INT(E290/1000000)</f>
        <v>1</v>
      </c>
      <c r="I295" s="267" t="s">
        <v>151</v>
      </c>
      <c r="J295" s="268" t="str">
        <f ca="1">+IF(CELL("contenido",M292)=1,"MILLÓN",IF(H295=1,"MILLÓN",IF(H295&gt;1,"MILLONES","")))</f>
        <v>MILLÓN</v>
      </c>
      <c r="K295" s="269">
        <f>+RIGHT(K290,4)*1-K294-K293-K291</f>
        <v>0</v>
      </c>
      <c r="L295" s="270" t="s">
        <v>152</v>
      </c>
      <c r="M295" s="271" t="str">
        <f ca="1">+IF(AND(K295&gt;0,K295&lt;10000),LOOKUP(CELL("contenido",K295),$E$26:$F$35),"")</f>
        <v/>
      </c>
      <c r="N295" s="272">
        <f>+RIGHT(N290,4)*1-N294-N293-N291</f>
        <v>0</v>
      </c>
      <c r="O295" s="273" t="s">
        <v>153</v>
      </c>
      <c r="P295" s="274" t="str">
        <f>+IF(N295=1,"UN MILLARDO",IF(N290&gt;1,"MILLARDOS",""))</f>
        <v/>
      </c>
      <c r="Q295" s="275">
        <f>+RIGHT(Q290,4)*1-Q294-Q293-Q291</f>
        <v>0</v>
      </c>
      <c r="R295" s="276" t="s">
        <v>153</v>
      </c>
      <c r="S295" s="277" t="str">
        <f>+IF(Q295=1,"UN MILLARDO",IF(Q290&gt;1,"MILLARDOS",""))</f>
        <v/>
      </c>
      <c r="U295" s="240" t="str">
        <f ca="1">+IF(CELL("contenido",P292)&lt;&gt;"",CONCATENATE(P295," ",P294," ",P292," "),IF(CELL("contenido",P291)="",CONCATENATE(P295," ",P294," ",P293," "),CONCATENATE(P295," ",P294," ",P293," Y ",P291," ")))</f>
        <v xml:space="preserve">   </v>
      </c>
    </row>
    <row r="296" spans="4:21" ht="13.5" thickTop="1"/>
  </sheetData>
  <mergeCells count="115">
    <mergeCell ref="F290:G290"/>
    <mergeCell ref="I290:J290"/>
    <mergeCell ref="L290:M290"/>
    <mergeCell ref="O290:P290"/>
    <mergeCell ref="R290:S290"/>
    <mergeCell ref="F268:G268"/>
    <mergeCell ref="I268:J268"/>
    <mergeCell ref="L268:M268"/>
    <mergeCell ref="O268:P268"/>
    <mergeCell ref="R268:S268"/>
    <mergeCell ref="F279:G279"/>
    <mergeCell ref="I279:J279"/>
    <mergeCell ref="L279:M279"/>
    <mergeCell ref="O279:P279"/>
    <mergeCell ref="R279:S279"/>
    <mergeCell ref="F246:G246"/>
    <mergeCell ref="I246:J246"/>
    <mergeCell ref="L246:M246"/>
    <mergeCell ref="O246:P246"/>
    <mergeCell ref="R246:S246"/>
    <mergeCell ref="F257:G257"/>
    <mergeCell ref="I257:J257"/>
    <mergeCell ref="L257:M257"/>
    <mergeCell ref="O257:P257"/>
    <mergeCell ref="R257:S257"/>
    <mergeCell ref="F224:G224"/>
    <mergeCell ref="I224:J224"/>
    <mergeCell ref="L224:M224"/>
    <mergeCell ref="O224:P224"/>
    <mergeCell ref="R224:S224"/>
    <mergeCell ref="F235:G235"/>
    <mergeCell ref="I235:J235"/>
    <mergeCell ref="L235:M235"/>
    <mergeCell ref="O235:P235"/>
    <mergeCell ref="R235:S235"/>
    <mergeCell ref="F202:G202"/>
    <mergeCell ref="I202:J202"/>
    <mergeCell ref="L202:M202"/>
    <mergeCell ref="O202:P202"/>
    <mergeCell ref="R202:S202"/>
    <mergeCell ref="F213:G213"/>
    <mergeCell ref="I213:J213"/>
    <mergeCell ref="L213:M213"/>
    <mergeCell ref="O213:P213"/>
    <mergeCell ref="R213:S213"/>
    <mergeCell ref="F180:G180"/>
    <mergeCell ref="I180:J180"/>
    <mergeCell ref="L180:M180"/>
    <mergeCell ref="O180:P180"/>
    <mergeCell ref="R180:S180"/>
    <mergeCell ref="F191:G191"/>
    <mergeCell ref="I191:J191"/>
    <mergeCell ref="L191:M191"/>
    <mergeCell ref="O191:P191"/>
    <mergeCell ref="R191:S191"/>
    <mergeCell ref="F158:G158"/>
    <mergeCell ref="I158:J158"/>
    <mergeCell ref="L158:M158"/>
    <mergeCell ref="O158:P158"/>
    <mergeCell ref="R158:S158"/>
    <mergeCell ref="F169:G169"/>
    <mergeCell ref="I169:J169"/>
    <mergeCell ref="L169:M169"/>
    <mergeCell ref="O169:P169"/>
    <mergeCell ref="R169:S169"/>
    <mergeCell ref="F136:G136"/>
    <mergeCell ref="I136:J136"/>
    <mergeCell ref="L136:M136"/>
    <mergeCell ref="O136:P136"/>
    <mergeCell ref="R136:S136"/>
    <mergeCell ref="F147:G147"/>
    <mergeCell ref="I147:J147"/>
    <mergeCell ref="L147:M147"/>
    <mergeCell ref="O147:P147"/>
    <mergeCell ref="R147:S147"/>
    <mergeCell ref="F114:G114"/>
    <mergeCell ref="I114:J114"/>
    <mergeCell ref="L114:M114"/>
    <mergeCell ref="O114:P114"/>
    <mergeCell ref="R114:S114"/>
    <mergeCell ref="F125:G125"/>
    <mergeCell ref="I125:J125"/>
    <mergeCell ref="L125:M125"/>
    <mergeCell ref="O125:P125"/>
    <mergeCell ref="R125:S125"/>
    <mergeCell ref="F92:G92"/>
    <mergeCell ref="I92:J92"/>
    <mergeCell ref="L92:M92"/>
    <mergeCell ref="O92:P92"/>
    <mergeCell ref="R92:S92"/>
    <mergeCell ref="F103:G103"/>
    <mergeCell ref="I103:J103"/>
    <mergeCell ref="L103:M103"/>
    <mergeCell ref="O103:P103"/>
    <mergeCell ref="R103:S103"/>
    <mergeCell ref="F70:G70"/>
    <mergeCell ref="I70:J70"/>
    <mergeCell ref="L70:M70"/>
    <mergeCell ref="O70:P70"/>
    <mergeCell ref="R70:S70"/>
    <mergeCell ref="F81:G81"/>
    <mergeCell ref="I81:J81"/>
    <mergeCell ref="L81:M81"/>
    <mergeCell ref="O81:P81"/>
    <mergeCell ref="R81:S81"/>
    <mergeCell ref="F48:G48"/>
    <mergeCell ref="I48:J48"/>
    <mergeCell ref="L48:M48"/>
    <mergeCell ref="O48:P48"/>
    <mergeCell ref="R48:S48"/>
    <mergeCell ref="F59:G59"/>
    <mergeCell ref="I59:J59"/>
    <mergeCell ref="L59:M59"/>
    <mergeCell ref="O59:P59"/>
    <mergeCell ref="R59:S59"/>
  </mergeCells>
  <printOptions horizontalCentered="1"/>
  <pageMargins left="0.39370078740157483" right="0.75" top="0.39370078740157483" bottom="1" header="0" footer="0"/>
  <pageSetup orientation="landscape" horizontalDpi="4294967292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3">
    <tabColor rgb="FF92D050"/>
  </sheetPr>
  <dimension ref="B2:R57"/>
  <sheetViews>
    <sheetView showGridLines="0" view="pageBreakPreview" zoomScaleNormal="75" zoomScaleSheetLayoutView="100" workbookViewId="0">
      <selection activeCell="L13" sqref="L13"/>
    </sheetView>
  </sheetViews>
  <sheetFormatPr baseColWidth="10" defaultColWidth="11.42578125" defaultRowHeight="12.75"/>
  <cols>
    <col min="1" max="1" width="1.42578125" style="131" customWidth="1"/>
    <col min="2" max="2" width="8.85546875" style="131" customWidth="1"/>
    <col min="3" max="3" width="13" style="131" customWidth="1"/>
    <col min="4" max="4" width="11.42578125" style="131" customWidth="1"/>
    <col min="5" max="5" width="10.5703125" style="131" customWidth="1"/>
    <col min="6" max="8" width="12.7109375" style="131" customWidth="1"/>
    <col min="9" max="9" width="13.28515625" style="131" customWidth="1"/>
    <col min="10" max="10" width="22.42578125" style="131" customWidth="1"/>
    <col min="11" max="12" width="12.5703125" style="131" bestFit="1" customWidth="1"/>
    <col min="13" max="13" width="13.85546875" style="131" hidden="1" customWidth="1"/>
    <col min="14" max="14" width="28.42578125" style="131" customWidth="1"/>
    <col min="15" max="16384" width="11.42578125" style="131"/>
  </cols>
  <sheetData>
    <row r="2" spans="2:15" ht="18" customHeight="1">
      <c r="B2" s="1737"/>
      <c r="C2" s="1758"/>
      <c r="D2" s="1759"/>
      <c r="E2" s="364"/>
      <c r="F2" s="364"/>
      <c r="G2" s="364"/>
      <c r="H2" s="364"/>
      <c r="I2" s="154"/>
      <c r="J2" s="599"/>
    </row>
    <row r="3" spans="2:15" ht="18" customHeight="1">
      <c r="B3" s="155"/>
      <c r="C3" s="132"/>
      <c r="D3" s="157"/>
      <c r="E3" s="133"/>
      <c r="F3" s="133"/>
      <c r="G3" s="611" t="str">
        <f>+Certificado!C1</f>
        <v>CERTIFICADO DE PAGO Nº 11</v>
      </c>
      <c r="H3" s="133"/>
      <c r="I3" s="133"/>
      <c r="J3" s="159"/>
    </row>
    <row r="4" spans="2:15" ht="18" customHeight="1">
      <c r="B4" s="155"/>
      <c r="C4" s="132"/>
      <c r="D4" s="158"/>
      <c r="E4" s="1743" t="str">
        <f>+Datos!B2</f>
        <v>PROYECTO: CONSTRUCCION Y REHABILITACION TRAMO CARRETERO
VILLA MONTES - LA VERTIENTE - PALO MARCADO</v>
      </c>
      <c r="F4" s="1744"/>
      <c r="G4" s="1744"/>
      <c r="H4" s="1744"/>
      <c r="I4" s="1745"/>
      <c r="J4" s="160"/>
    </row>
    <row r="5" spans="2:15" ht="18" customHeight="1">
      <c r="B5" s="156"/>
      <c r="C5" s="134"/>
      <c r="D5" s="158"/>
      <c r="E5" s="1743"/>
      <c r="F5" s="1744"/>
      <c r="G5" s="1744"/>
      <c r="H5" s="1744"/>
      <c r="I5" s="1745"/>
      <c r="J5" s="609"/>
    </row>
    <row r="6" spans="2:15" ht="18" customHeight="1">
      <c r="B6" s="1760"/>
      <c r="C6" s="1761"/>
      <c r="D6" s="1762"/>
      <c r="E6" s="1763" t="s">
        <v>570</v>
      </c>
      <c r="F6" s="1764"/>
      <c r="G6" s="1764"/>
      <c r="H6" s="1764"/>
      <c r="I6" s="1765"/>
      <c r="J6" s="609"/>
    </row>
    <row r="7" spans="2:15" ht="18" customHeight="1">
      <c r="B7" s="1769" t="s">
        <v>7</v>
      </c>
      <c r="C7" s="1770"/>
      <c r="D7" s="1771"/>
      <c r="E7" s="1766"/>
      <c r="F7" s="1767"/>
      <c r="G7" s="1767"/>
      <c r="H7" s="1767"/>
      <c r="I7" s="1768"/>
      <c r="J7" s="602" t="s">
        <v>77</v>
      </c>
    </row>
    <row r="8" spans="2:15" ht="27.75" customHeight="1">
      <c r="B8" s="1182"/>
      <c r="C8" s="1183" t="s">
        <v>582</v>
      </c>
      <c r="D8" s="1181">
        <f>+Certificado!K11</f>
        <v>108397839.64</v>
      </c>
      <c r="E8" s="173"/>
      <c r="F8" s="1180" t="s">
        <v>583</v>
      </c>
      <c r="G8" s="1181">
        <v>106631000.67</v>
      </c>
      <c r="H8" s="1735" t="s">
        <v>248</v>
      </c>
      <c r="I8" s="1735"/>
      <c r="J8" s="1179">
        <f>ROUND(G8*0.07,2)</f>
        <v>7464170.0499999998</v>
      </c>
    </row>
    <row r="9" spans="2:15" ht="19.5" customHeight="1">
      <c r="B9" s="1736" t="s">
        <v>393</v>
      </c>
      <c r="C9" s="1734" t="s">
        <v>38</v>
      </c>
      <c r="D9" s="1736" t="s">
        <v>415</v>
      </c>
      <c r="E9" s="1736" t="s">
        <v>387</v>
      </c>
      <c r="F9" s="1736" t="s">
        <v>391</v>
      </c>
      <c r="G9" s="1736"/>
      <c r="H9" s="1736"/>
      <c r="I9" s="1736" t="s">
        <v>392</v>
      </c>
      <c r="J9" s="1734" t="s">
        <v>11</v>
      </c>
    </row>
    <row r="10" spans="2:15" ht="33" customHeight="1">
      <c r="B10" s="1736"/>
      <c r="C10" s="1734"/>
      <c r="D10" s="1736"/>
      <c r="E10" s="1736"/>
      <c r="F10" s="603" t="s">
        <v>388</v>
      </c>
      <c r="G10" s="603" t="s">
        <v>389</v>
      </c>
      <c r="H10" s="603" t="s">
        <v>390</v>
      </c>
      <c r="I10" s="1736"/>
      <c r="J10" s="1734"/>
    </row>
    <row r="11" spans="2:15" ht="18" customHeight="1">
      <c r="B11" s="175" t="s">
        <v>394</v>
      </c>
      <c r="C11" s="646"/>
      <c r="D11" s="136"/>
      <c r="E11" s="420"/>
      <c r="F11" s="186"/>
      <c r="G11" s="187"/>
      <c r="H11" s="188"/>
      <c r="I11" s="184">
        <f>+J8</f>
        <v>7464170.0499999998</v>
      </c>
      <c r="J11" s="394"/>
      <c r="L11" s="135"/>
      <c r="M11" s="135"/>
      <c r="N11" s="135"/>
      <c r="O11" s="135"/>
    </row>
    <row r="12" spans="2:15" ht="18" customHeight="1">
      <c r="B12" s="176">
        <v>1</v>
      </c>
      <c r="C12" s="646" t="s">
        <v>414</v>
      </c>
      <c r="D12" s="137">
        <f>+'Avance Financiero'!C12</f>
        <v>230575.22</v>
      </c>
      <c r="E12" s="420">
        <v>7.0000000000000007E-2</v>
      </c>
      <c r="F12" s="189">
        <f t="shared" ref="F12:F17" si="0">+H11</f>
        <v>0</v>
      </c>
      <c r="G12" s="100">
        <f t="shared" ref="G12:G21" si="1">ROUND(D12*E12,2)</f>
        <v>16140.27</v>
      </c>
      <c r="H12" s="190">
        <f t="shared" ref="H12:H17" si="2">+G12+H11</f>
        <v>16140.27</v>
      </c>
      <c r="I12" s="185">
        <f t="shared" ref="I12:I20" si="3">+I11-G12</f>
        <v>7448029.7800000003</v>
      </c>
      <c r="J12" s="179"/>
      <c r="L12" s="135"/>
      <c r="M12" s="135"/>
      <c r="N12" s="135"/>
      <c r="O12" s="135"/>
    </row>
    <row r="13" spans="2:15" ht="18" customHeight="1">
      <c r="B13" s="176">
        <v>2</v>
      </c>
      <c r="C13" s="646">
        <v>44105</v>
      </c>
      <c r="D13" s="137">
        <f>+'Avance Financiero'!C13</f>
        <v>515942.19999999995</v>
      </c>
      <c r="E13" s="420">
        <v>7.0000000000000007E-2</v>
      </c>
      <c r="F13" s="189">
        <f t="shared" si="0"/>
        <v>16140.27</v>
      </c>
      <c r="G13" s="100">
        <f t="shared" si="1"/>
        <v>36115.949999999997</v>
      </c>
      <c r="H13" s="190">
        <f t="shared" si="2"/>
        <v>52256.22</v>
      </c>
      <c r="I13" s="185">
        <f t="shared" si="3"/>
        <v>7411913.8300000001</v>
      </c>
      <c r="J13" s="179"/>
      <c r="L13" s="135"/>
      <c r="M13" s="135"/>
      <c r="N13" s="135"/>
      <c r="O13" s="135"/>
    </row>
    <row r="14" spans="2:15" ht="18" customHeight="1">
      <c r="B14" s="176">
        <v>3</v>
      </c>
      <c r="C14" s="646">
        <v>44136</v>
      </c>
      <c r="D14" s="137">
        <f>+'Avance Financiero'!C14</f>
        <v>778326.78</v>
      </c>
      <c r="E14" s="420">
        <v>7.0000000000000007E-2</v>
      </c>
      <c r="F14" s="189">
        <f t="shared" si="0"/>
        <v>52256.22</v>
      </c>
      <c r="G14" s="100">
        <f t="shared" si="1"/>
        <v>54482.87</v>
      </c>
      <c r="H14" s="190">
        <f t="shared" si="2"/>
        <v>106739.09</v>
      </c>
      <c r="I14" s="185">
        <f t="shared" si="3"/>
        <v>7357430.96</v>
      </c>
      <c r="J14" s="179"/>
      <c r="L14" s="135"/>
      <c r="M14" s="135"/>
      <c r="N14" s="135"/>
      <c r="O14" s="135"/>
    </row>
    <row r="15" spans="2:15" ht="18" customHeight="1">
      <c r="B15" s="176">
        <v>4</v>
      </c>
      <c r="C15" s="646" t="s">
        <v>426</v>
      </c>
      <c r="D15" s="137">
        <f>+'Avance Financiero'!C15</f>
        <v>86910.98</v>
      </c>
      <c r="E15" s="420">
        <v>7.0000000000000007E-2</v>
      </c>
      <c r="F15" s="189">
        <f t="shared" si="0"/>
        <v>106739.09</v>
      </c>
      <c r="G15" s="100">
        <f t="shared" si="1"/>
        <v>6083.77</v>
      </c>
      <c r="H15" s="190">
        <f t="shared" si="2"/>
        <v>112822.86</v>
      </c>
      <c r="I15" s="185">
        <f t="shared" si="3"/>
        <v>7351347.1900000004</v>
      </c>
      <c r="J15" s="179"/>
      <c r="L15" s="135"/>
      <c r="M15" s="135"/>
      <c r="N15" s="135"/>
      <c r="O15" s="135"/>
    </row>
    <row r="16" spans="2:15" ht="18" customHeight="1">
      <c r="B16" s="176">
        <v>5</v>
      </c>
      <c r="C16" s="646">
        <v>44256</v>
      </c>
      <c r="D16" s="137">
        <f>+'Avance Financiero'!C16</f>
        <v>38094.980000000003</v>
      </c>
      <c r="E16" s="420">
        <v>7.0000000000000007E-2</v>
      </c>
      <c r="F16" s="189">
        <f t="shared" si="0"/>
        <v>112822.86</v>
      </c>
      <c r="G16" s="100">
        <f t="shared" si="1"/>
        <v>2666.65</v>
      </c>
      <c r="H16" s="190">
        <f t="shared" si="2"/>
        <v>115489.51</v>
      </c>
      <c r="I16" s="185">
        <f t="shared" si="3"/>
        <v>7348680.54</v>
      </c>
      <c r="J16" s="179"/>
      <c r="L16" s="135"/>
      <c r="M16" s="135"/>
      <c r="N16" s="135"/>
      <c r="O16" s="135"/>
    </row>
    <row r="17" spans="2:15" ht="18" customHeight="1">
      <c r="B17" s="176">
        <v>6</v>
      </c>
      <c r="C17" s="646">
        <v>44287</v>
      </c>
      <c r="D17" s="137">
        <f>+'Avance Financiero'!C17</f>
        <v>81632.100000000006</v>
      </c>
      <c r="E17" s="420">
        <v>7.0000000000000007E-2</v>
      </c>
      <c r="F17" s="189">
        <f t="shared" si="0"/>
        <v>115489.51</v>
      </c>
      <c r="G17" s="100">
        <f t="shared" si="1"/>
        <v>5714.25</v>
      </c>
      <c r="H17" s="190">
        <f t="shared" si="2"/>
        <v>121203.76</v>
      </c>
      <c r="I17" s="185">
        <f t="shared" si="3"/>
        <v>7342966.29</v>
      </c>
      <c r="J17" s="179"/>
      <c r="K17" s="756"/>
      <c r="L17" s="756"/>
      <c r="M17" s="756"/>
      <c r="N17" s="761"/>
      <c r="O17" s="135"/>
    </row>
    <row r="18" spans="2:15" ht="18" customHeight="1">
      <c r="B18" s="176">
        <v>7</v>
      </c>
      <c r="C18" s="646">
        <v>44317</v>
      </c>
      <c r="D18" s="137">
        <f>+'Avance Financiero'!C18</f>
        <v>9267.23</v>
      </c>
      <c r="E18" s="420">
        <v>7.0000000000000007E-2</v>
      </c>
      <c r="F18" s="189">
        <f t="shared" ref="F18:F20" si="4">+H17</f>
        <v>121203.76</v>
      </c>
      <c r="G18" s="100">
        <f t="shared" si="1"/>
        <v>648.71</v>
      </c>
      <c r="H18" s="190">
        <f t="shared" ref="H18:H20" si="5">+G18+H17</f>
        <v>121852.47</v>
      </c>
      <c r="I18" s="185">
        <f t="shared" si="3"/>
        <v>7342317.5800000001</v>
      </c>
      <c r="J18" s="180"/>
      <c r="L18" s="135"/>
      <c r="M18" s="135"/>
      <c r="N18" s="135"/>
      <c r="O18" s="135"/>
    </row>
    <row r="19" spans="2:15" ht="18" customHeight="1">
      <c r="B19" s="176">
        <v>8</v>
      </c>
      <c r="C19" s="646">
        <v>44348</v>
      </c>
      <c r="D19" s="137">
        <f>+'Avance Financiero'!C19</f>
        <v>17878.849999999999</v>
      </c>
      <c r="E19" s="420">
        <v>7.0000000000000007E-2</v>
      </c>
      <c r="F19" s="189">
        <f t="shared" si="4"/>
        <v>121852.47</v>
      </c>
      <c r="G19" s="100">
        <f t="shared" si="1"/>
        <v>1251.52</v>
      </c>
      <c r="H19" s="190">
        <f t="shared" si="5"/>
        <v>123103.99</v>
      </c>
      <c r="I19" s="185">
        <f t="shared" si="3"/>
        <v>7341066.0600000005</v>
      </c>
      <c r="J19" s="180"/>
      <c r="L19" s="135"/>
      <c r="M19" s="135"/>
      <c r="N19" s="135"/>
      <c r="O19" s="135"/>
    </row>
    <row r="20" spans="2:15" ht="18" customHeight="1">
      <c r="B20" s="176">
        <f>+'Avance Financiero'!A20</f>
        <v>9</v>
      </c>
      <c r="C20" s="646">
        <v>44378</v>
      </c>
      <c r="D20" s="137">
        <f>+'Avance Financiero'!C20</f>
        <v>261075.14</v>
      </c>
      <c r="E20" s="420">
        <v>7.0000000000000007E-2</v>
      </c>
      <c r="F20" s="189">
        <f t="shared" si="4"/>
        <v>123103.99</v>
      </c>
      <c r="G20" s="1273">
        <f t="shared" si="1"/>
        <v>18275.259999999998</v>
      </c>
      <c r="H20" s="190">
        <f t="shared" si="5"/>
        <v>141379.25</v>
      </c>
      <c r="I20" s="185">
        <f t="shared" si="3"/>
        <v>7322790.8000000007</v>
      </c>
      <c r="J20" s="1242"/>
      <c r="L20" s="135"/>
      <c r="M20" s="135"/>
      <c r="N20" s="135"/>
      <c r="O20" s="135"/>
    </row>
    <row r="21" spans="2:15" ht="18" customHeight="1">
      <c r="B21" s="176">
        <v>10</v>
      </c>
      <c r="C21" s="646">
        <v>44409</v>
      </c>
      <c r="D21" s="137">
        <f>+'Avance Financiero'!C21</f>
        <v>2250654.7699999996</v>
      </c>
      <c r="E21" s="420">
        <v>7.0000000000000007E-2</v>
      </c>
      <c r="F21" s="189">
        <f>+H20</f>
        <v>141379.25</v>
      </c>
      <c r="G21" s="1273">
        <f t="shared" si="1"/>
        <v>157545.82999999999</v>
      </c>
      <c r="H21" s="190">
        <f>+G21+H20</f>
        <v>298925.07999999996</v>
      </c>
      <c r="I21" s="185">
        <f t="shared" ref="I21" si="6">+I20-G21</f>
        <v>7165244.9700000007</v>
      </c>
      <c r="J21" s="180"/>
      <c r="L21" s="135"/>
      <c r="M21" s="135"/>
      <c r="N21" s="135"/>
      <c r="O21" s="135"/>
    </row>
    <row r="22" spans="2:15" ht="18" customHeight="1">
      <c r="B22" s="1232">
        <v>11</v>
      </c>
      <c r="C22" s="1233">
        <v>44440</v>
      </c>
      <c r="D22" s="1234">
        <f>+'Avance Financiero'!C22</f>
        <v>1766556.24</v>
      </c>
      <c r="E22" s="1235">
        <v>7.0000000000000007E-2</v>
      </c>
      <c r="F22" s="1236">
        <f>+H21</f>
        <v>298925.07999999996</v>
      </c>
      <c r="G22" s="1241">
        <f t="shared" ref="G22" si="7">ROUND(D22*E22,2)</f>
        <v>123658.94</v>
      </c>
      <c r="H22" s="1238">
        <f>+G22+H21</f>
        <v>422584.01999999996</v>
      </c>
      <c r="I22" s="1239">
        <f t="shared" ref="I22" si="8">+I21-G22</f>
        <v>7041586.0300000003</v>
      </c>
      <c r="J22" s="180"/>
      <c r="L22" s="135"/>
      <c r="M22" s="135"/>
      <c r="N22" s="135"/>
      <c r="O22" s="135"/>
    </row>
    <row r="23" spans="2:15" ht="18" customHeight="1">
      <c r="B23" s="176"/>
      <c r="C23" s="646"/>
      <c r="D23" s="81"/>
      <c r="E23" s="233"/>
      <c r="F23" s="189"/>
      <c r="G23" s="191"/>
      <c r="H23" s="190"/>
      <c r="I23" s="185"/>
      <c r="J23" s="180"/>
      <c r="L23" s="135"/>
      <c r="M23" s="135"/>
      <c r="N23" s="135"/>
      <c r="O23" s="135"/>
    </row>
    <row r="24" spans="2:15" ht="18" customHeight="1">
      <c r="B24" s="176"/>
      <c r="C24" s="646"/>
      <c r="D24" s="138"/>
      <c r="E24" s="233"/>
      <c r="F24" s="189"/>
      <c r="G24" s="191"/>
      <c r="H24" s="190"/>
      <c r="I24" s="185"/>
      <c r="J24" s="180"/>
      <c r="L24" s="135"/>
      <c r="M24" s="135"/>
      <c r="N24" s="135"/>
      <c r="O24" s="135"/>
    </row>
    <row r="25" spans="2:15" ht="18" customHeight="1">
      <c r="B25" s="176"/>
      <c r="C25" s="646"/>
      <c r="D25" s="138"/>
      <c r="E25" s="233"/>
      <c r="F25" s="189"/>
      <c r="G25" s="191"/>
      <c r="H25" s="190"/>
      <c r="I25" s="185"/>
      <c r="J25" s="181"/>
      <c r="L25" s="135"/>
      <c r="M25" s="135"/>
      <c r="N25" s="135"/>
      <c r="O25" s="135"/>
    </row>
    <row r="26" spans="2:15" ht="18" customHeight="1">
      <c r="B26" s="176"/>
      <c r="C26" s="646"/>
      <c r="D26" s="138"/>
      <c r="E26" s="233"/>
      <c r="F26" s="189"/>
      <c r="G26" s="191"/>
      <c r="H26" s="190"/>
      <c r="I26" s="185"/>
      <c r="J26" s="180"/>
      <c r="L26" s="135"/>
    </row>
    <row r="27" spans="2:15" ht="18" customHeight="1">
      <c r="B27" s="176"/>
      <c r="C27" s="646"/>
      <c r="D27" s="138"/>
      <c r="E27" s="233"/>
      <c r="F27" s="189"/>
      <c r="G27" s="191"/>
      <c r="H27" s="190"/>
      <c r="I27" s="185"/>
      <c r="J27" s="180"/>
    </row>
    <row r="28" spans="2:15" ht="18" customHeight="1">
      <c r="B28" s="176"/>
      <c r="C28" s="646"/>
      <c r="D28" s="138"/>
      <c r="E28" s="233"/>
      <c r="F28" s="189"/>
      <c r="G28" s="191"/>
      <c r="H28" s="190"/>
      <c r="I28" s="185"/>
      <c r="J28" s="180"/>
    </row>
    <row r="29" spans="2:15" ht="18" customHeight="1">
      <c r="B29" s="176"/>
      <c r="C29" s="646"/>
      <c r="D29" s="138"/>
      <c r="E29" s="233"/>
      <c r="F29" s="189"/>
      <c r="G29" s="191"/>
      <c r="H29" s="190"/>
      <c r="I29" s="185"/>
      <c r="J29" s="180"/>
    </row>
    <row r="30" spans="2:15" ht="18" customHeight="1">
      <c r="B30" s="176"/>
      <c r="C30" s="646"/>
      <c r="D30" s="139"/>
      <c r="E30" s="233"/>
      <c r="F30" s="189"/>
      <c r="G30" s="192"/>
      <c r="H30" s="190"/>
      <c r="I30" s="185"/>
      <c r="J30" s="182"/>
    </row>
    <row r="31" spans="2:15" ht="18" customHeight="1">
      <c r="B31" s="176"/>
      <c r="C31" s="646"/>
      <c r="D31" s="139"/>
      <c r="E31" s="233"/>
      <c r="F31" s="189"/>
      <c r="G31" s="192"/>
      <c r="H31" s="190"/>
      <c r="I31" s="185"/>
      <c r="J31" s="182"/>
    </row>
    <row r="32" spans="2:15" ht="18" customHeight="1">
      <c r="B32" s="176"/>
      <c r="C32" s="177"/>
      <c r="D32" s="139"/>
      <c r="E32" s="234"/>
      <c r="F32" s="189"/>
      <c r="G32" s="192"/>
      <c r="H32" s="190"/>
      <c r="I32" s="185"/>
      <c r="J32" s="182"/>
    </row>
    <row r="33" spans="2:18" ht="18" customHeight="1">
      <c r="B33" s="176"/>
      <c r="C33" s="177"/>
      <c r="D33" s="139"/>
      <c r="E33" s="235"/>
      <c r="F33" s="189"/>
      <c r="G33" s="192"/>
      <c r="H33" s="190"/>
      <c r="I33" s="185"/>
      <c r="J33" s="182"/>
    </row>
    <row r="34" spans="2:18" ht="18" customHeight="1">
      <c r="B34" s="176"/>
      <c r="C34" s="177"/>
      <c r="D34" s="139"/>
      <c r="E34" s="235"/>
      <c r="F34" s="189"/>
      <c r="G34" s="192"/>
      <c r="H34" s="190"/>
      <c r="I34" s="185"/>
      <c r="J34" s="182"/>
    </row>
    <row r="35" spans="2:18" ht="18" customHeight="1">
      <c r="B35" s="176"/>
      <c r="C35" s="177"/>
      <c r="D35" s="139"/>
      <c r="E35" s="235"/>
      <c r="F35" s="189"/>
      <c r="G35" s="192"/>
      <c r="H35" s="190"/>
      <c r="I35" s="185"/>
      <c r="J35" s="182"/>
    </row>
    <row r="36" spans="2:18" ht="18" customHeight="1">
      <c r="B36" s="176"/>
      <c r="C36" s="177"/>
      <c r="D36" s="139"/>
      <c r="E36" s="235"/>
      <c r="F36" s="189"/>
      <c r="G36" s="192"/>
      <c r="H36" s="190"/>
      <c r="I36" s="185"/>
      <c r="J36" s="182"/>
    </row>
    <row r="37" spans="2:18" ht="18" customHeight="1">
      <c r="B37" s="178"/>
      <c r="C37" s="177"/>
      <c r="D37" s="139"/>
      <c r="E37" s="235"/>
      <c r="F37" s="189"/>
      <c r="G37" s="192"/>
      <c r="H37" s="190"/>
      <c r="I37" s="185"/>
      <c r="J37" s="182"/>
    </row>
    <row r="38" spans="2:18" ht="18" customHeight="1">
      <c r="B38" s="178"/>
      <c r="C38" s="177"/>
      <c r="D38" s="139"/>
      <c r="E38" s="235"/>
      <c r="F38" s="189"/>
      <c r="G38" s="192"/>
      <c r="H38" s="190"/>
      <c r="I38" s="185"/>
      <c r="J38" s="182"/>
    </row>
    <row r="39" spans="2:18" ht="17.100000000000001" customHeight="1">
      <c r="B39" s="1732" t="s">
        <v>92</v>
      </c>
      <c r="C39" s="1757"/>
      <c r="D39" s="1757"/>
      <c r="E39" s="1757"/>
      <c r="F39" s="197">
        <f>MAX(F11:F38)</f>
        <v>298925.07999999996</v>
      </c>
      <c r="G39" s="198">
        <f>+H39-F39</f>
        <v>123658.94</v>
      </c>
      <c r="H39" s="199">
        <f>MAX(H11:H38)</f>
        <v>422584.01999999996</v>
      </c>
      <c r="I39" s="200">
        <f>J8-H39</f>
        <v>7041586.0300000003</v>
      </c>
      <c r="J39" s="196"/>
    </row>
    <row r="40" spans="2:18" ht="17.100000000000001" customHeight="1">
      <c r="B40" s="1732" t="s">
        <v>435</v>
      </c>
      <c r="C40" s="1757"/>
      <c r="D40" s="1757"/>
      <c r="E40" s="1757"/>
      <c r="F40" s="828">
        <f t="shared" ref="F40:I40" si="9">+F39/$J$8*0.07</f>
        <v>2.8033599797207191E-3</v>
      </c>
      <c r="G40" s="828">
        <f t="shared" si="9"/>
        <v>1.1596903261870356E-3</v>
      </c>
      <c r="H40" s="828">
        <f t="shared" si="9"/>
        <v>3.9630503059077549E-3</v>
      </c>
      <c r="I40" s="828">
        <f t="shared" si="9"/>
        <v>6.6036949694092253E-2</v>
      </c>
      <c r="J40" s="196"/>
    </row>
    <row r="41" spans="2:18" ht="8.25" customHeight="1">
      <c r="B41" s="155"/>
      <c r="C41" s="132"/>
      <c r="D41" s="132"/>
      <c r="E41" s="132"/>
      <c r="F41" s="132"/>
      <c r="G41" s="132"/>
      <c r="H41" s="132"/>
      <c r="I41" s="132"/>
      <c r="J41" s="183"/>
    </row>
    <row r="42" spans="2:18">
      <c r="B42" s="161"/>
      <c r="C42" s="162"/>
      <c r="D42" s="163"/>
      <c r="E42" s="162"/>
      <c r="F42" s="163"/>
      <c r="G42" s="163"/>
      <c r="H42" s="163"/>
      <c r="I42" s="163"/>
      <c r="J42" s="164"/>
      <c r="K42" s="140"/>
      <c r="L42" s="140"/>
      <c r="M42" s="140"/>
      <c r="N42" s="141"/>
      <c r="O42" s="141"/>
      <c r="P42" s="141"/>
      <c r="Q42" s="141"/>
      <c r="R42" s="142"/>
    </row>
    <row r="43" spans="2:18">
      <c r="B43" s="165" t="s">
        <v>12</v>
      </c>
      <c r="C43" s="143"/>
      <c r="D43" s="144"/>
      <c r="E43" s="145"/>
      <c r="F43" s="132"/>
      <c r="G43" s="146" t="s">
        <v>8</v>
      </c>
      <c r="H43" s="147"/>
      <c r="I43" s="132"/>
      <c r="J43" s="166"/>
      <c r="K43" s="148"/>
      <c r="L43" s="132"/>
      <c r="M43" s="132"/>
      <c r="N43" s="147"/>
      <c r="O43" s="147"/>
      <c r="P43" s="147"/>
      <c r="Q43" s="147"/>
      <c r="R43" s="147"/>
    </row>
    <row r="44" spans="2:18">
      <c r="B44" s="167"/>
      <c r="C44" s="144"/>
      <c r="D44" s="144"/>
      <c r="E44" s="147"/>
      <c r="F44" s="132"/>
      <c r="G44" s="132"/>
      <c r="H44" s="147"/>
      <c r="I44" s="149"/>
      <c r="J44" s="166"/>
      <c r="K44" s="147"/>
      <c r="L44" s="147"/>
      <c r="M44" s="147"/>
      <c r="N44" s="147"/>
      <c r="O44" s="147"/>
      <c r="P44" s="147"/>
      <c r="Q44" s="147"/>
      <c r="R44" s="147"/>
    </row>
    <row r="45" spans="2:18">
      <c r="B45" s="167"/>
      <c r="C45" s="144"/>
      <c r="D45" s="144"/>
      <c r="E45" s="147"/>
      <c r="F45" s="132"/>
      <c r="G45" s="132"/>
      <c r="H45" s="147"/>
      <c r="I45" s="149"/>
      <c r="J45" s="166"/>
      <c r="K45" s="147"/>
      <c r="L45" s="147"/>
      <c r="M45" s="147"/>
      <c r="N45" s="147"/>
      <c r="O45" s="147"/>
      <c r="P45" s="147"/>
      <c r="Q45" s="147"/>
      <c r="R45" s="147"/>
    </row>
    <row r="46" spans="2:18">
      <c r="B46" s="167"/>
      <c r="C46" s="144"/>
      <c r="D46" s="144"/>
      <c r="E46" s="147"/>
      <c r="F46" s="132"/>
      <c r="G46" s="132"/>
      <c r="H46" s="147"/>
      <c r="I46" s="149"/>
      <c r="J46" s="166"/>
      <c r="K46" s="147"/>
      <c r="L46" s="147"/>
      <c r="M46" s="147"/>
      <c r="N46" s="147"/>
      <c r="O46" s="147"/>
      <c r="P46" s="147"/>
      <c r="Q46" s="147"/>
      <c r="R46" s="147"/>
    </row>
    <row r="47" spans="2:18">
      <c r="B47" s="168"/>
      <c r="C47" s="150"/>
      <c r="D47" s="140"/>
      <c r="E47" s="150"/>
      <c r="F47" s="132"/>
      <c r="G47" s="132"/>
      <c r="H47" s="140"/>
      <c r="I47" s="140"/>
      <c r="J47" s="169"/>
      <c r="K47" s="140"/>
      <c r="L47" s="140"/>
      <c r="M47" s="140"/>
      <c r="N47" s="140"/>
      <c r="O47" s="140"/>
      <c r="P47" s="140"/>
      <c r="Q47" s="140"/>
      <c r="R47" s="142"/>
    </row>
    <row r="48" spans="2:18">
      <c r="B48" s="168"/>
      <c r="C48" s="150"/>
      <c r="D48" s="140"/>
      <c r="E48" s="150"/>
      <c r="F48" s="132"/>
      <c r="G48" s="132"/>
      <c r="H48" s="140"/>
      <c r="I48" s="140"/>
      <c r="J48" s="169"/>
      <c r="K48" s="140"/>
      <c r="L48" s="140"/>
      <c r="M48" s="140"/>
      <c r="N48" s="140"/>
      <c r="O48" s="140"/>
      <c r="P48" s="140"/>
      <c r="Q48" s="140"/>
      <c r="R48" s="142"/>
    </row>
    <row r="49" spans="2:18">
      <c r="B49" s="170"/>
      <c r="C49" s="151"/>
      <c r="D49" s="670" t="str">
        <f>+Datos!B15</f>
        <v>Ing. Ernesto Vargas Amezaga</v>
      </c>
      <c r="E49" s="77"/>
      <c r="F49" s="152"/>
      <c r="G49" s="132"/>
      <c r="H49" s="132"/>
      <c r="I49" s="670" t="str">
        <f>+Datos!B7</f>
        <v>Ing. Pedro Alberto Barreto Gutierrez</v>
      </c>
      <c r="J49" s="171"/>
      <c r="K49" s="153"/>
      <c r="L49" s="153"/>
      <c r="M49" s="153"/>
      <c r="N49" s="153"/>
      <c r="O49" s="132"/>
      <c r="P49" s="153"/>
      <c r="Q49" s="153"/>
      <c r="R49" s="153"/>
    </row>
    <row r="50" spans="2:18">
      <c r="B50" s="172"/>
      <c r="C50" s="140"/>
      <c r="D50" s="150" t="str">
        <f>+Datos!B16</f>
        <v>SUPERINTENDENTE DE OBRA a.i.</v>
      </c>
      <c r="E50" s="77"/>
      <c r="F50" s="152"/>
      <c r="G50" s="132"/>
      <c r="H50" s="132"/>
      <c r="I50" s="150" t="str">
        <f>+Datos!B8</f>
        <v xml:space="preserve">GERENTE SUPERVISION TECNICA </v>
      </c>
      <c r="J50" s="171"/>
      <c r="K50" s="150"/>
      <c r="L50" s="150"/>
      <c r="M50" s="150"/>
      <c r="N50" s="150"/>
      <c r="O50" s="132"/>
      <c r="P50" s="150"/>
      <c r="Q50" s="150"/>
      <c r="R50" s="150"/>
    </row>
    <row r="51" spans="2:18" ht="33" customHeight="1">
      <c r="B51" s="1755" t="str">
        <f>+Datos!B17</f>
        <v>EMPRESA ESTRATÉGICA BOLIVIANA DE CONSTRUCCIÓN
Y CONSERVACIÓN DE INFRAESTRUCTURA CIVIL (EBC)</v>
      </c>
      <c r="C51" s="1756"/>
      <c r="D51" s="1756"/>
      <c r="E51" s="1756"/>
      <c r="F51" s="1756"/>
      <c r="G51" s="173"/>
      <c r="H51" s="173"/>
      <c r="I51" s="600" t="str">
        <f>+Datos!B9</f>
        <v>ABC - REGIONAL TARIJA</v>
      </c>
      <c r="J51" s="174"/>
      <c r="K51" s="150"/>
      <c r="L51" s="150"/>
      <c r="M51" s="150"/>
      <c r="N51" s="150"/>
      <c r="O51" s="132"/>
      <c r="P51" s="150"/>
      <c r="Q51" s="150"/>
      <c r="R51" s="150"/>
    </row>
    <row r="57" spans="2:18">
      <c r="D57" s="135"/>
    </row>
  </sheetData>
  <mergeCells count="16">
    <mergeCell ref="B51:F51"/>
    <mergeCell ref="J9:J10"/>
    <mergeCell ref="I9:I10"/>
    <mergeCell ref="B39:E39"/>
    <mergeCell ref="B2:D2"/>
    <mergeCell ref="B6:D6"/>
    <mergeCell ref="H8:I8"/>
    <mergeCell ref="E6:I7"/>
    <mergeCell ref="E4:I5"/>
    <mergeCell ref="B7:D7"/>
    <mergeCell ref="B9:B10"/>
    <mergeCell ref="C9:C10"/>
    <mergeCell ref="D9:D10"/>
    <mergeCell ref="E9:E10"/>
    <mergeCell ref="F9:H9"/>
    <mergeCell ref="B40:E40"/>
  </mergeCells>
  <printOptions horizontalCentered="1" verticalCentered="1"/>
  <pageMargins left="0.78740157480314965" right="0.39370078740157483" top="0.59055118110236227" bottom="0.59055118110236227" header="0" footer="0"/>
  <pageSetup scale="79" orientation="portrait" r:id="rId1"/>
  <headerFooter alignWithMargins="0"/>
  <rowBreaks count="1" manualBreakCount="1">
    <brk id="8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4">
    <tabColor rgb="FF92D050"/>
    <pageSetUpPr fitToPage="1"/>
  </sheetPr>
  <dimension ref="B2:P53"/>
  <sheetViews>
    <sheetView showGridLines="0" view="pageBreakPreview" zoomScale="85" zoomScaleNormal="100" zoomScaleSheetLayoutView="85" workbookViewId="0">
      <selection activeCell="L13" sqref="L13"/>
    </sheetView>
  </sheetViews>
  <sheetFormatPr baseColWidth="10" defaultColWidth="11.42578125" defaultRowHeight="16.5"/>
  <cols>
    <col min="1" max="1" width="1.42578125" style="317" customWidth="1"/>
    <col min="2" max="2" width="25.28515625" style="317" customWidth="1"/>
    <col min="3" max="3" width="17.42578125" style="317" customWidth="1"/>
    <col min="4" max="5" width="4.5703125" style="317" customWidth="1"/>
    <col min="6" max="7" width="19.28515625" style="317" customWidth="1"/>
    <col min="8" max="8" width="30.140625" style="317" customWidth="1"/>
    <col min="9" max="10" width="12.5703125" style="317" bestFit="1" customWidth="1"/>
    <col min="11" max="11" width="13.85546875" style="317" customWidth="1"/>
    <col min="12" max="12" width="28.42578125" style="317" customWidth="1"/>
    <col min="13" max="13" width="0" style="317" hidden="1" customWidth="1"/>
    <col min="14" max="16384" width="11.42578125" style="317"/>
  </cols>
  <sheetData>
    <row r="2" spans="2:13">
      <c r="B2" s="1363"/>
      <c r="C2" s="1772" t="str">
        <f>+Datos!C22</f>
        <v>CERTIFICADO DE PAGO Nº 11</v>
      </c>
      <c r="D2" s="1773"/>
      <c r="E2" s="1773"/>
      <c r="F2" s="1773"/>
      <c r="G2" s="1774"/>
      <c r="H2" s="1364"/>
    </row>
    <row r="3" spans="2:13">
      <c r="B3" s="1365"/>
      <c r="C3" s="1775"/>
      <c r="D3" s="1776"/>
      <c r="E3" s="1776"/>
      <c r="F3" s="1776"/>
      <c r="G3" s="1777"/>
      <c r="H3" s="1366"/>
    </row>
    <row r="4" spans="2:13" ht="16.5" customHeight="1">
      <c r="B4" s="1365"/>
      <c r="C4" s="1803" t="s">
        <v>477</v>
      </c>
      <c r="D4" s="1804"/>
      <c r="E4" s="1804"/>
      <c r="F4" s="1804"/>
      <c r="G4" s="1805"/>
      <c r="H4" s="1366"/>
    </row>
    <row r="5" spans="2:13">
      <c r="B5" s="1367"/>
      <c r="C5" s="1803"/>
      <c r="D5" s="1804"/>
      <c r="E5" s="1804"/>
      <c r="F5" s="1804"/>
      <c r="G5" s="1805"/>
      <c r="H5" s="1367"/>
    </row>
    <row r="6" spans="2:13" ht="15" customHeight="1">
      <c r="B6" s="1367"/>
      <c r="C6" s="1797" t="s">
        <v>211</v>
      </c>
      <c r="D6" s="1798"/>
      <c r="E6" s="1798"/>
      <c r="F6" s="1798"/>
      <c r="G6" s="1799"/>
      <c r="H6" s="1366"/>
    </row>
    <row r="7" spans="2:13" ht="19.5" customHeight="1">
      <c r="B7" s="1368" t="s">
        <v>7</v>
      </c>
      <c r="C7" s="1800"/>
      <c r="D7" s="1801"/>
      <c r="E7" s="1801"/>
      <c r="F7" s="1801"/>
      <c r="G7" s="1802"/>
      <c r="H7" s="1369" t="s">
        <v>77</v>
      </c>
    </row>
    <row r="8" spans="2:13" ht="15" customHeight="1">
      <c r="B8" s="1370"/>
      <c r="C8" s="421"/>
      <c r="D8" s="319"/>
      <c r="E8" s="319"/>
      <c r="F8" s="320"/>
      <c r="G8" s="319"/>
      <c r="H8" s="1371"/>
    </row>
    <row r="9" spans="2:13" ht="66">
      <c r="B9" s="1372" t="s">
        <v>210</v>
      </c>
      <c r="C9" s="1780" t="s">
        <v>38</v>
      </c>
      <c r="D9" s="1780"/>
      <c r="E9" s="1781"/>
      <c r="F9" s="692" t="s">
        <v>212</v>
      </c>
      <c r="G9" s="692" t="s">
        <v>581</v>
      </c>
      <c r="H9" s="1372" t="s">
        <v>11</v>
      </c>
    </row>
    <row r="10" spans="2:13" ht="20.100000000000001" customHeight="1">
      <c r="B10" s="1373" t="s">
        <v>394</v>
      </c>
      <c r="C10" s="1782">
        <v>43726</v>
      </c>
      <c r="D10" s="1783"/>
      <c r="E10" s="1784"/>
      <c r="F10" s="1009">
        <v>0</v>
      </c>
      <c r="G10" s="1009">
        <v>0</v>
      </c>
      <c r="H10" s="1374"/>
      <c r="J10" s="321"/>
      <c r="K10" s="321"/>
      <c r="L10" s="321"/>
      <c r="M10" s="321"/>
    </row>
    <row r="11" spans="2:13" ht="20.100000000000001" customHeight="1">
      <c r="B11" s="1373">
        <v>1</v>
      </c>
      <c r="C11" s="1785">
        <v>44075</v>
      </c>
      <c r="D11" s="1786"/>
      <c r="E11" s="1787"/>
      <c r="F11" s="1010">
        <v>0</v>
      </c>
      <c r="G11" s="1010">
        <v>0</v>
      </c>
      <c r="H11" s="1375"/>
      <c r="J11" s="321"/>
      <c r="K11" s="321"/>
      <c r="L11" s="321"/>
      <c r="M11" s="321"/>
    </row>
    <row r="12" spans="2:13" ht="20.100000000000001" customHeight="1">
      <c r="B12" s="1373">
        <v>2</v>
      </c>
      <c r="C12" s="1785">
        <v>44105</v>
      </c>
      <c r="D12" s="1786"/>
      <c r="E12" s="1787"/>
      <c r="F12" s="1010">
        <v>0</v>
      </c>
      <c r="G12" s="1010">
        <v>0</v>
      </c>
      <c r="H12" s="1375"/>
      <c r="J12" s="321"/>
      <c r="K12" s="321"/>
      <c r="L12" s="321"/>
      <c r="M12" s="321"/>
    </row>
    <row r="13" spans="2:13" ht="20.100000000000001" customHeight="1">
      <c r="B13" s="1373">
        <v>3</v>
      </c>
      <c r="C13" s="1785">
        <v>44136</v>
      </c>
      <c r="D13" s="1786"/>
      <c r="E13" s="1787"/>
      <c r="F13" s="1010">
        <v>0</v>
      </c>
      <c r="G13" s="1010">
        <v>0</v>
      </c>
      <c r="H13" s="1375"/>
      <c r="J13" s="321"/>
      <c r="K13" s="321"/>
      <c r="L13" s="321"/>
      <c r="M13" s="321"/>
    </row>
    <row r="14" spans="2:13" ht="20.100000000000001" customHeight="1">
      <c r="B14" s="1373">
        <v>4</v>
      </c>
      <c r="C14" s="1785" t="s">
        <v>426</v>
      </c>
      <c r="D14" s="1786"/>
      <c r="E14" s="1787"/>
      <c r="F14" s="1010">
        <v>0</v>
      </c>
      <c r="G14" s="1010">
        <v>0</v>
      </c>
      <c r="H14" s="1375"/>
      <c r="J14" s="321"/>
      <c r="K14" s="321"/>
      <c r="L14" s="321"/>
      <c r="M14" s="321"/>
    </row>
    <row r="15" spans="2:13" ht="20.100000000000001" customHeight="1">
      <c r="B15" s="1373">
        <v>5</v>
      </c>
      <c r="C15" s="1785">
        <v>44256</v>
      </c>
      <c r="D15" s="1786"/>
      <c r="E15" s="1787"/>
      <c r="F15" s="1010">
        <v>0</v>
      </c>
      <c r="G15" s="1010">
        <v>0</v>
      </c>
      <c r="H15" s="1375"/>
      <c r="J15" s="321"/>
      <c r="K15" s="321"/>
      <c r="L15" s="321"/>
      <c r="M15" s="321"/>
    </row>
    <row r="16" spans="2:13" ht="20.100000000000001" customHeight="1">
      <c r="B16" s="1373">
        <v>6</v>
      </c>
      <c r="C16" s="1785">
        <v>44287</v>
      </c>
      <c r="D16" s="1786"/>
      <c r="E16" s="1787"/>
      <c r="F16" s="1010">
        <v>0</v>
      </c>
      <c r="G16" s="1010">
        <v>0</v>
      </c>
      <c r="H16" s="1375"/>
      <c r="J16" s="321"/>
      <c r="K16" s="321"/>
      <c r="L16" s="321"/>
      <c r="M16" s="321"/>
    </row>
    <row r="17" spans="2:13" ht="20.100000000000001" customHeight="1">
      <c r="B17" s="1373">
        <v>7</v>
      </c>
      <c r="C17" s="1785">
        <v>44317</v>
      </c>
      <c r="D17" s="1786"/>
      <c r="E17" s="1787"/>
      <c r="F17" s="1010">
        <v>0</v>
      </c>
      <c r="G17" s="1010">
        <v>0</v>
      </c>
      <c r="H17" s="1376"/>
      <c r="J17" s="321"/>
      <c r="K17" s="321"/>
      <c r="L17" s="321"/>
      <c r="M17" s="321"/>
    </row>
    <row r="18" spans="2:13" ht="20.100000000000001" customHeight="1">
      <c r="B18" s="1377">
        <v>8</v>
      </c>
      <c r="C18" s="1785">
        <v>44348</v>
      </c>
      <c r="D18" s="1786"/>
      <c r="E18" s="1787"/>
      <c r="F18" s="1010">
        <v>0</v>
      </c>
      <c r="G18" s="1010">
        <v>0</v>
      </c>
      <c r="H18" s="1376"/>
      <c r="J18" s="321"/>
      <c r="K18" s="321"/>
      <c r="L18" s="321"/>
      <c r="M18" s="321"/>
    </row>
    <row r="19" spans="2:13" ht="20.100000000000001" customHeight="1">
      <c r="B19" s="1377">
        <v>9</v>
      </c>
      <c r="C19" s="1785">
        <v>44378</v>
      </c>
      <c r="D19" s="1786"/>
      <c r="E19" s="1787"/>
      <c r="F19" s="1010">
        <v>0</v>
      </c>
      <c r="G19" s="1010">
        <v>0</v>
      </c>
      <c r="H19" s="1378"/>
      <c r="J19" s="321"/>
      <c r="K19" s="321"/>
      <c r="L19" s="321"/>
      <c r="M19" s="321"/>
    </row>
    <row r="20" spans="2:13" ht="20.100000000000001" customHeight="1">
      <c r="B20" s="1377">
        <v>10</v>
      </c>
      <c r="C20" s="1785">
        <v>44409</v>
      </c>
      <c r="D20" s="1786"/>
      <c r="E20" s="1787"/>
      <c r="F20" s="1010">
        <v>0</v>
      </c>
      <c r="G20" s="1010">
        <v>0</v>
      </c>
      <c r="H20" s="1380"/>
      <c r="J20" s="321"/>
      <c r="K20" s="321"/>
      <c r="L20" s="321"/>
      <c r="M20" s="321"/>
    </row>
    <row r="21" spans="2:13" ht="20.100000000000001" customHeight="1">
      <c r="B21" s="1379">
        <v>11</v>
      </c>
      <c r="C21" s="1788">
        <v>44440</v>
      </c>
      <c r="D21" s="1789"/>
      <c r="E21" s="1790"/>
      <c r="F21" s="1243">
        <v>0</v>
      </c>
      <c r="G21" s="1243">
        <v>0</v>
      </c>
      <c r="H21" s="1380"/>
      <c r="J21" s="321"/>
      <c r="K21" s="321"/>
      <c r="L21" s="321"/>
      <c r="M21" s="321"/>
    </row>
    <row r="22" spans="2:13" ht="20.100000000000001" customHeight="1">
      <c r="B22" s="1381"/>
      <c r="C22" s="360"/>
      <c r="D22" s="393"/>
      <c r="E22" s="361"/>
      <c r="F22" s="322"/>
      <c r="G22" s="323"/>
      <c r="H22" s="1380"/>
      <c r="J22" s="321"/>
      <c r="K22" s="321"/>
      <c r="L22" s="321"/>
      <c r="M22" s="321"/>
    </row>
    <row r="23" spans="2:13" ht="20.100000000000001" customHeight="1">
      <c r="B23" s="1381"/>
      <c r="C23" s="360"/>
      <c r="D23" s="393"/>
      <c r="E23" s="361"/>
      <c r="F23" s="322"/>
      <c r="G23" s="323"/>
      <c r="H23" s="1380"/>
      <c r="J23" s="321"/>
      <c r="K23" s="321"/>
      <c r="L23" s="321"/>
      <c r="M23" s="321"/>
    </row>
    <row r="24" spans="2:13" ht="20.100000000000001" customHeight="1">
      <c r="B24" s="1381"/>
      <c r="C24" s="360"/>
      <c r="D24" s="393"/>
      <c r="E24" s="361"/>
      <c r="F24" s="322"/>
      <c r="G24" s="323"/>
      <c r="H24" s="1380"/>
      <c r="J24" s="321"/>
      <c r="K24" s="321"/>
      <c r="L24" s="321"/>
      <c r="M24" s="321"/>
    </row>
    <row r="25" spans="2:13" ht="20.100000000000001" customHeight="1">
      <c r="B25" s="1381"/>
      <c r="C25" s="360"/>
      <c r="D25" s="393"/>
      <c r="E25" s="361"/>
      <c r="F25" s="322"/>
      <c r="G25" s="323"/>
      <c r="H25" s="1380"/>
      <c r="J25" s="321"/>
      <c r="K25" s="321"/>
      <c r="L25" s="321"/>
      <c r="M25" s="321"/>
    </row>
    <row r="26" spans="2:13" ht="20.100000000000001" customHeight="1">
      <c r="B26" s="1381"/>
      <c r="C26" s="360"/>
      <c r="D26" s="393"/>
      <c r="E26" s="361"/>
      <c r="F26" s="322"/>
      <c r="G26" s="323"/>
      <c r="H26" s="1380"/>
      <c r="J26" s="321"/>
      <c r="K26" s="321"/>
      <c r="L26" s="321"/>
      <c r="M26" s="321"/>
    </row>
    <row r="27" spans="2:13" ht="20.100000000000001" customHeight="1">
      <c r="B27" s="1381"/>
      <c r="C27" s="360"/>
      <c r="D27" s="393"/>
      <c r="E27" s="361"/>
      <c r="F27" s="322"/>
      <c r="G27" s="323"/>
      <c r="H27" s="1380"/>
      <c r="J27" s="321"/>
      <c r="K27" s="321"/>
      <c r="L27" s="321"/>
      <c r="M27" s="321"/>
    </row>
    <row r="28" spans="2:13" ht="20.100000000000001" customHeight="1">
      <c r="B28" s="1381"/>
      <c r="C28" s="360"/>
      <c r="D28" s="393"/>
      <c r="E28" s="361"/>
      <c r="F28" s="322"/>
      <c r="G28" s="323"/>
      <c r="H28" s="1380"/>
      <c r="J28" s="321"/>
      <c r="K28" s="321"/>
      <c r="L28" s="321"/>
      <c r="M28" s="321"/>
    </row>
    <row r="29" spans="2:13" ht="20.100000000000001" customHeight="1">
      <c r="B29" s="1381"/>
      <c r="C29" s="360"/>
      <c r="D29" s="393"/>
      <c r="E29" s="361"/>
      <c r="F29" s="322"/>
      <c r="G29" s="323"/>
      <c r="H29" s="1380"/>
      <c r="J29" s="321"/>
      <c r="K29" s="321"/>
      <c r="L29" s="321"/>
      <c r="M29" s="321"/>
    </row>
    <row r="30" spans="2:13" ht="20.100000000000001" customHeight="1">
      <c r="B30" s="1381"/>
      <c r="C30" s="360"/>
      <c r="D30" s="1035"/>
      <c r="E30" s="361"/>
      <c r="F30" s="322"/>
      <c r="G30" s="323"/>
      <c r="H30" s="1380"/>
      <c r="J30" s="321"/>
      <c r="K30" s="321"/>
      <c r="L30" s="321"/>
      <c r="M30" s="321"/>
    </row>
    <row r="31" spans="2:13" ht="20.100000000000001" customHeight="1">
      <c r="B31" s="1381"/>
      <c r="C31" s="360"/>
      <c r="D31" s="333"/>
      <c r="E31" s="361"/>
      <c r="F31" s="322"/>
      <c r="G31" s="323"/>
      <c r="H31" s="1380"/>
      <c r="J31" s="321"/>
      <c r="K31" s="321"/>
      <c r="L31" s="321"/>
      <c r="M31" s="321"/>
    </row>
    <row r="32" spans="2:13" ht="20.100000000000001" customHeight="1">
      <c r="B32" s="1381"/>
      <c r="C32" s="360"/>
      <c r="D32" s="333"/>
      <c r="E32" s="361"/>
      <c r="F32" s="322"/>
      <c r="G32" s="323"/>
      <c r="H32" s="1380"/>
      <c r="J32" s="321"/>
      <c r="K32" s="321"/>
      <c r="L32" s="321"/>
      <c r="M32" s="321"/>
    </row>
    <row r="33" spans="2:16" ht="20.100000000000001" customHeight="1">
      <c r="B33" s="1381"/>
      <c r="C33" s="360"/>
      <c r="D33" s="333"/>
      <c r="E33" s="361"/>
      <c r="F33" s="322"/>
      <c r="G33" s="323"/>
      <c r="H33" s="1380"/>
      <c r="J33" s="321"/>
      <c r="K33" s="321"/>
      <c r="L33" s="321"/>
      <c r="M33" s="321"/>
    </row>
    <row r="34" spans="2:16" ht="20.100000000000001" customHeight="1">
      <c r="B34" s="1381"/>
      <c r="C34" s="360"/>
      <c r="D34" s="333"/>
      <c r="E34" s="361"/>
      <c r="F34" s="322"/>
      <c r="G34" s="323"/>
      <c r="H34" s="1382"/>
      <c r="J34" s="321"/>
      <c r="K34" s="321"/>
      <c r="L34" s="321"/>
      <c r="M34" s="321"/>
    </row>
    <row r="35" spans="2:16" ht="20.100000000000001" customHeight="1">
      <c r="B35" s="1381"/>
      <c r="C35" s="360"/>
      <c r="D35" s="333"/>
      <c r="E35" s="361"/>
      <c r="F35" s="322"/>
      <c r="G35" s="323"/>
      <c r="H35" s="1382"/>
      <c r="J35" s="321"/>
      <c r="K35" s="321"/>
      <c r="L35" s="321"/>
      <c r="M35" s="321"/>
    </row>
    <row r="36" spans="2:16" ht="20.100000000000001" customHeight="1">
      <c r="B36" s="1381"/>
      <c r="C36" s="360"/>
      <c r="D36" s="333"/>
      <c r="E36" s="361"/>
      <c r="F36" s="322"/>
      <c r="G36" s="323"/>
      <c r="H36" s="1382"/>
      <c r="J36" s="321"/>
      <c r="K36" s="321"/>
      <c r="L36" s="321"/>
      <c r="M36" s="321"/>
    </row>
    <row r="37" spans="2:16" ht="20.100000000000001" customHeight="1">
      <c r="B37" s="1383"/>
      <c r="C37" s="375"/>
      <c r="D37" s="376"/>
      <c r="E37" s="377"/>
      <c r="F37" s="378"/>
      <c r="G37" s="379"/>
      <c r="H37" s="1384"/>
    </row>
    <row r="38" spans="2:16" ht="20.100000000000001" customHeight="1">
      <c r="B38" s="1385"/>
      <c r="C38" s="693"/>
      <c r="D38" s="694"/>
      <c r="E38" s="695" t="s">
        <v>220</v>
      </c>
      <c r="F38" s="1176">
        <v>0</v>
      </c>
      <c r="G38" s="1177">
        <v>0</v>
      </c>
      <c r="H38" s="1386"/>
    </row>
    <row r="39" spans="2:16" ht="15" customHeight="1">
      <c r="B39" s="1387"/>
      <c r="C39" s="324"/>
      <c r="D39" s="324"/>
      <c r="E39" s="324"/>
      <c r="F39" s="332"/>
      <c r="G39" s="324"/>
      <c r="H39" s="1388"/>
      <c r="I39" s="325"/>
      <c r="J39" s="325"/>
      <c r="K39" s="325"/>
      <c r="L39" s="326"/>
      <c r="M39" s="326"/>
      <c r="N39" s="326"/>
      <c r="O39" s="326"/>
      <c r="P39" s="327"/>
    </row>
    <row r="40" spans="2:16" ht="15" customHeight="1">
      <c r="B40" s="1389" t="s">
        <v>12</v>
      </c>
      <c r="C40" s="1280"/>
      <c r="D40" s="1280"/>
      <c r="E40" s="1280"/>
      <c r="F40" s="1178" t="s">
        <v>8</v>
      </c>
      <c r="G40" s="1280"/>
      <c r="H40" s="1390"/>
      <c r="I40" s="325"/>
      <c r="J40" s="325"/>
      <c r="K40" s="325"/>
      <c r="L40" s="326"/>
      <c r="M40" s="326"/>
      <c r="N40" s="326"/>
      <c r="O40" s="326"/>
      <c r="P40" s="327"/>
    </row>
    <row r="41" spans="2:16" ht="15" customHeight="1">
      <c r="B41" s="1391"/>
      <c r="C41" s="1280"/>
      <c r="D41" s="1280"/>
      <c r="E41" s="1280"/>
      <c r="F41" s="325"/>
      <c r="G41" s="1280"/>
      <c r="H41" s="1390"/>
      <c r="I41" s="325"/>
      <c r="J41" s="325"/>
      <c r="K41" s="325"/>
      <c r="L41" s="326"/>
      <c r="M41" s="326"/>
      <c r="N41" s="326"/>
      <c r="O41" s="326"/>
      <c r="P41" s="327"/>
    </row>
    <row r="42" spans="2:16" ht="15" customHeight="1">
      <c r="B42" s="1391"/>
      <c r="C42" s="1280"/>
      <c r="D42" s="1280"/>
      <c r="E42" s="1280"/>
      <c r="F42" s="325"/>
      <c r="G42" s="1280"/>
      <c r="H42" s="1390"/>
      <c r="I42" s="325"/>
      <c r="J42" s="325"/>
      <c r="K42" s="325"/>
      <c r="L42" s="326"/>
      <c r="M42" s="326"/>
      <c r="N42" s="326"/>
      <c r="O42" s="326"/>
      <c r="P42" s="327"/>
    </row>
    <row r="43" spans="2:16" ht="15" customHeight="1">
      <c r="B43" s="1391"/>
      <c r="C43" s="1280"/>
      <c r="D43" s="1280"/>
      <c r="E43" s="1280"/>
      <c r="F43" s="325"/>
      <c r="G43" s="1280"/>
      <c r="H43" s="1390"/>
      <c r="I43" s="325"/>
      <c r="J43" s="325"/>
      <c r="K43" s="325"/>
      <c r="L43" s="326"/>
      <c r="M43" s="326"/>
      <c r="N43" s="326"/>
      <c r="O43" s="326"/>
      <c r="P43" s="327"/>
    </row>
    <row r="44" spans="2:16" ht="15" customHeight="1">
      <c r="B44" s="1389"/>
      <c r="C44" s="328"/>
      <c r="D44" s="328"/>
      <c r="E44" s="328"/>
      <c r="F44" s="328"/>
      <c r="G44" s="329"/>
      <c r="H44" s="1392"/>
      <c r="I44" s="329"/>
      <c r="J44" s="329"/>
      <c r="K44" s="329"/>
      <c r="L44" s="329"/>
      <c r="M44" s="329"/>
      <c r="N44" s="329"/>
      <c r="O44" s="329"/>
      <c r="P44" s="329"/>
    </row>
    <row r="45" spans="2:16" ht="15" customHeight="1">
      <c r="B45" s="1391"/>
      <c r="C45" s="1280"/>
      <c r="D45" s="1280"/>
      <c r="E45" s="1280"/>
      <c r="F45" s="325"/>
      <c r="G45" s="1280"/>
      <c r="H45" s="1390"/>
      <c r="I45" s="325"/>
      <c r="J45" s="325"/>
      <c r="K45" s="325"/>
      <c r="L45" s="325"/>
      <c r="M45" s="325"/>
      <c r="N45" s="325"/>
      <c r="O45" s="325"/>
      <c r="P45" s="327"/>
    </row>
    <row r="46" spans="2:16" ht="15" customHeight="1">
      <c r="B46" s="1778" t="str">
        <f>+Datos!B15</f>
        <v>Ing. Ernesto Vargas Amezaga</v>
      </c>
      <c r="C46" s="1779"/>
      <c r="D46" s="1779"/>
      <c r="E46" s="1779"/>
      <c r="F46" s="318"/>
      <c r="G46" s="1795" t="str">
        <f>+Datos!B7</f>
        <v>Ing. Pedro Alberto Barreto Gutierrez</v>
      </c>
      <c r="H46" s="1796"/>
      <c r="I46" s="331"/>
      <c r="J46" s="331"/>
      <c r="K46" s="331"/>
      <c r="L46" s="331"/>
      <c r="M46" s="318"/>
      <c r="N46" s="331"/>
      <c r="O46" s="331"/>
      <c r="P46" s="331"/>
    </row>
    <row r="47" spans="2:16" ht="15" customHeight="1">
      <c r="B47" s="1808" t="str">
        <f>+Datos!B16</f>
        <v>SUPERINTENDENTE DE OBRA a.i.</v>
      </c>
      <c r="C47" s="1809"/>
      <c r="D47" s="1809"/>
      <c r="E47" s="1809"/>
      <c r="F47" s="318"/>
      <c r="G47" s="1793" t="str">
        <f>+Datos!B8</f>
        <v xml:space="preserve">GERENTE SUPERVISION TECNICA </v>
      </c>
      <c r="H47" s="1794"/>
      <c r="I47" s="330"/>
      <c r="J47" s="330"/>
      <c r="K47" s="330"/>
      <c r="L47" s="330"/>
      <c r="M47" s="318"/>
      <c r="N47" s="330"/>
      <c r="O47" s="330"/>
      <c r="P47" s="330"/>
    </row>
    <row r="48" spans="2:16" ht="30" customHeight="1">
      <c r="B48" s="1806" t="str">
        <f>+Datos!B17</f>
        <v>EMPRESA ESTRATÉGICA BOLIVIANA DE CONSTRUCCIÓN
Y CONSERVACIÓN DE INFRAESTRUCTURA CIVIL (EBC)</v>
      </c>
      <c r="C48" s="1807"/>
      <c r="D48" s="1807"/>
      <c r="E48" s="1807"/>
      <c r="F48" s="1393"/>
      <c r="G48" s="1791" t="str">
        <f>+Datos!B9</f>
        <v>ABC - REGIONAL TARIJA</v>
      </c>
      <c r="H48" s="1792"/>
    </row>
    <row r="53" spans="6:6">
      <c r="F53" s="321"/>
    </row>
  </sheetData>
  <mergeCells count="22">
    <mergeCell ref="G48:H48"/>
    <mergeCell ref="G47:H47"/>
    <mergeCell ref="G46:H46"/>
    <mergeCell ref="C6:G7"/>
    <mergeCell ref="C4:G5"/>
    <mergeCell ref="B48:E48"/>
    <mergeCell ref="B47:E47"/>
    <mergeCell ref="C2:G3"/>
    <mergeCell ref="B46:E46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</mergeCells>
  <printOptions horizontalCentered="1"/>
  <pageMargins left="0.78740157480314965" right="0.59055118110236227" top="0.59055118110236227" bottom="0.59055118110236227" header="0" footer="0"/>
  <pageSetup scale="75" orientation="portrait" r:id="rId1"/>
  <headerFooter alignWithMargins="0"/>
  <rowBreaks count="1" manualBreakCount="1">
    <brk id="78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4"/>
  <dimension ref="A1:BH216"/>
  <sheetViews>
    <sheetView showGridLines="0" topLeftCell="E1" zoomScale="130" zoomScaleNormal="130" zoomScaleSheetLayoutView="115" workbookViewId="0">
      <pane xSplit="17" ySplit="4" topLeftCell="AY5" activePane="bottomRight" state="frozen"/>
      <selection activeCell="E1" sqref="E1"/>
      <selection pane="topRight" activeCell="V1" sqref="V1"/>
      <selection pane="bottomLeft" activeCell="E5" sqref="E5"/>
      <selection pane="bottomRight" activeCell="AZ97" sqref="AZ97"/>
    </sheetView>
  </sheetViews>
  <sheetFormatPr baseColWidth="10" defaultColWidth="12.7109375" defaultRowHeight="12.75"/>
  <cols>
    <col min="1" max="4" width="0" style="1" hidden="1" customWidth="1"/>
    <col min="5" max="5" width="3.85546875" style="2" bestFit="1" customWidth="1"/>
    <col min="6" max="6" width="51.28515625" style="1" customWidth="1"/>
    <col min="7" max="7" width="9.42578125" style="2" customWidth="1"/>
    <col min="8" max="8" width="9.5703125" style="2" customWidth="1"/>
    <col min="9" max="9" width="13.140625" style="1" customWidth="1"/>
    <col min="10" max="10" width="11.42578125" style="1" customWidth="1"/>
    <col min="11" max="11" width="11" style="1" hidden="1" customWidth="1"/>
    <col min="12" max="12" width="0" style="1" hidden="1" customWidth="1"/>
    <col min="13" max="13" width="11.42578125" style="1" customWidth="1"/>
    <col min="14" max="14" width="12.7109375" style="1"/>
    <col min="15" max="15" width="12" style="1" hidden="1" customWidth="1"/>
    <col min="16" max="16" width="0" style="1" hidden="1" customWidth="1"/>
    <col min="17" max="17" width="11" style="1" hidden="1" customWidth="1"/>
    <col min="18" max="18" width="0" style="1" hidden="1" customWidth="1"/>
    <col min="19" max="21" width="6.7109375" style="1" hidden="1" customWidth="1"/>
    <col min="22" max="22" width="8.7109375" style="1" customWidth="1"/>
    <col min="23" max="23" width="13.5703125" style="1" bestFit="1" customWidth="1"/>
    <col min="24" max="24" width="8.7109375" style="1" customWidth="1"/>
    <col min="25" max="25" width="9.85546875" style="1" bestFit="1" customWidth="1"/>
    <col min="26" max="26" width="12.7109375" style="1"/>
    <col min="27" max="27" width="8.7109375" style="1" customWidth="1"/>
    <col min="28" max="28" width="9.85546875" style="1" bestFit="1" customWidth="1"/>
    <col min="29" max="29" width="12.7109375" style="1"/>
    <col min="30" max="31" width="8.7109375" style="1" customWidth="1"/>
    <col min="32" max="32" width="12.7109375" style="1"/>
    <col min="33" max="34" width="8.7109375" style="1" customWidth="1"/>
    <col min="35" max="35" width="13.5703125" style="1" bestFit="1" customWidth="1"/>
    <col min="36" max="37" width="8.7109375" style="1" customWidth="1"/>
    <col min="38" max="38" width="12.7109375" style="1"/>
    <col min="39" max="40" width="8.7109375" style="1" customWidth="1"/>
    <col min="41" max="41" width="12.7109375" style="1"/>
    <col min="42" max="43" width="8.7109375" style="1" customWidth="1"/>
    <col min="44" max="44" width="12.7109375" style="1"/>
    <col min="45" max="45" width="8.7109375" style="1" customWidth="1"/>
    <col min="46" max="46" width="9.5703125" style="1" bestFit="1" customWidth="1"/>
    <col min="47" max="47" width="12.7109375" style="1"/>
    <col min="48" max="49" width="8.7109375" style="1" customWidth="1"/>
    <col min="50" max="50" width="12.7109375" style="1"/>
    <col min="51" max="52" width="8.7109375" style="1" customWidth="1"/>
    <col min="53" max="53" width="12.7109375" style="1"/>
    <col min="54" max="54" width="8.7109375" style="1" customWidth="1"/>
    <col min="55" max="16384" width="12.7109375" style="1"/>
  </cols>
  <sheetData>
    <row r="1" spans="1:60">
      <c r="J1" s="516">
        <f>+J103</f>
        <v>106631000.67</v>
      </c>
      <c r="L1" s="1011">
        <f>+L103</f>
        <v>4270358.2499999991</v>
      </c>
      <c r="M1" s="1012"/>
      <c r="N1" s="1011">
        <f>+N103</f>
        <v>1766556.24</v>
      </c>
      <c r="O1" s="1012"/>
      <c r="P1" s="1011">
        <f>+P103</f>
        <v>6036914.4900000012</v>
      </c>
      <c r="R1" s="516">
        <f>+R103</f>
        <v>97089454.149999991</v>
      </c>
      <c r="V1" s="1">
        <v>6</v>
      </c>
    </row>
    <row r="2" spans="1:60" ht="12" customHeight="1" thickBot="1">
      <c r="E2" s="310"/>
      <c r="F2" s="422"/>
      <c r="G2" s="423"/>
      <c r="H2" s="311"/>
      <c r="I2" s="311"/>
      <c r="J2" s="311"/>
      <c r="K2" s="311"/>
      <c r="L2" s="311"/>
      <c r="M2" s="311"/>
      <c r="N2" s="311"/>
      <c r="O2" s="311"/>
      <c r="P2" s="311"/>
      <c r="Q2" s="312"/>
      <c r="R2" s="312"/>
      <c r="S2" s="312"/>
      <c r="T2" s="312"/>
      <c r="U2" s="313"/>
      <c r="V2" s="2"/>
      <c r="W2" s="2">
        <v>1</v>
      </c>
      <c r="X2" s="2"/>
      <c r="Y2" s="2"/>
      <c r="Z2" s="2">
        <v>2</v>
      </c>
      <c r="AA2" s="2"/>
      <c r="AB2" s="2"/>
      <c r="AC2" s="2">
        <v>3</v>
      </c>
      <c r="AD2" s="2"/>
      <c r="AE2" s="2"/>
      <c r="AF2" s="2">
        <v>4</v>
      </c>
      <c r="AG2" s="2"/>
      <c r="AH2" s="2"/>
      <c r="AI2" s="2">
        <v>5</v>
      </c>
      <c r="AJ2" s="2"/>
      <c r="AK2" s="2"/>
      <c r="AL2" s="2">
        <v>6</v>
      </c>
      <c r="AM2" s="2"/>
      <c r="AN2" s="2"/>
      <c r="AO2" s="2">
        <v>7</v>
      </c>
      <c r="AP2" s="2"/>
      <c r="AQ2" s="2"/>
      <c r="AR2" s="2">
        <v>8</v>
      </c>
      <c r="AS2" s="2"/>
      <c r="AT2" s="2"/>
      <c r="AU2" s="2">
        <v>9</v>
      </c>
      <c r="AV2" s="2"/>
      <c r="AW2" s="2"/>
      <c r="AX2" s="2">
        <v>10</v>
      </c>
      <c r="AY2" s="2"/>
      <c r="AZ2" s="2"/>
      <c r="BA2" s="2">
        <v>11</v>
      </c>
      <c r="BB2" s="2"/>
      <c r="BC2" s="2"/>
      <c r="BD2" s="2">
        <v>12</v>
      </c>
      <c r="BE2" s="2"/>
      <c r="BF2" s="2"/>
      <c r="BG2" s="2">
        <v>13</v>
      </c>
      <c r="BH2" s="2"/>
    </row>
    <row r="3" spans="1:60" s="31" customFormat="1" ht="15" customHeight="1">
      <c r="E3" s="1810" t="s">
        <v>1</v>
      </c>
      <c r="F3" s="1811" t="s">
        <v>380</v>
      </c>
      <c r="G3" s="1813" t="s">
        <v>193</v>
      </c>
      <c r="H3" s="1821" t="s">
        <v>456</v>
      </c>
      <c r="I3" s="1822"/>
      <c r="J3" s="1823"/>
      <c r="K3" s="1812" t="s">
        <v>195</v>
      </c>
      <c r="L3" s="1812"/>
      <c r="M3" s="1812" t="s">
        <v>196</v>
      </c>
      <c r="N3" s="1812"/>
      <c r="O3" s="1812" t="s">
        <v>197</v>
      </c>
      <c r="P3" s="1812"/>
      <c r="Q3" s="1812" t="s">
        <v>198</v>
      </c>
      <c r="R3" s="1812"/>
      <c r="S3" s="1816" t="s">
        <v>34</v>
      </c>
      <c r="T3" s="1816"/>
      <c r="U3" s="1817"/>
      <c r="V3" s="737">
        <v>1</v>
      </c>
      <c r="W3" s="738"/>
      <c r="X3" s="739"/>
      <c r="Y3" s="732">
        <v>2</v>
      </c>
      <c r="Z3" s="733"/>
      <c r="AA3" s="734"/>
      <c r="AB3" s="732">
        <v>3</v>
      </c>
      <c r="AC3" s="733"/>
      <c r="AD3" s="734"/>
      <c r="AE3" s="732">
        <v>4</v>
      </c>
      <c r="AF3" s="733"/>
      <c r="AG3" s="734"/>
      <c r="AH3" s="732">
        <v>5</v>
      </c>
      <c r="AI3" s="733"/>
      <c r="AJ3" s="734"/>
      <c r="AK3" s="732">
        <v>6</v>
      </c>
      <c r="AL3" s="733"/>
      <c r="AM3" s="734"/>
      <c r="AN3" s="732">
        <v>7</v>
      </c>
      <c r="AO3" s="733"/>
      <c r="AP3" s="734"/>
      <c r="AQ3" s="732">
        <v>8</v>
      </c>
      <c r="AR3" s="733"/>
      <c r="AS3" s="734"/>
      <c r="AT3" s="732">
        <v>9</v>
      </c>
      <c r="AU3" s="733"/>
      <c r="AV3" s="734"/>
      <c r="AW3" s="732">
        <v>10</v>
      </c>
      <c r="AX3" s="733"/>
      <c r="AY3" s="734"/>
      <c r="AZ3" s="732">
        <v>11</v>
      </c>
      <c r="BA3" s="733"/>
      <c r="BB3" s="734"/>
      <c r="BC3" s="732">
        <v>12</v>
      </c>
      <c r="BD3" s="733"/>
      <c r="BE3" s="734"/>
      <c r="BF3" s="732">
        <v>13</v>
      </c>
      <c r="BG3" s="733"/>
      <c r="BH3" s="734"/>
    </row>
    <row r="4" spans="1:60" s="31" customFormat="1" ht="21.95" customHeight="1">
      <c r="E4" s="1810"/>
      <c r="F4" s="1811"/>
      <c r="G4" s="1814"/>
      <c r="H4" s="721" t="s">
        <v>178</v>
      </c>
      <c r="I4" s="721" t="s">
        <v>194</v>
      </c>
      <c r="J4" s="721" t="s">
        <v>36</v>
      </c>
      <c r="K4" s="720" t="s">
        <v>178</v>
      </c>
      <c r="L4" s="719" t="s">
        <v>36</v>
      </c>
      <c r="M4" s="720" t="s">
        <v>178</v>
      </c>
      <c r="N4" s="720" t="s">
        <v>36</v>
      </c>
      <c r="O4" s="720" t="s">
        <v>178</v>
      </c>
      <c r="P4" s="719" t="s">
        <v>36</v>
      </c>
      <c r="Q4" s="720" t="s">
        <v>178</v>
      </c>
      <c r="R4" s="719" t="s">
        <v>36</v>
      </c>
      <c r="S4" s="719" t="s">
        <v>199</v>
      </c>
      <c r="T4" s="719" t="s">
        <v>83</v>
      </c>
      <c r="U4" s="727" t="s">
        <v>413</v>
      </c>
      <c r="V4" s="735">
        <v>44075</v>
      </c>
      <c r="W4" s="750">
        <f>SUM(W5:W113)/2</f>
        <v>230575.22</v>
      </c>
      <c r="X4" s="740">
        <f>+W4/$J$103</f>
        <v>2.162365714953578E-3</v>
      </c>
      <c r="Y4" s="735">
        <v>44105</v>
      </c>
      <c r="Z4" s="750">
        <f>SUM(Z5:Z113)/2</f>
        <v>515942.19999999995</v>
      </c>
      <c r="AA4" s="740">
        <f>+Z4/$J$103</f>
        <v>4.8385759934555057E-3</v>
      </c>
      <c r="AB4" s="735">
        <v>44136</v>
      </c>
      <c r="AC4" s="750">
        <f>SUM(AC5:AC113)/2</f>
        <v>778326.78</v>
      </c>
      <c r="AD4" s="736">
        <f>+AC4/$J$103</f>
        <v>7.2992542047762817E-3</v>
      </c>
      <c r="AE4" s="754" t="s">
        <v>426</v>
      </c>
      <c r="AF4" s="750">
        <f>SUM(AF5:AF113)/2</f>
        <v>86910.98</v>
      </c>
      <c r="AG4" s="736">
        <f>+AF4/$J$103</f>
        <v>8.1506296906066534E-4</v>
      </c>
      <c r="AH4" s="735">
        <v>44256</v>
      </c>
      <c r="AI4" s="750">
        <f>SUM(AI5:AI113)/2</f>
        <v>38094.980000000003</v>
      </c>
      <c r="AJ4" s="736">
        <f>+AI4/$J$103</f>
        <v>3.5725989403302861E-4</v>
      </c>
      <c r="AK4" s="735">
        <v>44287</v>
      </c>
      <c r="AL4" s="750">
        <f>SUM(AL5:AL113)/2</f>
        <v>81632.100000000006</v>
      </c>
      <c r="AM4" s="736">
        <f>+AL4/$J$103</f>
        <v>7.6555691578506131E-4</v>
      </c>
      <c r="AN4" s="735">
        <v>44317</v>
      </c>
      <c r="AO4" s="750">
        <f>SUM(AO5:AO113)/2</f>
        <v>9267.23</v>
      </c>
      <c r="AP4" s="736">
        <f>+AO4/$J$103</f>
        <v>8.690934101500259E-5</v>
      </c>
      <c r="AQ4" s="735">
        <v>44348</v>
      </c>
      <c r="AR4" s="750">
        <f>SUM(AR5:AR104)/2</f>
        <v>17878.849999999999</v>
      </c>
      <c r="AS4" s="736">
        <f>+AR4/$J$103</f>
        <v>1.676702824475144E-4</v>
      </c>
      <c r="AT4" s="735">
        <v>44378</v>
      </c>
      <c r="AU4" s="750">
        <f>SUM(AU5:AU113)/2</f>
        <v>261075.14</v>
      </c>
      <c r="AV4" s="736">
        <f>+AU4/$J$103</f>
        <v>2.4483981052374382E-3</v>
      </c>
      <c r="AW4" s="735">
        <v>44409</v>
      </c>
      <c r="AX4" s="750">
        <f>SUM(AX5:AX113)/2</f>
        <v>2250654.7699999996</v>
      </c>
      <c r="AY4" s="736">
        <f>+AX4/$J$103</f>
        <v>2.1106945971231122E-2</v>
      </c>
      <c r="AZ4" s="735">
        <v>44440</v>
      </c>
      <c r="BA4" s="750">
        <f>SUM(BA5:BA113)/2</f>
        <v>1766556.24</v>
      </c>
      <c r="BB4" s="736">
        <f>+BA4/$J$103</f>
        <v>1.6567004237980579E-2</v>
      </c>
      <c r="BC4" s="735">
        <v>44470</v>
      </c>
      <c r="BD4" s="750">
        <f>SUM(BD5:BD113)/2</f>
        <v>0</v>
      </c>
      <c r="BE4" s="736">
        <f>+BD4/$J$103</f>
        <v>0</v>
      </c>
      <c r="BF4" s="735">
        <v>44501</v>
      </c>
      <c r="BG4" s="750">
        <f>SUM(BG5:BG113)/2</f>
        <v>0</v>
      </c>
      <c r="BH4" s="736">
        <f>+BG4/$J$103</f>
        <v>0</v>
      </c>
    </row>
    <row r="5" spans="1:60" ht="14.25">
      <c r="A5" s="509"/>
      <c r="B5" s="510"/>
      <c r="C5" s="510">
        <v>0</v>
      </c>
      <c r="D5" s="511"/>
      <c r="E5" s="536" t="s">
        <v>382</v>
      </c>
      <c r="F5" s="521" t="s">
        <v>84</v>
      </c>
      <c r="G5" s="548"/>
      <c r="H5" s="549"/>
      <c r="I5" s="550"/>
      <c r="J5" s="551">
        <f>SUM(J6:J9)</f>
        <v>712817.99</v>
      </c>
      <c r="K5" s="552"/>
      <c r="L5" s="551">
        <f>SUM(L6:L9)</f>
        <v>395104.4</v>
      </c>
      <c r="M5" s="553"/>
      <c r="N5" s="551">
        <f>SUM(N6:N9)</f>
        <v>0</v>
      </c>
      <c r="O5" s="552"/>
      <c r="P5" s="551">
        <f>SUM(P6:P9)</f>
        <v>395104.4</v>
      </c>
      <c r="Q5" s="553"/>
      <c r="R5" s="551">
        <f>SUM(R6)</f>
        <v>117436.34999999998</v>
      </c>
      <c r="S5" s="571">
        <f t="shared" ref="S5:S10" si="0">(N5/J5)</f>
        <v>0</v>
      </c>
      <c r="T5" s="642">
        <f t="shared" ref="T5:T10" si="1">(P5/J5)</f>
        <v>0.5542851128097932</v>
      </c>
      <c r="U5" s="728">
        <f t="shared" ref="U5:U10" si="2">(R5/J5)</f>
        <v>0.16474941941350271</v>
      </c>
      <c r="V5" s="741"/>
      <c r="W5" s="742">
        <f>SUM(W6)</f>
        <v>52412.84</v>
      </c>
      <c r="X5" s="743">
        <f t="shared" ref="X5:X40" si="3">+W5/$J5</f>
        <v>7.3529064551246803E-2</v>
      </c>
      <c r="Y5" s="741"/>
      <c r="Z5" s="742">
        <f>SUM(Z6)</f>
        <v>54421.4</v>
      </c>
      <c r="AA5" s="743">
        <f t="shared" ref="AA5:AA40" si="4">+Z5/$J5</f>
        <v>7.6346838552713861E-2</v>
      </c>
      <c r="AB5" s="741"/>
      <c r="AC5" s="742">
        <f>SUM(AC6)</f>
        <v>81632.100000000006</v>
      </c>
      <c r="AD5" s="743">
        <f t="shared" ref="AD5:AD40" si="5">+AC5/$J5</f>
        <v>0.1145202578290708</v>
      </c>
      <c r="AE5" s="741"/>
      <c r="AF5" s="742">
        <f>SUM(AF6)</f>
        <v>86910.98</v>
      </c>
      <c r="AG5" s="743">
        <f t="shared" ref="AG5:AG40" si="6">+AF5/$J5</f>
        <v>0.12192590706079121</v>
      </c>
      <c r="AH5" s="741"/>
      <c r="AI5" s="742">
        <f>SUM(AI6:AI9)</f>
        <v>38094.980000000003</v>
      </c>
      <c r="AJ5" s="743">
        <f t="shared" ref="AJ5:AJ40" si="7">+AI5/$J5</f>
        <v>5.3442786986899707E-2</v>
      </c>
      <c r="AK5" s="741"/>
      <c r="AL5" s="742">
        <f>SUM(AL6:AL9)</f>
        <v>81632.100000000006</v>
      </c>
      <c r="AM5" s="743">
        <f t="shared" ref="AM5:AM10" si="8">+AL5/$J5</f>
        <v>0.1145202578290708</v>
      </c>
      <c r="AN5" s="741"/>
      <c r="AO5" s="742">
        <f>SUM(AO6:AO9)</f>
        <v>0</v>
      </c>
      <c r="AP5" s="743">
        <f t="shared" ref="AP5:AP10" si="9">+AO5/$J5</f>
        <v>0</v>
      </c>
      <c r="AQ5" s="741"/>
      <c r="AR5" s="742">
        <f>SUM(AR6:AR9)</f>
        <v>0</v>
      </c>
      <c r="AS5" s="743">
        <f t="shared" ref="AS5:AS10" si="10">+AR5/$J5</f>
        <v>0</v>
      </c>
      <c r="AT5" s="741"/>
      <c r="AU5" s="742">
        <f>SUM(AU6:AU9)</f>
        <v>0</v>
      </c>
      <c r="AV5" s="743">
        <f t="shared" ref="AV5:AV10" si="11">+AU5/$J5</f>
        <v>0</v>
      </c>
      <c r="AW5" s="741"/>
      <c r="AX5" s="742">
        <f>SUM(AX6:AX9)</f>
        <v>0</v>
      </c>
      <c r="AY5" s="743">
        <f t="shared" ref="AY5:AY10" si="12">+AX5/$J5</f>
        <v>0</v>
      </c>
      <c r="AZ5" s="741"/>
      <c r="BA5" s="742">
        <f>SUM(BA6:BA9)</f>
        <v>0</v>
      </c>
      <c r="BB5" s="743">
        <f t="shared" ref="BB5:BB10" si="13">+BA5/$J5</f>
        <v>0</v>
      </c>
      <c r="BC5" s="741"/>
      <c r="BD5" s="742">
        <f>SUM(BD6:BD9)</f>
        <v>0</v>
      </c>
      <c r="BE5" s="743">
        <f t="shared" ref="BE5:BE10" si="14">+BD5/$J5</f>
        <v>0</v>
      </c>
      <c r="BF5" s="741"/>
      <c r="BG5" s="742">
        <f>SUM(BG6:BG9)</f>
        <v>0</v>
      </c>
      <c r="BH5" s="743">
        <f t="shared" ref="BH5:BH10" si="15">+BG5/$J5</f>
        <v>0</v>
      </c>
    </row>
    <row r="6" spans="1:60" ht="14.25">
      <c r="A6" s="509">
        <f>+IF(B6&gt;0,B6+C5,IF(C6&gt;C5,C6,0))</f>
        <v>0</v>
      </c>
      <c r="B6" s="510">
        <f>+IF(M6&gt;=0.01,1,0)</f>
        <v>0</v>
      </c>
      <c r="C6" s="512">
        <f>+B6+C5</f>
        <v>0</v>
      </c>
      <c r="D6" s="513" t="str">
        <f>+E5&amp;". "&amp;F5</f>
        <v>1. MOVIMIENTO DE TIERRAS</v>
      </c>
      <c r="E6" s="537">
        <v>1</v>
      </c>
      <c r="F6" s="412" t="s">
        <v>296</v>
      </c>
      <c r="G6" s="409" t="s">
        <v>236</v>
      </c>
      <c r="H6" s="23">
        <v>94.18</v>
      </c>
      <c r="I6" s="406">
        <v>5442.14</v>
      </c>
      <c r="J6" s="26">
        <f>ROUND(H6*I6,2)</f>
        <v>512540.75</v>
      </c>
      <c r="K6" s="21">
        <f>SUMIF($V$3:$BH$3,       "&lt;"&amp;Datos!$C$20,       V6:BH6)</f>
        <v>72.599999999999994</v>
      </c>
      <c r="L6" s="30">
        <f>SUMIF($V$2:$CH$2,"&lt;"&amp;Datos!$C$20,V6:CH6)</f>
        <v>395104.4</v>
      </c>
      <c r="M6" s="29">
        <f>LOOKUP(Datos!$C$20,    'Cant. Ejec,'!$V$3:$BH$3,      'Cant. Ejec,'!$V6:$BH6)</f>
        <v>0</v>
      </c>
      <c r="N6" s="30">
        <f>LOOKUP(Datos!$C$20,    'Cant. Ejec,'!$V$2:$BH$2,      'Cant. Ejec,'!$V6:$BH6)</f>
        <v>0</v>
      </c>
      <c r="O6" s="21">
        <f>SUMIF($V$3:$CH$3,                                                    "&lt;"&amp;(Datos!$C$20+1),V6:CL6)</f>
        <v>72.599999999999994</v>
      </c>
      <c r="P6" s="30">
        <f>SUMIF($V$2:$CH$2,                    "&lt;"&amp;(Datos!$C$20+1),V6:CL6)</f>
        <v>395104.4</v>
      </c>
      <c r="Q6" s="21">
        <f>H6-O6</f>
        <v>21.580000000000013</v>
      </c>
      <c r="R6" s="30">
        <f>+J6-P6</f>
        <v>117436.34999999998</v>
      </c>
      <c r="S6" s="834">
        <f t="shared" si="0"/>
        <v>0</v>
      </c>
      <c r="T6" s="835">
        <f t="shared" si="1"/>
        <v>0.77087412074064354</v>
      </c>
      <c r="U6" s="837">
        <f t="shared" si="2"/>
        <v>0.2291258792593564</v>
      </c>
      <c r="V6" s="744">
        <v>9.6300000000000008</v>
      </c>
      <c r="W6" s="745">
        <f>ROUND(V6*$I6,2)+5.03</f>
        <v>52412.84</v>
      </c>
      <c r="X6" s="746">
        <f t="shared" si="3"/>
        <v>0.1022608251148811</v>
      </c>
      <c r="Y6" s="744">
        <v>10</v>
      </c>
      <c r="Z6" s="745">
        <f>ROUND(Y6*$I6,2)</f>
        <v>54421.4</v>
      </c>
      <c r="AA6" s="746">
        <f t="shared" si="4"/>
        <v>0.10617965498353057</v>
      </c>
      <c r="AB6" s="744">
        <v>15</v>
      </c>
      <c r="AC6" s="745">
        <f>ROUND(AB6*$I6,2)</f>
        <v>81632.100000000006</v>
      </c>
      <c r="AD6" s="746">
        <f t="shared" si="5"/>
        <v>0.15926948247529588</v>
      </c>
      <c r="AE6" s="744">
        <v>15.97</v>
      </c>
      <c r="AF6" s="745">
        <f>ROUND(AE6*$I6,2)</f>
        <v>86910.98</v>
      </c>
      <c r="AG6" s="746">
        <f t="shared" si="6"/>
        <v>0.16956891720316872</v>
      </c>
      <c r="AH6" s="744">
        <v>7</v>
      </c>
      <c r="AI6" s="745">
        <f>ROUND(AH6*$I6,2)</f>
        <v>38094.980000000003</v>
      </c>
      <c r="AJ6" s="746">
        <f t="shared" si="7"/>
        <v>7.4325758488471408E-2</v>
      </c>
      <c r="AK6" s="744">
        <f>7500*0.002</f>
        <v>15</v>
      </c>
      <c r="AL6" s="745">
        <f>ROUND(AK6*$I6,2)</f>
        <v>81632.100000000006</v>
      </c>
      <c r="AM6" s="746">
        <f t="shared" si="8"/>
        <v>0.15926948247529588</v>
      </c>
      <c r="AN6" s="744"/>
      <c r="AO6" s="745">
        <f>ROUND(AN6*$I6,2)</f>
        <v>0</v>
      </c>
      <c r="AP6" s="746">
        <f t="shared" si="9"/>
        <v>0</v>
      </c>
      <c r="AQ6" s="744"/>
      <c r="AR6" s="745">
        <f>ROUND(AQ6*$I6,2)</f>
        <v>0</v>
      </c>
      <c r="AS6" s="746">
        <f t="shared" si="10"/>
        <v>0</v>
      </c>
      <c r="AT6" s="744"/>
      <c r="AU6" s="745">
        <f>ROUND(AT6*$I6,2)</f>
        <v>0</v>
      </c>
      <c r="AV6" s="746">
        <f t="shared" si="11"/>
        <v>0</v>
      </c>
      <c r="AW6" s="744"/>
      <c r="AX6" s="745">
        <f>ROUND(AW6*$I6,2)</f>
        <v>0</v>
      </c>
      <c r="AY6" s="746">
        <f t="shared" si="12"/>
        <v>0</v>
      </c>
      <c r="AZ6" s="744"/>
      <c r="BA6" s="745">
        <f>ROUND(AZ6*$I6,2)</f>
        <v>0</v>
      </c>
      <c r="BB6" s="746">
        <f t="shared" si="13"/>
        <v>0</v>
      </c>
      <c r="BC6" s="744"/>
      <c r="BD6" s="745">
        <f>ROUND(BC6*$I6,2)</f>
        <v>0</v>
      </c>
      <c r="BE6" s="746">
        <f t="shared" si="14"/>
        <v>0</v>
      </c>
      <c r="BF6" s="744"/>
      <c r="BG6" s="745">
        <f>ROUND(BF6*$I6,2)</f>
        <v>0</v>
      </c>
      <c r="BH6" s="746">
        <f t="shared" si="15"/>
        <v>0</v>
      </c>
    </row>
    <row r="7" spans="1:60" ht="14.25">
      <c r="A7" s="509"/>
      <c r="B7" s="510"/>
      <c r="C7" s="512"/>
      <c r="D7" s="513"/>
      <c r="E7" s="537" t="s">
        <v>439</v>
      </c>
      <c r="F7" s="412" t="s">
        <v>440</v>
      </c>
      <c r="G7" s="530" t="s">
        <v>85</v>
      </c>
      <c r="H7" s="531">
        <v>583.88</v>
      </c>
      <c r="I7" s="532">
        <v>28.92</v>
      </c>
      <c r="J7" s="26">
        <f>ROUND(H7*I7,2)</f>
        <v>16885.810000000001</v>
      </c>
      <c r="K7" s="21">
        <f>SUMIF($V$3:$BH$3,       "&lt;"&amp;Datos!$C$20,       V7:BH7)</f>
        <v>0</v>
      </c>
      <c r="L7" s="28">
        <f>SUMIF($V$2:$CH$2,"&lt;"&amp;Datos!$C$20,V7:CH7)</f>
        <v>0</v>
      </c>
      <c r="M7" s="533">
        <f>LOOKUP(Datos!$C$20,    'Cant. Ejec,'!$V$3:$BH$3,      'Cant. Ejec,'!$V7:$BH7)</f>
        <v>0</v>
      </c>
      <c r="N7" s="515">
        <f>LOOKUP(Datos!$C$20,    'Cant. Ejec,'!$V$2:$BH$2,      'Cant. Ejec,'!$V7:$BH7)</f>
        <v>0</v>
      </c>
      <c r="O7" s="21">
        <f>SUMIF($V$3:$CH$3,                                                    "&lt;"&amp;(Datos!$C$20+1),V7:CL7)</f>
        <v>0</v>
      </c>
      <c r="P7" s="515">
        <f>SUMIF($V$2:$CH$2,                    "&lt;"&amp;(Datos!$C$20+1),V7:CL7)</f>
        <v>0</v>
      </c>
      <c r="Q7" s="21">
        <f>H7-O7</f>
        <v>583.88</v>
      </c>
      <c r="R7" s="515">
        <f>+J7-P7</f>
        <v>16885.810000000001</v>
      </c>
      <c r="S7" s="838">
        <f t="shared" si="0"/>
        <v>0</v>
      </c>
      <c r="T7" s="839">
        <f t="shared" si="1"/>
        <v>0</v>
      </c>
      <c r="U7" s="840">
        <f t="shared" si="2"/>
        <v>1</v>
      </c>
      <c r="V7" s="744"/>
      <c r="W7" s="745"/>
      <c r="X7" s="746"/>
      <c r="Y7" s="744"/>
      <c r="Z7" s="745"/>
      <c r="AA7" s="746"/>
      <c r="AB7" s="744"/>
      <c r="AC7" s="745"/>
      <c r="AD7" s="746"/>
      <c r="AE7" s="744"/>
      <c r="AF7" s="745"/>
      <c r="AG7" s="746"/>
      <c r="AH7" s="744"/>
      <c r="AI7" s="745">
        <f>ROUND(AH7*$I7,2)</f>
        <v>0</v>
      </c>
      <c r="AJ7" s="746">
        <f>+AI7/$J7</f>
        <v>0</v>
      </c>
      <c r="AK7" s="744"/>
      <c r="AL7" s="745">
        <f>ROUND(AK7*$I7,2)</f>
        <v>0</v>
      </c>
      <c r="AM7" s="746">
        <f t="shared" si="8"/>
        <v>0</v>
      </c>
      <c r="AN7" s="744"/>
      <c r="AO7" s="745">
        <f>ROUND(AN7*$I7,2)</f>
        <v>0</v>
      </c>
      <c r="AP7" s="746">
        <f t="shared" si="9"/>
        <v>0</v>
      </c>
      <c r="AQ7" s="744"/>
      <c r="AR7" s="745">
        <f>ROUND(AQ7*$I7,2)</f>
        <v>0</v>
      </c>
      <c r="AS7" s="746">
        <f t="shared" si="10"/>
        <v>0</v>
      </c>
      <c r="AT7" s="744"/>
      <c r="AU7" s="745">
        <f>ROUND(AT7*$I7,2)</f>
        <v>0</v>
      </c>
      <c r="AV7" s="746">
        <f t="shared" si="11"/>
        <v>0</v>
      </c>
      <c r="AW7" s="744"/>
      <c r="AX7" s="745">
        <f>ROUND(AW7*$I7,2)</f>
        <v>0</v>
      </c>
      <c r="AY7" s="746">
        <f t="shared" si="12"/>
        <v>0</v>
      </c>
      <c r="AZ7" s="744"/>
      <c r="BA7" s="745">
        <f>ROUND(AZ7*$I7,2)</f>
        <v>0</v>
      </c>
      <c r="BB7" s="746">
        <f t="shared" si="13"/>
        <v>0</v>
      </c>
      <c r="BC7" s="744"/>
      <c r="BD7" s="745">
        <f>ROUND(BC7*$I7,2)</f>
        <v>0</v>
      </c>
      <c r="BE7" s="746">
        <f t="shared" si="14"/>
        <v>0</v>
      </c>
      <c r="BF7" s="744"/>
      <c r="BG7" s="745">
        <f>ROUND(BF7*$I7,2)</f>
        <v>0</v>
      </c>
      <c r="BH7" s="746">
        <f t="shared" si="15"/>
        <v>0</v>
      </c>
    </row>
    <row r="8" spans="1:60" ht="14.25">
      <c r="A8" s="509"/>
      <c r="B8" s="510"/>
      <c r="C8" s="512"/>
      <c r="D8" s="513"/>
      <c r="E8" s="537" t="s">
        <v>441</v>
      </c>
      <c r="F8" s="412" t="s">
        <v>442</v>
      </c>
      <c r="G8" s="530" t="s">
        <v>85</v>
      </c>
      <c r="H8" s="531">
        <v>2284.02</v>
      </c>
      <c r="I8" s="532">
        <v>49.94</v>
      </c>
      <c r="J8" s="26">
        <f>ROUND(H8*I8,2)</f>
        <v>114063.96</v>
      </c>
      <c r="K8" s="21">
        <f>SUMIF($V$3:$BH$3,       "&lt;"&amp;Datos!$C$20,       V8:BH8)</f>
        <v>0</v>
      </c>
      <c r="L8" s="28">
        <f>SUMIF($V$2:$CH$2,"&lt;"&amp;Datos!$C$20,V8:CH8)</f>
        <v>0</v>
      </c>
      <c r="M8" s="533">
        <f>LOOKUP(Datos!$C$20,    'Cant. Ejec,'!$V$3:$BH$3,      'Cant. Ejec,'!$V8:$BH8)</f>
        <v>0</v>
      </c>
      <c r="N8" s="515">
        <f>LOOKUP(Datos!$C$20,    'Cant. Ejec,'!$V$2:$BH$2,      'Cant. Ejec,'!$V8:$BH8)</f>
        <v>0</v>
      </c>
      <c r="O8" s="21">
        <f>SUMIF($V$3:$CH$3,                                                    "&lt;"&amp;(Datos!$C$20+1),V8:CL8)</f>
        <v>0</v>
      </c>
      <c r="P8" s="515">
        <f>SUMIF($V$2:$CH$2,                    "&lt;"&amp;(Datos!$C$20+1),V8:CL8)</f>
        <v>0</v>
      </c>
      <c r="Q8" s="21">
        <f>H8-O8</f>
        <v>2284.02</v>
      </c>
      <c r="R8" s="515">
        <f>+J8-P8</f>
        <v>114063.96</v>
      </c>
      <c r="S8" s="838">
        <f t="shared" si="0"/>
        <v>0</v>
      </c>
      <c r="T8" s="839">
        <f t="shared" si="1"/>
        <v>0</v>
      </c>
      <c r="U8" s="840">
        <f t="shared" si="2"/>
        <v>1</v>
      </c>
      <c r="V8" s="744"/>
      <c r="W8" s="745"/>
      <c r="X8" s="746"/>
      <c r="Y8" s="744"/>
      <c r="Z8" s="745"/>
      <c r="AA8" s="746"/>
      <c r="AB8" s="744"/>
      <c r="AC8" s="745"/>
      <c r="AD8" s="746"/>
      <c r="AE8" s="744"/>
      <c r="AF8" s="745"/>
      <c r="AG8" s="746"/>
      <c r="AH8" s="744"/>
      <c r="AI8" s="745">
        <f>ROUND(AH8*$I8,2)</f>
        <v>0</v>
      </c>
      <c r="AJ8" s="746">
        <f>+AI8/$J8</f>
        <v>0</v>
      </c>
      <c r="AK8" s="744"/>
      <c r="AL8" s="745">
        <f>ROUND(AK8*$I8,2)</f>
        <v>0</v>
      </c>
      <c r="AM8" s="746">
        <f t="shared" si="8"/>
        <v>0</v>
      </c>
      <c r="AN8" s="744"/>
      <c r="AO8" s="745">
        <f>ROUND(AN8*$I8,2)</f>
        <v>0</v>
      </c>
      <c r="AP8" s="746">
        <f t="shared" si="9"/>
        <v>0</v>
      </c>
      <c r="AQ8" s="744"/>
      <c r="AR8" s="745">
        <f>ROUND(AQ8*$I8,2)</f>
        <v>0</v>
      </c>
      <c r="AS8" s="746">
        <f t="shared" si="10"/>
        <v>0</v>
      </c>
      <c r="AT8" s="744"/>
      <c r="AU8" s="745">
        <f>ROUND(AT8*$I8,2)</f>
        <v>0</v>
      </c>
      <c r="AV8" s="746">
        <f t="shared" si="11"/>
        <v>0</v>
      </c>
      <c r="AW8" s="744"/>
      <c r="AX8" s="745">
        <f>ROUND(AW8*$I8,2)</f>
        <v>0</v>
      </c>
      <c r="AY8" s="746">
        <f t="shared" si="12"/>
        <v>0</v>
      </c>
      <c r="AZ8" s="744"/>
      <c r="BA8" s="745">
        <f>ROUND(AZ8*$I8,2)</f>
        <v>0</v>
      </c>
      <c r="BB8" s="746">
        <f t="shared" si="13"/>
        <v>0</v>
      </c>
      <c r="BC8" s="744"/>
      <c r="BD8" s="745">
        <f>ROUND(BC8*$I8,2)</f>
        <v>0</v>
      </c>
      <c r="BE8" s="746">
        <f t="shared" si="14"/>
        <v>0</v>
      </c>
      <c r="BF8" s="744"/>
      <c r="BG8" s="745">
        <f>ROUND(BF8*$I8,2)</f>
        <v>0</v>
      </c>
      <c r="BH8" s="746">
        <f t="shared" si="15"/>
        <v>0</v>
      </c>
    </row>
    <row r="9" spans="1:60" ht="14.25">
      <c r="A9" s="509"/>
      <c r="B9" s="510"/>
      <c r="C9" s="512"/>
      <c r="D9" s="513"/>
      <c r="E9" s="537" t="s">
        <v>443</v>
      </c>
      <c r="F9" s="412" t="s">
        <v>592</v>
      </c>
      <c r="G9" s="530" t="s">
        <v>444</v>
      </c>
      <c r="H9" s="531">
        <v>25488.04</v>
      </c>
      <c r="I9" s="532">
        <v>2.72</v>
      </c>
      <c r="J9" s="26">
        <f>ROUND(H9*I9,2)</f>
        <v>69327.47</v>
      </c>
      <c r="K9" s="21">
        <f>SUMIF($V$3:$BH$3,       "&lt;"&amp;Datos!$C$20,       V9:BH9)</f>
        <v>0</v>
      </c>
      <c r="L9" s="28">
        <f>SUMIF($V$2:$CH$2,"&lt;"&amp;Datos!$C$20,V9:CH9)</f>
        <v>0</v>
      </c>
      <c r="M9" s="533">
        <f>LOOKUP(Datos!$C$20,    'Cant. Ejec,'!$V$3:$BH$3,      'Cant. Ejec,'!$V9:$BH9)</f>
        <v>0</v>
      </c>
      <c r="N9" s="515">
        <f>LOOKUP(Datos!$C$20,    'Cant. Ejec,'!$V$2:$BH$2,      'Cant. Ejec,'!$V9:$BH9)</f>
        <v>0</v>
      </c>
      <c r="O9" s="21">
        <f>SUMIF($V$3:$CH$3,                                                    "&lt;"&amp;(Datos!$C$20+1),V9:CL9)</f>
        <v>0</v>
      </c>
      <c r="P9" s="515">
        <f>SUMIF($V$2:$CH$2,                    "&lt;"&amp;(Datos!$C$20+1),V9:CL9)</f>
        <v>0</v>
      </c>
      <c r="Q9" s="21">
        <f>H9-O9</f>
        <v>25488.04</v>
      </c>
      <c r="R9" s="515">
        <f>+J9-P9</f>
        <v>69327.47</v>
      </c>
      <c r="S9" s="841">
        <f t="shared" si="0"/>
        <v>0</v>
      </c>
      <c r="T9" s="842">
        <f t="shared" si="1"/>
        <v>0</v>
      </c>
      <c r="U9" s="843">
        <f t="shared" si="2"/>
        <v>1</v>
      </c>
      <c r="V9" s="744"/>
      <c r="W9" s="745"/>
      <c r="X9" s="746"/>
      <c r="Y9" s="744"/>
      <c r="Z9" s="745"/>
      <c r="AA9" s="746"/>
      <c r="AB9" s="744"/>
      <c r="AC9" s="745"/>
      <c r="AD9" s="746"/>
      <c r="AE9" s="744"/>
      <c r="AF9" s="745"/>
      <c r="AG9" s="746"/>
      <c r="AH9" s="744"/>
      <c r="AI9" s="745">
        <f>ROUND(AH9*$I9,2)</f>
        <v>0</v>
      </c>
      <c r="AJ9" s="746">
        <f>+AI9/$J9</f>
        <v>0</v>
      </c>
      <c r="AK9" s="744"/>
      <c r="AL9" s="745">
        <f>ROUND(AK9*$I9,2)</f>
        <v>0</v>
      </c>
      <c r="AM9" s="746">
        <f t="shared" si="8"/>
        <v>0</v>
      </c>
      <c r="AN9" s="744"/>
      <c r="AO9" s="745">
        <f>ROUND(AN9*$I9,2)</f>
        <v>0</v>
      </c>
      <c r="AP9" s="746">
        <f t="shared" si="9"/>
        <v>0</v>
      </c>
      <c r="AQ9" s="744"/>
      <c r="AR9" s="745">
        <f>ROUND(AQ9*$I9,2)</f>
        <v>0</v>
      </c>
      <c r="AS9" s="746">
        <f t="shared" si="10"/>
        <v>0</v>
      </c>
      <c r="AT9" s="744"/>
      <c r="AU9" s="745">
        <f>ROUND(AT9*$I9,2)</f>
        <v>0</v>
      </c>
      <c r="AV9" s="746">
        <f t="shared" si="11"/>
        <v>0</v>
      </c>
      <c r="AW9" s="744"/>
      <c r="AX9" s="745">
        <f>ROUND(AW9*$I9,2)</f>
        <v>0</v>
      </c>
      <c r="AY9" s="746">
        <f t="shared" si="12"/>
        <v>0</v>
      </c>
      <c r="AZ9" s="744"/>
      <c r="BA9" s="745">
        <f>ROUND(AZ9*$I9,2)</f>
        <v>0</v>
      </c>
      <c r="BB9" s="746">
        <f t="shared" si="13"/>
        <v>0</v>
      </c>
      <c r="BC9" s="744"/>
      <c r="BD9" s="745">
        <f>ROUND(BC9*$I9,2)</f>
        <v>0</v>
      </c>
      <c r="BE9" s="746">
        <f t="shared" si="14"/>
        <v>0</v>
      </c>
      <c r="BF9" s="744"/>
      <c r="BG9" s="745">
        <f>ROUND(BF9*$I9,2)</f>
        <v>0</v>
      </c>
      <c r="BH9" s="746">
        <f t="shared" si="15"/>
        <v>0</v>
      </c>
    </row>
    <row r="10" spans="1:60" ht="14.25">
      <c r="A10" s="509" t="e">
        <f>+IF(B10&gt;0,B10+#REF!,IF(C10&gt;#REF!,C10,0))</f>
        <v>#REF!</v>
      </c>
      <c r="B10" s="510" t="e">
        <f>+IF(#REF!&gt;=0.01,1,0)</f>
        <v>#REF!</v>
      </c>
      <c r="C10" s="512" t="e">
        <f>+B10+#REF!</f>
        <v>#REF!</v>
      </c>
      <c r="D10" s="513"/>
      <c r="E10" s="536" t="s">
        <v>383</v>
      </c>
      <c r="F10" s="521" t="s">
        <v>308</v>
      </c>
      <c r="G10" s="548"/>
      <c r="H10" s="549"/>
      <c r="I10" s="550"/>
      <c r="J10" s="551">
        <f>SUM(J11:J26)</f>
        <v>54945671.980000004</v>
      </c>
      <c r="K10" s="552"/>
      <c r="L10" s="551">
        <f>SUM(L11:L26)</f>
        <v>3747902.4899999998</v>
      </c>
      <c r="M10" s="553"/>
      <c r="N10" s="551">
        <f>SUM(N11:N26)</f>
        <v>1637771.62</v>
      </c>
      <c r="O10" s="552"/>
      <c r="P10" s="551">
        <f>SUM(P11:P26)</f>
        <v>5385674.1100000003</v>
      </c>
      <c r="Q10" s="553"/>
      <c r="R10" s="551">
        <f>SUM(R11:R20)</f>
        <v>46429568.979999989</v>
      </c>
      <c r="S10" s="571">
        <f t="shared" si="0"/>
        <v>2.9807108749095691E-2</v>
      </c>
      <c r="T10" s="642">
        <f t="shared" si="1"/>
        <v>9.8018168054444091E-2</v>
      </c>
      <c r="U10" s="728">
        <f t="shared" si="2"/>
        <v>0.84500866595826074</v>
      </c>
      <c r="V10" s="741"/>
      <c r="W10" s="742">
        <f>SUM(W11:W20)</f>
        <v>178162.38</v>
      </c>
      <c r="X10" s="743">
        <f t="shared" si="3"/>
        <v>3.2425189023959954E-3</v>
      </c>
      <c r="Y10" s="741"/>
      <c r="Z10" s="742">
        <f>SUM(Z11:Z20)</f>
        <v>420764.59</v>
      </c>
      <c r="AA10" s="743">
        <f t="shared" si="4"/>
        <v>7.6578295402985807E-3</v>
      </c>
      <c r="AB10" s="741"/>
      <c r="AC10" s="742">
        <f>SUM(AC11:AC20)</f>
        <v>696694.68</v>
      </c>
      <c r="AD10" s="743">
        <f t="shared" si="5"/>
        <v>1.2679700782503743E-2</v>
      </c>
      <c r="AE10" s="741"/>
      <c r="AF10" s="742">
        <f>SUM(AF11:AF20)</f>
        <v>0</v>
      </c>
      <c r="AG10" s="743">
        <f t="shared" si="6"/>
        <v>0</v>
      </c>
      <c r="AH10" s="741"/>
      <c r="AI10" s="742">
        <f>SUM(AI11:AI26)</f>
        <v>0</v>
      </c>
      <c r="AJ10" s="743">
        <f>+AI10/$J10</f>
        <v>0</v>
      </c>
      <c r="AK10" s="741"/>
      <c r="AL10" s="742">
        <f>SUM(AL11:AL26)</f>
        <v>0</v>
      </c>
      <c r="AM10" s="743">
        <f t="shared" si="8"/>
        <v>0</v>
      </c>
      <c r="AN10" s="741"/>
      <c r="AO10" s="742">
        <f>SUM(AO11:AO26)</f>
        <v>0</v>
      </c>
      <c r="AP10" s="743">
        <f t="shared" si="9"/>
        <v>0</v>
      </c>
      <c r="AQ10" s="741"/>
      <c r="AR10" s="742">
        <f>SUM(AR11:AR26)</f>
        <v>0</v>
      </c>
      <c r="AS10" s="743">
        <f t="shared" si="10"/>
        <v>0</v>
      </c>
      <c r="AT10" s="741"/>
      <c r="AU10" s="742">
        <f>SUM(AU11:AU26)</f>
        <v>241344</v>
      </c>
      <c r="AV10" s="743">
        <f t="shared" si="11"/>
        <v>4.3924114730610302E-3</v>
      </c>
      <c r="AW10" s="741"/>
      <c r="AX10" s="742">
        <f>SUM(AX11:AX26)</f>
        <v>2210936.84</v>
      </c>
      <c r="AY10" s="743">
        <f t="shared" si="12"/>
        <v>4.0238598607089046E-2</v>
      </c>
      <c r="AZ10" s="741"/>
      <c r="BA10" s="742">
        <f>SUM(BA11:BA26)</f>
        <v>1637771.62</v>
      </c>
      <c r="BB10" s="743">
        <f t="shared" si="13"/>
        <v>2.9807108749095691E-2</v>
      </c>
      <c r="BC10" s="741"/>
      <c r="BD10" s="742">
        <f>SUM(BD11:BD26)</f>
        <v>0</v>
      </c>
      <c r="BE10" s="743">
        <f t="shared" si="14"/>
        <v>0</v>
      </c>
      <c r="BF10" s="741"/>
      <c r="BG10" s="742">
        <f>SUM(BG11:BG26)</f>
        <v>0</v>
      </c>
      <c r="BH10" s="743">
        <f t="shared" si="15"/>
        <v>0</v>
      </c>
    </row>
    <row r="11" spans="1:60" ht="14.25">
      <c r="A11" s="509" t="e">
        <f t="shared" ref="A11:A74" si="16">+IF(B11&gt;0,B11+C10,IF(C11&gt;C10,C11,0))</f>
        <v>#REF!</v>
      </c>
      <c r="B11" s="510">
        <f t="shared" ref="B11:B74" si="17">+IF(M11&gt;=0.01,1,0)</f>
        <v>0</v>
      </c>
      <c r="C11" s="512" t="e">
        <f t="shared" ref="C11:C74" si="18">+B11+C10</f>
        <v>#REF!</v>
      </c>
      <c r="D11" s="513" t="str">
        <f>+E10&amp;". "&amp;F10</f>
        <v>2. PAVIMENTACION</v>
      </c>
      <c r="E11" s="537">
        <v>2</v>
      </c>
      <c r="F11" s="412" t="s">
        <v>297</v>
      </c>
      <c r="G11" s="530" t="s">
        <v>86</v>
      </c>
      <c r="H11" s="531">
        <v>266002</v>
      </c>
      <c r="I11" s="532">
        <v>1.46</v>
      </c>
      <c r="J11" s="26">
        <f t="shared" ref="J11:J25" si="19">ROUND(H11*I11,2)</f>
        <v>388362.92</v>
      </c>
      <c r="K11" s="21">
        <f>SUMIF($V$3:$BH$3,       "&lt;"&amp;Datos!$C$20,       V11:BH11)</f>
        <v>0</v>
      </c>
      <c r="L11" s="28">
        <f>SUMIF($V$2:$CH$2,"&lt;"&amp;Datos!$C$20,V11:CH11)</f>
        <v>0</v>
      </c>
      <c r="M11" s="29">
        <f>LOOKUP(Datos!$C$20,    'Cant. Ejec,'!$V$3:$BH$3,      'Cant. Ejec,'!$V11:$BH11)</f>
        <v>0</v>
      </c>
      <c r="N11" s="30">
        <f>LOOKUP(Datos!$C$20,    'Cant. Ejec,'!$V$2:$BH$2,      'Cant. Ejec,'!$V11:$BH11)</f>
        <v>0</v>
      </c>
      <c r="O11" s="21">
        <f>SUMIF($V$3:$CH$3,                                                    "&lt;"&amp;(Datos!$C$20+1),V11:CL11)</f>
        <v>0</v>
      </c>
      <c r="P11" s="30">
        <f>SUMIF($V$2:$CH$2,                    "&lt;"&amp;(Datos!$C$20+1),V11:CL11)</f>
        <v>0</v>
      </c>
      <c r="Q11" s="21">
        <f t="shared" ref="Q11:Q26" si="20">H11-O11</f>
        <v>266002</v>
      </c>
      <c r="R11" s="30">
        <f t="shared" ref="R11:R26" si="21">+J11-P11</f>
        <v>388362.92</v>
      </c>
      <c r="S11" s="425">
        <f t="shared" ref="S11:S26" si="22">(N11/J11)</f>
        <v>0</v>
      </c>
      <c r="T11" s="425">
        <f t="shared" ref="T11:T26" si="23">(P11/J11)</f>
        <v>0</v>
      </c>
      <c r="U11" s="729">
        <f t="shared" ref="U11:U26" si="24">(R11/J11)</f>
        <v>1</v>
      </c>
      <c r="V11" s="747"/>
      <c r="W11" s="748">
        <f t="shared" ref="W11:W20" si="25">ROUND(V11*$I11,2)</f>
        <v>0</v>
      </c>
      <c r="X11" s="749">
        <f t="shared" si="3"/>
        <v>0</v>
      </c>
      <c r="Y11" s="747"/>
      <c r="Z11" s="748">
        <f t="shared" ref="Z11:Z20" si="26">ROUND(Y11*$I11,2)</f>
        <v>0</v>
      </c>
      <c r="AA11" s="749">
        <f t="shared" si="4"/>
        <v>0</v>
      </c>
      <c r="AB11" s="747"/>
      <c r="AC11" s="748">
        <f t="shared" ref="AC11:AC20" si="27">ROUND(AB11*$I11,2)</f>
        <v>0</v>
      </c>
      <c r="AD11" s="749">
        <f t="shared" si="5"/>
        <v>0</v>
      </c>
      <c r="AE11" s="747"/>
      <c r="AF11" s="748">
        <f t="shared" ref="AF11:AF20" si="28">ROUND(AE11*$I11,2)</f>
        <v>0</v>
      </c>
      <c r="AG11" s="749">
        <f t="shared" si="6"/>
        <v>0</v>
      </c>
      <c r="AH11" s="747"/>
      <c r="AI11" s="748">
        <f t="shared" ref="AI11:AI26" si="29">ROUND(AH11*$I11,2)</f>
        <v>0</v>
      </c>
      <c r="AJ11" s="749">
        <f t="shared" si="7"/>
        <v>0</v>
      </c>
      <c r="AK11" s="747"/>
      <c r="AL11" s="748">
        <f t="shared" ref="AL11:AL26" si="30">ROUND(AK11*$I11,2)</f>
        <v>0</v>
      </c>
      <c r="AM11" s="749">
        <f t="shared" ref="AM11:AM26" si="31">+AL11/$J11</f>
        <v>0</v>
      </c>
      <c r="AN11" s="747"/>
      <c r="AO11" s="748">
        <f t="shared" ref="AO11:AO26" si="32">ROUND(AN11*$I11,2)</f>
        <v>0</v>
      </c>
      <c r="AP11" s="749">
        <f t="shared" ref="AP11:AP26" si="33">+AO11/$J11</f>
        <v>0</v>
      </c>
      <c r="AQ11" s="747"/>
      <c r="AR11" s="748">
        <f t="shared" ref="AR11:AR26" si="34">ROUND(AQ11*$I11,2)</f>
        <v>0</v>
      </c>
      <c r="AS11" s="749">
        <f t="shared" ref="AS11:AS26" si="35">+AR11/$J11</f>
        <v>0</v>
      </c>
      <c r="AT11" s="747"/>
      <c r="AU11" s="748">
        <f t="shared" ref="AU11:AU26" si="36">ROUND(AT11*$I11,2)</f>
        <v>0</v>
      </c>
      <c r="AV11" s="749">
        <f t="shared" ref="AV11:AV26" si="37">+AU11/$J11</f>
        <v>0</v>
      </c>
      <c r="AW11" s="747"/>
      <c r="AX11" s="748">
        <f t="shared" ref="AX11:AX26" si="38">ROUND(AW11*$I11,2)</f>
        <v>0</v>
      </c>
      <c r="AY11" s="749">
        <f t="shared" ref="AY11:AY26" si="39">+AX11/$J11</f>
        <v>0</v>
      </c>
      <c r="AZ11" s="747"/>
      <c r="BA11" s="748">
        <f t="shared" ref="BA11:BA26" si="40">ROUND(AZ11*$I11,2)</f>
        <v>0</v>
      </c>
      <c r="BB11" s="749">
        <f t="shared" ref="BB11:BB26" si="41">+BA11/$J11</f>
        <v>0</v>
      </c>
      <c r="BC11" s="747"/>
      <c r="BD11" s="748">
        <f t="shared" ref="BD11:BD26" si="42">ROUND(BC11*$I11,2)</f>
        <v>0</v>
      </c>
      <c r="BE11" s="749">
        <f t="shared" ref="BE11:BE26" si="43">+BD11/$J11</f>
        <v>0</v>
      </c>
      <c r="BF11" s="747"/>
      <c r="BG11" s="748">
        <f t="shared" ref="BG11:BG26" si="44">ROUND(BF11*$I11,2)</f>
        <v>0</v>
      </c>
      <c r="BH11" s="749">
        <f t="shared" ref="BH11:BH26" si="45">+BG11/$J11</f>
        <v>0</v>
      </c>
    </row>
    <row r="12" spans="1:60" ht="14.25">
      <c r="A12" s="509" t="e">
        <f t="shared" si="16"/>
        <v>#REF!</v>
      </c>
      <c r="B12" s="510">
        <f t="shared" si="17"/>
        <v>0</v>
      </c>
      <c r="C12" s="512" t="e">
        <f t="shared" si="18"/>
        <v>#REF!</v>
      </c>
      <c r="D12" s="513" t="str">
        <f>+D11</f>
        <v>2. PAVIMENTACION</v>
      </c>
      <c r="E12" s="537">
        <v>3</v>
      </c>
      <c r="F12" s="412" t="s">
        <v>298</v>
      </c>
      <c r="G12" s="530" t="s">
        <v>85</v>
      </c>
      <c r="H12" s="531">
        <v>0</v>
      </c>
      <c r="I12" s="532">
        <v>96.9</v>
      </c>
      <c r="J12" s="26">
        <f t="shared" si="19"/>
        <v>0</v>
      </c>
      <c r="K12" s="21">
        <f>SUMIF($V$3:$BH$3,       "&lt;"&amp;Datos!$C$20,       V12:BH12)</f>
        <v>0</v>
      </c>
      <c r="L12" s="28">
        <f>SUMIF($V$2:$CH$2,"&lt;"&amp;Datos!$C$20,V12:CH12)</f>
        <v>0</v>
      </c>
      <c r="M12" s="533">
        <f>LOOKUP(Datos!$C$20,    'Cant. Ejec,'!$V$3:$BH$3,      'Cant. Ejec,'!$V12:$BH12)</f>
        <v>0</v>
      </c>
      <c r="N12" s="515">
        <f>LOOKUP(Datos!$C$20,    'Cant. Ejec,'!$V$2:$BH$2,      'Cant. Ejec,'!$V12:$BH12)</f>
        <v>0</v>
      </c>
      <c r="O12" s="21">
        <f>SUMIF($V$3:$CH$3,                                                    "&lt;"&amp;(Datos!$C$20+1),V12:CL12)</f>
        <v>0</v>
      </c>
      <c r="P12" s="515">
        <f>SUMIF($V$2:$CH$2,                    "&lt;"&amp;(Datos!$C$20+1),V12:CL12)</f>
        <v>0</v>
      </c>
      <c r="Q12" s="21">
        <f t="shared" si="20"/>
        <v>0</v>
      </c>
      <c r="R12" s="515">
        <f t="shared" si="21"/>
        <v>0</v>
      </c>
      <c r="S12" s="425" t="e">
        <f t="shared" si="22"/>
        <v>#DIV/0!</v>
      </c>
      <c r="T12" s="425" t="e">
        <f t="shared" si="23"/>
        <v>#DIV/0!</v>
      </c>
      <c r="U12" s="729" t="e">
        <f t="shared" si="24"/>
        <v>#DIV/0!</v>
      </c>
      <c r="V12" s="747"/>
      <c r="W12" s="748">
        <f t="shared" si="25"/>
        <v>0</v>
      </c>
      <c r="X12" s="1207"/>
      <c r="Y12" s="747"/>
      <c r="Z12" s="748">
        <f t="shared" si="26"/>
        <v>0</v>
      </c>
      <c r="AA12" s="1207"/>
      <c r="AB12" s="747"/>
      <c r="AC12" s="748">
        <f t="shared" si="27"/>
        <v>0</v>
      </c>
      <c r="AD12" s="1207"/>
      <c r="AE12" s="747"/>
      <c r="AF12" s="748">
        <f t="shared" si="28"/>
        <v>0</v>
      </c>
      <c r="AG12" s="1207"/>
      <c r="AH12" s="747"/>
      <c r="AI12" s="748">
        <f t="shared" si="29"/>
        <v>0</v>
      </c>
      <c r="AJ12" s="1207"/>
      <c r="AK12" s="747"/>
      <c r="AL12" s="748">
        <f t="shared" si="30"/>
        <v>0</v>
      </c>
      <c r="AM12" s="1207"/>
      <c r="AN12" s="747"/>
      <c r="AO12" s="748">
        <f t="shared" si="32"/>
        <v>0</v>
      </c>
      <c r="AP12" s="1207"/>
      <c r="AQ12" s="747"/>
      <c r="AR12" s="748">
        <f t="shared" si="34"/>
        <v>0</v>
      </c>
      <c r="AS12" s="1207"/>
      <c r="AT12" s="747"/>
      <c r="AU12" s="748">
        <f t="shared" si="36"/>
        <v>0</v>
      </c>
      <c r="AV12" s="1207"/>
      <c r="AW12" s="747"/>
      <c r="AX12" s="748">
        <f t="shared" si="38"/>
        <v>0</v>
      </c>
      <c r="AY12" s="1207"/>
      <c r="AZ12" s="747"/>
      <c r="BA12" s="748">
        <f t="shared" si="40"/>
        <v>0</v>
      </c>
      <c r="BB12" s="1207"/>
      <c r="BC12" s="747"/>
      <c r="BD12" s="748">
        <f t="shared" si="42"/>
        <v>0</v>
      </c>
      <c r="BE12" s="1207"/>
      <c r="BF12" s="747"/>
      <c r="BG12" s="748">
        <f t="shared" si="44"/>
        <v>0</v>
      </c>
      <c r="BH12" s="1207"/>
    </row>
    <row r="13" spans="1:60" ht="14.25">
      <c r="A13" s="509" t="e">
        <f t="shared" si="16"/>
        <v>#REF!</v>
      </c>
      <c r="B13" s="510">
        <f t="shared" si="17"/>
        <v>0</v>
      </c>
      <c r="C13" s="512" t="e">
        <f t="shared" si="18"/>
        <v>#REF!</v>
      </c>
      <c r="D13" s="513" t="str">
        <f t="shared" ref="D13:D20" si="46">+D12</f>
        <v>2. PAVIMENTACION</v>
      </c>
      <c r="E13" s="537">
        <v>4</v>
      </c>
      <c r="F13" s="412" t="s">
        <v>299</v>
      </c>
      <c r="G13" s="530" t="s">
        <v>85</v>
      </c>
      <c r="H13" s="554">
        <v>0</v>
      </c>
      <c r="I13" s="532">
        <v>96.9</v>
      </c>
      <c r="J13" s="26">
        <f t="shared" si="19"/>
        <v>0</v>
      </c>
      <c r="K13" s="21">
        <f>SUMIF($V$3:$BH$3,       "&lt;"&amp;Datos!$C$20,       V13:BH13)</f>
        <v>0</v>
      </c>
      <c r="L13" s="28">
        <f>SUMIF($V$2:$CH$2,"&lt;"&amp;Datos!$C$20,V13:CH13)</f>
        <v>0</v>
      </c>
      <c r="M13" s="533">
        <f>LOOKUP(Datos!$C$20,    'Cant. Ejec,'!$V$3:$BH$3,      'Cant. Ejec,'!$V13:$BH13)</f>
        <v>0</v>
      </c>
      <c r="N13" s="515">
        <f>LOOKUP(Datos!$C$20,    'Cant. Ejec,'!$V$2:$BH$2,      'Cant. Ejec,'!$V13:$BH13)</f>
        <v>0</v>
      </c>
      <c r="O13" s="21">
        <f>SUMIF($V$3:$CH$3,                                                    "&lt;"&amp;(Datos!$C$20+1),V13:CL13)</f>
        <v>0</v>
      </c>
      <c r="P13" s="515">
        <f>SUMIF($V$2:$CH$2,                    "&lt;"&amp;(Datos!$C$20+1),V13:CL13)</f>
        <v>0</v>
      </c>
      <c r="Q13" s="21">
        <f t="shared" si="20"/>
        <v>0</v>
      </c>
      <c r="R13" s="515">
        <f t="shared" si="21"/>
        <v>0</v>
      </c>
      <c r="S13" s="425" t="e">
        <f t="shared" si="22"/>
        <v>#DIV/0!</v>
      </c>
      <c r="T13" s="425" t="e">
        <f t="shared" si="23"/>
        <v>#DIV/0!</v>
      </c>
      <c r="U13" s="729" t="e">
        <f t="shared" si="24"/>
        <v>#DIV/0!</v>
      </c>
      <c r="V13" s="747"/>
      <c r="W13" s="748">
        <f t="shared" si="25"/>
        <v>0</v>
      </c>
      <c r="X13" s="1207"/>
      <c r="Y13" s="747"/>
      <c r="Z13" s="748">
        <f t="shared" si="26"/>
        <v>0</v>
      </c>
      <c r="AA13" s="1207"/>
      <c r="AB13" s="747"/>
      <c r="AC13" s="748">
        <f t="shared" si="27"/>
        <v>0</v>
      </c>
      <c r="AD13" s="1207"/>
      <c r="AE13" s="747"/>
      <c r="AF13" s="748">
        <f t="shared" si="28"/>
        <v>0</v>
      </c>
      <c r="AG13" s="1207"/>
      <c r="AH13" s="747"/>
      <c r="AI13" s="748">
        <f t="shared" si="29"/>
        <v>0</v>
      </c>
      <c r="AJ13" s="1207"/>
      <c r="AK13" s="747"/>
      <c r="AL13" s="748">
        <f t="shared" si="30"/>
        <v>0</v>
      </c>
      <c r="AM13" s="1207"/>
      <c r="AN13" s="747"/>
      <c r="AO13" s="748">
        <f t="shared" si="32"/>
        <v>0</v>
      </c>
      <c r="AP13" s="1207"/>
      <c r="AQ13" s="747"/>
      <c r="AR13" s="748">
        <f t="shared" si="34"/>
        <v>0</v>
      </c>
      <c r="AS13" s="1207"/>
      <c r="AT13" s="747"/>
      <c r="AU13" s="748">
        <f t="shared" si="36"/>
        <v>0</v>
      </c>
      <c r="AV13" s="1207"/>
      <c r="AW13" s="747"/>
      <c r="AX13" s="748">
        <f t="shared" si="38"/>
        <v>0</v>
      </c>
      <c r="AY13" s="1207"/>
      <c r="AZ13" s="747"/>
      <c r="BA13" s="748">
        <f t="shared" si="40"/>
        <v>0</v>
      </c>
      <c r="BB13" s="1207"/>
      <c r="BC13" s="747"/>
      <c r="BD13" s="748">
        <f t="shared" si="42"/>
        <v>0</v>
      </c>
      <c r="BE13" s="1207"/>
      <c r="BF13" s="747"/>
      <c r="BG13" s="748">
        <f t="shared" si="44"/>
        <v>0</v>
      </c>
      <c r="BH13" s="1207"/>
    </row>
    <row r="14" spans="1:60" ht="14.25">
      <c r="A14" s="509" t="e">
        <f t="shared" si="16"/>
        <v>#REF!</v>
      </c>
      <c r="B14" s="510">
        <f t="shared" si="17"/>
        <v>0</v>
      </c>
      <c r="C14" s="512" t="e">
        <f t="shared" si="18"/>
        <v>#REF!</v>
      </c>
      <c r="D14" s="513" t="str">
        <f t="shared" si="46"/>
        <v>2. PAVIMENTACION</v>
      </c>
      <c r="E14" s="537">
        <v>5</v>
      </c>
      <c r="F14" s="412" t="s">
        <v>300</v>
      </c>
      <c r="G14" s="530" t="s">
        <v>422</v>
      </c>
      <c r="H14" s="531">
        <v>439169.3</v>
      </c>
      <c r="I14" s="532">
        <v>3.74</v>
      </c>
      <c r="J14" s="26">
        <f t="shared" si="19"/>
        <v>1642493.18</v>
      </c>
      <c r="K14" s="21">
        <f>SUMIF($V$3:$BH$3,       "&lt;"&amp;Datos!$C$20,       V14:BH14)</f>
        <v>346422.9</v>
      </c>
      <c r="L14" s="28">
        <f>SUMIF($V$2:$CH$2,"&lt;"&amp;Datos!$C$20,V14:CH14)</f>
        <v>1295621.6499999999</v>
      </c>
      <c r="M14" s="533">
        <f>LOOKUP(Datos!$C$20,    'Cant. Ejec,'!$V$3:$BH$3,      'Cant. Ejec,'!$V14:$BH14)</f>
        <v>0</v>
      </c>
      <c r="N14" s="515">
        <f>LOOKUP(Datos!$C$20,    'Cant. Ejec,'!$V$2:$BH$2,      'Cant. Ejec,'!$V14:$BH14)</f>
        <v>0</v>
      </c>
      <c r="O14" s="21">
        <f>SUMIF($V$3:$CH$3,                                                    "&lt;"&amp;(Datos!$C$20+1),V14:CL14)</f>
        <v>346422.9</v>
      </c>
      <c r="P14" s="515">
        <f>SUMIF($V$2:$CH$2,                    "&lt;"&amp;(Datos!$C$20+1),V14:CL14)</f>
        <v>1295621.6499999999</v>
      </c>
      <c r="Q14" s="21">
        <f t="shared" si="20"/>
        <v>92746.399999999965</v>
      </c>
      <c r="R14" s="515">
        <f t="shared" si="21"/>
        <v>346871.53</v>
      </c>
      <c r="S14" s="425">
        <f t="shared" si="22"/>
        <v>0</v>
      </c>
      <c r="T14" s="425">
        <f t="shared" si="23"/>
        <v>0.78881402113340893</v>
      </c>
      <c r="U14" s="729">
        <f t="shared" si="24"/>
        <v>0.21118597886659113</v>
      </c>
      <c r="V14" s="747">
        <v>47637</v>
      </c>
      <c r="W14" s="748">
        <f t="shared" si="25"/>
        <v>178162.38</v>
      </c>
      <c r="X14" s="749">
        <f t="shared" si="3"/>
        <v>0.10847069696812989</v>
      </c>
      <c r="Y14" s="747">
        <v>112503.9</v>
      </c>
      <c r="Z14" s="748">
        <f t="shared" si="26"/>
        <v>420764.59</v>
      </c>
      <c r="AA14" s="749">
        <f t="shared" si="4"/>
        <v>0.25617433005109952</v>
      </c>
      <c r="AB14" s="747">
        <v>186282</v>
      </c>
      <c r="AC14" s="748">
        <f t="shared" si="27"/>
        <v>696694.68</v>
      </c>
      <c r="AD14" s="749">
        <f t="shared" si="5"/>
        <v>0.42416899411417958</v>
      </c>
      <c r="AE14" s="747"/>
      <c r="AF14" s="748">
        <f t="shared" si="28"/>
        <v>0</v>
      </c>
      <c r="AG14" s="749">
        <f t="shared" si="6"/>
        <v>0</v>
      </c>
      <c r="AH14" s="747"/>
      <c r="AI14" s="748">
        <f t="shared" si="29"/>
        <v>0</v>
      </c>
      <c r="AJ14" s="749">
        <f t="shared" si="7"/>
        <v>0</v>
      </c>
      <c r="AK14" s="747"/>
      <c r="AL14" s="748">
        <f t="shared" si="30"/>
        <v>0</v>
      </c>
      <c r="AM14" s="749">
        <f t="shared" si="31"/>
        <v>0</v>
      </c>
      <c r="AN14" s="747"/>
      <c r="AO14" s="748">
        <f t="shared" si="32"/>
        <v>0</v>
      </c>
      <c r="AP14" s="749">
        <f t="shared" si="33"/>
        <v>0</v>
      </c>
      <c r="AQ14" s="747"/>
      <c r="AR14" s="748">
        <f t="shared" si="34"/>
        <v>0</v>
      </c>
      <c r="AS14" s="749">
        <f t="shared" si="35"/>
        <v>0</v>
      </c>
      <c r="AT14" s="1165"/>
      <c r="AU14" s="1166">
        <f t="shared" si="36"/>
        <v>0</v>
      </c>
      <c r="AV14" s="1167">
        <f t="shared" si="37"/>
        <v>0</v>
      </c>
      <c r="AW14" s="747"/>
      <c r="AX14" s="748">
        <f t="shared" si="38"/>
        <v>0</v>
      </c>
      <c r="AY14" s="749">
        <f t="shared" si="39"/>
        <v>0</v>
      </c>
      <c r="AZ14" s="747"/>
      <c r="BA14" s="748">
        <f t="shared" si="40"/>
        <v>0</v>
      </c>
      <c r="BB14" s="749">
        <f t="shared" si="41"/>
        <v>0</v>
      </c>
      <c r="BC14" s="747"/>
      <c r="BD14" s="748">
        <f t="shared" si="42"/>
        <v>0</v>
      </c>
      <c r="BE14" s="749">
        <f t="shared" si="43"/>
        <v>0</v>
      </c>
      <c r="BF14" s="747"/>
      <c r="BG14" s="748">
        <f t="shared" si="44"/>
        <v>0</v>
      </c>
      <c r="BH14" s="749">
        <f t="shared" si="45"/>
        <v>0</v>
      </c>
    </row>
    <row r="15" spans="1:60" ht="14.25">
      <c r="A15" s="509" t="e">
        <f t="shared" si="16"/>
        <v>#REF!</v>
      </c>
      <c r="B15" s="510">
        <f t="shared" si="17"/>
        <v>0</v>
      </c>
      <c r="C15" s="512" t="e">
        <f t="shared" si="18"/>
        <v>#REF!</v>
      </c>
      <c r="D15" s="513" t="str">
        <f t="shared" si="46"/>
        <v>2. PAVIMENTACION</v>
      </c>
      <c r="E15" s="537">
        <v>6</v>
      </c>
      <c r="F15" s="412" t="s">
        <v>301</v>
      </c>
      <c r="G15" s="530" t="s">
        <v>85</v>
      </c>
      <c r="H15" s="531">
        <v>53551.299999999996</v>
      </c>
      <c r="I15" s="532">
        <v>191.25</v>
      </c>
      <c r="J15" s="26">
        <f t="shared" si="19"/>
        <v>10241686.130000001</v>
      </c>
      <c r="K15" s="21">
        <f>SUMIF($V$3:$BH$3,       "&lt;"&amp;Datos!$C$20,       V15:BH15)</f>
        <v>0</v>
      </c>
      <c r="L15" s="28">
        <f>SUMIF($V$2:$CH$2,"&lt;"&amp;Datos!$C$20,V15:CH15)</f>
        <v>0</v>
      </c>
      <c r="M15" s="533">
        <f>LOOKUP(Datos!$C$20,    'Cant. Ejec,'!$V$3:$BH$3,      'Cant. Ejec,'!$V15:$BH15)</f>
        <v>0</v>
      </c>
      <c r="N15" s="515">
        <f>LOOKUP(Datos!$C$20,    'Cant. Ejec,'!$V$2:$BH$2,      'Cant. Ejec,'!$V15:$BH15)</f>
        <v>0</v>
      </c>
      <c r="O15" s="21">
        <f>SUMIF($V$3:$CH$3,                                                    "&lt;"&amp;(Datos!$C$20+1),V15:CL15)</f>
        <v>0</v>
      </c>
      <c r="P15" s="515">
        <f>SUMIF($V$2:$CH$2,                    "&lt;"&amp;(Datos!$C$20+1),V15:CL15)</f>
        <v>0</v>
      </c>
      <c r="Q15" s="21">
        <f t="shared" si="20"/>
        <v>53551.299999999996</v>
      </c>
      <c r="R15" s="515">
        <f t="shared" si="21"/>
        <v>10241686.130000001</v>
      </c>
      <c r="S15" s="425">
        <f t="shared" si="22"/>
        <v>0</v>
      </c>
      <c r="T15" s="425">
        <f t="shared" si="23"/>
        <v>0</v>
      </c>
      <c r="U15" s="729">
        <f t="shared" si="24"/>
        <v>1</v>
      </c>
      <c r="V15" s="747"/>
      <c r="W15" s="748">
        <f t="shared" si="25"/>
        <v>0</v>
      </c>
      <c r="X15" s="749">
        <f t="shared" si="3"/>
        <v>0</v>
      </c>
      <c r="Y15" s="747"/>
      <c r="Z15" s="748">
        <f t="shared" si="26"/>
        <v>0</v>
      </c>
      <c r="AA15" s="749">
        <f t="shared" si="4"/>
        <v>0</v>
      </c>
      <c r="AB15" s="747"/>
      <c r="AC15" s="748">
        <f t="shared" si="27"/>
        <v>0</v>
      </c>
      <c r="AD15" s="749">
        <f t="shared" si="5"/>
        <v>0</v>
      </c>
      <c r="AE15" s="747"/>
      <c r="AF15" s="748">
        <f t="shared" si="28"/>
        <v>0</v>
      </c>
      <c r="AG15" s="749">
        <f t="shared" si="6"/>
        <v>0</v>
      </c>
      <c r="AH15" s="747"/>
      <c r="AI15" s="748">
        <f t="shared" si="29"/>
        <v>0</v>
      </c>
      <c r="AJ15" s="749">
        <f t="shared" si="7"/>
        <v>0</v>
      </c>
      <c r="AK15" s="747"/>
      <c r="AL15" s="748">
        <f t="shared" si="30"/>
        <v>0</v>
      </c>
      <c r="AM15" s="749">
        <f t="shared" si="31"/>
        <v>0</v>
      </c>
      <c r="AN15" s="747"/>
      <c r="AO15" s="748">
        <f t="shared" si="32"/>
        <v>0</v>
      </c>
      <c r="AP15" s="749">
        <f t="shared" si="33"/>
        <v>0</v>
      </c>
      <c r="AQ15" s="747"/>
      <c r="AR15" s="748">
        <f t="shared" si="34"/>
        <v>0</v>
      </c>
      <c r="AS15" s="749">
        <f t="shared" si="35"/>
        <v>0</v>
      </c>
      <c r="AT15" s="1165"/>
      <c r="AU15" s="1166">
        <f t="shared" si="36"/>
        <v>0</v>
      </c>
      <c r="AV15" s="1167">
        <f t="shared" si="37"/>
        <v>0</v>
      </c>
      <c r="AW15" s="747"/>
      <c r="AX15" s="748">
        <f t="shared" si="38"/>
        <v>0</v>
      </c>
      <c r="AY15" s="749">
        <f t="shared" si="39"/>
        <v>0</v>
      </c>
      <c r="AZ15" s="747"/>
      <c r="BA15" s="748">
        <f t="shared" si="40"/>
        <v>0</v>
      </c>
      <c r="BB15" s="749">
        <f t="shared" si="41"/>
        <v>0</v>
      </c>
      <c r="BC15" s="747"/>
      <c r="BD15" s="748">
        <f t="shared" si="42"/>
        <v>0</v>
      </c>
      <c r="BE15" s="749">
        <f t="shared" si="43"/>
        <v>0</v>
      </c>
      <c r="BF15" s="747"/>
      <c r="BG15" s="748">
        <f t="shared" si="44"/>
        <v>0</v>
      </c>
      <c r="BH15" s="749">
        <f t="shared" si="45"/>
        <v>0</v>
      </c>
    </row>
    <row r="16" spans="1:60" ht="14.25">
      <c r="A16" s="509" t="e">
        <f t="shared" si="16"/>
        <v>#REF!</v>
      </c>
      <c r="B16" s="510">
        <f t="shared" si="17"/>
        <v>0</v>
      </c>
      <c r="C16" s="512" t="e">
        <f t="shared" si="18"/>
        <v>#REF!</v>
      </c>
      <c r="D16" s="513" t="str">
        <f t="shared" si="46"/>
        <v>2. PAVIMENTACION</v>
      </c>
      <c r="E16" s="537">
        <v>7</v>
      </c>
      <c r="F16" s="412" t="s">
        <v>302</v>
      </c>
      <c r="G16" s="530" t="s">
        <v>85</v>
      </c>
      <c r="H16" s="531">
        <v>13021.47</v>
      </c>
      <c r="I16" s="532">
        <v>594.04999999999995</v>
      </c>
      <c r="J16" s="26">
        <f t="shared" si="19"/>
        <v>7735404.25</v>
      </c>
      <c r="K16" s="21">
        <f>SUMIF($V$3:$BH$3,       "&lt;"&amp;Datos!$C$20,       V16:BH16)</f>
        <v>0</v>
      </c>
      <c r="L16" s="28">
        <f>SUMIF($V$2:$CH$2,"&lt;"&amp;Datos!$C$20,V16:CH16)</f>
        <v>0</v>
      </c>
      <c r="M16" s="533">
        <f>LOOKUP(Datos!$C$20,    'Cant. Ejec,'!$V$3:$BH$3,      'Cant. Ejec,'!$V16:$BH16)</f>
        <v>0</v>
      </c>
      <c r="N16" s="515">
        <f>LOOKUP(Datos!$C$20,    'Cant. Ejec,'!$V$2:$BH$2,      'Cant. Ejec,'!$V16:$BH16)</f>
        <v>0</v>
      </c>
      <c r="O16" s="21">
        <f>SUMIF($V$3:$CH$3,                                                    "&lt;"&amp;(Datos!$C$20+1),V16:CL16)</f>
        <v>0</v>
      </c>
      <c r="P16" s="515">
        <f>SUMIF($V$2:$CH$2,                    "&lt;"&amp;(Datos!$C$20+1),V16:CL16)</f>
        <v>0</v>
      </c>
      <c r="Q16" s="21">
        <f t="shared" si="20"/>
        <v>13021.47</v>
      </c>
      <c r="R16" s="515">
        <f t="shared" si="21"/>
        <v>7735404.25</v>
      </c>
      <c r="S16" s="425">
        <f t="shared" si="22"/>
        <v>0</v>
      </c>
      <c r="T16" s="425">
        <f t="shared" si="23"/>
        <v>0</v>
      </c>
      <c r="U16" s="729">
        <f t="shared" si="24"/>
        <v>1</v>
      </c>
      <c r="V16" s="747"/>
      <c r="W16" s="748">
        <f t="shared" si="25"/>
        <v>0</v>
      </c>
      <c r="X16" s="749">
        <f t="shared" si="3"/>
        <v>0</v>
      </c>
      <c r="Y16" s="747"/>
      <c r="Z16" s="748">
        <f t="shared" si="26"/>
        <v>0</v>
      </c>
      <c r="AA16" s="749">
        <f t="shared" si="4"/>
        <v>0</v>
      </c>
      <c r="AB16" s="747"/>
      <c r="AC16" s="748">
        <f t="shared" si="27"/>
        <v>0</v>
      </c>
      <c r="AD16" s="749">
        <f t="shared" si="5"/>
        <v>0</v>
      </c>
      <c r="AE16" s="747"/>
      <c r="AF16" s="748">
        <f t="shared" si="28"/>
        <v>0</v>
      </c>
      <c r="AG16" s="749">
        <f t="shared" si="6"/>
        <v>0</v>
      </c>
      <c r="AH16" s="747"/>
      <c r="AI16" s="748">
        <f t="shared" si="29"/>
        <v>0</v>
      </c>
      <c r="AJ16" s="749">
        <f t="shared" si="7"/>
        <v>0</v>
      </c>
      <c r="AK16" s="747"/>
      <c r="AL16" s="748">
        <f t="shared" si="30"/>
        <v>0</v>
      </c>
      <c r="AM16" s="749">
        <f t="shared" si="31"/>
        <v>0</v>
      </c>
      <c r="AN16" s="747"/>
      <c r="AO16" s="748">
        <f t="shared" si="32"/>
        <v>0</v>
      </c>
      <c r="AP16" s="749">
        <f t="shared" si="33"/>
        <v>0</v>
      </c>
      <c r="AQ16" s="747"/>
      <c r="AR16" s="748">
        <f t="shared" si="34"/>
        <v>0</v>
      </c>
      <c r="AS16" s="749">
        <f t="shared" si="35"/>
        <v>0</v>
      </c>
      <c r="AT16" s="1165"/>
      <c r="AU16" s="1166">
        <f t="shared" si="36"/>
        <v>0</v>
      </c>
      <c r="AV16" s="1167">
        <f t="shared" si="37"/>
        <v>0</v>
      </c>
      <c r="AW16" s="747"/>
      <c r="AX16" s="748">
        <f t="shared" si="38"/>
        <v>0</v>
      </c>
      <c r="AY16" s="749">
        <f t="shared" si="39"/>
        <v>0</v>
      </c>
      <c r="AZ16" s="747"/>
      <c r="BA16" s="748">
        <f t="shared" si="40"/>
        <v>0</v>
      </c>
      <c r="BB16" s="749">
        <f t="shared" si="41"/>
        <v>0</v>
      </c>
      <c r="BC16" s="747"/>
      <c r="BD16" s="748">
        <f t="shared" si="42"/>
        <v>0</v>
      </c>
      <c r="BE16" s="749">
        <f t="shared" si="43"/>
        <v>0</v>
      </c>
      <c r="BF16" s="747"/>
      <c r="BG16" s="748">
        <f t="shared" si="44"/>
        <v>0</v>
      </c>
      <c r="BH16" s="749">
        <f t="shared" si="45"/>
        <v>0</v>
      </c>
    </row>
    <row r="17" spans="1:60" ht="14.25">
      <c r="A17" s="509" t="e">
        <f t="shared" si="16"/>
        <v>#REF!</v>
      </c>
      <c r="B17" s="510">
        <f t="shared" si="17"/>
        <v>0</v>
      </c>
      <c r="C17" s="512" t="e">
        <f t="shared" si="18"/>
        <v>#REF!</v>
      </c>
      <c r="D17" s="513" t="str">
        <f t="shared" si="46"/>
        <v>2. PAVIMENTACION</v>
      </c>
      <c r="E17" s="537">
        <v>8</v>
      </c>
      <c r="F17" s="412" t="s">
        <v>303</v>
      </c>
      <c r="G17" s="530" t="s">
        <v>23</v>
      </c>
      <c r="H17" s="531">
        <v>399003</v>
      </c>
      <c r="I17" s="532">
        <v>12.04</v>
      </c>
      <c r="J17" s="26">
        <f t="shared" si="19"/>
        <v>4803996.12</v>
      </c>
      <c r="K17" s="21">
        <f>SUMIF($V$3:$BH$3,       "&lt;"&amp;Datos!$C$20,       V17:BH17)</f>
        <v>0</v>
      </c>
      <c r="L17" s="28">
        <f>SUMIF($V$2:$CH$2,"&lt;"&amp;Datos!$C$20,V17:CH17)</f>
        <v>0</v>
      </c>
      <c r="M17" s="533">
        <f>LOOKUP(Datos!$C$20,    'Cant. Ejec,'!$V$3:$BH$3,      'Cant. Ejec,'!$V17:$BH17)</f>
        <v>0</v>
      </c>
      <c r="N17" s="515">
        <f>LOOKUP(Datos!$C$20,    'Cant. Ejec,'!$V$2:$BH$2,      'Cant. Ejec,'!$V17:$BH17)</f>
        <v>0</v>
      </c>
      <c r="O17" s="21">
        <f>SUMIF($V$3:$CH$3,                                                    "&lt;"&amp;(Datos!$C$20+1),V17:CL17)</f>
        <v>0</v>
      </c>
      <c r="P17" s="515">
        <f>SUMIF($V$2:$CH$2,                    "&lt;"&amp;(Datos!$C$20+1),V17:CL17)</f>
        <v>0</v>
      </c>
      <c r="Q17" s="21">
        <f t="shared" si="20"/>
        <v>399003</v>
      </c>
      <c r="R17" s="515">
        <f t="shared" si="21"/>
        <v>4803996.12</v>
      </c>
      <c r="S17" s="425">
        <f t="shared" si="22"/>
        <v>0</v>
      </c>
      <c r="T17" s="425">
        <f t="shared" si="23"/>
        <v>0</v>
      </c>
      <c r="U17" s="729">
        <f t="shared" si="24"/>
        <v>1</v>
      </c>
      <c r="V17" s="747"/>
      <c r="W17" s="748">
        <f t="shared" si="25"/>
        <v>0</v>
      </c>
      <c r="X17" s="749">
        <f t="shared" si="3"/>
        <v>0</v>
      </c>
      <c r="Y17" s="747"/>
      <c r="Z17" s="748">
        <f t="shared" si="26"/>
        <v>0</v>
      </c>
      <c r="AA17" s="749">
        <f t="shared" si="4"/>
        <v>0</v>
      </c>
      <c r="AB17" s="747"/>
      <c r="AC17" s="748">
        <f t="shared" si="27"/>
        <v>0</v>
      </c>
      <c r="AD17" s="749">
        <f t="shared" si="5"/>
        <v>0</v>
      </c>
      <c r="AE17" s="747"/>
      <c r="AF17" s="748">
        <f t="shared" si="28"/>
        <v>0</v>
      </c>
      <c r="AG17" s="749">
        <f t="shared" si="6"/>
        <v>0</v>
      </c>
      <c r="AH17" s="747"/>
      <c r="AI17" s="748">
        <f t="shared" si="29"/>
        <v>0</v>
      </c>
      <c r="AJ17" s="749">
        <f t="shared" si="7"/>
        <v>0</v>
      </c>
      <c r="AK17" s="747"/>
      <c r="AL17" s="748">
        <f t="shared" si="30"/>
        <v>0</v>
      </c>
      <c r="AM17" s="749">
        <f t="shared" si="31"/>
        <v>0</v>
      </c>
      <c r="AN17" s="747"/>
      <c r="AO17" s="748">
        <f t="shared" si="32"/>
        <v>0</v>
      </c>
      <c r="AP17" s="749">
        <f t="shared" si="33"/>
        <v>0</v>
      </c>
      <c r="AQ17" s="747"/>
      <c r="AR17" s="748">
        <f t="shared" si="34"/>
        <v>0</v>
      </c>
      <c r="AS17" s="749">
        <f t="shared" si="35"/>
        <v>0</v>
      </c>
      <c r="AT17" s="1165"/>
      <c r="AU17" s="1166">
        <f t="shared" si="36"/>
        <v>0</v>
      </c>
      <c r="AV17" s="1167">
        <f t="shared" si="37"/>
        <v>0</v>
      </c>
      <c r="AW17" s="747"/>
      <c r="AX17" s="748">
        <f t="shared" si="38"/>
        <v>0</v>
      </c>
      <c r="AY17" s="749">
        <f t="shared" si="39"/>
        <v>0</v>
      </c>
      <c r="AZ17" s="747"/>
      <c r="BA17" s="748">
        <f t="shared" si="40"/>
        <v>0</v>
      </c>
      <c r="BB17" s="749">
        <f t="shared" si="41"/>
        <v>0</v>
      </c>
      <c r="BC17" s="747"/>
      <c r="BD17" s="748">
        <f t="shared" si="42"/>
        <v>0</v>
      </c>
      <c r="BE17" s="749">
        <f t="shared" si="43"/>
        <v>0</v>
      </c>
      <c r="BF17" s="747"/>
      <c r="BG17" s="748">
        <f t="shared" si="44"/>
        <v>0</v>
      </c>
      <c r="BH17" s="749">
        <f t="shared" si="45"/>
        <v>0</v>
      </c>
    </row>
    <row r="18" spans="1:60" ht="25.5">
      <c r="A18" s="509" t="e">
        <f t="shared" si="16"/>
        <v>#REF!</v>
      </c>
      <c r="B18" s="510">
        <f t="shared" si="17"/>
        <v>0</v>
      </c>
      <c r="C18" s="512" t="e">
        <f t="shared" si="18"/>
        <v>#REF!</v>
      </c>
      <c r="D18" s="513" t="str">
        <f t="shared" si="46"/>
        <v>2. PAVIMENTACION</v>
      </c>
      <c r="E18" s="537">
        <v>9</v>
      </c>
      <c r="F18" s="412" t="s">
        <v>304</v>
      </c>
      <c r="G18" s="530" t="s">
        <v>305</v>
      </c>
      <c r="H18" s="531">
        <v>1920.67</v>
      </c>
      <c r="I18" s="532">
        <v>9167.4599999999991</v>
      </c>
      <c r="J18" s="26">
        <f t="shared" si="19"/>
        <v>17607665.399999999</v>
      </c>
      <c r="K18" s="21">
        <f>SUMIF($V$3:$BH$3,       "&lt;"&amp;Datos!$C$20,       V18:BH18)</f>
        <v>0</v>
      </c>
      <c r="L18" s="28">
        <f>SUMIF($V$2:$CH$2,"&lt;"&amp;Datos!$C$20,V18:CH18)</f>
        <v>0</v>
      </c>
      <c r="M18" s="533">
        <f>LOOKUP(Datos!$C$20,    'Cant. Ejec,'!$V$3:$BH$3,      'Cant. Ejec,'!$V18:$BH18)</f>
        <v>0</v>
      </c>
      <c r="N18" s="515">
        <f>LOOKUP(Datos!$C$20,    'Cant. Ejec,'!$V$2:$BH$2,      'Cant. Ejec,'!$V18:$BH18)</f>
        <v>0</v>
      </c>
      <c r="O18" s="21">
        <f>SUMIF($V$3:$CH$3,                                                    "&lt;"&amp;(Datos!$C$20+1),V18:CL18)</f>
        <v>0</v>
      </c>
      <c r="P18" s="515">
        <f>SUMIF($V$2:$CH$2,                    "&lt;"&amp;(Datos!$C$20+1),V18:CL18)</f>
        <v>0</v>
      </c>
      <c r="Q18" s="21">
        <f t="shared" si="20"/>
        <v>1920.67</v>
      </c>
      <c r="R18" s="515">
        <f t="shared" si="21"/>
        <v>17607665.399999999</v>
      </c>
      <c r="S18" s="425">
        <f t="shared" si="22"/>
        <v>0</v>
      </c>
      <c r="T18" s="425">
        <f t="shared" si="23"/>
        <v>0</v>
      </c>
      <c r="U18" s="729">
        <f t="shared" si="24"/>
        <v>1</v>
      </c>
      <c r="V18" s="747"/>
      <c r="W18" s="748">
        <f t="shared" si="25"/>
        <v>0</v>
      </c>
      <c r="X18" s="749">
        <f t="shared" si="3"/>
        <v>0</v>
      </c>
      <c r="Y18" s="747"/>
      <c r="Z18" s="748">
        <f t="shared" si="26"/>
        <v>0</v>
      </c>
      <c r="AA18" s="749">
        <f t="shared" si="4"/>
        <v>0</v>
      </c>
      <c r="AB18" s="747"/>
      <c r="AC18" s="748">
        <f t="shared" si="27"/>
        <v>0</v>
      </c>
      <c r="AD18" s="749">
        <f t="shared" si="5"/>
        <v>0</v>
      </c>
      <c r="AE18" s="747"/>
      <c r="AF18" s="748">
        <f t="shared" si="28"/>
        <v>0</v>
      </c>
      <c r="AG18" s="749">
        <f t="shared" si="6"/>
        <v>0</v>
      </c>
      <c r="AH18" s="747"/>
      <c r="AI18" s="748">
        <f t="shared" si="29"/>
        <v>0</v>
      </c>
      <c r="AJ18" s="749">
        <f t="shared" si="7"/>
        <v>0</v>
      </c>
      <c r="AK18" s="747"/>
      <c r="AL18" s="748">
        <f t="shared" si="30"/>
        <v>0</v>
      </c>
      <c r="AM18" s="749">
        <f t="shared" si="31"/>
        <v>0</v>
      </c>
      <c r="AN18" s="747"/>
      <c r="AO18" s="748">
        <f t="shared" si="32"/>
        <v>0</v>
      </c>
      <c r="AP18" s="749">
        <f t="shared" si="33"/>
        <v>0</v>
      </c>
      <c r="AQ18" s="747"/>
      <c r="AR18" s="748">
        <f t="shared" si="34"/>
        <v>0</v>
      </c>
      <c r="AS18" s="749">
        <f t="shared" si="35"/>
        <v>0</v>
      </c>
      <c r="AT18" s="1165"/>
      <c r="AU18" s="1166">
        <f t="shared" si="36"/>
        <v>0</v>
      </c>
      <c r="AV18" s="1167">
        <f t="shared" si="37"/>
        <v>0</v>
      </c>
      <c r="AW18" s="747"/>
      <c r="AX18" s="748">
        <f t="shared" si="38"/>
        <v>0</v>
      </c>
      <c r="AY18" s="749">
        <f t="shared" si="39"/>
        <v>0</v>
      </c>
      <c r="AZ18" s="747"/>
      <c r="BA18" s="748">
        <f t="shared" si="40"/>
        <v>0</v>
      </c>
      <c r="BB18" s="749">
        <f t="shared" si="41"/>
        <v>0</v>
      </c>
      <c r="BC18" s="747"/>
      <c r="BD18" s="748">
        <f t="shared" si="42"/>
        <v>0</v>
      </c>
      <c r="BE18" s="749">
        <f t="shared" si="43"/>
        <v>0</v>
      </c>
      <c r="BF18" s="747"/>
      <c r="BG18" s="748">
        <f t="shared" si="44"/>
        <v>0</v>
      </c>
      <c r="BH18" s="749">
        <f t="shared" si="45"/>
        <v>0</v>
      </c>
    </row>
    <row r="19" spans="1:60" ht="14.25">
      <c r="A19" s="509" t="e">
        <f t="shared" si="16"/>
        <v>#REF!</v>
      </c>
      <c r="B19" s="510">
        <f t="shared" si="17"/>
        <v>0</v>
      </c>
      <c r="C19" s="512" t="e">
        <f t="shared" si="18"/>
        <v>#REF!</v>
      </c>
      <c r="D19" s="513" t="str">
        <f t="shared" si="46"/>
        <v>2. PAVIMENTACION</v>
      </c>
      <c r="E19" s="537">
        <v>10</v>
      </c>
      <c r="F19" s="412" t="s">
        <v>306</v>
      </c>
      <c r="G19" s="530" t="s">
        <v>422</v>
      </c>
      <c r="H19" s="531">
        <v>381529.09</v>
      </c>
      <c r="I19" s="532">
        <v>2.72</v>
      </c>
      <c r="J19" s="26">
        <f t="shared" si="19"/>
        <v>1037759.12</v>
      </c>
      <c r="K19" s="21">
        <f>SUMIF($V$3:$BH$3,       "&lt;"&amp;Datos!$C$20,       V19:BH19)</f>
        <v>0</v>
      </c>
      <c r="L19" s="28">
        <f>SUMIF($V$2:$CH$2,"&lt;"&amp;Datos!$C$20,V19:CH19)</f>
        <v>0</v>
      </c>
      <c r="M19" s="533">
        <f>LOOKUP(Datos!$C$20,    'Cant. Ejec,'!$V$3:$BH$3,      'Cant. Ejec,'!$V19:$BH19)</f>
        <v>0</v>
      </c>
      <c r="N19" s="515">
        <f>LOOKUP(Datos!$C$20,    'Cant. Ejec,'!$V$2:$BH$2,      'Cant. Ejec,'!$V19:$BH19)</f>
        <v>0</v>
      </c>
      <c r="O19" s="21">
        <f>SUMIF($V$3:$CH$3,                                                    "&lt;"&amp;(Datos!$C$20+1),V19:CL19)</f>
        <v>0</v>
      </c>
      <c r="P19" s="515">
        <f>SUMIF($V$2:$CH$2,                    "&lt;"&amp;(Datos!$C$20+1),V19:CL19)</f>
        <v>0</v>
      </c>
      <c r="Q19" s="21">
        <f t="shared" si="20"/>
        <v>381529.09</v>
      </c>
      <c r="R19" s="515">
        <f t="shared" si="21"/>
        <v>1037759.12</v>
      </c>
      <c r="S19" s="425">
        <f t="shared" si="22"/>
        <v>0</v>
      </c>
      <c r="T19" s="425">
        <f t="shared" si="23"/>
        <v>0</v>
      </c>
      <c r="U19" s="729">
        <f t="shared" si="24"/>
        <v>1</v>
      </c>
      <c r="V19" s="747"/>
      <c r="W19" s="748">
        <f t="shared" si="25"/>
        <v>0</v>
      </c>
      <c r="X19" s="749">
        <f t="shared" si="3"/>
        <v>0</v>
      </c>
      <c r="Y19" s="747"/>
      <c r="Z19" s="748">
        <f t="shared" si="26"/>
        <v>0</v>
      </c>
      <c r="AA19" s="749">
        <f t="shared" si="4"/>
        <v>0</v>
      </c>
      <c r="AB19" s="747"/>
      <c r="AC19" s="748">
        <f t="shared" si="27"/>
        <v>0</v>
      </c>
      <c r="AD19" s="749">
        <f t="shared" si="5"/>
        <v>0</v>
      </c>
      <c r="AE19" s="747"/>
      <c r="AF19" s="748">
        <f t="shared" si="28"/>
        <v>0</v>
      </c>
      <c r="AG19" s="749">
        <f t="shared" si="6"/>
        <v>0</v>
      </c>
      <c r="AH19" s="747"/>
      <c r="AI19" s="748">
        <f t="shared" si="29"/>
        <v>0</v>
      </c>
      <c r="AJ19" s="749">
        <f t="shared" si="7"/>
        <v>0</v>
      </c>
      <c r="AK19" s="747"/>
      <c r="AL19" s="748">
        <f t="shared" si="30"/>
        <v>0</v>
      </c>
      <c r="AM19" s="749">
        <f t="shared" si="31"/>
        <v>0</v>
      </c>
      <c r="AN19" s="747"/>
      <c r="AO19" s="748">
        <f t="shared" si="32"/>
        <v>0</v>
      </c>
      <c r="AP19" s="749">
        <f t="shared" si="33"/>
        <v>0</v>
      </c>
      <c r="AQ19" s="747"/>
      <c r="AR19" s="748">
        <f t="shared" si="34"/>
        <v>0</v>
      </c>
      <c r="AS19" s="749">
        <f t="shared" si="35"/>
        <v>0</v>
      </c>
      <c r="AT19" s="1165"/>
      <c r="AU19" s="1166">
        <f t="shared" si="36"/>
        <v>0</v>
      </c>
      <c r="AV19" s="1167">
        <f t="shared" si="37"/>
        <v>0</v>
      </c>
      <c r="AW19" s="747"/>
      <c r="AX19" s="748">
        <f t="shared" si="38"/>
        <v>0</v>
      </c>
      <c r="AY19" s="749">
        <f t="shared" si="39"/>
        <v>0</v>
      </c>
      <c r="AZ19" s="747"/>
      <c r="BA19" s="748">
        <f t="shared" si="40"/>
        <v>0</v>
      </c>
      <c r="BB19" s="749">
        <f t="shared" si="41"/>
        <v>0</v>
      </c>
      <c r="BC19" s="747"/>
      <c r="BD19" s="748">
        <f t="shared" si="42"/>
        <v>0</v>
      </c>
      <c r="BE19" s="749">
        <f t="shared" si="43"/>
        <v>0</v>
      </c>
      <c r="BF19" s="747"/>
      <c r="BG19" s="748">
        <f t="shared" si="44"/>
        <v>0</v>
      </c>
      <c r="BH19" s="749">
        <f t="shared" si="45"/>
        <v>0</v>
      </c>
    </row>
    <row r="20" spans="1:60" ht="14.25">
      <c r="A20" s="509" t="e">
        <f t="shared" si="16"/>
        <v>#REF!</v>
      </c>
      <c r="B20" s="510">
        <f t="shared" si="17"/>
        <v>0</v>
      </c>
      <c r="C20" s="512" t="e">
        <f t="shared" si="18"/>
        <v>#REF!</v>
      </c>
      <c r="D20" s="513" t="str">
        <f t="shared" si="46"/>
        <v>2. PAVIMENTACION</v>
      </c>
      <c r="E20" s="537">
        <v>11</v>
      </c>
      <c r="F20" s="412" t="s">
        <v>307</v>
      </c>
      <c r="G20" s="530" t="s">
        <v>422</v>
      </c>
      <c r="H20" s="531">
        <v>1569052.7600000002</v>
      </c>
      <c r="I20" s="532">
        <v>2.72</v>
      </c>
      <c r="J20" s="26">
        <f t="shared" si="19"/>
        <v>4267823.51</v>
      </c>
      <c r="K20" s="21">
        <f>SUMIF($V$3:$BH$3,       "&lt;"&amp;Datos!$C$20,       V20:BH20)</f>
        <v>0</v>
      </c>
      <c r="L20" s="28">
        <f>SUMIF($V$2:$CH$2,"&lt;"&amp;Datos!$C$20,V20:CH20)</f>
        <v>0</v>
      </c>
      <c r="M20" s="533">
        <f>LOOKUP(Datos!$C$20,    'Cant. Ejec,'!$V$3:$BH$3,      'Cant. Ejec,'!$V20:$BH20)</f>
        <v>0</v>
      </c>
      <c r="N20" s="515">
        <f>LOOKUP(Datos!$C$20,    'Cant. Ejec,'!$V$2:$BH$2,      'Cant. Ejec,'!$V20:$BH20)</f>
        <v>0</v>
      </c>
      <c r="O20" s="21">
        <f>SUMIF($V$3:$CH$3,                                                    "&lt;"&amp;(Datos!$C$20+1),V20:CL20)</f>
        <v>0</v>
      </c>
      <c r="P20" s="515">
        <f>SUMIF($V$2:$CH$2,                    "&lt;"&amp;(Datos!$C$20+1),V20:CL20)</f>
        <v>0</v>
      </c>
      <c r="Q20" s="21">
        <f t="shared" si="20"/>
        <v>1569052.7600000002</v>
      </c>
      <c r="R20" s="515">
        <f t="shared" si="21"/>
        <v>4267823.51</v>
      </c>
      <c r="S20" s="425">
        <f t="shared" si="22"/>
        <v>0</v>
      </c>
      <c r="T20" s="425">
        <f t="shared" si="23"/>
        <v>0</v>
      </c>
      <c r="U20" s="729">
        <f t="shared" si="24"/>
        <v>1</v>
      </c>
      <c r="V20" s="747"/>
      <c r="W20" s="748">
        <f t="shared" si="25"/>
        <v>0</v>
      </c>
      <c r="X20" s="749">
        <f t="shared" si="3"/>
        <v>0</v>
      </c>
      <c r="Y20" s="747"/>
      <c r="Z20" s="748">
        <f t="shared" si="26"/>
        <v>0</v>
      </c>
      <c r="AA20" s="749">
        <f t="shared" si="4"/>
        <v>0</v>
      </c>
      <c r="AB20" s="747"/>
      <c r="AC20" s="748">
        <f t="shared" si="27"/>
        <v>0</v>
      </c>
      <c r="AD20" s="749">
        <f t="shared" si="5"/>
        <v>0</v>
      </c>
      <c r="AE20" s="747"/>
      <c r="AF20" s="748">
        <f t="shared" si="28"/>
        <v>0</v>
      </c>
      <c r="AG20" s="749">
        <f t="shared" si="6"/>
        <v>0</v>
      </c>
      <c r="AH20" s="747"/>
      <c r="AI20" s="748">
        <f t="shared" si="29"/>
        <v>0</v>
      </c>
      <c r="AJ20" s="749">
        <f t="shared" si="7"/>
        <v>0</v>
      </c>
      <c r="AK20" s="747"/>
      <c r="AL20" s="748">
        <f t="shared" si="30"/>
        <v>0</v>
      </c>
      <c r="AM20" s="749">
        <f t="shared" si="31"/>
        <v>0</v>
      </c>
      <c r="AN20" s="747"/>
      <c r="AO20" s="748">
        <f t="shared" si="32"/>
        <v>0</v>
      </c>
      <c r="AP20" s="749">
        <f t="shared" si="33"/>
        <v>0</v>
      </c>
      <c r="AQ20" s="747"/>
      <c r="AR20" s="748">
        <f t="shared" si="34"/>
        <v>0</v>
      </c>
      <c r="AS20" s="749">
        <f t="shared" si="35"/>
        <v>0</v>
      </c>
      <c r="AT20" s="1165"/>
      <c r="AU20" s="1166">
        <f t="shared" si="36"/>
        <v>0</v>
      </c>
      <c r="AV20" s="1167">
        <f t="shared" si="37"/>
        <v>0</v>
      </c>
      <c r="AW20" s="747"/>
      <c r="AX20" s="748">
        <f t="shared" si="38"/>
        <v>0</v>
      </c>
      <c r="AY20" s="749">
        <f t="shared" si="39"/>
        <v>0</v>
      </c>
      <c r="AZ20" s="747"/>
      <c r="BA20" s="748">
        <f t="shared" si="40"/>
        <v>0</v>
      </c>
      <c r="BB20" s="749">
        <f t="shared" si="41"/>
        <v>0</v>
      </c>
      <c r="BC20" s="747"/>
      <c r="BD20" s="748">
        <f t="shared" si="42"/>
        <v>0</v>
      </c>
      <c r="BE20" s="749">
        <f t="shared" si="43"/>
        <v>0</v>
      </c>
      <c r="BF20" s="747"/>
      <c r="BG20" s="748">
        <f t="shared" si="44"/>
        <v>0</v>
      </c>
      <c r="BH20" s="749">
        <f t="shared" si="45"/>
        <v>0</v>
      </c>
    </row>
    <row r="21" spans="1:60" ht="14.25">
      <c r="A21" s="509"/>
      <c r="B21" s="510"/>
      <c r="C21" s="512"/>
      <c r="D21" s="513"/>
      <c r="E21" s="537" t="s">
        <v>445</v>
      </c>
      <c r="F21" s="412" t="s">
        <v>446</v>
      </c>
      <c r="G21" s="535" t="s">
        <v>85</v>
      </c>
      <c r="H21" s="17">
        <v>50718</v>
      </c>
      <c r="I21" s="17">
        <v>13.94</v>
      </c>
      <c r="J21" s="26">
        <f t="shared" si="19"/>
        <v>707008.92</v>
      </c>
      <c r="K21" s="21">
        <f>SUMIF($V$3:$BH$3,       "&lt;"&amp;Datos!$C$20,       V21:BH21)</f>
        <v>16677.5</v>
      </c>
      <c r="L21" s="28">
        <f>SUMIF($V$2:$CH$2,"&lt;"&amp;Datos!$C$20,V21:CH21)</f>
        <v>232484.35</v>
      </c>
      <c r="M21" s="533">
        <f>LOOKUP(Datos!$C$20,    'Cant. Ejec,'!$V$3:$BH$3,      'Cant. Ejec,'!$V21:$BH21)</f>
        <v>13098</v>
      </c>
      <c r="N21" s="515">
        <f>LOOKUP(Datos!$C$20,    'Cant. Ejec,'!$V$2:$BH$2,      'Cant. Ejec,'!$V21:$BH21)</f>
        <v>182586.12</v>
      </c>
      <c r="O21" s="21">
        <f>SUMIF($V$3:$CH$3,                                                    "&lt;"&amp;(Datos!$C$20+1),V21:CL21)</f>
        <v>29775.5</v>
      </c>
      <c r="P21" s="515">
        <f>SUMIF($V$2:$CH$2,                    "&lt;"&amp;(Datos!$C$20+1),V21:CL21)</f>
        <v>415070.47</v>
      </c>
      <c r="Q21" s="21">
        <f t="shared" si="20"/>
        <v>20942.5</v>
      </c>
      <c r="R21" s="515">
        <f t="shared" si="21"/>
        <v>291938.45000000007</v>
      </c>
      <c r="S21" s="425">
        <f t="shared" si="22"/>
        <v>0.25825150834023419</v>
      </c>
      <c r="T21" s="425">
        <f t="shared" si="23"/>
        <v>0.58707953783666544</v>
      </c>
      <c r="U21" s="729">
        <f t="shared" si="24"/>
        <v>0.41292046216333461</v>
      </c>
      <c r="V21" s="747"/>
      <c r="W21" s="748"/>
      <c r="X21" s="749"/>
      <c r="Y21" s="747"/>
      <c r="Z21" s="748"/>
      <c r="AA21" s="749"/>
      <c r="AB21" s="747"/>
      <c r="AC21" s="748"/>
      <c r="AD21" s="749"/>
      <c r="AE21" s="747"/>
      <c r="AF21" s="748"/>
      <c r="AG21" s="749"/>
      <c r="AH21" s="747"/>
      <c r="AI21" s="748">
        <f t="shared" si="29"/>
        <v>0</v>
      </c>
      <c r="AJ21" s="749">
        <f t="shared" si="7"/>
        <v>0</v>
      </c>
      <c r="AK21" s="747"/>
      <c r="AL21" s="748">
        <f t="shared" si="30"/>
        <v>0</v>
      </c>
      <c r="AM21" s="749">
        <f t="shared" si="31"/>
        <v>0</v>
      </c>
      <c r="AN21" s="747"/>
      <c r="AO21" s="748">
        <f t="shared" si="32"/>
        <v>0</v>
      </c>
      <c r="AP21" s="749">
        <f t="shared" si="33"/>
        <v>0</v>
      </c>
      <c r="AQ21" s="1165"/>
      <c r="AR21" s="1166">
        <f t="shared" si="34"/>
        <v>0</v>
      </c>
      <c r="AS21" s="1167">
        <f t="shared" si="35"/>
        <v>0</v>
      </c>
      <c r="AT21" s="1165"/>
      <c r="AU21" s="1166">
        <f t="shared" si="36"/>
        <v>0</v>
      </c>
      <c r="AV21" s="1167">
        <f>+AU21/$J21</f>
        <v>0</v>
      </c>
      <c r="AW21" s="881">
        <v>16677.5</v>
      </c>
      <c r="AX21" s="882">
        <f t="shared" si="38"/>
        <v>232484.35</v>
      </c>
      <c r="AY21" s="883">
        <f t="shared" si="39"/>
        <v>0.32882802949643125</v>
      </c>
      <c r="AZ21" s="881">
        <v>13098</v>
      </c>
      <c r="BA21" s="882">
        <f t="shared" si="40"/>
        <v>182586.12</v>
      </c>
      <c r="BB21" s="883">
        <f t="shared" si="41"/>
        <v>0.25825150834023419</v>
      </c>
      <c r="BC21" s="747"/>
      <c r="BD21" s="748">
        <f t="shared" si="42"/>
        <v>0</v>
      </c>
      <c r="BE21" s="749">
        <f t="shared" si="43"/>
        <v>0</v>
      </c>
      <c r="BF21" s="747"/>
      <c r="BG21" s="748">
        <f t="shared" si="44"/>
        <v>0</v>
      </c>
      <c r="BH21" s="749">
        <f t="shared" si="45"/>
        <v>0</v>
      </c>
    </row>
    <row r="22" spans="1:60" ht="14.25">
      <c r="A22" s="509"/>
      <c r="B22" s="510"/>
      <c r="C22" s="512"/>
      <c r="D22" s="513"/>
      <c r="E22" s="537" t="s">
        <v>447</v>
      </c>
      <c r="F22" s="408" t="s">
        <v>448</v>
      </c>
      <c r="G22" s="535" t="s">
        <v>85</v>
      </c>
      <c r="H22" s="17">
        <v>5984</v>
      </c>
      <c r="I22" s="17">
        <v>13.94</v>
      </c>
      <c r="J22" s="26">
        <f t="shared" si="19"/>
        <v>83416.960000000006</v>
      </c>
      <c r="K22" s="21">
        <f>SUMIF($V$3:$BH$3,       "&lt;"&amp;Datos!$C$20,       V22:BH22)</f>
        <v>1600</v>
      </c>
      <c r="L22" s="28">
        <f>SUMIF($V$2:$CH$2,"&lt;"&amp;Datos!$C$20,V22:CH22)</f>
        <v>22304</v>
      </c>
      <c r="M22" s="533">
        <f>LOOKUP(Datos!$C$20,    'Cant. Ejec,'!$V$3:$BH$3,      'Cant. Ejec,'!$V22:$BH22)</f>
        <v>80</v>
      </c>
      <c r="N22" s="515">
        <f>LOOKUP(Datos!$C$20,    'Cant. Ejec,'!$V$2:$BH$2,      'Cant. Ejec,'!$V22:$BH22)</f>
        <v>1115.2</v>
      </c>
      <c r="O22" s="21">
        <f>SUMIF($V$3:$CH$3,                                                    "&lt;"&amp;(Datos!$C$20+1),V22:CL22)</f>
        <v>1680</v>
      </c>
      <c r="P22" s="515">
        <f>SUMIF($V$2:$CH$2,                    "&lt;"&amp;(Datos!$C$20+1),V22:CL22)</f>
        <v>23419.200000000001</v>
      </c>
      <c r="Q22" s="21">
        <f t="shared" si="20"/>
        <v>4304</v>
      </c>
      <c r="R22" s="515">
        <f t="shared" si="21"/>
        <v>59997.760000000009</v>
      </c>
      <c r="S22" s="425">
        <f t="shared" si="22"/>
        <v>1.3368983957219251E-2</v>
      </c>
      <c r="T22" s="425">
        <f t="shared" si="23"/>
        <v>0.28074866310160429</v>
      </c>
      <c r="U22" s="729">
        <f t="shared" si="24"/>
        <v>0.71925133689839582</v>
      </c>
      <c r="V22" s="747"/>
      <c r="W22" s="748"/>
      <c r="X22" s="749"/>
      <c r="Y22" s="747"/>
      <c r="Z22" s="748"/>
      <c r="AA22" s="749"/>
      <c r="AB22" s="747"/>
      <c r="AC22" s="748"/>
      <c r="AD22" s="749"/>
      <c r="AE22" s="747"/>
      <c r="AF22" s="748"/>
      <c r="AG22" s="749"/>
      <c r="AH22" s="747"/>
      <c r="AI22" s="748">
        <f t="shared" si="29"/>
        <v>0</v>
      </c>
      <c r="AJ22" s="749">
        <f t="shared" si="7"/>
        <v>0</v>
      </c>
      <c r="AK22" s="747"/>
      <c r="AL22" s="748">
        <f t="shared" si="30"/>
        <v>0</v>
      </c>
      <c r="AM22" s="749">
        <f t="shared" si="31"/>
        <v>0</v>
      </c>
      <c r="AN22" s="747"/>
      <c r="AO22" s="748">
        <f t="shared" si="32"/>
        <v>0</v>
      </c>
      <c r="AP22" s="749">
        <f t="shared" si="33"/>
        <v>0</v>
      </c>
      <c r="AQ22" s="1165"/>
      <c r="AR22" s="1166">
        <f t="shared" si="34"/>
        <v>0</v>
      </c>
      <c r="AS22" s="1167">
        <f t="shared" si="35"/>
        <v>0</v>
      </c>
      <c r="AT22" s="747"/>
      <c r="AU22" s="748">
        <f t="shared" si="36"/>
        <v>0</v>
      </c>
      <c r="AV22" s="749">
        <f t="shared" si="37"/>
        <v>0</v>
      </c>
      <c r="AW22" s="881">
        <f>640+960</f>
        <v>1600</v>
      </c>
      <c r="AX22" s="882">
        <f t="shared" ref="AX22:AX23" si="47">ROUND(AW22*$I22,2)</f>
        <v>22304</v>
      </c>
      <c r="AY22" s="883">
        <f t="shared" ref="AY22:AY23" si="48">+AX22/$J22</f>
        <v>0.26737967914438499</v>
      </c>
      <c r="AZ22" s="881">
        <f>ROUND((40350-40300)*3.2/2,2)</f>
        <v>80</v>
      </c>
      <c r="BA22" s="882">
        <f t="shared" si="40"/>
        <v>1115.2</v>
      </c>
      <c r="BB22" s="883">
        <f t="shared" si="41"/>
        <v>1.3368983957219251E-2</v>
      </c>
      <c r="BC22" s="747"/>
      <c r="BD22" s="748">
        <f t="shared" si="42"/>
        <v>0</v>
      </c>
      <c r="BE22" s="749">
        <f t="shared" si="43"/>
        <v>0</v>
      </c>
      <c r="BF22" s="747"/>
      <c r="BG22" s="748">
        <f t="shared" si="44"/>
        <v>0</v>
      </c>
      <c r="BH22" s="749">
        <f t="shared" si="45"/>
        <v>0</v>
      </c>
    </row>
    <row r="23" spans="1:60" ht="25.5">
      <c r="A23" s="509"/>
      <c r="B23" s="510"/>
      <c r="C23" s="512"/>
      <c r="D23" s="513"/>
      <c r="E23" s="537" t="s">
        <v>449</v>
      </c>
      <c r="F23" s="408" t="s">
        <v>593</v>
      </c>
      <c r="G23" s="535" t="s">
        <v>85</v>
      </c>
      <c r="H23" s="17">
        <v>7047.74</v>
      </c>
      <c r="I23" s="17">
        <v>127.8</v>
      </c>
      <c r="J23" s="26">
        <f t="shared" si="19"/>
        <v>900701.17</v>
      </c>
      <c r="K23" s="21">
        <f>SUMIF($V$3:$BH$3,       "&lt;"&amp;Datos!$C$20,       V23:BH23)</f>
        <v>1600</v>
      </c>
      <c r="L23" s="28">
        <f>SUMIF($V$2:$CH$2,"&lt;"&amp;Datos!$C$20,V23:CH23)</f>
        <v>204480</v>
      </c>
      <c r="M23" s="533">
        <f>LOOKUP(Datos!$C$20,    'Cant. Ejec,'!$V$3:$BH$3,      'Cant. Ejec,'!$V23:$BH23)</f>
        <v>80</v>
      </c>
      <c r="N23" s="515">
        <f>LOOKUP(Datos!$C$20,    'Cant. Ejec,'!$V$2:$BH$2,      'Cant. Ejec,'!$V23:$BH23)</f>
        <v>10224</v>
      </c>
      <c r="O23" s="21">
        <f>SUMIF($V$3:$CH$3,                                                    "&lt;"&amp;(Datos!$C$20+1),V23:CL23)</f>
        <v>1680</v>
      </c>
      <c r="P23" s="515">
        <f>SUMIF($V$2:$CH$2,                    "&lt;"&amp;(Datos!$C$20+1),V23:CL23)</f>
        <v>214704</v>
      </c>
      <c r="Q23" s="21">
        <f t="shared" si="20"/>
        <v>5367.74</v>
      </c>
      <c r="R23" s="515">
        <f t="shared" si="21"/>
        <v>685997.17</v>
      </c>
      <c r="S23" s="425">
        <f t="shared" si="22"/>
        <v>1.1351156566167222E-2</v>
      </c>
      <c r="T23" s="425">
        <f t="shared" si="23"/>
        <v>0.23837428788951168</v>
      </c>
      <c r="U23" s="729">
        <f t="shared" si="24"/>
        <v>0.76162571211048835</v>
      </c>
      <c r="V23" s="747"/>
      <c r="W23" s="748"/>
      <c r="X23" s="749"/>
      <c r="Y23" s="747"/>
      <c r="Z23" s="748"/>
      <c r="AA23" s="749"/>
      <c r="AB23" s="747"/>
      <c r="AC23" s="748"/>
      <c r="AD23" s="749"/>
      <c r="AE23" s="747"/>
      <c r="AF23" s="748"/>
      <c r="AG23" s="749"/>
      <c r="AH23" s="747"/>
      <c r="AI23" s="748">
        <f t="shared" si="29"/>
        <v>0</v>
      </c>
      <c r="AJ23" s="749">
        <f t="shared" si="7"/>
        <v>0</v>
      </c>
      <c r="AK23" s="747"/>
      <c r="AL23" s="748">
        <f t="shared" si="30"/>
        <v>0</v>
      </c>
      <c r="AM23" s="749">
        <f t="shared" si="31"/>
        <v>0</v>
      </c>
      <c r="AN23" s="747"/>
      <c r="AO23" s="748">
        <f t="shared" si="32"/>
        <v>0</v>
      </c>
      <c r="AP23" s="749">
        <f t="shared" si="33"/>
        <v>0</v>
      </c>
      <c r="AQ23" s="1165"/>
      <c r="AR23" s="1166">
        <f t="shared" si="34"/>
        <v>0</v>
      </c>
      <c r="AS23" s="1167">
        <f t="shared" si="35"/>
        <v>0</v>
      </c>
      <c r="AT23" s="747"/>
      <c r="AU23" s="748">
        <f t="shared" si="36"/>
        <v>0</v>
      </c>
      <c r="AV23" s="749">
        <f t="shared" si="37"/>
        <v>0</v>
      </c>
      <c r="AW23" s="881">
        <f>640+960</f>
        <v>1600</v>
      </c>
      <c r="AX23" s="882">
        <f t="shared" si="47"/>
        <v>204480</v>
      </c>
      <c r="AY23" s="883">
        <f t="shared" si="48"/>
        <v>0.22702313132334445</v>
      </c>
      <c r="AZ23" s="881">
        <f>ROUND((40350-40300)*3.2/2,2)</f>
        <v>80</v>
      </c>
      <c r="BA23" s="882">
        <f t="shared" si="40"/>
        <v>10224</v>
      </c>
      <c r="BB23" s="883">
        <f t="shared" si="41"/>
        <v>1.1351156566167222E-2</v>
      </c>
      <c r="BC23" s="747"/>
      <c r="BD23" s="748">
        <f t="shared" si="42"/>
        <v>0</v>
      </c>
      <c r="BE23" s="749">
        <f t="shared" si="43"/>
        <v>0</v>
      </c>
      <c r="BF23" s="747"/>
      <c r="BG23" s="748">
        <f t="shared" si="44"/>
        <v>0</v>
      </c>
      <c r="BH23" s="749">
        <f t="shared" si="45"/>
        <v>0</v>
      </c>
    </row>
    <row r="24" spans="1:60" ht="14.25">
      <c r="A24" s="509"/>
      <c r="B24" s="510"/>
      <c r="C24" s="512"/>
      <c r="D24" s="513"/>
      <c r="E24" s="537" t="s">
        <v>450</v>
      </c>
      <c r="F24" s="415" t="s">
        <v>451</v>
      </c>
      <c r="G24" s="535" t="s">
        <v>85</v>
      </c>
      <c r="H24" s="17">
        <v>63040</v>
      </c>
      <c r="I24" s="17">
        <v>83.8</v>
      </c>
      <c r="J24" s="26">
        <f t="shared" si="19"/>
        <v>5282752</v>
      </c>
      <c r="K24" s="21">
        <f>SUMIF($V$3:$BH$3,       "&lt;"&amp;Datos!$C$20,       V24:BH24)</f>
        <v>23680</v>
      </c>
      <c r="L24" s="28">
        <f>SUMIF($V$2:$CH$2,"&lt;"&amp;Datos!$C$20,V24:CH24)</f>
        <v>1984384</v>
      </c>
      <c r="M24" s="533">
        <f>LOOKUP(Datos!$C$20,    'Cant. Ejec,'!$V$3:$BH$3,      'Cant. Ejec,'!$V24:$BH24)</f>
        <v>17200</v>
      </c>
      <c r="N24" s="515">
        <f>LOOKUP(Datos!$C$20,    'Cant. Ejec,'!$V$2:$BH$2,      'Cant. Ejec,'!$V24:$BH24)</f>
        <v>1441360</v>
      </c>
      <c r="O24" s="21">
        <f>SUMIF($V$3:$CH$3,                                                    "&lt;"&amp;(Datos!$C$20+1),V24:CL24)</f>
        <v>40880</v>
      </c>
      <c r="P24" s="515">
        <f>SUMIF($V$2:$CH$2,                    "&lt;"&amp;(Datos!$C$20+1),V24:CL24)</f>
        <v>3425744</v>
      </c>
      <c r="Q24" s="21">
        <f t="shared" si="20"/>
        <v>22160</v>
      </c>
      <c r="R24" s="515">
        <f t="shared" si="21"/>
        <v>1857008</v>
      </c>
      <c r="S24" s="425">
        <f t="shared" si="22"/>
        <v>0.27284263959390864</v>
      </c>
      <c r="T24" s="425">
        <f t="shared" si="23"/>
        <v>0.64847715736040612</v>
      </c>
      <c r="U24" s="729">
        <f t="shared" si="24"/>
        <v>0.35152284263959394</v>
      </c>
      <c r="V24" s="747"/>
      <c r="W24" s="748"/>
      <c r="X24" s="749"/>
      <c r="Y24" s="747"/>
      <c r="Z24" s="748"/>
      <c r="AA24" s="749"/>
      <c r="AB24" s="747"/>
      <c r="AC24" s="748"/>
      <c r="AD24" s="749"/>
      <c r="AE24" s="747"/>
      <c r="AF24" s="748"/>
      <c r="AG24" s="749"/>
      <c r="AH24" s="747"/>
      <c r="AI24" s="748">
        <f t="shared" si="29"/>
        <v>0</v>
      </c>
      <c r="AJ24" s="749">
        <f t="shared" si="7"/>
        <v>0</v>
      </c>
      <c r="AK24" s="747"/>
      <c r="AL24" s="748">
        <f t="shared" si="30"/>
        <v>0</v>
      </c>
      <c r="AM24" s="749">
        <f t="shared" si="31"/>
        <v>0</v>
      </c>
      <c r="AN24" s="747"/>
      <c r="AO24" s="748">
        <f t="shared" si="32"/>
        <v>0</v>
      </c>
      <c r="AP24" s="749">
        <f t="shared" si="33"/>
        <v>0</v>
      </c>
      <c r="AQ24" s="1165">
        <v>0</v>
      </c>
      <c r="AR24" s="1166">
        <f t="shared" si="34"/>
        <v>0</v>
      </c>
      <c r="AS24" s="1167">
        <f>+AR24/$J24</f>
        <v>0</v>
      </c>
      <c r="AT24" s="881">
        <f>900*3.2</f>
        <v>2880</v>
      </c>
      <c r="AU24" s="882">
        <f t="shared" si="36"/>
        <v>241344</v>
      </c>
      <c r="AV24" s="883">
        <f t="shared" si="37"/>
        <v>4.5685279187817257E-2</v>
      </c>
      <c r="AW24" s="881">
        <f>7000*3.2-AW23</f>
        <v>20800</v>
      </c>
      <c r="AX24" s="882">
        <f t="shared" si="38"/>
        <v>1743040</v>
      </c>
      <c r="AY24" s="883">
        <f t="shared" si="39"/>
        <v>0.32994923857868019</v>
      </c>
      <c r="AZ24" s="881">
        <v>17200</v>
      </c>
      <c r="BA24" s="882">
        <f t="shared" si="40"/>
        <v>1441360</v>
      </c>
      <c r="BB24" s="883">
        <f t="shared" si="41"/>
        <v>0.27284263959390864</v>
      </c>
      <c r="BC24" s="747"/>
      <c r="BD24" s="748">
        <f t="shared" si="42"/>
        <v>0</v>
      </c>
      <c r="BE24" s="749">
        <f t="shared" si="43"/>
        <v>0</v>
      </c>
      <c r="BF24" s="747"/>
      <c r="BG24" s="748">
        <f t="shared" si="44"/>
        <v>0</v>
      </c>
      <c r="BH24" s="749">
        <f t="shared" si="45"/>
        <v>0</v>
      </c>
    </row>
    <row r="25" spans="1:60" ht="14.25">
      <c r="A25" s="509"/>
      <c r="B25" s="510"/>
      <c r="C25" s="512"/>
      <c r="D25" s="513"/>
      <c r="E25" s="537" t="s">
        <v>452</v>
      </c>
      <c r="F25" s="408" t="s">
        <v>594</v>
      </c>
      <c r="G25" s="535" t="s">
        <v>444</v>
      </c>
      <c r="H25" s="17">
        <v>32761.170000000002</v>
      </c>
      <c r="I25" s="19">
        <v>3.74</v>
      </c>
      <c r="J25" s="26">
        <f t="shared" si="19"/>
        <v>122526.78</v>
      </c>
      <c r="K25" s="21">
        <f>SUMIF($V$3:$BH$3,       "&lt;"&amp;Datos!$C$20,       V25:BH25)</f>
        <v>1335.68</v>
      </c>
      <c r="L25" s="28">
        <f>SUMIF($V$2:$CH$2,"&lt;"&amp;Datos!$C$20,V25:CH25)</f>
        <v>4995.4399999999996</v>
      </c>
      <c r="M25" s="533">
        <f>LOOKUP(Datos!$C$20,    'Cant. Ejec,'!$V$3:$BH$3,      'Cant. Ejec,'!$V25:$BH25)</f>
        <v>0</v>
      </c>
      <c r="N25" s="515">
        <f>LOOKUP(Datos!$C$20,    'Cant. Ejec,'!$V$2:$BH$2,      'Cant. Ejec,'!$V25:$BH25)</f>
        <v>0</v>
      </c>
      <c r="O25" s="21">
        <f>SUMIF($V$3:$CH$3,                                                    "&lt;"&amp;(Datos!$C$20+1),V25:CL25)</f>
        <v>1335.68</v>
      </c>
      <c r="P25" s="515">
        <f>SUMIF($V$2:$CH$2,                    "&lt;"&amp;(Datos!$C$20+1),V25:CL25)</f>
        <v>4995.4399999999996</v>
      </c>
      <c r="Q25" s="21">
        <f t="shared" si="20"/>
        <v>31425.49</v>
      </c>
      <c r="R25" s="515">
        <f t="shared" si="21"/>
        <v>117531.34</v>
      </c>
      <c r="S25" s="425">
        <f t="shared" si="22"/>
        <v>0</v>
      </c>
      <c r="T25" s="425">
        <f t="shared" si="23"/>
        <v>4.0770189178235154E-2</v>
      </c>
      <c r="U25" s="729">
        <f t="shared" si="24"/>
        <v>0.95922981082176484</v>
      </c>
      <c r="V25" s="747"/>
      <c r="W25" s="748"/>
      <c r="X25" s="749"/>
      <c r="Y25" s="747"/>
      <c r="Z25" s="748"/>
      <c r="AA25" s="749"/>
      <c r="AB25" s="747"/>
      <c r="AC25" s="748"/>
      <c r="AD25" s="749"/>
      <c r="AE25" s="747"/>
      <c r="AF25" s="748"/>
      <c r="AG25" s="749"/>
      <c r="AH25" s="747"/>
      <c r="AI25" s="748">
        <f t="shared" si="29"/>
        <v>0</v>
      </c>
      <c r="AJ25" s="749">
        <f t="shared" si="7"/>
        <v>0</v>
      </c>
      <c r="AK25" s="747"/>
      <c r="AL25" s="748">
        <f t="shared" si="30"/>
        <v>0</v>
      </c>
      <c r="AM25" s="749">
        <f t="shared" si="31"/>
        <v>0</v>
      </c>
      <c r="AN25" s="747"/>
      <c r="AO25" s="748">
        <f t="shared" si="32"/>
        <v>0</v>
      </c>
      <c r="AP25" s="749">
        <f t="shared" si="33"/>
        <v>0</v>
      </c>
      <c r="AQ25" s="747"/>
      <c r="AR25" s="748">
        <f t="shared" si="34"/>
        <v>0</v>
      </c>
      <c r="AS25" s="749">
        <f t="shared" si="35"/>
        <v>0</v>
      </c>
      <c r="AT25" s="747"/>
      <c r="AU25" s="748">
        <f t="shared" si="36"/>
        <v>0</v>
      </c>
      <c r="AV25" s="749">
        <f t="shared" si="37"/>
        <v>0</v>
      </c>
      <c r="AW25" s="881">
        <v>1335.68</v>
      </c>
      <c r="AX25" s="882">
        <f t="shared" si="38"/>
        <v>4995.4399999999996</v>
      </c>
      <c r="AY25" s="883">
        <f t="shared" si="39"/>
        <v>4.0770189178235154E-2</v>
      </c>
      <c r="AZ25" s="747"/>
      <c r="BA25" s="748">
        <f t="shared" si="40"/>
        <v>0</v>
      </c>
      <c r="BB25" s="749">
        <f t="shared" si="41"/>
        <v>0</v>
      </c>
      <c r="BC25" s="747"/>
      <c r="BD25" s="748">
        <f t="shared" si="42"/>
        <v>0</v>
      </c>
      <c r="BE25" s="749">
        <f t="shared" si="43"/>
        <v>0</v>
      </c>
      <c r="BF25" s="747"/>
      <c r="BG25" s="748">
        <f t="shared" si="44"/>
        <v>0</v>
      </c>
      <c r="BH25" s="749">
        <f t="shared" si="45"/>
        <v>0</v>
      </c>
    </row>
    <row r="26" spans="1:60" ht="14.25">
      <c r="A26" s="509"/>
      <c r="B26" s="510"/>
      <c r="C26" s="512"/>
      <c r="D26" s="513"/>
      <c r="E26" s="537" t="s">
        <v>453</v>
      </c>
      <c r="F26" s="408" t="s">
        <v>595</v>
      </c>
      <c r="G26" s="535" t="s">
        <v>444</v>
      </c>
      <c r="H26" s="17">
        <v>45616</v>
      </c>
      <c r="I26" s="19">
        <v>2.72</v>
      </c>
      <c r="J26" s="26">
        <f>ROUND(H26*I26,2)</f>
        <v>124075.52</v>
      </c>
      <c r="K26" s="21">
        <f>SUMIF($V$3:$BH$3,       "&lt;"&amp;Datos!$C$20,       V26:BH26)</f>
        <v>1335.68</v>
      </c>
      <c r="L26" s="28">
        <f>SUMIF($V$2:$CH$2,"&lt;"&amp;Datos!$C$20,V26:CH26)</f>
        <v>3633.05</v>
      </c>
      <c r="M26" s="533">
        <f>LOOKUP(Datos!$C$20,    'Cant. Ejec,'!$V$3:$BH$3,      'Cant. Ejec,'!$V26:$BH26)</f>
        <v>914.08</v>
      </c>
      <c r="N26" s="515">
        <f>LOOKUP(Datos!$C$20,    'Cant. Ejec,'!$V$2:$BH$2,      'Cant. Ejec,'!$V26:$BH26)</f>
        <v>2486.3000000000002</v>
      </c>
      <c r="O26" s="21">
        <f>SUMIF($V$3:$CH$3,                                                    "&lt;"&amp;(Datos!$C$20+1),V26:CL26)</f>
        <v>2249.7600000000002</v>
      </c>
      <c r="P26" s="515">
        <f>SUMIF($V$2:$CH$2,                    "&lt;"&amp;(Datos!$C$20+1),V26:CL26)</f>
        <v>6119.35</v>
      </c>
      <c r="Q26" s="21">
        <f t="shared" si="20"/>
        <v>43366.239999999998</v>
      </c>
      <c r="R26" s="515">
        <f t="shared" si="21"/>
        <v>117956.17</v>
      </c>
      <c r="S26" s="425">
        <f t="shared" si="22"/>
        <v>2.0038602296407866E-2</v>
      </c>
      <c r="T26" s="425">
        <f t="shared" si="23"/>
        <v>4.9319559571460996E-2</v>
      </c>
      <c r="U26" s="729">
        <f t="shared" si="24"/>
        <v>0.95068044042853894</v>
      </c>
      <c r="V26" s="747"/>
      <c r="W26" s="748"/>
      <c r="X26" s="749"/>
      <c r="Y26" s="747"/>
      <c r="Z26" s="748"/>
      <c r="AA26" s="749"/>
      <c r="AB26" s="747"/>
      <c r="AC26" s="748"/>
      <c r="AD26" s="749"/>
      <c r="AE26" s="747"/>
      <c r="AF26" s="748"/>
      <c r="AG26" s="749"/>
      <c r="AH26" s="747"/>
      <c r="AI26" s="748">
        <f t="shared" si="29"/>
        <v>0</v>
      </c>
      <c r="AJ26" s="749">
        <f t="shared" si="7"/>
        <v>0</v>
      </c>
      <c r="AK26" s="747"/>
      <c r="AL26" s="748">
        <f t="shared" si="30"/>
        <v>0</v>
      </c>
      <c r="AM26" s="749">
        <f t="shared" si="31"/>
        <v>0</v>
      </c>
      <c r="AN26" s="747"/>
      <c r="AO26" s="748">
        <f t="shared" si="32"/>
        <v>0</v>
      </c>
      <c r="AP26" s="749">
        <f t="shared" si="33"/>
        <v>0</v>
      </c>
      <c r="AQ26" s="747"/>
      <c r="AR26" s="748">
        <f t="shared" si="34"/>
        <v>0</v>
      </c>
      <c r="AS26" s="749">
        <f t="shared" si="35"/>
        <v>0</v>
      </c>
      <c r="AT26" s="747"/>
      <c r="AU26" s="748">
        <f t="shared" si="36"/>
        <v>0</v>
      </c>
      <c r="AV26" s="749">
        <f t="shared" si="37"/>
        <v>0</v>
      </c>
      <c r="AW26" s="881">
        <v>1335.68</v>
      </c>
      <c r="AX26" s="882">
        <f t="shared" si="38"/>
        <v>3633.05</v>
      </c>
      <c r="AY26" s="883">
        <f t="shared" si="39"/>
        <v>2.9280957275053129E-2</v>
      </c>
      <c r="AZ26" s="881">
        <v>914.08</v>
      </c>
      <c r="BA26" s="882">
        <f t="shared" si="40"/>
        <v>2486.3000000000002</v>
      </c>
      <c r="BB26" s="883">
        <f t="shared" si="41"/>
        <v>2.0038602296407866E-2</v>
      </c>
      <c r="BC26" s="747"/>
      <c r="BD26" s="748">
        <f t="shared" si="42"/>
        <v>0</v>
      </c>
      <c r="BE26" s="749">
        <f t="shared" si="43"/>
        <v>0</v>
      </c>
      <c r="BF26" s="747"/>
      <c r="BG26" s="748">
        <f t="shared" si="44"/>
        <v>0</v>
      </c>
      <c r="BH26" s="749">
        <f t="shared" si="45"/>
        <v>0</v>
      </c>
    </row>
    <row r="27" spans="1:60" ht="14.25">
      <c r="A27" s="509" t="e">
        <f>+IF(B27&gt;0,B27+#REF!,IF(C27&gt;#REF!,C27,0))</f>
        <v>#REF!</v>
      </c>
      <c r="B27" s="510" t="e">
        <f>+IF(#REF!&gt;=0.01,1,0)</f>
        <v>#REF!</v>
      </c>
      <c r="C27" s="512" t="e">
        <f>+B27+#REF!</f>
        <v>#REF!</v>
      </c>
      <c r="D27" s="513"/>
      <c r="E27" s="536" t="s">
        <v>381</v>
      </c>
      <c r="F27" s="521" t="s">
        <v>309</v>
      </c>
      <c r="G27" s="548"/>
      <c r="H27" s="549"/>
      <c r="I27" s="550"/>
      <c r="J27" s="551">
        <f>SUM(J28:J33)</f>
        <v>18406118.689999998</v>
      </c>
      <c r="K27" s="552"/>
      <c r="L27" s="551">
        <f>SUM(L28:L33)</f>
        <v>0</v>
      </c>
      <c r="M27" s="553"/>
      <c r="N27" s="551">
        <f>SUM(N28:N33)</f>
        <v>0</v>
      </c>
      <c r="O27" s="552"/>
      <c r="P27" s="551">
        <f>SUM(P28:P33)</f>
        <v>0</v>
      </c>
      <c r="Q27" s="553"/>
      <c r="R27" s="551">
        <f>SUM(R28:R33)</f>
        <v>18406118.689999998</v>
      </c>
      <c r="S27" s="571">
        <f>(N27/J27)</f>
        <v>0</v>
      </c>
      <c r="T27" s="642">
        <f>(P27/J27)</f>
        <v>0</v>
      </c>
      <c r="U27" s="728">
        <f>(R27/J27)</f>
        <v>1</v>
      </c>
      <c r="V27" s="741"/>
      <c r="W27" s="742">
        <f>SUM(W28:W33)</f>
        <v>0</v>
      </c>
      <c r="X27" s="743">
        <f t="shared" si="3"/>
        <v>0</v>
      </c>
      <c r="Y27" s="741"/>
      <c r="Z27" s="742">
        <f>SUM(Z28:Z33)</f>
        <v>0</v>
      </c>
      <c r="AA27" s="743">
        <f t="shared" si="4"/>
        <v>0</v>
      </c>
      <c r="AB27" s="741"/>
      <c r="AC27" s="742">
        <f>SUM(AC28:AC33)</f>
        <v>0</v>
      </c>
      <c r="AD27" s="743">
        <f t="shared" si="5"/>
        <v>0</v>
      </c>
      <c r="AE27" s="741"/>
      <c r="AF27" s="742">
        <f>SUM(AF28:AF33)</f>
        <v>0</v>
      </c>
      <c r="AG27" s="743">
        <f t="shared" si="6"/>
        <v>0</v>
      </c>
      <c r="AH27" s="741"/>
      <c r="AI27" s="742">
        <f>SUM(AI28:AI33)</f>
        <v>0</v>
      </c>
      <c r="AJ27" s="743">
        <f>+AI27/$J27</f>
        <v>0</v>
      </c>
      <c r="AK27" s="741"/>
      <c r="AL27" s="742">
        <f>SUM(AL28:AL33)</f>
        <v>0</v>
      </c>
      <c r="AM27" s="743">
        <f>+AL27/$J27</f>
        <v>0</v>
      </c>
      <c r="AN27" s="741"/>
      <c r="AO27" s="742">
        <f>SUM(AO28:AO33)</f>
        <v>0</v>
      </c>
      <c r="AP27" s="743">
        <f>+AO27/$J27</f>
        <v>0</v>
      </c>
      <c r="AQ27" s="741"/>
      <c r="AR27" s="742">
        <f>SUM(AR28:AR33)</f>
        <v>0</v>
      </c>
      <c r="AS27" s="743">
        <f>+AR27/$J27</f>
        <v>0</v>
      </c>
      <c r="AT27" s="741"/>
      <c r="AU27" s="742">
        <f>SUM(AU28:AU33)</f>
        <v>0</v>
      </c>
      <c r="AV27" s="743">
        <f>+AU27/$J27</f>
        <v>0</v>
      </c>
      <c r="AW27" s="741"/>
      <c r="AX27" s="742">
        <f>SUM(AX28:AX33)</f>
        <v>0</v>
      </c>
      <c r="AY27" s="743">
        <f>+AX27/$J27</f>
        <v>0</v>
      </c>
      <c r="AZ27" s="741"/>
      <c r="BA27" s="742">
        <f>SUM(BA28:BA33)</f>
        <v>0</v>
      </c>
      <c r="BB27" s="743">
        <f>+BA27/$J27</f>
        <v>0</v>
      </c>
      <c r="BC27" s="741"/>
      <c r="BD27" s="742">
        <f>SUM(BD28:BD33)</f>
        <v>0</v>
      </c>
      <c r="BE27" s="743">
        <f>+BD27/$J27</f>
        <v>0</v>
      </c>
      <c r="BF27" s="741"/>
      <c r="BG27" s="742">
        <f>SUM(BG28:BG33)</f>
        <v>0</v>
      </c>
      <c r="BH27" s="743">
        <f>+BG27/$J27</f>
        <v>0</v>
      </c>
    </row>
    <row r="28" spans="1:60" ht="14.25">
      <c r="A28" s="509" t="e">
        <f t="shared" si="16"/>
        <v>#REF!</v>
      </c>
      <c r="B28" s="510">
        <f t="shared" si="17"/>
        <v>0</v>
      </c>
      <c r="C28" s="512" t="e">
        <f t="shared" si="18"/>
        <v>#REF!</v>
      </c>
      <c r="D28" s="513" t="str">
        <f>+E27&amp;". "&amp;F27</f>
        <v>3. REHABILITACION Y MANTENIMIENTO</v>
      </c>
      <c r="E28" s="537">
        <v>12</v>
      </c>
      <c r="F28" s="412" t="s">
        <v>310</v>
      </c>
      <c r="G28" s="530" t="s">
        <v>88</v>
      </c>
      <c r="H28" s="531">
        <v>61360</v>
      </c>
      <c r="I28" s="532">
        <v>18.399999999999999</v>
      </c>
      <c r="J28" s="26">
        <f t="shared" ref="J28:J33" si="49">ROUND(H28*I28,2)</f>
        <v>1129024</v>
      </c>
      <c r="K28" s="21">
        <f>SUMIF($V$3:$BH$3,       "&lt;"&amp;Datos!$C$20,       V28:BH28)</f>
        <v>0</v>
      </c>
      <c r="L28" s="28">
        <f>SUMIF($V$2:$CH$2,"&lt;"&amp;Datos!$C$20,V28:CH28)</f>
        <v>0</v>
      </c>
      <c r="M28" s="533">
        <f>LOOKUP(Datos!$C$20,    'Cant. Ejec,'!$V$3:$BH$3,      'Cant. Ejec,'!$V28:$BH28)</f>
        <v>0</v>
      </c>
      <c r="N28" s="515">
        <f>LOOKUP(Datos!$C$20,    'Cant. Ejec,'!$V$2:$BH$2,      'Cant. Ejec,'!$V28:$BH28)</f>
        <v>0</v>
      </c>
      <c r="O28" s="21">
        <f>SUMIF($V$3:$CH$3,                                                    "&lt;"&amp;(Datos!$C$20+1),V28:CL28)</f>
        <v>0</v>
      </c>
      <c r="P28" s="515">
        <f>SUMIF($V$2:$CH$2,                    "&lt;"&amp;(Datos!$C$20+1),V28:CL28)</f>
        <v>0</v>
      </c>
      <c r="Q28" s="21">
        <f t="shared" ref="Q28:Q33" si="50">H28-O28</f>
        <v>61360</v>
      </c>
      <c r="R28" s="515">
        <f t="shared" ref="R28:R33" si="51">+J28-P28</f>
        <v>1129024</v>
      </c>
      <c r="S28" s="425">
        <f t="shared" ref="S28:S33" si="52">(N28/J28)</f>
        <v>0</v>
      </c>
      <c r="T28" s="425">
        <f t="shared" ref="T28:T33" si="53">(P28/J28)</f>
        <v>0</v>
      </c>
      <c r="U28" s="729">
        <f t="shared" ref="U28:U33" si="54">(R28/J28)</f>
        <v>1</v>
      </c>
      <c r="V28" s="747"/>
      <c r="W28" s="748">
        <f t="shared" ref="W28:W33" si="55">ROUND(V28*$I28,2)</f>
        <v>0</v>
      </c>
      <c r="X28" s="749">
        <f t="shared" si="3"/>
        <v>0</v>
      </c>
      <c r="Y28" s="747"/>
      <c r="Z28" s="748">
        <f t="shared" ref="Z28:Z33" si="56">ROUND(Y28*$I28,2)</f>
        <v>0</v>
      </c>
      <c r="AA28" s="749">
        <f t="shared" si="4"/>
        <v>0</v>
      </c>
      <c r="AB28" s="747"/>
      <c r="AC28" s="748">
        <f t="shared" ref="AC28:AC33" si="57">ROUND(AB28*$I28,2)</f>
        <v>0</v>
      </c>
      <c r="AD28" s="749">
        <f t="shared" si="5"/>
        <v>0</v>
      </c>
      <c r="AE28" s="747"/>
      <c r="AF28" s="748">
        <f t="shared" ref="AF28:AF33" si="58">ROUND(AE28*$I28,2)</f>
        <v>0</v>
      </c>
      <c r="AG28" s="749">
        <f t="shared" si="6"/>
        <v>0</v>
      </c>
      <c r="AH28" s="747"/>
      <c r="AI28" s="748">
        <f t="shared" ref="AI28:AI33" si="59">ROUND(AH28*$I28,2)</f>
        <v>0</v>
      </c>
      <c r="AJ28" s="749">
        <f t="shared" si="7"/>
        <v>0</v>
      </c>
      <c r="AK28" s="747"/>
      <c r="AL28" s="748">
        <f t="shared" ref="AL28:AL33" si="60">ROUND(AK28*$I28,2)</f>
        <v>0</v>
      </c>
      <c r="AM28" s="749">
        <f t="shared" ref="AM28:AM33" si="61">+AL28/$J28</f>
        <v>0</v>
      </c>
      <c r="AN28" s="747"/>
      <c r="AO28" s="748">
        <f t="shared" ref="AO28:AO33" si="62">ROUND(AN28*$I28,2)</f>
        <v>0</v>
      </c>
      <c r="AP28" s="749">
        <f t="shared" ref="AP28:AP33" si="63">+AO28/$J28</f>
        <v>0</v>
      </c>
      <c r="AQ28" s="747"/>
      <c r="AR28" s="748">
        <f t="shared" ref="AR28:AR33" si="64">ROUND(AQ28*$I28,2)</f>
        <v>0</v>
      </c>
      <c r="AS28" s="749">
        <f t="shared" ref="AS28:AS33" si="65">+AR28/$J28</f>
        <v>0</v>
      </c>
      <c r="AT28" s="747"/>
      <c r="AU28" s="748">
        <f t="shared" ref="AU28:AU33" si="66">ROUND(AT28*$I28,2)</f>
        <v>0</v>
      </c>
      <c r="AV28" s="749">
        <f t="shared" ref="AV28:AV33" si="67">+AU28/$J28</f>
        <v>0</v>
      </c>
      <c r="AW28" s="747"/>
      <c r="AX28" s="748">
        <f t="shared" ref="AX28:AX33" si="68">ROUND(AW28*$I28,2)</f>
        <v>0</v>
      </c>
      <c r="AY28" s="749">
        <f t="shared" ref="AY28:AY33" si="69">+AX28/$J28</f>
        <v>0</v>
      </c>
      <c r="AZ28" s="747"/>
      <c r="BA28" s="748">
        <f t="shared" ref="BA28:BA33" si="70">ROUND(AZ28*$I28,2)</f>
        <v>0</v>
      </c>
      <c r="BB28" s="749">
        <f t="shared" ref="BB28:BB33" si="71">+BA28/$J28</f>
        <v>0</v>
      </c>
      <c r="BC28" s="747"/>
      <c r="BD28" s="748">
        <f t="shared" ref="BD28:BD33" si="72">ROUND(BC28*$I28,2)</f>
        <v>0</v>
      </c>
      <c r="BE28" s="749">
        <f t="shared" ref="BE28:BE33" si="73">+BD28/$J28</f>
        <v>0</v>
      </c>
      <c r="BF28" s="747"/>
      <c r="BG28" s="748">
        <f t="shared" ref="BG28:BG33" si="74">ROUND(BF28*$I28,2)</f>
        <v>0</v>
      </c>
      <c r="BH28" s="749">
        <f t="shared" ref="BH28:BH33" si="75">+BG28/$J28</f>
        <v>0</v>
      </c>
    </row>
    <row r="29" spans="1:60" ht="14.25">
      <c r="A29" s="509" t="e">
        <f t="shared" si="16"/>
        <v>#REF!</v>
      </c>
      <c r="B29" s="510">
        <f t="shared" si="17"/>
        <v>0</v>
      </c>
      <c r="C29" s="512" t="e">
        <f t="shared" si="18"/>
        <v>#REF!</v>
      </c>
      <c r="D29" s="513" t="str">
        <f>+D28</f>
        <v>3. REHABILITACION Y MANTENIMIENTO</v>
      </c>
      <c r="E29" s="537">
        <v>13</v>
      </c>
      <c r="F29" s="412" t="s">
        <v>311</v>
      </c>
      <c r="G29" s="530" t="s">
        <v>86</v>
      </c>
      <c r="H29" s="531">
        <v>9907</v>
      </c>
      <c r="I29" s="532">
        <v>129.19</v>
      </c>
      <c r="J29" s="26">
        <f t="shared" si="49"/>
        <v>1279885.33</v>
      </c>
      <c r="K29" s="21">
        <f>SUMIF($V$3:$BH$3,       "&lt;"&amp;Datos!$C$20,       V29:BH29)</f>
        <v>0</v>
      </c>
      <c r="L29" s="28">
        <f>SUMIF($V$2:$CH$2,"&lt;"&amp;Datos!$C$20,V29:CH29)</f>
        <v>0</v>
      </c>
      <c r="M29" s="533">
        <f>LOOKUP(Datos!$C$20,    'Cant. Ejec,'!$V$3:$BH$3,      'Cant. Ejec,'!$V29:$BH29)</f>
        <v>0</v>
      </c>
      <c r="N29" s="515">
        <f>LOOKUP(Datos!$C$20,    'Cant. Ejec,'!$V$2:$BH$2,      'Cant. Ejec,'!$V29:$BH29)</f>
        <v>0</v>
      </c>
      <c r="O29" s="21">
        <f>SUMIF($V$3:$CH$3,                                                    "&lt;"&amp;(Datos!$C$20+1),V29:CL29)</f>
        <v>0</v>
      </c>
      <c r="P29" s="515">
        <f>SUMIF($V$2:$CH$2,                    "&lt;"&amp;(Datos!$C$20+1),V29:CL29)</f>
        <v>0</v>
      </c>
      <c r="Q29" s="21">
        <f t="shared" si="50"/>
        <v>9907</v>
      </c>
      <c r="R29" s="515">
        <f t="shared" si="51"/>
        <v>1279885.33</v>
      </c>
      <c r="S29" s="425">
        <f t="shared" si="52"/>
        <v>0</v>
      </c>
      <c r="T29" s="425">
        <f t="shared" si="53"/>
        <v>0</v>
      </c>
      <c r="U29" s="729">
        <f t="shared" si="54"/>
        <v>1</v>
      </c>
      <c r="V29" s="747"/>
      <c r="W29" s="748">
        <f t="shared" si="55"/>
        <v>0</v>
      </c>
      <c r="X29" s="749">
        <f t="shared" si="3"/>
        <v>0</v>
      </c>
      <c r="Y29" s="747"/>
      <c r="Z29" s="748">
        <f t="shared" si="56"/>
        <v>0</v>
      </c>
      <c r="AA29" s="749">
        <f t="shared" si="4"/>
        <v>0</v>
      </c>
      <c r="AB29" s="747"/>
      <c r="AC29" s="748">
        <f t="shared" si="57"/>
        <v>0</v>
      </c>
      <c r="AD29" s="749">
        <f t="shared" si="5"/>
        <v>0</v>
      </c>
      <c r="AE29" s="747"/>
      <c r="AF29" s="748">
        <f t="shared" si="58"/>
        <v>0</v>
      </c>
      <c r="AG29" s="749">
        <f t="shared" si="6"/>
        <v>0</v>
      </c>
      <c r="AH29" s="747"/>
      <c r="AI29" s="748">
        <f t="shared" si="59"/>
        <v>0</v>
      </c>
      <c r="AJ29" s="749">
        <f t="shared" si="7"/>
        <v>0</v>
      </c>
      <c r="AK29" s="747"/>
      <c r="AL29" s="748">
        <f t="shared" si="60"/>
        <v>0</v>
      </c>
      <c r="AM29" s="749">
        <f t="shared" si="61"/>
        <v>0</v>
      </c>
      <c r="AN29" s="747"/>
      <c r="AO29" s="748">
        <f t="shared" si="62"/>
        <v>0</v>
      </c>
      <c r="AP29" s="749">
        <f t="shared" si="63"/>
        <v>0</v>
      </c>
      <c r="AQ29" s="747"/>
      <c r="AR29" s="748">
        <f t="shared" si="64"/>
        <v>0</v>
      </c>
      <c r="AS29" s="749">
        <f t="shared" si="65"/>
        <v>0</v>
      </c>
      <c r="AT29" s="747"/>
      <c r="AU29" s="748">
        <f t="shared" si="66"/>
        <v>0</v>
      </c>
      <c r="AV29" s="749">
        <f t="shared" si="67"/>
        <v>0</v>
      </c>
      <c r="AW29" s="747"/>
      <c r="AX29" s="748">
        <f t="shared" si="68"/>
        <v>0</v>
      </c>
      <c r="AY29" s="749">
        <f t="shared" si="69"/>
        <v>0</v>
      </c>
      <c r="AZ29" s="747"/>
      <c r="BA29" s="748">
        <f t="shared" si="70"/>
        <v>0</v>
      </c>
      <c r="BB29" s="749">
        <f t="shared" si="71"/>
        <v>0</v>
      </c>
      <c r="BC29" s="747"/>
      <c r="BD29" s="748">
        <f t="shared" si="72"/>
        <v>0</v>
      </c>
      <c r="BE29" s="749">
        <f t="shared" si="73"/>
        <v>0</v>
      </c>
      <c r="BF29" s="747"/>
      <c r="BG29" s="748">
        <f t="shared" si="74"/>
        <v>0</v>
      </c>
      <c r="BH29" s="749">
        <f t="shared" si="75"/>
        <v>0</v>
      </c>
    </row>
    <row r="30" spans="1:60" ht="14.25">
      <c r="A30" s="509" t="e">
        <f t="shared" si="16"/>
        <v>#REF!</v>
      </c>
      <c r="B30" s="510">
        <f t="shared" si="17"/>
        <v>0</v>
      </c>
      <c r="C30" s="512" t="e">
        <f t="shared" si="18"/>
        <v>#REF!</v>
      </c>
      <c r="D30" s="513" t="str">
        <f>+D29</f>
        <v>3. REHABILITACION Y MANTENIMIENTO</v>
      </c>
      <c r="E30" s="537">
        <v>14</v>
      </c>
      <c r="F30" s="415" t="s">
        <v>312</v>
      </c>
      <c r="G30" s="411" t="s">
        <v>305</v>
      </c>
      <c r="H30" s="17">
        <v>6.14</v>
      </c>
      <c r="I30" s="405">
        <v>8520.98</v>
      </c>
      <c r="J30" s="26">
        <f t="shared" si="49"/>
        <v>52318.82</v>
      </c>
      <c r="K30" s="21">
        <f>SUMIF($V$3:$BH$3,       "&lt;"&amp;Datos!$C$20,       V30:BH30)</f>
        <v>0</v>
      </c>
      <c r="L30" s="28">
        <f>SUMIF($V$2:$CH$2,"&lt;"&amp;Datos!$C$20,V30:CH30)</f>
        <v>0</v>
      </c>
      <c r="M30" s="533">
        <f>LOOKUP(Datos!$C$20,    'Cant. Ejec,'!$V$3:$BH$3,      'Cant. Ejec,'!$V30:$BH30)</f>
        <v>0</v>
      </c>
      <c r="N30" s="515">
        <f>LOOKUP(Datos!$C$20,    'Cant. Ejec,'!$V$2:$BH$2,      'Cant. Ejec,'!$V30:$BH30)</f>
        <v>0</v>
      </c>
      <c r="O30" s="21">
        <f>SUMIF($V$3:$CH$3,                                                    "&lt;"&amp;(Datos!$C$20+1),V30:CL30)</f>
        <v>0</v>
      </c>
      <c r="P30" s="515">
        <f>SUMIF($V$2:$CH$2,                    "&lt;"&amp;(Datos!$C$20+1),V30:CL30)</f>
        <v>0</v>
      </c>
      <c r="Q30" s="21">
        <f t="shared" si="50"/>
        <v>6.14</v>
      </c>
      <c r="R30" s="515">
        <f t="shared" si="51"/>
        <v>52318.82</v>
      </c>
      <c r="S30" s="425">
        <f t="shared" si="52"/>
        <v>0</v>
      </c>
      <c r="T30" s="425">
        <f t="shared" si="53"/>
        <v>0</v>
      </c>
      <c r="U30" s="729">
        <f t="shared" si="54"/>
        <v>1</v>
      </c>
      <c r="V30" s="747"/>
      <c r="W30" s="748">
        <f t="shared" si="55"/>
        <v>0</v>
      </c>
      <c r="X30" s="749">
        <f t="shared" si="3"/>
        <v>0</v>
      </c>
      <c r="Y30" s="747"/>
      <c r="Z30" s="748">
        <f t="shared" si="56"/>
        <v>0</v>
      </c>
      <c r="AA30" s="749">
        <f t="shared" si="4"/>
        <v>0</v>
      </c>
      <c r="AB30" s="747"/>
      <c r="AC30" s="748">
        <f t="shared" si="57"/>
        <v>0</v>
      </c>
      <c r="AD30" s="749">
        <f t="shared" si="5"/>
        <v>0</v>
      </c>
      <c r="AE30" s="747"/>
      <c r="AF30" s="748">
        <f t="shared" si="58"/>
        <v>0</v>
      </c>
      <c r="AG30" s="749">
        <f t="shared" si="6"/>
        <v>0</v>
      </c>
      <c r="AH30" s="747"/>
      <c r="AI30" s="748">
        <f t="shared" si="59"/>
        <v>0</v>
      </c>
      <c r="AJ30" s="749">
        <f t="shared" si="7"/>
        <v>0</v>
      </c>
      <c r="AK30" s="747"/>
      <c r="AL30" s="748">
        <f t="shared" si="60"/>
        <v>0</v>
      </c>
      <c r="AM30" s="749">
        <f t="shared" si="61"/>
        <v>0</v>
      </c>
      <c r="AN30" s="747"/>
      <c r="AO30" s="748">
        <f t="shared" si="62"/>
        <v>0</v>
      </c>
      <c r="AP30" s="749">
        <f t="shared" si="63"/>
        <v>0</v>
      </c>
      <c r="AQ30" s="747"/>
      <c r="AR30" s="748">
        <f t="shared" si="64"/>
        <v>0</v>
      </c>
      <c r="AS30" s="749">
        <f t="shared" si="65"/>
        <v>0</v>
      </c>
      <c r="AT30" s="747"/>
      <c r="AU30" s="748">
        <f t="shared" si="66"/>
        <v>0</v>
      </c>
      <c r="AV30" s="749">
        <f t="shared" si="67"/>
        <v>0</v>
      </c>
      <c r="AW30" s="747"/>
      <c r="AX30" s="748">
        <f t="shared" si="68"/>
        <v>0</v>
      </c>
      <c r="AY30" s="749">
        <f t="shared" si="69"/>
        <v>0</v>
      </c>
      <c r="AZ30" s="747"/>
      <c r="BA30" s="748">
        <f t="shared" si="70"/>
        <v>0</v>
      </c>
      <c r="BB30" s="749">
        <f t="shared" si="71"/>
        <v>0</v>
      </c>
      <c r="BC30" s="747"/>
      <c r="BD30" s="748">
        <f t="shared" si="72"/>
        <v>0</v>
      </c>
      <c r="BE30" s="749">
        <f t="shared" si="73"/>
        <v>0</v>
      </c>
      <c r="BF30" s="747"/>
      <c r="BG30" s="748">
        <f t="shared" si="74"/>
        <v>0</v>
      </c>
      <c r="BH30" s="749">
        <f t="shared" si="75"/>
        <v>0</v>
      </c>
    </row>
    <row r="31" spans="1:60" ht="14.25">
      <c r="A31" s="509" t="e">
        <f t="shared" si="16"/>
        <v>#REF!</v>
      </c>
      <c r="B31" s="510">
        <f t="shared" si="17"/>
        <v>0</v>
      </c>
      <c r="C31" s="512" t="e">
        <f t="shared" si="18"/>
        <v>#REF!</v>
      </c>
      <c r="D31" s="513" t="str">
        <f>+D30</f>
        <v>3. REHABILITACION Y MANTENIMIENTO</v>
      </c>
      <c r="E31" s="537">
        <v>15</v>
      </c>
      <c r="F31" s="408" t="s">
        <v>313</v>
      </c>
      <c r="G31" s="411" t="s">
        <v>305</v>
      </c>
      <c r="H31" s="17">
        <v>69.349999999999994</v>
      </c>
      <c r="I31" s="405">
        <v>8520.98</v>
      </c>
      <c r="J31" s="26">
        <f t="shared" si="49"/>
        <v>590929.96</v>
      </c>
      <c r="K31" s="21">
        <f>SUMIF($V$3:$BH$3,       "&lt;"&amp;Datos!$C$20,       V31:BH31)</f>
        <v>0</v>
      </c>
      <c r="L31" s="28">
        <f>SUMIF($V$2:$CH$2,"&lt;"&amp;Datos!$C$20,V31:CH31)</f>
        <v>0</v>
      </c>
      <c r="M31" s="533">
        <f>LOOKUP(Datos!$C$20,    'Cant. Ejec,'!$V$3:$BH$3,      'Cant. Ejec,'!$V31:$BH31)</f>
        <v>0</v>
      </c>
      <c r="N31" s="515">
        <f>LOOKUP(Datos!$C$20,    'Cant. Ejec,'!$V$2:$BH$2,      'Cant. Ejec,'!$V31:$BH31)</f>
        <v>0</v>
      </c>
      <c r="O31" s="21">
        <f>SUMIF($V$3:$CH$3,                                                    "&lt;"&amp;(Datos!$C$20+1),V31:CL31)</f>
        <v>0</v>
      </c>
      <c r="P31" s="515">
        <f>SUMIF($V$2:$CH$2,                    "&lt;"&amp;(Datos!$C$20+1),V31:CL31)</f>
        <v>0</v>
      </c>
      <c r="Q31" s="21">
        <f t="shared" si="50"/>
        <v>69.349999999999994</v>
      </c>
      <c r="R31" s="515">
        <f t="shared" si="51"/>
        <v>590929.96</v>
      </c>
      <c r="S31" s="425">
        <f t="shared" si="52"/>
        <v>0</v>
      </c>
      <c r="T31" s="425">
        <f t="shared" si="53"/>
        <v>0</v>
      </c>
      <c r="U31" s="729">
        <f t="shared" si="54"/>
        <v>1</v>
      </c>
      <c r="V31" s="747"/>
      <c r="W31" s="748">
        <f t="shared" si="55"/>
        <v>0</v>
      </c>
      <c r="X31" s="749">
        <f t="shared" si="3"/>
        <v>0</v>
      </c>
      <c r="Y31" s="747"/>
      <c r="Z31" s="748">
        <f t="shared" si="56"/>
        <v>0</v>
      </c>
      <c r="AA31" s="749">
        <f t="shared" si="4"/>
        <v>0</v>
      </c>
      <c r="AB31" s="747"/>
      <c r="AC31" s="748">
        <f t="shared" si="57"/>
        <v>0</v>
      </c>
      <c r="AD31" s="749">
        <f t="shared" si="5"/>
        <v>0</v>
      </c>
      <c r="AE31" s="747"/>
      <c r="AF31" s="748">
        <f t="shared" si="58"/>
        <v>0</v>
      </c>
      <c r="AG31" s="749">
        <f t="shared" si="6"/>
        <v>0</v>
      </c>
      <c r="AH31" s="747"/>
      <c r="AI31" s="748">
        <f t="shared" si="59"/>
        <v>0</v>
      </c>
      <c r="AJ31" s="749">
        <f t="shared" si="7"/>
        <v>0</v>
      </c>
      <c r="AK31" s="747"/>
      <c r="AL31" s="748">
        <f t="shared" si="60"/>
        <v>0</v>
      </c>
      <c r="AM31" s="749">
        <f t="shared" si="61"/>
        <v>0</v>
      </c>
      <c r="AN31" s="747"/>
      <c r="AO31" s="748">
        <f t="shared" si="62"/>
        <v>0</v>
      </c>
      <c r="AP31" s="749">
        <f t="shared" si="63"/>
        <v>0</v>
      </c>
      <c r="AQ31" s="747"/>
      <c r="AR31" s="748">
        <f t="shared" si="64"/>
        <v>0</v>
      </c>
      <c r="AS31" s="749">
        <f t="shared" si="65"/>
        <v>0</v>
      </c>
      <c r="AT31" s="747"/>
      <c r="AU31" s="748">
        <f t="shared" si="66"/>
        <v>0</v>
      </c>
      <c r="AV31" s="749">
        <f t="shared" si="67"/>
        <v>0</v>
      </c>
      <c r="AW31" s="747"/>
      <c r="AX31" s="748">
        <f t="shared" si="68"/>
        <v>0</v>
      </c>
      <c r="AY31" s="749">
        <f t="shared" si="69"/>
        <v>0</v>
      </c>
      <c r="AZ31" s="747"/>
      <c r="BA31" s="748">
        <f t="shared" si="70"/>
        <v>0</v>
      </c>
      <c r="BB31" s="749">
        <f t="shared" si="71"/>
        <v>0</v>
      </c>
      <c r="BC31" s="747"/>
      <c r="BD31" s="748">
        <f t="shared" si="72"/>
        <v>0</v>
      </c>
      <c r="BE31" s="749">
        <f t="shared" si="73"/>
        <v>0</v>
      </c>
      <c r="BF31" s="747"/>
      <c r="BG31" s="748">
        <f t="shared" si="74"/>
        <v>0</v>
      </c>
      <c r="BH31" s="749">
        <f t="shared" si="75"/>
        <v>0</v>
      </c>
    </row>
    <row r="32" spans="1:60" ht="14.25">
      <c r="A32" s="509" t="e">
        <f t="shared" si="16"/>
        <v>#REF!</v>
      </c>
      <c r="B32" s="510">
        <f t="shared" si="17"/>
        <v>0</v>
      </c>
      <c r="C32" s="512" t="e">
        <f t="shared" si="18"/>
        <v>#REF!</v>
      </c>
      <c r="D32" s="513" t="str">
        <f>+D31</f>
        <v>3. REHABILITACION Y MANTENIMIENTO</v>
      </c>
      <c r="E32" s="537">
        <v>16</v>
      </c>
      <c r="F32" s="408" t="s">
        <v>314</v>
      </c>
      <c r="G32" s="411" t="s">
        <v>86</v>
      </c>
      <c r="H32" s="17">
        <v>180894</v>
      </c>
      <c r="I32" s="405">
        <v>65.069999999999993</v>
      </c>
      <c r="J32" s="26">
        <f t="shared" si="49"/>
        <v>11770772.58</v>
      </c>
      <c r="K32" s="21">
        <f>SUMIF($V$3:$BH$3,       "&lt;"&amp;Datos!$C$20,       V32:BH32)</f>
        <v>0</v>
      </c>
      <c r="L32" s="28">
        <f>SUMIF($V$2:$CH$2,"&lt;"&amp;Datos!$C$20,V32:CH32)</f>
        <v>0</v>
      </c>
      <c r="M32" s="533">
        <f>LOOKUP(Datos!$C$20,    'Cant. Ejec,'!$V$3:$BH$3,      'Cant. Ejec,'!$V32:$BH32)</f>
        <v>0</v>
      </c>
      <c r="N32" s="515">
        <f>LOOKUP(Datos!$C$20,    'Cant. Ejec,'!$V$2:$BH$2,      'Cant. Ejec,'!$V32:$BH32)</f>
        <v>0</v>
      </c>
      <c r="O32" s="21">
        <f>SUMIF($V$3:$CH$3,                                                    "&lt;"&amp;(Datos!$C$20+1),V32:CL32)</f>
        <v>0</v>
      </c>
      <c r="P32" s="515">
        <f>SUMIF($V$2:$CH$2,                    "&lt;"&amp;(Datos!$C$20+1),V32:CL32)</f>
        <v>0</v>
      </c>
      <c r="Q32" s="21">
        <f t="shared" si="50"/>
        <v>180894</v>
      </c>
      <c r="R32" s="515">
        <f t="shared" si="51"/>
        <v>11770772.58</v>
      </c>
      <c r="S32" s="425">
        <f t="shared" si="52"/>
        <v>0</v>
      </c>
      <c r="T32" s="425">
        <f t="shared" si="53"/>
        <v>0</v>
      </c>
      <c r="U32" s="729">
        <f t="shared" si="54"/>
        <v>1</v>
      </c>
      <c r="V32" s="747"/>
      <c r="W32" s="748">
        <f t="shared" si="55"/>
        <v>0</v>
      </c>
      <c r="X32" s="749">
        <f t="shared" si="3"/>
        <v>0</v>
      </c>
      <c r="Y32" s="747"/>
      <c r="Z32" s="748">
        <f t="shared" si="56"/>
        <v>0</v>
      </c>
      <c r="AA32" s="749">
        <f t="shared" si="4"/>
        <v>0</v>
      </c>
      <c r="AB32" s="747"/>
      <c r="AC32" s="748">
        <f t="shared" si="57"/>
        <v>0</v>
      </c>
      <c r="AD32" s="749">
        <f t="shared" si="5"/>
        <v>0</v>
      </c>
      <c r="AE32" s="747"/>
      <c r="AF32" s="748">
        <f t="shared" si="58"/>
        <v>0</v>
      </c>
      <c r="AG32" s="749">
        <f t="shared" si="6"/>
        <v>0</v>
      </c>
      <c r="AH32" s="747"/>
      <c r="AI32" s="748">
        <f t="shared" si="59"/>
        <v>0</v>
      </c>
      <c r="AJ32" s="749">
        <f t="shared" si="7"/>
        <v>0</v>
      </c>
      <c r="AK32" s="747"/>
      <c r="AL32" s="748">
        <f t="shared" si="60"/>
        <v>0</v>
      </c>
      <c r="AM32" s="749">
        <f t="shared" si="61"/>
        <v>0</v>
      </c>
      <c r="AN32" s="747"/>
      <c r="AO32" s="748">
        <f t="shared" si="62"/>
        <v>0</v>
      </c>
      <c r="AP32" s="749">
        <f t="shared" si="63"/>
        <v>0</v>
      </c>
      <c r="AQ32" s="747"/>
      <c r="AR32" s="748">
        <f t="shared" si="64"/>
        <v>0</v>
      </c>
      <c r="AS32" s="749">
        <f t="shared" si="65"/>
        <v>0</v>
      </c>
      <c r="AT32" s="747"/>
      <c r="AU32" s="748">
        <f t="shared" si="66"/>
        <v>0</v>
      </c>
      <c r="AV32" s="749">
        <f t="shared" si="67"/>
        <v>0</v>
      </c>
      <c r="AW32" s="747"/>
      <c r="AX32" s="748">
        <f t="shared" si="68"/>
        <v>0</v>
      </c>
      <c r="AY32" s="749">
        <f t="shared" si="69"/>
        <v>0</v>
      </c>
      <c r="AZ32" s="747"/>
      <c r="BA32" s="748">
        <f t="shared" si="70"/>
        <v>0</v>
      </c>
      <c r="BB32" s="749">
        <f t="shared" si="71"/>
        <v>0</v>
      </c>
      <c r="BC32" s="747"/>
      <c r="BD32" s="748">
        <f t="shared" si="72"/>
        <v>0</v>
      </c>
      <c r="BE32" s="749">
        <f t="shared" si="73"/>
        <v>0</v>
      </c>
      <c r="BF32" s="747"/>
      <c r="BG32" s="748">
        <f t="shared" si="74"/>
        <v>0</v>
      </c>
      <c r="BH32" s="749">
        <f t="shared" si="75"/>
        <v>0</v>
      </c>
    </row>
    <row r="33" spans="1:60" ht="14.25">
      <c r="A33" s="509" t="e">
        <f t="shared" si="16"/>
        <v>#REF!</v>
      </c>
      <c r="B33" s="510">
        <f t="shared" si="17"/>
        <v>0</v>
      </c>
      <c r="C33" s="512" t="e">
        <f t="shared" si="18"/>
        <v>#REF!</v>
      </c>
      <c r="D33" s="513" t="str">
        <f>+D32</f>
        <v>3. REHABILITACION Y MANTENIMIENTO</v>
      </c>
      <c r="E33" s="537">
        <v>17</v>
      </c>
      <c r="F33" s="408" t="s">
        <v>315</v>
      </c>
      <c r="G33" s="411" t="s">
        <v>86</v>
      </c>
      <c r="H33" s="17">
        <v>99120</v>
      </c>
      <c r="I33" s="405">
        <v>36.15</v>
      </c>
      <c r="J33" s="26">
        <f t="shared" si="49"/>
        <v>3583188</v>
      </c>
      <c r="K33" s="21">
        <f>SUMIF($V$3:$BH$3,       "&lt;"&amp;Datos!$C$20,       V33:BH33)</f>
        <v>0</v>
      </c>
      <c r="L33" s="28">
        <f>SUMIF($V$2:$CH$2,"&lt;"&amp;Datos!$C$20,V33:CH33)</f>
        <v>0</v>
      </c>
      <c r="M33" s="533">
        <f>LOOKUP(Datos!$C$20,    'Cant. Ejec,'!$V$3:$BH$3,      'Cant. Ejec,'!$V33:$BH33)</f>
        <v>0</v>
      </c>
      <c r="N33" s="515">
        <f>LOOKUP(Datos!$C$20,    'Cant. Ejec,'!$V$2:$BH$2,      'Cant. Ejec,'!$V33:$BH33)</f>
        <v>0</v>
      </c>
      <c r="O33" s="21">
        <f>SUMIF($V$3:$CH$3,                                                    "&lt;"&amp;(Datos!$C$20+1),V33:CL33)</f>
        <v>0</v>
      </c>
      <c r="P33" s="515">
        <f>SUMIF($V$2:$CH$2,                    "&lt;"&amp;(Datos!$C$20+1),V33:CL33)</f>
        <v>0</v>
      </c>
      <c r="Q33" s="21">
        <f t="shared" si="50"/>
        <v>99120</v>
      </c>
      <c r="R33" s="515">
        <f t="shared" si="51"/>
        <v>3583188</v>
      </c>
      <c r="S33" s="425">
        <f t="shared" si="52"/>
        <v>0</v>
      </c>
      <c r="T33" s="425">
        <f t="shared" si="53"/>
        <v>0</v>
      </c>
      <c r="U33" s="729">
        <f t="shared" si="54"/>
        <v>1</v>
      </c>
      <c r="V33" s="747"/>
      <c r="W33" s="748">
        <f t="shared" si="55"/>
        <v>0</v>
      </c>
      <c r="X33" s="749">
        <f t="shared" si="3"/>
        <v>0</v>
      </c>
      <c r="Y33" s="747"/>
      <c r="Z33" s="748">
        <f t="shared" si="56"/>
        <v>0</v>
      </c>
      <c r="AA33" s="749">
        <f t="shared" si="4"/>
        <v>0</v>
      </c>
      <c r="AB33" s="747"/>
      <c r="AC33" s="748">
        <f t="shared" si="57"/>
        <v>0</v>
      </c>
      <c r="AD33" s="749">
        <f t="shared" si="5"/>
        <v>0</v>
      </c>
      <c r="AE33" s="747"/>
      <c r="AF33" s="748">
        <f t="shared" si="58"/>
        <v>0</v>
      </c>
      <c r="AG33" s="749">
        <f t="shared" si="6"/>
        <v>0</v>
      </c>
      <c r="AH33" s="747"/>
      <c r="AI33" s="748">
        <f t="shared" si="59"/>
        <v>0</v>
      </c>
      <c r="AJ33" s="749">
        <f t="shared" si="7"/>
        <v>0</v>
      </c>
      <c r="AK33" s="747"/>
      <c r="AL33" s="748">
        <f t="shared" si="60"/>
        <v>0</v>
      </c>
      <c r="AM33" s="749">
        <f t="shared" si="61"/>
        <v>0</v>
      </c>
      <c r="AN33" s="747"/>
      <c r="AO33" s="748">
        <f t="shared" si="62"/>
        <v>0</v>
      </c>
      <c r="AP33" s="749">
        <f t="shared" si="63"/>
        <v>0</v>
      </c>
      <c r="AQ33" s="747"/>
      <c r="AR33" s="748">
        <f t="shared" si="64"/>
        <v>0</v>
      </c>
      <c r="AS33" s="749">
        <f t="shared" si="65"/>
        <v>0</v>
      </c>
      <c r="AT33" s="747"/>
      <c r="AU33" s="748">
        <f t="shared" si="66"/>
        <v>0</v>
      </c>
      <c r="AV33" s="749">
        <f t="shared" si="67"/>
        <v>0</v>
      </c>
      <c r="AW33" s="747"/>
      <c r="AX33" s="748">
        <f t="shared" si="68"/>
        <v>0</v>
      </c>
      <c r="AY33" s="749">
        <f t="shared" si="69"/>
        <v>0</v>
      </c>
      <c r="AZ33" s="747"/>
      <c r="BA33" s="748">
        <f t="shared" si="70"/>
        <v>0</v>
      </c>
      <c r="BB33" s="749">
        <f t="shared" si="71"/>
        <v>0</v>
      </c>
      <c r="BC33" s="747"/>
      <c r="BD33" s="748">
        <f t="shared" si="72"/>
        <v>0</v>
      </c>
      <c r="BE33" s="749">
        <f t="shared" si="73"/>
        <v>0</v>
      </c>
      <c r="BF33" s="747"/>
      <c r="BG33" s="748">
        <f t="shared" si="74"/>
        <v>0</v>
      </c>
      <c r="BH33" s="749">
        <f t="shared" si="75"/>
        <v>0</v>
      </c>
    </row>
    <row r="34" spans="1:60" s="31" customFormat="1" ht="14.25">
      <c r="A34" s="509" t="e">
        <f>+IF(B34&gt;0,B34+#REF!,IF(C34&gt;#REF!,C34,0))</f>
        <v>#REF!</v>
      </c>
      <c r="B34" s="510" t="e">
        <f>+IF(#REF!&gt;=0.01,1,0)</f>
        <v>#REF!</v>
      </c>
      <c r="C34" s="512" t="e">
        <f>+B34+#REF!</f>
        <v>#REF!</v>
      </c>
      <c r="D34" s="513"/>
      <c r="E34" s="536">
        <v>4</v>
      </c>
      <c r="F34" s="521" t="s">
        <v>87</v>
      </c>
      <c r="G34" s="548"/>
      <c r="H34" s="549"/>
      <c r="I34" s="550"/>
      <c r="J34" s="551">
        <f>SUM(J35:J75)</f>
        <v>17234447.400000002</v>
      </c>
      <c r="K34" s="552"/>
      <c r="L34" s="551">
        <f>SUM(L35:L75)</f>
        <v>12987</v>
      </c>
      <c r="M34" s="553"/>
      <c r="N34" s="551">
        <f>SUM(N35:N75)</f>
        <v>80219.7</v>
      </c>
      <c r="O34" s="552"/>
      <c r="P34" s="551">
        <f>SUM(P35:P75)</f>
        <v>93206.7</v>
      </c>
      <c r="Q34" s="553"/>
      <c r="R34" s="551">
        <f>SUM(R35:R74)</f>
        <v>16967314.800000001</v>
      </c>
      <c r="S34" s="571">
        <f>(N34/J34)</f>
        <v>4.6546139912788838E-3</v>
      </c>
      <c r="T34" s="642">
        <f>(P34/J34)</f>
        <v>5.4081629562430867E-3</v>
      </c>
      <c r="U34" s="728">
        <f>(R34/J34)</f>
        <v>0.98450007744373624</v>
      </c>
      <c r="V34" s="741"/>
      <c r="W34" s="742">
        <f>SUM(W35:W74)</f>
        <v>0</v>
      </c>
      <c r="X34" s="743">
        <f t="shared" si="3"/>
        <v>0</v>
      </c>
      <c r="Y34" s="741"/>
      <c r="Z34" s="742">
        <f>SUM(Z35:Z74)</f>
        <v>0</v>
      </c>
      <c r="AA34" s="743">
        <f t="shared" si="4"/>
        <v>0</v>
      </c>
      <c r="AB34" s="741"/>
      <c r="AC34" s="742">
        <f>SUM(AC35:AC74)</f>
        <v>0</v>
      </c>
      <c r="AD34" s="743">
        <f t="shared" si="5"/>
        <v>0</v>
      </c>
      <c r="AE34" s="741"/>
      <c r="AF34" s="742">
        <f>SUM(AF35:AF74)</f>
        <v>0</v>
      </c>
      <c r="AG34" s="743">
        <f t="shared" si="6"/>
        <v>0</v>
      </c>
      <c r="AH34" s="741"/>
      <c r="AI34" s="742">
        <f>SUM(AI35:AI75)</f>
        <v>0</v>
      </c>
      <c r="AJ34" s="743">
        <f>+AI34/$J34</f>
        <v>0</v>
      </c>
      <c r="AK34" s="741"/>
      <c r="AL34" s="742">
        <f>SUM(AL35:AL75)</f>
        <v>0</v>
      </c>
      <c r="AM34" s="743">
        <f>+AL34/$J34</f>
        <v>0</v>
      </c>
      <c r="AN34" s="741"/>
      <c r="AO34" s="742">
        <f>SUM(AO35:AO75)</f>
        <v>0</v>
      </c>
      <c r="AP34" s="743">
        <f>+AO34/$J34</f>
        <v>0</v>
      </c>
      <c r="AQ34" s="741"/>
      <c r="AR34" s="742">
        <f>SUM(AR35:AR75)</f>
        <v>0</v>
      </c>
      <c r="AS34" s="743">
        <f>+AR34/$J34</f>
        <v>0</v>
      </c>
      <c r="AT34" s="741"/>
      <c r="AU34" s="742">
        <f>SUM(AU35:AU75)</f>
        <v>0</v>
      </c>
      <c r="AV34" s="743">
        <f>+AU34/$J34</f>
        <v>0</v>
      </c>
      <c r="AW34" s="741"/>
      <c r="AX34" s="742">
        <f>SUM(AX35:AX75)</f>
        <v>12987</v>
      </c>
      <c r="AY34" s="743">
        <f>+AX34/$J34</f>
        <v>7.5354896496420288E-4</v>
      </c>
      <c r="AZ34" s="741"/>
      <c r="BA34" s="742">
        <f>SUM(BA35:BA75)</f>
        <v>80219.7</v>
      </c>
      <c r="BB34" s="743">
        <f>+BA34/$J34</f>
        <v>4.6546139912788838E-3</v>
      </c>
      <c r="BC34" s="741"/>
      <c r="BD34" s="742">
        <f>SUM(BD35:BD75)</f>
        <v>0</v>
      </c>
      <c r="BE34" s="743">
        <f>+BD34/$J34</f>
        <v>0</v>
      </c>
      <c r="BF34" s="741"/>
      <c r="BG34" s="742">
        <f>SUM(BG35:BG75)</f>
        <v>0</v>
      </c>
      <c r="BH34" s="743">
        <f>+BG34/$J34</f>
        <v>0</v>
      </c>
    </row>
    <row r="35" spans="1:60" ht="14.25">
      <c r="A35" s="509" t="e">
        <f t="shared" si="16"/>
        <v>#REF!</v>
      </c>
      <c r="B35" s="510">
        <f t="shared" si="17"/>
        <v>0</v>
      </c>
      <c r="C35" s="512" t="e">
        <f t="shared" si="18"/>
        <v>#REF!</v>
      </c>
      <c r="D35" s="513" t="str">
        <f>+E34&amp;". "&amp;F34</f>
        <v>4. OBRAS DE DRENAJE</v>
      </c>
      <c r="E35" s="537">
        <v>18</v>
      </c>
      <c r="F35" s="412" t="s">
        <v>316</v>
      </c>
      <c r="G35" s="427" t="s">
        <v>236</v>
      </c>
      <c r="H35" s="23">
        <v>5</v>
      </c>
      <c r="I35" s="23">
        <v>5170.03</v>
      </c>
      <c r="J35" s="24">
        <f>ROUND(H35*I35,2)</f>
        <v>25850.15</v>
      </c>
      <c r="K35" s="21">
        <f>SUMIF($V$3:$BH$3,       "&lt;"&amp;Datos!$C$20,       V35:BH35)</f>
        <v>0</v>
      </c>
      <c r="L35" s="28">
        <f>SUMIF($V$2:$CH$2,"&lt;"&amp;Datos!$C$20,V35:CH35)</f>
        <v>0</v>
      </c>
      <c r="M35" s="30">
        <f>LOOKUP(Datos!$C$20,    'Cant. Ejec,'!$V$3:$BH$3,      'Cant. Ejec,'!$V35:$BH35)</f>
        <v>0</v>
      </c>
      <c r="N35" s="30">
        <f>LOOKUP(Datos!$C$20,    'Cant. Ejec,'!$V$2:$BH$2,      'Cant. Ejec,'!$V35:$BH35)</f>
        <v>0</v>
      </c>
      <c r="O35" s="21">
        <f>SUMIF($V$3:$CH$3,                                                    "&lt;"&amp;(Datos!$C$20+1),V35:CL35)</f>
        <v>0</v>
      </c>
      <c r="P35" s="515">
        <f>SUMIF($V$2:$CH$2,                    "&lt;"&amp;(Datos!$C$20+1),V35:CL35)</f>
        <v>0</v>
      </c>
      <c r="Q35" s="21">
        <f t="shared" ref="Q35:Q92" si="76">H35-O35</f>
        <v>5</v>
      </c>
      <c r="R35" s="515">
        <f t="shared" ref="R35:R92" si="77">+J35-P35</f>
        <v>25850.15</v>
      </c>
      <c r="S35" s="425">
        <f t="shared" ref="S35:S92" si="78">(N35/J35)</f>
        <v>0</v>
      </c>
      <c r="T35" s="425">
        <f t="shared" ref="T35:T92" si="79">(P35/J35)</f>
        <v>0</v>
      </c>
      <c r="U35" s="729">
        <f t="shared" ref="U35:U92" si="80">(R35/J35)</f>
        <v>1</v>
      </c>
      <c r="V35" s="747"/>
      <c r="W35" s="748">
        <f t="shared" ref="W35:W40" si="81">ROUND(V35*$I35,2)</f>
        <v>0</v>
      </c>
      <c r="X35" s="749">
        <f t="shared" si="3"/>
        <v>0</v>
      </c>
      <c r="Y35" s="747"/>
      <c r="Z35" s="748">
        <f t="shared" ref="Z35:Z40" si="82">ROUND(Y35*$I35,2)</f>
        <v>0</v>
      </c>
      <c r="AA35" s="749">
        <f t="shared" si="4"/>
        <v>0</v>
      </c>
      <c r="AB35" s="747"/>
      <c r="AC35" s="748">
        <f t="shared" ref="AC35:AC40" si="83">ROUND(AB35*$I35,2)</f>
        <v>0</v>
      </c>
      <c r="AD35" s="749">
        <f t="shared" si="5"/>
        <v>0</v>
      </c>
      <c r="AE35" s="747"/>
      <c r="AF35" s="748">
        <f t="shared" ref="AF35:AF40" si="84">ROUND(AE35*$I35,2)</f>
        <v>0</v>
      </c>
      <c r="AG35" s="749">
        <f t="shared" si="6"/>
        <v>0</v>
      </c>
      <c r="AH35" s="747"/>
      <c r="AI35" s="748">
        <f t="shared" ref="AI35:AI40" si="85">ROUND(AH35*$I35,2)</f>
        <v>0</v>
      </c>
      <c r="AJ35" s="749">
        <f t="shared" si="7"/>
        <v>0</v>
      </c>
      <c r="AK35" s="747"/>
      <c r="AL35" s="748">
        <f t="shared" ref="AL35:AL75" si="86">ROUND(AK35*$I35,2)</f>
        <v>0</v>
      </c>
      <c r="AM35" s="749">
        <f t="shared" ref="AM35:AM73" si="87">+AL35/$J35</f>
        <v>0</v>
      </c>
      <c r="AN35" s="747"/>
      <c r="AO35" s="748">
        <f t="shared" ref="AO35:AO75" si="88">ROUND(AN35*$I35,2)</f>
        <v>0</v>
      </c>
      <c r="AP35" s="749">
        <f t="shared" ref="AP35:AP73" si="89">+AO35/$J35</f>
        <v>0</v>
      </c>
      <c r="AQ35" s="747"/>
      <c r="AR35" s="748">
        <f t="shared" ref="AR35:AR75" si="90">ROUND(AQ35*$I35,2)</f>
        <v>0</v>
      </c>
      <c r="AS35" s="749">
        <f t="shared" ref="AS35:AS73" si="91">+AR35/$J35</f>
        <v>0</v>
      </c>
      <c r="AT35" s="747"/>
      <c r="AU35" s="748">
        <f t="shared" ref="AU35:AU75" si="92">ROUND(AT35*$I35,2)</f>
        <v>0</v>
      </c>
      <c r="AV35" s="749">
        <f t="shared" ref="AV35:AV73" si="93">+AU35/$J35</f>
        <v>0</v>
      </c>
      <c r="AW35" s="747"/>
      <c r="AX35" s="748">
        <f t="shared" ref="AX35:AX75" si="94">ROUND(AW35*$I35,2)</f>
        <v>0</v>
      </c>
      <c r="AY35" s="749">
        <f t="shared" ref="AY35:AY73" si="95">+AX35/$J35</f>
        <v>0</v>
      </c>
      <c r="AZ35" s="747"/>
      <c r="BA35" s="748">
        <f t="shared" ref="BA35:BA75" si="96">ROUND(AZ35*$I35,2)</f>
        <v>0</v>
      </c>
      <c r="BB35" s="749">
        <f t="shared" ref="BB35:BB73" si="97">+BA35/$J35</f>
        <v>0</v>
      </c>
      <c r="BC35" s="747"/>
      <c r="BD35" s="748">
        <f t="shared" ref="BD35:BD75" si="98">ROUND(BC35*$I35,2)</f>
        <v>0</v>
      </c>
      <c r="BE35" s="749">
        <f t="shared" ref="BE35:BE73" si="99">+BD35/$J35</f>
        <v>0</v>
      </c>
      <c r="BF35" s="747"/>
      <c r="BG35" s="748">
        <f t="shared" ref="BG35:BG75" si="100">ROUND(BF35*$I35,2)</f>
        <v>0</v>
      </c>
      <c r="BH35" s="749">
        <f t="shared" ref="BH35:BH73" si="101">+BG35/$J35</f>
        <v>0</v>
      </c>
    </row>
    <row r="36" spans="1:60" ht="14.25">
      <c r="A36" s="509" t="e">
        <f t="shared" si="16"/>
        <v>#REF!</v>
      </c>
      <c r="B36" s="510">
        <f t="shared" si="17"/>
        <v>0</v>
      </c>
      <c r="C36" s="512" t="e">
        <f t="shared" si="18"/>
        <v>#REF!</v>
      </c>
      <c r="D36" s="513" t="str">
        <f>+D35</f>
        <v>4. OBRAS DE DRENAJE</v>
      </c>
      <c r="E36" s="537">
        <v>19</v>
      </c>
      <c r="F36" s="412" t="s">
        <v>317</v>
      </c>
      <c r="G36" s="535" t="s">
        <v>85</v>
      </c>
      <c r="H36" s="17">
        <v>15078</v>
      </c>
      <c r="I36" s="17">
        <v>34.61</v>
      </c>
      <c r="J36" s="26">
        <f t="shared" ref="J36:J75" si="102">ROUND(H36*I36,2)</f>
        <v>521849.58</v>
      </c>
      <c r="K36" s="21">
        <f>SUMIF($V$3:$BH$3,       "&lt;"&amp;Datos!$C$20,       V36:BH36)</f>
        <v>0</v>
      </c>
      <c r="L36" s="28">
        <f>SUMIF($V$2:$CH$2,"&lt;"&amp;Datos!$C$20,V36:CH36)</f>
        <v>0</v>
      </c>
      <c r="M36" s="515">
        <f>LOOKUP(Datos!$C$20,    'Cant. Ejec,'!$V$3:$BH$3,      'Cant. Ejec,'!$V36:$BH36)</f>
        <v>0</v>
      </c>
      <c r="N36" s="515">
        <f>LOOKUP(Datos!$C$20,    'Cant. Ejec,'!$V$2:$BH$2,      'Cant. Ejec,'!$V36:$BH36)</f>
        <v>0</v>
      </c>
      <c r="O36" s="21">
        <f>SUMIF($V$3:$CH$3,                                                    "&lt;"&amp;(Datos!$C$20+1),V36:CL36)</f>
        <v>0</v>
      </c>
      <c r="P36" s="515">
        <f>SUMIF($V$2:$CH$2,                    "&lt;"&amp;(Datos!$C$20+1),V36:CL36)</f>
        <v>0</v>
      </c>
      <c r="Q36" s="21">
        <f t="shared" si="76"/>
        <v>15078</v>
      </c>
      <c r="R36" s="515">
        <f t="shared" si="77"/>
        <v>521849.58</v>
      </c>
      <c r="S36" s="425">
        <f t="shared" si="78"/>
        <v>0</v>
      </c>
      <c r="T36" s="425">
        <f t="shared" si="79"/>
        <v>0</v>
      </c>
      <c r="U36" s="729">
        <f t="shared" si="80"/>
        <v>1</v>
      </c>
      <c r="V36" s="747"/>
      <c r="W36" s="748">
        <f t="shared" si="81"/>
        <v>0</v>
      </c>
      <c r="X36" s="749">
        <f t="shared" si="3"/>
        <v>0</v>
      </c>
      <c r="Y36" s="747"/>
      <c r="Z36" s="748">
        <f t="shared" si="82"/>
        <v>0</v>
      </c>
      <c r="AA36" s="749">
        <f t="shared" si="4"/>
        <v>0</v>
      </c>
      <c r="AB36" s="747"/>
      <c r="AC36" s="748">
        <f t="shared" si="83"/>
        <v>0</v>
      </c>
      <c r="AD36" s="749">
        <f t="shared" si="5"/>
        <v>0</v>
      </c>
      <c r="AE36" s="747"/>
      <c r="AF36" s="748">
        <f t="shared" si="84"/>
        <v>0</v>
      </c>
      <c r="AG36" s="749">
        <f t="shared" si="6"/>
        <v>0</v>
      </c>
      <c r="AH36" s="747"/>
      <c r="AI36" s="748">
        <f t="shared" si="85"/>
        <v>0</v>
      </c>
      <c r="AJ36" s="749">
        <f t="shared" si="7"/>
        <v>0</v>
      </c>
      <c r="AK36" s="747"/>
      <c r="AL36" s="748">
        <f t="shared" si="86"/>
        <v>0</v>
      </c>
      <c r="AM36" s="749">
        <f t="shared" si="87"/>
        <v>0</v>
      </c>
      <c r="AN36" s="747"/>
      <c r="AO36" s="748">
        <f t="shared" si="88"/>
        <v>0</v>
      </c>
      <c r="AP36" s="749">
        <f t="shared" si="89"/>
        <v>0</v>
      </c>
      <c r="AQ36" s="747"/>
      <c r="AR36" s="748">
        <f t="shared" si="90"/>
        <v>0</v>
      </c>
      <c r="AS36" s="749">
        <f t="shared" si="91"/>
        <v>0</v>
      </c>
      <c r="AT36" s="747"/>
      <c r="AU36" s="748">
        <f t="shared" si="92"/>
        <v>0</v>
      </c>
      <c r="AV36" s="749">
        <f t="shared" si="93"/>
        <v>0</v>
      </c>
      <c r="AW36" s="747"/>
      <c r="AX36" s="748">
        <f t="shared" si="94"/>
        <v>0</v>
      </c>
      <c r="AY36" s="749">
        <f t="shared" si="95"/>
        <v>0</v>
      </c>
      <c r="AZ36" s="747"/>
      <c r="BA36" s="748">
        <f t="shared" si="96"/>
        <v>0</v>
      </c>
      <c r="BB36" s="749">
        <f t="shared" si="97"/>
        <v>0</v>
      </c>
      <c r="BC36" s="747"/>
      <c r="BD36" s="748">
        <f t="shared" si="98"/>
        <v>0</v>
      </c>
      <c r="BE36" s="749">
        <f t="shared" si="99"/>
        <v>0</v>
      </c>
      <c r="BF36" s="747"/>
      <c r="BG36" s="748">
        <f t="shared" si="100"/>
        <v>0</v>
      </c>
      <c r="BH36" s="749">
        <f t="shared" si="101"/>
        <v>0</v>
      </c>
    </row>
    <row r="37" spans="1:60" ht="14.25">
      <c r="A37" s="509" t="e">
        <f t="shared" si="16"/>
        <v>#REF!</v>
      </c>
      <c r="B37" s="510">
        <f t="shared" si="17"/>
        <v>0</v>
      </c>
      <c r="C37" s="512" t="e">
        <f t="shared" si="18"/>
        <v>#REF!</v>
      </c>
      <c r="D37" s="513" t="str">
        <f t="shared" ref="D37:D74" si="103">+D36</f>
        <v>4. OBRAS DE DRENAJE</v>
      </c>
      <c r="E37" s="537">
        <v>20</v>
      </c>
      <c r="F37" s="408" t="s">
        <v>318</v>
      </c>
      <c r="G37" s="535" t="s">
        <v>85</v>
      </c>
      <c r="H37" s="17">
        <v>4958</v>
      </c>
      <c r="I37" s="17">
        <v>72.510000000000005</v>
      </c>
      <c r="J37" s="26">
        <f t="shared" si="102"/>
        <v>359504.58</v>
      </c>
      <c r="K37" s="21">
        <f>SUMIF($V$3:$BH$3,       "&lt;"&amp;Datos!$C$20,       V37:BH37)</f>
        <v>0</v>
      </c>
      <c r="L37" s="28">
        <f>SUMIF($V$2:$CH$2,"&lt;"&amp;Datos!$C$20,V37:CH37)</f>
        <v>0</v>
      </c>
      <c r="M37" s="515">
        <f>LOOKUP(Datos!$C$20,    'Cant. Ejec,'!$V$3:$BH$3,      'Cant. Ejec,'!$V37:$BH37)</f>
        <v>0</v>
      </c>
      <c r="N37" s="515">
        <f>LOOKUP(Datos!$C$20,    'Cant. Ejec,'!$V$2:$BH$2,      'Cant. Ejec,'!$V37:$BH37)</f>
        <v>0</v>
      </c>
      <c r="O37" s="21">
        <f>SUMIF($V$3:$CH$3,                                                    "&lt;"&amp;(Datos!$C$20+1),V37:CL37)</f>
        <v>0</v>
      </c>
      <c r="P37" s="515">
        <f>SUMIF($V$2:$CH$2,                    "&lt;"&amp;(Datos!$C$20+1),V37:CL37)</f>
        <v>0</v>
      </c>
      <c r="Q37" s="21">
        <f t="shared" si="76"/>
        <v>4958</v>
      </c>
      <c r="R37" s="515">
        <f t="shared" si="77"/>
        <v>359504.58</v>
      </c>
      <c r="S37" s="425">
        <f t="shared" si="78"/>
        <v>0</v>
      </c>
      <c r="T37" s="425">
        <f t="shared" si="79"/>
        <v>0</v>
      </c>
      <c r="U37" s="729">
        <f t="shared" si="80"/>
        <v>1</v>
      </c>
      <c r="V37" s="747"/>
      <c r="W37" s="748">
        <f t="shared" si="81"/>
        <v>0</v>
      </c>
      <c r="X37" s="749">
        <f t="shared" si="3"/>
        <v>0</v>
      </c>
      <c r="Y37" s="747"/>
      <c r="Z37" s="748">
        <f t="shared" si="82"/>
        <v>0</v>
      </c>
      <c r="AA37" s="749">
        <f t="shared" si="4"/>
        <v>0</v>
      </c>
      <c r="AB37" s="747"/>
      <c r="AC37" s="748">
        <f t="shared" si="83"/>
        <v>0</v>
      </c>
      <c r="AD37" s="749">
        <f t="shared" si="5"/>
        <v>0</v>
      </c>
      <c r="AE37" s="747"/>
      <c r="AF37" s="748">
        <f t="shared" si="84"/>
        <v>0</v>
      </c>
      <c r="AG37" s="749">
        <f t="shared" si="6"/>
        <v>0</v>
      </c>
      <c r="AH37" s="747"/>
      <c r="AI37" s="748">
        <f t="shared" si="85"/>
        <v>0</v>
      </c>
      <c r="AJ37" s="749">
        <f t="shared" si="7"/>
        <v>0</v>
      </c>
      <c r="AK37" s="747"/>
      <c r="AL37" s="748">
        <f t="shared" si="86"/>
        <v>0</v>
      </c>
      <c r="AM37" s="749">
        <f t="shared" si="87"/>
        <v>0</v>
      </c>
      <c r="AN37" s="747"/>
      <c r="AO37" s="748">
        <f t="shared" si="88"/>
        <v>0</v>
      </c>
      <c r="AP37" s="749">
        <f t="shared" si="89"/>
        <v>0</v>
      </c>
      <c r="AQ37" s="747"/>
      <c r="AR37" s="748">
        <f t="shared" si="90"/>
        <v>0</v>
      </c>
      <c r="AS37" s="749">
        <f t="shared" si="91"/>
        <v>0</v>
      </c>
      <c r="AT37" s="747"/>
      <c r="AU37" s="748">
        <f t="shared" si="92"/>
        <v>0</v>
      </c>
      <c r="AV37" s="749">
        <f t="shared" si="93"/>
        <v>0</v>
      </c>
      <c r="AW37" s="747"/>
      <c r="AX37" s="748">
        <f t="shared" si="94"/>
        <v>0</v>
      </c>
      <c r="AY37" s="749">
        <f t="shared" si="95"/>
        <v>0</v>
      </c>
      <c r="AZ37" s="747"/>
      <c r="BA37" s="748">
        <f t="shared" si="96"/>
        <v>0</v>
      </c>
      <c r="BB37" s="749">
        <f t="shared" si="97"/>
        <v>0</v>
      </c>
      <c r="BC37" s="747"/>
      <c r="BD37" s="748">
        <f t="shared" si="98"/>
        <v>0</v>
      </c>
      <c r="BE37" s="749">
        <f t="shared" si="99"/>
        <v>0</v>
      </c>
      <c r="BF37" s="747"/>
      <c r="BG37" s="748">
        <f t="shared" si="100"/>
        <v>0</v>
      </c>
      <c r="BH37" s="749">
        <f t="shared" si="101"/>
        <v>0</v>
      </c>
    </row>
    <row r="38" spans="1:60" ht="25.5">
      <c r="A38" s="509" t="e">
        <f t="shared" si="16"/>
        <v>#REF!</v>
      </c>
      <c r="B38" s="510">
        <f t="shared" si="17"/>
        <v>0</v>
      </c>
      <c r="C38" s="512" t="e">
        <f t="shared" si="18"/>
        <v>#REF!</v>
      </c>
      <c r="D38" s="513" t="str">
        <f t="shared" si="103"/>
        <v>4. OBRAS DE DRENAJE</v>
      </c>
      <c r="E38" s="537">
        <v>21</v>
      </c>
      <c r="F38" s="408" t="s">
        <v>319</v>
      </c>
      <c r="G38" s="535" t="s">
        <v>85</v>
      </c>
      <c r="H38" s="17">
        <v>1786</v>
      </c>
      <c r="I38" s="17">
        <v>2112.84</v>
      </c>
      <c r="J38" s="26">
        <f t="shared" si="102"/>
        <v>3773532.24</v>
      </c>
      <c r="K38" s="21">
        <f>SUMIF($V$3:$BH$3,       "&lt;"&amp;Datos!$C$20,       V38:BH38)</f>
        <v>0</v>
      </c>
      <c r="L38" s="28">
        <f>SUMIF($V$2:$CH$2,"&lt;"&amp;Datos!$C$20,V38:CH38)</f>
        <v>0</v>
      </c>
      <c r="M38" s="515">
        <f>LOOKUP(Datos!$C$20,    'Cant. Ejec,'!$V$3:$BH$3,      'Cant. Ejec,'!$V38:$BH38)</f>
        <v>0</v>
      </c>
      <c r="N38" s="515">
        <f>LOOKUP(Datos!$C$20,    'Cant. Ejec,'!$V$2:$BH$2,      'Cant. Ejec,'!$V38:$BH38)</f>
        <v>0</v>
      </c>
      <c r="O38" s="21">
        <f>SUMIF($V$3:$CH$3,                                                    "&lt;"&amp;(Datos!$C$20+1),V38:CL38)</f>
        <v>0</v>
      </c>
      <c r="P38" s="515">
        <f>SUMIF($V$2:$CH$2,                    "&lt;"&amp;(Datos!$C$20+1),V38:CL38)</f>
        <v>0</v>
      </c>
      <c r="Q38" s="21">
        <f t="shared" si="76"/>
        <v>1786</v>
      </c>
      <c r="R38" s="515">
        <f t="shared" si="77"/>
        <v>3773532.24</v>
      </c>
      <c r="S38" s="425">
        <f t="shared" si="78"/>
        <v>0</v>
      </c>
      <c r="T38" s="425">
        <f t="shared" si="79"/>
        <v>0</v>
      </c>
      <c r="U38" s="729">
        <f t="shared" si="80"/>
        <v>1</v>
      </c>
      <c r="V38" s="747"/>
      <c r="W38" s="748">
        <f t="shared" si="81"/>
        <v>0</v>
      </c>
      <c r="X38" s="749">
        <f t="shared" si="3"/>
        <v>0</v>
      </c>
      <c r="Y38" s="747"/>
      <c r="Z38" s="748">
        <f t="shared" si="82"/>
        <v>0</v>
      </c>
      <c r="AA38" s="749">
        <f t="shared" si="4"/>
        <v>0</v>
      </c>
      <c r="AB38" s="747"/>
      <c r="AC38" s="748">
        <f t="shared" si="83"/>
        <v>0</v>
      </c>
      <c r="AD38" s="749">
        <f t="shared" si="5"/>
        <v>0</v>
      </c>
      <c r="AE38" s="747"/>
      <c r="AF38" s="748">
        <f t="shared" si="84"/>
        <v>0</v>
      </c>
      <c r="AG38" s="749">
        <f t="shared" si="6"/>
        <v>0</v>
      </c>
      <c r="AH38" s="747"/>
      <c r="AI38" s="748">
        <f t="shared" si="85"/>
        <v>0</v>
      </c>
      <c r="AJ38" s="749">
        <f t="shared" si="7"/>
        <v>0</v>
      </c>
      <c r="AK38" s="747"/>
      <c r="AL38" s="748">
        <f t="shared" si="86"/>
        <v>0</v>
      </c>
      <c r="AM38" s="749">
        <f t="shared" si="87"/>
        <v>0</v>
      </c>
      <c r="AN38" s="747"/>
      <c r="AO38" s="748">
        <f t="shared" si="88"/>
        <v>0</v>
      </c>
      <c r="AP38" s="749">
        <f t="shared" si="89"/>
        <v>0</v>
      </c>
      <c r="AQ38" s="747"/>
      <c r="AR38" s="748">
        <f t="shared" si="90"/>
        <v>0</v>
      </c>
      <c r="AS38" s="749">
        <f t="shared" si="91"/>
        <v>0</v>
      </c>
      <c r="AT38" s="747"/>
      <c r="AU38" s="748">
        <f t="shared" si="92"/>
        <v>0</v>
      </c>
      <c r="AV38" s="749">
        <f t="shared" si="93"/>
        <v>0</v>
      </c>
      <c r="AW38" s="747"/>
      <c r="AX38" s="748">
        <f t="shared" si="94"/>
        <v>0</v>
      </c>
      <c r="AY38" s="749">
        <f t="shared" si="95"/>
        <v>0</v>
      </c>
      <c r="AZ38" s="747"/>
      <c r="BA38" s="748">
        <f t="shared" si="96"/>
        <v>0</v>
      </c>
      <c r="BB38" s="749">
        <f t="shared" si="97"/>
        <v>0</v>
      </c>
      <c r="BC38" s="747"/>
      <c r="BD38" s="748">
        <f t="shared" si="98"/>
        <v>0</v>
      </c>
      <c r="BE38" s="749">
        <f t="shared" si="99"/>
        <v>0</v>
      </c>
      <c r="BF38" s="747"/>
      <c r="BG38" s="748">
        <f t="shared" si="100"/>
        <v>0</v>
      </c>
      <c r="BH38" s="749">
        <f t="shared" si="101"/>
        <v>0</v>
      </c>
    </row>
    <row r="39" spans="1:60" ht="14.25">
      <c r="A39" s="509" t="e">
        <f t="shared" si="16"/>
        <v>#REF!</v>
      </c>
      <c r="B39" s="510">
        <f t="shared" si="17"/>
        <v>0</v>
      </c>
      <c r="C39" s="512" t="e">
        <f t="shared" si="18"/>
        <v>#REF!</v>
      </c>
      <c r="D39" s="513" t="str">
        <f t="shared" si="103"/>
        <v>4. OBRAS DE DRENAJE</v>
      </c>
      <c r="E39" s="537">
        <v>22</v>
      </c>
      <c r="F39" s="415" t="s">
        <v>320</v>
      </c>
      <c r="G39" s="535" t="s">
        <v>90</v>
      </c>
      <c r="H39" s="17">
        <v>224933</v>
      </c>
      <c r="I39" s="17">
        <v>17.21</v>
      </c>
      <c r="J39" s="26">
        <f t="shared" si="102"/>
        <v>3871096.93</v>
      </c>
      <c r="K39" s="21">
        <f>SUMIF($V$3:$BH$3,       "&lt;"&amp;Datos!$C$20,       V39:BH39)</f>
        <v>0</v>
      </c>
      <c r="L39" s="28">
        <f>SUMIF($V$2:$CH$2,"&lt;"&amp;Datos!$C$20,V39:CH39)</f>
        <v>0</v>
      </c>
      <c r="M39" s="515">
        <f>LOOKUP(Datos!$C$20,    'Cant. Ejec,'!$V$3:$BH$3,      'Cant. Ejec,'!$V39:$BH39)</f>
        <v>0</v>
      </c>
      <c r="N39" s="515">
        <f>LOOKUP(Datos!$C$20,    'Cant. Ejec,'!$V$2:$BH$2,      'Cant. Ejec,'!$V39:$BH39)</f>
        <v>0</v>
      </c>
      <c r="O39" s="21">
        <f>SUMIF($V$3:$CH$3,                                                    "&lt;"&amp;(Datos!$C$20+1),V39:CL39)</f>
        <v>0</v>
      </c>
      <c r="P39" s="515">
        <f>SUMIF($V$2:$CH$2,                    "&lt;"&amp;(Datos!$C$20+1),V39:CL39)</f>
        <v>0</v>
      </c>
      <c r="Q39" s="21">
        <f t="shared" si="76"/>
        <v>224933</v>
      </c>
      <c r="R39" s="515">
        <f t="shared" si="77"/>
        <v>3871096.93</v>
      </c>
      <c r="S39" s="425">
        <f t="shared" si="78"/>
        <v>0</v>
      </c>
      <c r="T39" s="425">
        <f t="shared" si="79"/>
        <v>0</v>
      </c>
      <c r="U39" s="729">
        <f t="shared" si="80"/>
        <v>1</v>
      </c>
      <c r="V39" s="747"/>
      <c r="W39" s="748">
        <f t="shared" si="81"/>
        <v>0</v>
      </c>
      <c r="X39" s="749">
        <f t="shared" si="3"/>
        <v>0</v>
      </c>
      <c r="Y39" s="747"/>
      <c r="Z39" s="748">
        <f t="shared" si="82"/>
        <v>0</v>
      </c>
      <c r="AA39" s="749">
        <f t="shared" si="4"/>
        <v>0</v>
      </c>
      <c r="AB39" s="747"/>
      <c r="AC39" s="748">
        <f t="shared" si="83"/>
        <v>0</v>
      </c>
      <c r="AD39" s="749">
        <f t="shared" si="5"/>
        <v>0</v>
      </c>
      <c r="AE39" s="747"/>
      <c r="AF39" s="748">
        <f t="shared" si="84"/>
        <v>0</v>
      </c>
      <c r="AG39" s="749">
        <f t="shared" si="6"/>
        <v>0</v>
      </c>
      <c r="AH39" s="747"/>
      <c r="AI39" s="748">
        <f t="shared" si="85"/>
        <v>0</v>
      </c>
      <c r="AJ39" s="749">
        <f t="shared" si="7"/>
        <v>0</v>
      </c>
      <c r="AK39" s="747"/>
      <c r="AL39" s="748">
        <f t="shared" si="86"/>
        <v>0</v>
      </c>
      <c r="AM39" s="749">
        <f t="shared" si="87"/>
        <v>0</v>
      </c>
      <c r="AN39" s="747"/>
      <c r="AO39" s="748">
        <f t="shared" si="88"/>
        <v>0</v>
      </c>
      <c r="AP39" s="749">
        <f t="shared" si="89"/>
        <v>0</v>
      </c>
      <c r="AQ39" s="747"/>
      <c r="AR39" s="748">
        <f t="shared" si="90"/>
        <v>0</v>
      </c>
      <c r="AS39" s="749">
        <f t="shared" si="91"/>
        <v>0</v>
      </c>
      <c r="AT39" s="747"/>
      <c r="AU39" s="748">
        <f t="shared" si="92"/>
        <v>0</v>
      </c>
      <c r="AV39" s="749">
        <f t="shared" si="93"/>
        <v>0</v>
      </c>
      <c r="AW39" s="747"/>
      <c r="AX39" s="748">
        <f t="shared" si="94"/>
        <v>0</v>
      </c>
      <c r="AY39" s="749">
        <f t="shared" si="95"/>
        <v>0</v>
      </c>
      <c r="AZ39" s="747"/>
      <c r="BA39" s="748">
        <f t="shared" si="96"/>
        <v>0</v>
      </c>
      <c r="BB39" s="749">
        <f t="shared" si="97"/>
        <v>0</v>
      </c>
      <c r="BC39" s="747"/>
      <c r="BD39" s="748">
        <f t="shared" si="98"/>
        <v>0</v>
      </c>
      <c r="BE39" s="749">
        <f t="shared" si="99"/>
        <v>0</v>
      </c>
      <c r="BF39" s="747"/>
      <c r="BG39" s="748">
        <f t="shared" si="100"/>
        <v>0</v>
      </c>
      <c r="BH39" s="749">
        <f t="shared" si="101"/>
        <v>0</v>
      </c>
    </row>
    <row r="40" spans="1:60" ht="25.5">
      <c r="A40" s="509" t="e">
        <f t="shared" si="16"/>
        <v>#REF!</v>
      </c>
      <c r="B40" s="510">
        <f t="shared" si="17"/>
        <v>0</v>
      </c>
      <c r="C40" s="512" t="e">
        <f t="shared" si="18"/>
        <v>#REF!</v>
      </c>
      <c r="D40" s="513" t="str">
        <f t="shared" si="103"/>
        <v>4. OBRAS DE DRENAJE</v>
      </c>
      <c r="E40" s="537">
        <v>23</v>
      </c>
      <c r="F40" s="408" t="s">
        <v>321</v>
      </c>
      <c r="G40" s="535" t="s">
        <v>85</v>
      </c>
      <c r="H40" s="17">
        <v>20</v>
      </c>
      <c r="I40" s="19">
        <v>1634.17</v>
      </c>
      <c r="J40" s="26">
        <f t="shared" si="102"/>
        <v>32683.4</v>
      </c>
      <c r="K40" s="21">
        <f>SUMIF($V$3:$BH$3,       "&lt;"&amp;Datos!$C$20,       V40:BH40)</f>
        <v>0</v>
      </c>
      <c r="L40" s="28">
        <f>SUMIF($V$2:$CH$2,"&lt;"&amp;Datos!$C$20,V40:CH40)</f>
        <v>0</v>
      </c>
      <c r="M40" s="515">
        <f>LOOKUP(Datos!$C$20,    'Cant. Ejec,'!$V$3:$BH$3,      'Cant. Ejec,'!$V40:$BH40)</f>
        <v>0</v>
      </c>
      <c r="N40" s="515">
        <f>LOOKUP(Datos!$C$20,    'Cant. Ejec,'!$V$2:$BH$2,      'Cant. Ejec,'!$V40:$BH40)</f>
        <v>0</v>
      </c>
      <c r="O40" s="21">
        <f>SUMIF($V$3:$CH$3,                                                    "&lt;"&amp;(Datos!$C$20+1),V40:CL40)</f>
        <v>0</v>
      </c>
      <c r="P40" s="515">
        <f>SUMIF($V$2:$CH$2,                    "&lt;"&amp;(Datos!$C$20+1),V40:CL40)</f>
        <v>0</v>
      </c>
      <c r="Q40" s="21">
        <f t="shared" si="76"/>
        <v>20</v>
      </c>
      <c r="R40" s="515">
        <f t="shared" si="77"/>
        <v>32683.4</v>
      </c>
      <c r="S40" s="425">
        <f t="shared" si="78"/>
        <v>0</v>
      </c>
      <c r="T40" s="425">
        <f t="shared" si="79"/>
        <v>0</v>
      </c>
      <c r="U40" s="729">
        <f t="shared" si="80"/>
        <v>1</v>
      </c>
      <c r="V40" s="747"/>
      <c r="W40" s="748">
        <f t="shared" si="81"/>
        <v>0</v>
      </c>
      <c r="X40" s="749">
        <f t="shared" si="3"/>
        <v>0</v>
      </c>
      <c r="Y40" s="747"/>
      <c r="Z40" s="748">
        <f t="shared" si="82"/>
        <v>0</v>
      </c>
      <c r="AA40" s="749">
        <f t="shared" si="4"/>
        <v>0</v>
      </c>
      <c r="AB40" s="747"/>
      <c r="AC40" s="748">
        <f t="shared" si="83"/>
        <v>0</v>
      </c>
      <c r="AD40" s="749">
        <f t="shared" si="5"/>
        <v>0</v>
      </c>
      <c r="AE40" s="747"/>
      <c r="AF40" s="748">
        <f t="shared" si="84"/>
        <v>0</v>
      </c>
      <c r="AG40" s="749">
        <f t="shared" si="6"/>
        <v>0</v>
      </c>
      <c r="AH40" s="747"/>
      <c r="AI40" s="748">
        <f t="shared" si="85"/>
        <v>0</v>
      </c>
      <c r="AJ40" s="749">
        <f t="shared" si="7"/>
        <v>0</v>
      </c>
      <c r="AK40" s="747"/>
      <c r="AL40" s="748">
        <f t="shared" si="86"/>
        <v>0</v>
      </c>
      <c r="AM40" s="749">
        <f t="shared" si="87"/>
        <v>0</v>
      </c>
      <c r="AN40" s="747"/>
      <c r="AO40" s="748">
        <f t="shared" si="88"/>
        <v>0</v>
      </c>
      <c r="AP40" s="749">
        <f t="shared" si="89"/>
        <v>0</v>
      </c>
      <c r="AQ40" s="747"/>
      <c r="AR40" s="748">
        <f t="shared" si="90"/>
        <v>0</v>
      </c>
      <c r="AS40" s="749">
        <f t="shared" si="91"/>
        <v>0</v>
      </c>
      <c r="AT40" s="747"/>
      <c r="AU40" s="748">
        <f t="shared" si="92"/>
        <v>0</v>
      </c>
      <c r="AV40" s="749">
        <f t="shared" si="93"/>
        <v>0</v>
      </c>
      <c r="AW40" s="747"/>
      <c r="AX40" s="748">
        <f t="shared" si="94"/>
        <v>0</v>
      </c>
      <c r="AY40" s="749">
        <f t="shared" si="95"/>
        <v>0</v>
      </c>
      <c r="AZ40" s="747"/>
      <c r="BA40" s="748">
        <f t="shared" si="96"/>
        <v>0</v>
      </c>
      <c r="BB40" s="749">
        <f t="shared" si="97"/>
        <v>0</v>
      </c>
      <c r="BC40" s="747"/>
      <c r="BD40" s="748">
        <f t="shared" si="98"/>
        <v>0</v>
      </c>
      <c r="BE40" s="749">
        <f t="shared" si="99"/>
        <v>0</v>
      </c>
      <c r="BF40" s="747"/>
      <c r="BG40" s="748">
        <f t="shared" si="100"/>
        <v>0</v>
      </c>
      <c r="BH40" s="749">
        <f t="shared" si="101"/>
        <v>0</v>
      </c>
    </row>
    <row r="41" spans="1:60" ht="14.25">
      <c r="A41" s="509" t="e">
        <f t="shared" si="16"/>
        <v>#REF!</v>
      </c>
      <c r="B41" s="510">
        <f t="shared" si="17"/>
        <v>0</v>
      </c>
      <c r="C41" s="512" t="e">
        <f t="shared" si="18"/>
        <v>#REF!</v>
      </c>
      <c r="D41" s="513" t="str">
        <f t="shared" si="103"/>
        <v>4. OBRAS DE DRENAJE</v>
      </c>
      <c r="E41" s="537">
        <v>24</v>
      </c>
      <c r="F41" s="408" t="s">
        <v>322</v>
      </c>
      <c r="G41" s="535" t="s">
        <v>85</v>
      </c>
      <c r="H41" s="17">
        <v>116</v>
      </c>
      <c r="I41" s="19">
        <v>1729.01</v>
      </c>
      <c r="J41" s="26">
        <f t="shared" si="102"/>
        <v>200565.16</v>
      </c>
      <c r="K41" s="21">
        <f>SUMIF($V$3:$BH$3,       "&lt;"&amp;Datos!$C$20,       V41:BH41)</f>
        <v>0</v>
      </c>
      <c r="L41" s="28">
        <f>SUMIF($V$2:$CH$2,"&lt;"&amp;Datos!$C$20,V41:CH41)</f>
        <v>0</v>
      </c>
      <c r="M41" s="515">
        <f>LOOKUP(Datos!$C$20,    'Cant. Ejec,'!$V$3:$BH$3,      'Cant. Ejec,'!$V41:$BH41)</f>
        <v>0</v>
      </c>
      <c r="N41" s="515">
        <f>LOOKUP(Datos!$C$20,    'Cant. Ejec,'!$V$2:$BH$2,      'Cant. Ejec,'!$V41:$BH41)</f>
        <v>0</v>
      </c>
      <c r="O41" s="21">
        <f>SUMIF($V$3:$CH$3,                                                    "&lt;"&amp;(Datos!$C$20+1),V41:CL41)</f>
        <v>0</v>
      </c>
      <c r="P41" s="515">
        <f>SUMIF($V$2:$CH$2,                    "&lt;"&amp;(Datos!$C$20+1),V41:CL41)</f>
        <v>0</v>
      </c>
      <c r="Q41" s="21">
        <f t="shared" si="76"/>
        <v>116</v>
      </c>
      <c r="R41" s="515">
        <f t="shared" si="77"/>
        <v>200565.16</v>
      </c>
      <c r="S41" s="425">
        <f t="shared" si="78"/>
        <v>0</v>
      </c>
      <c r="T41" s="425">
        <f t="shared" si="79"/>
        <v>0</v>
      </c>
      <c r="U41" s="729">
        <f t="shared" si="80"/>
        <v>1</v>
      </c>
      <c r="V41" s="747"/>
      <c r="W41" s="748">
        <f t="shared" ref="W41:W74" si="104">ROUND(V41*$I41,2)</f>
        <v>0</v>
      </c>
      <c r="X41" s="749">
        <f t="shared" ref="X41:X74" si="105">+W41/$J41</f>
        <v>0</v>
      </c>
      <c r="Y41" s="747"/>
      <c r="Z41" s="748">
        <f t="shared" ref="Z41:Z74" si="106">ROUND(Y41*$I41,2)</f>
        <v>0</v>
      </c>
      <c r="AA41" s="749">
        <f t="shared" ref="AA41:AA74" si="107">+Z41/$J41</f>
        <v>0</v>
      </c>
      <c r="AB41" s="747"/>
      <c r="AC41" s="748">
        <f t="shared" ref="AC41:AC74" si="108">ROUND(AB41*$I41,2)</f>
        <v>0</v>
      </c>
      <c r="AD41" s="749">
        <f t="shared" ref="AD41:AD74" si="109">+AC41/$J41</f>
        <v>0</v>
      </c>
      <c r="AE41" s="747"/>
      <c r="AF41" s="748">
        <f t="shared" ref="AF41:AF74" si="110">ROUND(AE41*$I41,2)</f>
        <v>0</v>
      </c>
      <c r="AG41" s="749">
        <f t="shared" ref="AG41:AG74" si="111">+AF41/$J41</f>
        <v>0</v>
      </c>
      <c r="AH41" s="747"/>
      <c r="AI41" s="748">
        <f t="shared" ref="AI41:AI75" si="112">ROUND(AH41*$I41,2)</f>
        <v>0</v>
      </c>
      <c r="AJ41" s="749">
        <f t="shared" ref="AJ41:AJ73" si="113">+AI41/$J41</f>
        <v>0</v>
      </c>
      <c r="AK41" s="747"/>
      <c r="AL41" s="748">
        <f t="shared" si="86"/>
        <v>0</v>
      </c>
      <c r="AM41" s="749">
        <f t="shared" si="87"/>
        <v>0</v>
      </c>
      <c r="AN41" s="747"/>
      <c r="AO41" s="748">
        <f t="shared" si="88"/>
        <v>0</v>
      </c>
      <c r="AP41" s="749">
        <f t="shared" si="89"/>
        <v>0</v>
      </c>
      <c r="AQ41" s="747"/>
      <c r="AR41" s="748">
        <f t="shared" si="90"/>
        <v>0</v>
      </c>
      <c r="AS41" s="749">
        <f t="shared" si="91"/>
        <v>0</v>
      </c>
      <c r="AT41" s="747"/>
      <c r="AU41" s="748">
        <f t="shared" si="92"/>
        <v>0</v>
      </c>
      <c r="AV41" s="749">
        <f t="shared" si="93"/>
        <v>0</v>
      </c>
      <c r="AW41" s="747"/>
      <c r="AX41" s="748">
        <f t="shared" si="94"/>
        <v>0</v>
      </c>
      <c r="AY41" s="749">
        <f t="shared" si="95"/>
        <v>0</v>
      </c>
      <c r="AZ41" s="747"/>
      <c r="BA41" s="748">
        <f t="shared" si="96"/>
        <v>0</v>
      </c>
      <c r="BB41" s="749">
        <f t="shared" si="97"/>
        <v>0</v>
      </c>
      <c r="BC41" s="747"/>
      <c r="BD41" s="748">
        <f t="shared" si="98"/>
        <v>0</v>
      </c>
      <c r="BE41" s="749">
        <f t="shared" si="99"/>
        <v>0</v>
      </c>
      <c r="BF41" s="747"/>
      <c r="BG41" s="748">
        <f t="shared" si="100"/>
        <v>0</v>
      </c>
      <c r="BH41" s="749">
        <f t="shared" si="101"/>
        <v>0</v>
      </c>
    </row>
    <row r="42" spans="1:60" ht="14.25">
      <c r="A42" s="509" t="e">
        <f t="shared" si="16"/>
        <v>#REF!</v>
      </c>
      <c r="B42" s="510">
        <f t="shared" si="17"/>
        <v>0</v>
      </c>
      <c r="C42" s="512" t="e">
        <f t="shared" si="18"/>
        <v>#REF!</v>
      </c>
      <c r="D42" s="513" t="str">
        <f t="shared" si="103"/>
        <v>4. OBRAS DE DRENAJE</v>
      </c>
      <c r="E42" s="537">
        <v>25</v>
      </c>
      <c r="F42" s="408" t="s">
        <v>323</v>
      </c>
      <c r="G42" s="535" t="s">
        <v>88</v>
      </c>
      <c r="H42" s="17">
        <v>63</v>
      </c>
      <c r="I42" s="19">
        <v>2244.69</v>
      </c>
      <c r="J42" s="26">
        <f t="shared" si="102"/>
        <v>141415.47</v>
      </c>
      <c r="K42" s="21">
        <f>SUMIF($V$3:$BH$3,       "&lt;"&amp;Datos!$C$20,       V42:BH42)</f>
        <v>0</v>
      </c>
      <c r="L42" s="28">
        <f>SUMIF($V$2:$CH$2,"&lt;"&amp;Datos!$C$20,V42:CH42)</f>
        <v>0</v>
      </c>
      <c r="M42" s="515">
        <f>LOOKUP(Datos!$C$20,    'Cant. Ejec,'!$V$3:$BH$3,      'Cant. Ejec,'!$V42:$BH42)</f>
        <v>0</v>
      </c>
      <c r="N42" s="515">
        <f>LOOKUP(Datos!$C$20,    'Cant. Ejec,'!$V$2:$BH$2,      'Cant. Ejec,'!$V42:$BH42)</f>
        <v>0</v>
      </c>
      <c r="O42" s="21">
        <f>SUMIF($V$3:$CH$3,                                                    "&lt;"&amp;(Datos!$C$20+1),V42:CL42)</f>
        <v>0</v>
      </c>
      <c r="P42" s="515">
        <f>SUMIF($V$2:$CH$2,                    "&lt;"&amp;(Datos!$C$20+1),V42:CL42)</f>
        <v>0</v>
      </c>
      <c r="Q42" s="21">
        <f t="shared" si="76"/>
        <v>63</v>
      </c>
      <c r="R42" s="515">
        <f t="shared" si="77"/>
        <v>141415.47</v>
      </c>
      <c r="S42" s="425">
        <f t="shared" si="78"/>
        <v>0</v>
      </c>
      <c r="T42" s="425">
        <f t="shared" si="79"/>
        <v>0</v>
      </c>
      <c r="U42" s="729">
        <f t="shared" si="80"/>
        <v>1</v>
      </c>
      <c r="V42" s="747"/>
      <c r="W42" s="748">
        <f t="shared" si="104"/>
        <v>0</v>
      </c>
      <c r="X42" s="749">
        <f t="shared" si="105"/>
        <v>0</v>
      </c>
      <c r="Y42" s="747"/>
      <c r="Z42" s="748">
        <f t="shared" si="106"/>
        <v>0</v>
      </c>
      <c r="AA42" s="749">
        <f t="shared" si="107"/>
        <v>0</v>
      </c>
      <c r="AB42" s="747"/>
      <c r="AC42" s="748">
        <f t="shared" si="108"/>
        <v>0</v>
      </c>
      <c r="AD42" s="749">
        <f t="shared" si="109"/>
        <v>0</v>
      </c>
      <c r="AE42" s="747"/>
      <c r="AF42" s="748">
        <f t="shared" si="110"/>
        <v>0</v>
      </c>
      <c r="AG42" s="749">
        <f t="shared" si="111"/>
        <v>0</v>
      </c>
      <c r="AH42" s="747"/>
      <c r="AI42" s="748">
        <f t="shared" si="112"/>
        <v>0</v>
      </c>
      <c r="AJ42" s="749">
        <f t="shared" si="113"/>
        <v>0</v>
      </c>
      <c r="AK42" s="747"/>
      <c r="AL42" s="748">
        <f t="shared" si="86"/>
        <v>0</v>
      </c>
      <c r="AM42" s="749">
        <f t="shared" si="87"/>
        <v>0</v>
      </c>
      <c r="AN42" s="747"/>
      <c r="AO42" s="748">
        <f t="shared" si="88"/>
        <v>0</v>
      </c>
      <c r="AP42" s="749">
        <f t="shared" si="89"/>
        <v>0</v>
      </c>
      <c r="AQ42" s="747"/>
      <c r="AR42" s="748">
        <f t="shared" si="90"/>
        <v>0</v>
      </c>
      <c r="AS42" s="749">
        <f t="shared" si="91"/>
        <v>0</v>
      </c>
      <c r="AT42" s="747"/>
      <c r="AU42" s="748">
        <f t="shared" si="92"/>
        <v>0</v>
      </c>
      <c r="AV42" s="749">
        <f t="shared" si="93"/>
        <v>0</v>
      </c>
      <c r="AW42" s="747"/>
      <c r="AX42" s="748">
        <f t="shared" si="94"/>
        <v>0</v>
      </c>
      <c r="AY42" s="749">
        <f t="shared" si="95"/>
        <v>0</v>
      </c>
      <c r="AZ42" s="747"/>
      <c r="BA42" s="748">
        <f t="shared" si="96"/>
        <v>0</v>
      </c>
      <c r="BB42" s="749">
        <f t="shared" si="97"/>
        <v>0</v>
      </c>
      <c r="BC42" s="747"/>
      <c r="BD42" s="748">
        <f t="shared" si="98"/>
        <v>0</v>
      </c>
      <c r="BE42" s="749">
        <f t="shared" si="99"/>
        <v>0</v>
      </c>
      <c r="BF42" s="747"/>
      <c r="BG42" s="748">
        <f t="shared" si="100"/>
        <v>0</v>
      </c>
      <c r="BH42" s="749">
        <f t="shared" si="101"/>
        <v>0</v>
      </c>
    </row>
    <row r="43" spans="1:60" ht="14.25">
      <c r="A43" s="509" t="e">
        <f t="shared" si="16"/>
        <v>#REF!</v>
      </c>
      <c r="B43" s="510">
        <f t="shared" si="17"/>
        <v>0</v>
      </c>
      <c r="C43" s="512" t="e">
        <f t="shared" si="18"/>
        <v>#REF!</v>
      </c>
      <c r="D43" s="513" t="str">
        <f t="shared" si="103"/>
        <v>4. OBRAS DE DRENAJE</v>
      </c>
      <c r="E43" s="537">
        <v>26</v>
      </c>
      <c r="F43" s="415" t="s">
        <v>324</v>
      </c>
      <c r="G43" s="535" t="s">
        <v>85</v>
      </c>
      <c r="H43" s="17">
        <v>170.39</v>
      </c>
      <c r="I43" s="17">
        <v>1393.68</v>
      </c>
      <c r="J43" s="26">
        <f t="shared" si="102"/>
        <v>237469.14</v>
      </c>
      <c r="K43" s="21">
        <f>SUMIF($V$3:$BH$3,       "&lt;"&amp;Datos!$C$20,       V43:BH43)</f>
        <v>0</v>
      </c>
      <c r="L43" s="28">
        <f>SUMIF($V$2:$CH$2,"&lt;"&amp;Datos!$C$20,V43:CH43)</f>
        <v>0</v>
      </c>
      <c r="M43" s="515">
        <f>LOOKUP(Datos!$C$20,    'Cant. Ejec,'!$V$3:$BH$3,      'Cant. Ejec,'!$V43:$BH43)</f>
        <v>0</v>
      </c>
      <c r="N43" s="515">
        <f>LOOKUP(Datos!$C$20,    'Cant. Ejec,'!$V$2:$BH$2,      'Cant. Ejec,'!$V43:$BH43)</f>
        <v>0</v>
      </c>
      <c r="O43" s="21">
        <f>SUMIF($V$3:$CH$3,                                                    "&lt;"&amp;(Datos!$C$20+1),V43:CL43)</f>
        <v>0</v>
      </c>
      <c r="P43" s="515">
        <f>SUMIF($V$2:$CH$2,                    "&lt;"&amp;(Datos!$C$20+1),V43:CL43)</f>
        <v>0</v>
      </c>
      <c r="Q43" s="21">
        <f t="shared" si="76"/>
        <v>170.39</v>
      </c>
      <c r="R43" s="515">
        <f t="shared" si="77"/>
        <v>237469.14</v>
      </c>
      <c r="S43" s="425">
        <f t="shared" si="78"/>
        <v>0</v>
      </c>
      <c r="T43" s="425">
        <f t="shared" si="79"/>
        <v>0</v>
      </c>
      <c r="U43" s="729">
        <f t="shared" si="80"/>
        <v>1</v>
      </c>
      <c r="V43" s="747"/>
      <c r="W43" s="748">
        <f t="shared" si="104"/>
        <v>0</v>
      </c>
      <c r="X43" s="749">
        <f t="shared" si="105"/>
        <v>0</v>
      </c>
      <c r="Y43" s="747"/>
      <c r="Z43" s="748">
        <f t="shared" si="106"/>
        <v>0</v>
      </c>
      <c r="AA43" s="749">
        <f t="shared" si="107"/>
        <v>0</v>
      </c>
      <c r="AB43" s="747"/>
      <c r="AC43" s="748">
        <f t="shared" si="108"/>
        <v>0</v>
      </c>
      <c r="AD43" s="749">
        <f t="shared" si="109"/>
        <v>0</v>
      </c>
      <c r="AE43" s="747"/>
      <c r="AF43" s="748">
        <f t="shared" si="110"/>
        <v>0</v>
      </c>
      <c r="AG43" s="749">
        <f t="shared" si="111"/>
        <v>0</v>
      </c>
      <c r="AH43" s="747"/>
      <c r="AI43" s="748">
        <f t="shared" si="112"/>
        <v>0</v>
      </c>
      <c r="AJ43" s="749">
        <f t="shared" si="113"/>
        <v>0</v>
      </c>
      <c r="AK43" s="747"/>
      <c r="AL43" s="748">
        <f t="shared" si="86"/>
        <v>0</v>
      </c>
      <c r="AM43" s="749">
        <f t="shared" si="87"/>
        <v>0</v>
      </c>
      <c r="AN43" s="747"/>
      <c r="AO43" s="748">
        <f t="shared" si="88"/>
        <v>0</v>
      </c>
      <c r="AP43" s="749">
        <f t="shared" si="89"/>
        <v>0</v>
      </c>
      <c r="AQ43" s="747"/>
      <c r="AR43" s="748">
        <f t="shared" si="90"/>
        <v>0</v>
      </c>
      <c r="AS43" s="749">
        <f t="shared" si="91"/>
        <v>0</v>
      </c>
      <c r="AT43" s="747"/>
      <c r="AU43" s="748">
        <f t="shared" si="92"/>
        <v>0</v>
      </c>
      <c r="AV43" s="749">
        <f t="shared" si="93"/>
        <v>0</v>
      </c>
      <c r="AW43" s="747"/>
      <c r="AX43" s="748">
        <f t="shared" si="94"/>
        <v>0</v>
      </c>
      <c r="AY43" s="749">
        <f t="shared" si="95"/>
        <v>0</v>
      </c>
      <c r="AZ43" s="747"/>
      <c r="BA43" s="748">
        <f t="shared" si="96"/>
        <v>0</v>
      </c>
      <c r="BB43" s="749">
        <f t="shared" si="97"/>
        <v>0</v>
      </c>
      <c r="BC43" s="747"/>
      <c r="BD43" s="748">
        <f t="shared" si="98"/>
        <v>0</v>
      </c>
      <c r="BE43" s="749">
        <f t="shared" si="99"/>
        <v>0</v>
      </c>
      <c r="BF43" s="747"/>
      <c r="BG43" s="748">
        <f t="shared" si="100"/>
        <v>0</v>
      </c>
      <c r="BH43" s="749">
        <f t="shared" si="101"/>
        <v>0</v>
      </c>
    </row>
    <row r="44" spans="1:60" ht="25.5">
      <c r="A44" s="509" t="e">
        <f t="shared" si="16"/>
        <v>#REF!</v>
      </c>
      <c r="B44" s="510">
        <f t="shared" si="17"/>
        <v>0</v>
      </c>
      <c r="C44" s="512" t="e">
        <f t="shared" si="18"/>
        <v>#REF!</v>
      </c>
      <c r="D44" s="513" t="str">
        <f t="shared" si="103"/>
        <v>4. OBRAS DE DRENAJE</v>
      </c>
      <c r="E44" s="537">
        <v>27</v>
      </c>
      <c r="F44" s="408" t="s">
        <v>325</v>
      </c>
      <c r="G44" s="535" t="s">
        <v>85</v>
      </c>
      <c r="H44" s="17">
        <v>959</v>
      </c>
      <c r="I44" s="17">
        <v>1483.78</v>
      </c>
      <c r="J44" s="26">
        <f t="shared" si="102"/>
        <v>1422945.02</v>
      </c>
      <c r="K44" s="21">
        <f>SUMIF($V$3:$BH$3,       "&lt;"&amp;Datos!$C$20,       V44:BH44)</f>
        <v>0</v>
      </c>
      <c r="L44" s="28">
        <f>SUMIF($V$2:$CH$2,"&lt;"&amp;Datos!$C$20,V44:CH44)</f>
        <v>0</v>
      </c>
      <c r="M44" s="515">
        <f>LOOKUP(Datos!$C$20,    'Cant. Ejec,'!$V$3:$BH$3,      'Cant. Ejec,'!$V44:$BH44)</f>
        <v>0</v>
      </c>
      <c r="N44" s="515">
        <f>LOOKUP(Datos!$C$20,    'Cant. Ejec,'!$V$2:$BH$2,      'Cant. Ejec,'!$V44:$BH44)</f>
        <v>0</v>
      </c>
      <c r="O44" s="21">
        <f>SUMIF($V$3:$CH$3,                                                    "&lt;"&amp;(Datos!$C$20+1),V44:CL44)</f>
        <v>0</v>
      </c>
      <c r="P44" s="515">
        <f>SUMIF($V$2:$CH$2,                    "&lt;"&amp;(Datos!$C$20+1),V44:CL44)</f>
        <v>0</v>
      </c>
      <c r="Q44" s="21">
        <f t="shared" si="76"/>
        <v>959</v>
      </c>
      <c r="R44" s="515">
        <f t="shared" si="77"/>
        <v>1422945.02</v>
      </c>
      <c r="S44" s="425">
        <f t="shared" si="78"/>
        <v>0</v>
      </c>
      <c r="T44" s="425">
        <f t="shared" si="79"/>
        <v>0</v>
      </c>
      <c r="U44" s="729">
        <f t="shared" si="80"/>
        <v>1</v>
      </c>
      <c r="V44" s="747"/>
      <c r="W44" s="748">
        <f t="shared" si="104"/>
        <v>0</v>
      </c>
      <c r="X44" s="749">
        <f t="shared" si="105"/>
        <v>0</v>
      </c>
      <c r="Y44" s="747"/>
      <c r="Z44" s="748">
        <f t="shared" si="106"/>
        <v>0</v>
      </c>
      <c r="AA44" s="749">
        <f t="shared" si="107"/>
        <v>0</v>
      </c>
      <c r="AB44" s="747"/>
      <c r="AC44" s="748">
        <f t="shared" si="108"/>
        <v>0</v>
      </c>
      <c r="AD44" s="749">
        <f t="shared" si="109"/>
        <v>0</v>
      </c>
      <c r="AE44" s="747"/>
      <c r="AF44" s="748">
        <f t="shared" si="110"/>
        <v>0</v>
      </c>
      <c r="AG44" s="749">
        <f t="shared" si="111"/>
        <v>0</v>
      </c>
      <c r="AH44" s="747"/>
      <c r="AI44" s="748">
        <f t="shared" si="112"/>
        <v>0</v>
      </c>
      <c r="AJ44" s="749">
        <f t="shared" si="113"/>
        <v>0</v>
      </c>
      <c r="AK44" s="747"/>
      <c r="AL44" s="748">
        <f t="shared" si="86"/>
        <v>0</v>
      </c>
      <c r="AM44" s="749">
        <f t="shared" si="87"/>
        <v>0</v>
      </c>
      <c r="AN44" s="747"/>
      <c r="AO44" s="748">
        <f t="shared" si="88"/>
        <v>0</v>
      </c>
      <c r="AP44" s="749">
        <f t="shared" si="89"/>
        <v>0</v>
      </c>
      <c r="AQ44" s="747"/>
      <c r="AR44" s="748">
        <f t="shared" si="90"/>
        <v>0</v>
      </c>
      <c r="AS44" s="749">
        <f t="shared" si="91"/>
        <v>0</v>
      </c>
      <c r="AT44" s="747"/>
      <c r="AU44" s="748">
        <f t="shared" si="92"/>
        <v>0</v>
      </c>
      <c r="AV44" s="749">
        <f t="shared" si="93"/>
        <v>0</v>
      </c>
      <c r="AW44" s="747"/>
      <c r="AX44" s="748">
        <f t="shared" si="94"/>
        <v>0</v>
      </c>
      <c r="AY44" s="749">
        <f t="shared" si="95"/>
        <v>0</v>
      </c>
      <c r="AZ44" s="747"/>
      <c r="BA44" s="748">
        <f t="shared" si="96"/>
        <v>0</v>
      </c>
      <c r="BB44" s="749">
        <f t="shared" si="97"/>
        <v>0</v>
      </c>
      <c r="BC44" s="747"/>
      <c r="BD44" s="748">
        <f t="shared" si="98"/>
        <v>0</v>
      </c>
      <c r="BE44" s="749">
        <f t="shared" si="99"/>
        <v>0</v>
      </c>
      <c r="BF44" s="747"/>
      <c r="BG44" s="748">
        <f t="shared" si="100"/>
        <v>0</v>
      </c>
      <c r="BH44" s="749">
        <f t="shared" si="101"/>
        <v>0</v>
      </c>
    </row>
    <row r="45" spans="1:60" ht="14.25">
      <c r="A45" s="509" t="e">
        <f t="shared" si="16"/>
        <v>#REF!</v>
      </c>
      <c r="B45" s="510">
        <f t="shared" si="17"/>
        <v>0</v>
      </c>
      <c r="C45" s="512" t="e">
        <f t="shared" si="18"/>
        <v>#REF!</v>
      </c>
      <c r="D45" s="513" t="str">
        <f t="shared" si="103"/>
        <v>4. OBRAS DE DRENAJE</v>
      </c>
      <c r="E45" s="537">
        <v>28</v>
      </c>
      <c r="F45" s="408" t="s">
        <v>326</v>
      </c>
      <c r="G45" s="535" t="s">
        <v>85</v>
      </c>
      <c r="H45" s="17">
        <v>1578</v>
      </c>
      <c r="I45" s="17">
        <v>1483.78</v>
      </c>
      <c r="J45" s="26">
        <f t="shared" si="102"/>
        <v>2341404.84</v>
      </c>
      <c r="K45" s="21">
        <f>SUMIF($V$3:$BH$3,       "&lt;"&amp;Datos!$C$20,       V45:BH45)</f>
        <v>0</v>
      </c>
      <c r="L45" s="28">
        <f>SUMIF($V$2:$CH$2,"&lt;"&amp;Datos!$C$20,V45:CH45)</f>
        <v>0</v>
      </c>
      <c r="M45" s="515">
        <f>LOOKUP(Datos!$C$20,    'Cant. Ejec,'!$V$3:$BH$3,      'Cant. Ejec,'!$V45:$BH45)</f>
        <v>0</v>
      </c>
      <c r="N45" s="515">
        <f>LOOKUP(Datos!$C$20,    'Cant. Ejec,'!$V$2:$BH$2,      'Cant. Ejec,'!$V45:$BH45)</f>
        <v>0</v>
      </c>
      <c r="O45" s="21">
        <f>SUMIF($V$3:$CH$3,                                                    "&lt;"&amp;(Datos!$C$20+1),V45:CL45)</f>
        <v>0</v>
      </c>
      <c r="P45" s="515">
        <f>SUMIF($V$2:$CH$2,                    "&lt;"&amp;(Datos!$C$20+1),V45:CL45)</f>
        <v>0</v>
      </c>
      <c r="Q45" s="21">
        <f t="shared" si="76"/>
        <v>1578</v>
      </c>
      <c r="R45" s="515">
        <f t="shared" si="77"/>
        <v>2341404.84</v>
      </c>
      <c r="S45" s="425">
        <f t="shared" si="78"/>
        <v>0</v>
      </c>
      <c r="T45" s="425">
        <f t="shared" si="79"/>
        <v>0</v>
      </c>
      <c r="U45" s="729">
        <f t="shared" si="80"/>
        <v>1</v>
      </c>
      <c r="V45" s="747"/>
      <c r="W45" s="748">
        <f t="shared" si="104"/>
        <v>0</v>
      </c>
      <c r="X45" s="749">
        <f t="shared" si="105"/>
        <v>0</v>
      </c>
      <c r="Y45" s="747"/>
      <c r="Z45" s="748">
        <f t="shared" si="106"/>
        <v>0</v>
      </c>
      <c r="AA45" s="749">
        <f t="shared" si="107"/>
        <v>0</v>
      </c>
      <c r="AB45" s="747"/>
      <c r="AC45" s="748">
        <f t="shared" si="108"/>
        <v>0</v>
      </c>
      <c r="AD45" s="749">
        <f t="shared" si="109"/>
        <v>0</v>
      </c>
      <c r="AE45" s="747"/>
      <c r="AF45" s="748">
        <f t="shared" si="110"/>
        <v>0</v>
      </c>
      <c r="AG45" s="749">
        <f t="shared" si="111"/>
        <v>0</v>
      </c>
      <c r="AH45" s="747"/>
      <c r="AI45" s="748">
        <f t="shared" si="112"/>
        <v>0</v>
      </c>
      <c r="AJ45" s="749">
        <f t="shared" si="113"/>
        <v>0</v>
      </c>
      <c r="AK45" s="747"/>
      <c r="AL45" s="748">
        <f t="shared" si="86"/>
        <v>0</v>
      </c>
      <c r="AM45" s="749">
        <f t="shared" si="87"/>
        <v>0</v>
      </c>
      <c r="AN45" s="747"/>
      <c r="AO45" s="748">
        <f t="shared" si="88"/>
        <v>0</v>
      </c>
      <c r="AP45" s="749">
        <f t="shared" si="89"/>
        <v>0</v>
      </c>
      <c r="AQ45" s="747"/>
      <c r="AR45" s="748">
        <f t="shared" si="90"/>
        <v>0</v>
      </c>
      <c r="AS45" s="749">
        <f t="shared" si="91"/>
        <v>0</v>
      </c>
      <c r="AT45" s="747"/>
      <c r="AU45" s="748">
        <f t="shared" si="92"/>
        <v>0</v>
      </c>
      <c r="AV45" s="749">
        <f t="shared" si="93"/>
        <v>0</v>
      </c>
      <c r="AW45" s="747"/>
      <c r="AX45" s="748">
        <f t="shared" si="94"/>
        <v>0</v>
      </c>
      <c r="AY45" s="749">
        <f t="shared" si="95"/>
        <v>0</v>
      </c>
      <c r="AZ45" s="747"/>
      <c r="BA45" s="748">
        <f t="shared" si="96"/>
        <v>0</v>
      </c>
      <c r="BB45" s="749">
        <f t="shared" si="97"/>
        <v>0</v>
      </c>
      <c r="BC45" s="747"/>
      <c r="BD45" s="748">
        <f t="shared" si="98"/>
        <v>0</v>
      </c>
      <c r="BE45" s="749">
        <f t="shared" si="99"/>
        <v>0</v>
      </c>
      <c r="BF45" s="747"/>
      <c r="BG45" s="748">
        <f t="shared" si="100"/>
        <v>0</v>
      </c>
      <c r="BH45" s="749">
        <f t="shared" si="101"/>
        <v>0</v>
      </c>
    </row>
    <row r="46" spans="1:60" ht="14.25">
      <c r="A46" s="509" t="e">
        <f t="shared" si="16"/>
        <v>#REF!</v>
      </c>
      <c r="B46" s="510">
        <f t="shared" si="17"/>
        <v>0</v>
      </c>
      <c r="C46" s="512" t="e">
        <f t="shared" si="18"/>
        <v>#REF!</v>
      </c>
      <c r="D46" s="513" t="str">
        <f t="shared" si="103"/>
        <v>4. OBRAS DE DRENAJE</v>
      </c>
      <c r="E46" s="537">
        <v>29</v>
      </c>
      <c r="F46" s="415" t="s">
        <v>327</v>
      </c>
      <c r="G46" s="535" t="s">
        <v>85</v>
      </c>
      <c r="H46" s="17">
        <v>182</v>
      </c>
      <c r="I46" s="17">
        <v>1483.78</v>
      </c>
      <c r="J46" s="26">
        <f t="shared" si="102"/>
        <v>270047.96000000002</v>
      </c>
      <c r="K46" s="21">
        <f>SUMIF($V$3:$BH$3,       "&lt;"&amp;Datos!$C$20,       V46:BH46)</f>
        <v>0</v>
      </c>
      <c r="L46" s="28">
        <f>SUMIF($V$2:$CH$2,"&lt;"&amp;Datos!$C$20,V46:CH46)</f>
        <v>0</v>
      </c>
      <c r="M46" s="515">
        <f>LOOKUP(Datos!$C$20,    'Cant. Ejec,'!$V$3:$BH$3,      'Cant. Ejec,'!$V46:$BH46)</f>
        <v>0</v>
      </c>
      <c r="N46" s="515">
        <f>LOOKUP(Datos!$C$20,    'Cant. Ejec,'!$V$2:$BH$2,      'Cant. Ejec,'!$V46:$BH46)</f>
        <v>0</v>
      </c>
      <c r="O46" s="21">
        <f>SUMIF($V$3:$CH$3,                                                    "&lt;"&amp;(Datos!$C$20+1),V46:CL46)</f>
        <v>0</v>
      </c>
      <c r="P46" s="515">
        <f>SUMIF($V$2:$CH$2,                    "&lt;"&amp;(Datos!$C$20+1),V46:CL46)</f>
        <v>0</v>
      </c>
      <c r="Q46" s="21">
        <f t="shared" si="76"/>
        <v>182</v>
      </c>
      <c r="R46" s="515">
        <f t="shared" si="77"/>
        <v>270047.96000000002</v>
      </c>
      <c r="S46" s="425">
        <f t="shared" si="78"/>
        <v>0</v>
      </c>
      <c r="T46" s="425">
        <f t="shared" si="79"/>
        <v>0</v>
      </c>
      <c r="U46" s="729">
        <f t="shared" si="80"/>
        <v>1</v>
      </c>
      <c r="V46" s="747"/>
      <c r="W46" s="748">
        <f t="shared" si="104"/>
        <v>0</v>
      </c>
      <c r="X46" s="749">
        <f t="shared" si="105"/>
        <v>0</v>
      </c>
      <c r="Y46" s="747"/>
      <c r="Z46" s="748">
        <f t="shared" si="106"/>
        <v>0</v>
      </c>
      <c r="AA46" s="749">
        <f t="shared" si="107"/>
        <v>0</v>
      </c>
      <c r="AB46" s="747"/>
      <c r="AC46" s="748">
        <f t="shared" si="108"/>
        <v>0</v>
      </c>
      <c r="AD46" s="749">
        <f t="shared" si="109"/>
        <v>0</v>
      </c>
      <c r="AE46" s="747"/>
      <c r="AF46" s="748">
        <f t="shared" si="110"/>
        <v>0</v>
      </c>
      <c r="AG46" s="749">
        <f t="shared" si="111"/>
        <v>0</v>
      </c>
      <c r="AH46" s="747"/>
      <c r="AI46" s="748">
        <f t="shared" si="112"/>
        <v>0</v>
      </c>
      <c r="AJ46" s="749">
        <f t="shared" si="113"/>
        <v>0</v>
      </c>
      <c r="AK46" s="747"/>
      <c r="AL46" s="748">
        <f t="shared" si="86"/>
        <v>0</v>
      </c>
      <c r="AM46" s="749">
        <f t="shared" si="87"/>
        <v>0</v>
      </c>
      <c r="AN46" s="747"/>
      <c r="AO46" s="748">
        <f t="shared" si="88"/>
        <v>0</v>
      </c>
      <c r="AP46" s="749">
        <f t="shared" si="89"/>
        <v>0</v>
      </c>
      <c r="AQ46" s="747"/>
      <c r="AR46" s="748">
        <f t="shared" si="90"/>
        <v>0</v>
      </c>
      <c r="AS46" s="749">
        <f t="shared" si="91"/>
        <v>0</v>
      </c>
      <c r="AT46" s="747"/>
      <c r="AU46" s="748">
        <f t="shared" si="92"/>
        <v>0</v>
      </c>
      <c r="AV46" s="749">
        <f t="shared" si="93"/>
        <v>0</v>
      </c>
      <c r="AW46" s="747"/>
      <c r="AX46" s="748">
        <f t="shared" si="94"/>
        <v>0</v>
      </c>
      <c r="AY46" s="749">
        <f t="shared" si="95"/>
        <v>0</v>
      </c>
      <c r="AZ46" s="747"/>
      <c r="BA46" s="748">
        <f t="shared" si="96"/>
        <v>0</v>
      </c>
      <c r="BB46" s="749">
        <f t="shared" si="97"/>
        <v>0</v>
      </c>
      <c r="BC46" s="747"/>
      <c r="BD46" s="748">
        <f t="shared" si="98"/>
        <v>0</v>
      </c>
      <c r="BE46" s="749">
        <f t="shared" si="99"/>
        <v>0</v>
      </c>
      <c r="BF46" s="747"/>
      <c r="BG46" s="748">
        <f t="shared" si="100"/>
        <v>0</v>
      </c>
      <c r="BH46" s="749">
        <f t="shared" si="101"/>
        <v>0</v>
      </c>
    </row>
    <row r="47" spans="1:60" ht="14.25">
      <c r="A47" s="509" t="e">
        <f t="shared" si="16"/>
        <v>#REF!</v>
      </c>
      <c r="B47" s="510">
        <f t="shared" si="17"/>
        <v>0</v>
      </c>
      <c r="C47" s="512" t="e">
        <f t="shared" si="18"/>
        <v>#REF!</v>
      </c>
      <c r="D47" s="513" t="str">
        <f t="shared" si="103"/>
        <v>4. OBRAS DE DRENAJE</v>
      </c>
      <c r="E47" s="537">
        <v>30</v>
      </c>
      <c r="F47" s="408" t="s">
        <v>328</v>
      </c>
      <c r="G47" s="535" t="s">
        <v>85</v>
      </c>
      <c r="H47" s="17">
        <v>324</v>
      </c>
      <c r="I47" s="19">
        <v>1483.78</v>
      </c>
      <c r="J47" s="26">
        <f t="shared" si="102"/>
        <v>480744.72</v>
      </c>
      <c r="K47" s="21">
        <f>SUMIF($V$3:$BH$3,       "&lt;"&amp;Datos!$C$20,       V47:BH47)</f>
        <v>0</v>
      </c>
      <c r="L47" s="28">
        <f>SUMIF($V$2:$CH$2,"&lt;"&amp;Datos!$C$20,V47:CH47)</f>
        <v>0</v>
      </c>
      <c r="M47" s="515">
        <f>LOOKUP(Datos!$C$20,    'Cant. Ejec,'!$V$3:$BH$3,      'Cant. Ejec,'!$V47:$BH47)</f>
        <v>0</v>
      </c>
      <c r="N47" s="515">
        <f>LOOKUP(Datos!$C$20,    'Cant. Ejec,'!$V$2:$BH$2,      'Cant. Ejec,'!$V47:$BH47)</f>
        <v>0</v>
      </c>
      <c r="O47" s="21">
        <f>SUMIF($V$3:$CH$3,                                                    "&lt;"&amp;(Datos!$C$20+1),V47:CL47)</f>
        <v>0</v>
      </c>
      <c r="P47" s="515">
        <f>SUMIF($V$2:$CH$2,                    "&lt;"&amp;(Datos!$C$20+1),V47:CL47)</f>
        <v>0</v>
      </c>
      <c r="Q47" s="21">
        <f t="shared" si="76"/>
        <v>324</v>
      </c>
      <c r="R47" s="515">
        <f t="shared" si="77"/>
        <v>480744.72</v>
      </c>
      <c r="S47" s="425">
        <f t="shared" si="78"/>
        <v>0</v>
      </c>
      <c r="T47" s="425">
        <f t="shared" si="79"/>
        <v>0</v>
      </c>
      <c r="U47" s="729">
        <f t="shared" si="80"/>
        <v>1</v>
      </c>
      <c r="V47" s="747"/>
      <c r="W47" s="748">
        <f t="shared" si="104"/>
        <v>0</v>
      </c>
      <c r="X47" s="749">
        <f t="shared" si="105"/>
        <v>0</v>
      </c>
      <c r="Y47" s="747"/>
      <c r="Z47" s="748">
        <f t="shared" si="106"/>
        <v>0</v>
      </c>
      <c r="AA47" s="749">
        <f t="shared" si="107"/>
        <v>0</v>
      </c>
      <c r="AB47" s="747"/>
      <c r="AC47" s="748">
        <f t="shared" si="108"/>
        <v>0</v>
      </c>
      <c r="AD47" s="749">
        <f t="shared" si="109"/>
        <v>0</v>
      </c>
      <c r="AE47" s="747"/>
      <c r="AF47" s="748">
        <f t="shared" si="110"/>
        <v>0</v>
      </c>
      <c r="AG47" s="749">
        <f t="shared" si="111"/>
        <v>0</v>
      </c>
      <c r="AH47" s="747"/>
      <c r="AI47" s="748">
        <f t="shared" si="112"/>
        <v>0</v>
      </c>
      <c r="AJ47" s="749">
        <f t="shared" si="113"/>
        <v>0</v>
      </c>
      <c r="AK47" s="747"/>
      <c r="AL47" s="748">
        <f t="shared" si="86"/>
        <v>0</v>
      </c>
      <c r="AM47" s="749">
        <f t="shared" si="87"/>
        <v>0</v>
      </c>
      <c r="AN47" s="747"/>
      <c r="AO47" s="748">
        <f t="shared" si="88"/>
        <v>0</v>
      </c>
      <c r="AP47" s="749">
        <f t="shared" si="89"/>
        <v>0</v>
      </c>
      <c r="AQ47" s="747"/>
      <c r="AR47" s="748">
        <f t="shared" si="90"/>
        <v>0</v>
      </c>
      <c r="AS47" s="749">
        <f t="shared" si="91"/>
        <v>0</v>
      </c>
      <c r="AT47" s="747"/>
      <c r="AU47" s="748">
        <f t="shared" si="92"/>
        <v>0</v>
      </c>
      <c r="AV47" s="749">
        <f t="shared" si="93"/>
        <v>0</v>
      </c>
      <c r="AW47" s="747"/>
      <c r="AX47" s="748">
        <f t="shared" si="94"/>
        <v>0</v>
      </c>
      <c r="AY47" s="749">
        <f t="shared" si="95"/>
        <v>0</v>
      </c>
      <c r="AZ47" s="747"/>
      <c r="BA47" s="748">
        <f t="shared" si="96"/>
        <v>0</v>
      </c>
      <c r="BB47" s="749">
        <f t="shared" si="97"/>
        <v>0</v>
      </c>
      <c r="BC47" s="747"/>
      <c r="BD47" s="748">
        <f t="shared" si="98"/>
        <v>0</v>
      </c>
      <c r="BE47" s="749">
        <f t="shared" si="99"/>
        <v>0</v>
      </c>
      <c r="BF47" s="747"/>
      <c r="BG47" s="748">
        <f t="shared" si="100"/>
        <v>0</v>
      </c>
      <c r="BH47" s="749">
        <f t="shared" si="101"/>
        <v>0</v>
      </c>
    </row>
    <row r="48" spans="1:60" ht="14.25">
      <c r="A48" s="509" t="e">
        <f t="shared" si="16"/>
        <v>#REF!</v>
      </c>
      <c r="B48" s="510">
        <f t="shared" si="17"/>
        <v>0</v>
      </c>
      <c r="C48" s="512" t="e">
        <f t="shared" si="18"/>
        <v>#REF!</v>
      </c>
      <c r="D48" s="513" t="str">
        <f t="shared" si="103"/>
        <v>4. OBRAS DE DRENAJE</v>
      </c>
      <c r="E48" s="537">
        <v>31</v>
      </c>
      <c r="F48" s="408" t="s">
        <v>329</v>
      </c>
      <c r="G48" s="535" t="s">
        <v>85</v>
      </c>
      <c r="H48" s="17">
        <v>915</v>
      </c>
      <c r="I48" s="17">
        <v>1483.78</v>
      </c>
      <c r="J48" s="26">
        <f t="shared" si="102"/>
        <v>1357658.7</v>
      </c>
      <c r="K48" s="21">
        <f>SUMIF($V$3:$BH$3,       "&lt;"&amp;Datos!$C$20,       V48:BH48)</f>
        <v>0</v>
      </c>
      <c r="L48" s="28">
        <f>SUMIF($V$2:$CH$2,"&lt;"&amp;Datos!$C$20,V48:CH48)</f>
        <v>0</v>
      </c>
      <c r="M48" s="515">
        <f>LOOKUP(Datos!$C$20,    'Cant. Ejec,'!$V$3:$BH$3,      'Cant. Ejec,'!$V48:$BH48)</f>
        <v>0</v>
      </c>
      <c r="N48" s="515">
        <f>LOOKUP(Datos!$C$20,    'Cant. Ejec,'!$V$2:$BH$2,      'Cant. Ejec,'!$V48:$BH48)</f>
        <v>0</v>
      </c>
      <c r="O48" s="21">
        <f>SUMIF($V$3:$CH$3,                                                    "&lt;"&amp;(Datos!$C$20+1),V48:CL48)</f>
        <v>0</v>
      </c>
      <c r="P48" s="515">
        <f>SUMIF($V$2:$CH$2,                    "&lt;"&amp;(Datos!$C$20+1),V48:CL48)</f>
        <v>0</v>
      </c>
      <c r="Q48" s="21">
        <f t="shared" si="76"/>
        <v>915</v>
      </c>
      <c r="R48" s="515">
        <f t="shared" si="77"/>
        <v>1357658.7</v>
      </c>
      <c r="S48" s="425">
        <f t="shared" si="78"/>
        <v>0</v>
      </c>
      <c r="T48" s="425">
        <f t="shared" si="79"/>
        <v>0</v>
      </c>
      <c r="U48" s="729">
        <f t="shared" si="80"/>
        <v>1</v>
      </c>
      <c r="V48" s="747"/>
      <c r="W48" s="748">
        <f t="shared" si="104"/>
        <v>0</v>
      </c>
      <c r="X48" s="749">
        <f t="shared" si="105"/>
        <v>0</v>
      </c>
      <c r="Y48" s="747"/>
      <c r="Z48" s="748">
        <f t="shared" si="106"/>
        <v>0</v>
      </c>
      <c r="AA48" s="749">
        <f t="shared" si="107"/>
        <v>0</v>
      </c>
      <c r="AB48" s="747"/>
      <c r="AC48" s="748">
        <f t="shared" si="108"/>
        <v>0</v>
      </c>
      <c r="AD48" s="749">
        <f t="shared" si="109"/>
        <v>0</v>
      </c>
      <c r="AE48" s="747"/>
      <c r="AF48" s="748">
        <f t="shared" si="110"/>
        <v>0</v>
      </c>
      <c r="AG48" s="749">
        <f t="shared" si="111"/>
        <v>0</v>
      </c>
      <c r="AH48" s="747"/>
      <c r="AI48" s="748">
        <f t="shared" si="112"/>
        <v>0</v>
      </c>
      <c r="AJ48" s="749">
        <f t="shared" si="113"/>
        <v>0</v>
      </c>
      <c r="AK48" s="747"/>
      <c r="AL48" s="748">
        <f t="shared" si="86"/>
        <v>0</v>
      </c>
      <c r="AM48" s="749">
        <f t="shared" si="87"/>
        <v>0</v>
      </c>
      <c r="AN48" s="747"/>
      <c r="AO48" s="748">
        <f t="shared" si="88"/>
        <v>0</v>
      </c>
      <c r="AP48" s="749">
        <f t="shared" si="89"/>
        <v>0</v>
      </c>
      <c r="AQ48" s="747"/>
      <c r="AR48" s="748">
        <f t="shared" si="90"/>
        <v>0</v>
      </c>
      <c r="AS48" s="749">
        <f t="shared" si="91"/>
        <v>0</v>
      </c>
      <c r="AT48" s="747"/>
      <c r="AU48" s="748">
        <f t="shared" si="92"/>
        <v>0</v>
      </c>
      <c r="AV48" s="749">
        <f t="shared" si="93"/>
        <v>0</v>
      </c>
      <c r="AW48" s="747"/>
      <c r="AX48" s="748">
        <f t="shared" si="94"/>
        <v>0</v>
      </c>
      <c r="AY48" s="749">
        <f t="shared" si="95"/>
        <v>0</v>
      </c>
      <c r="AZ48" s="747"/>
      <c r="BA48" s="748">
        <f t="shared" si="96"/>
        <v>0</v>
      </c>
      <c r="BB48" s="749">
        <f t="shared" si="97"/>
        <v>0</v>
      </c>
      <c r="BC48" s="747"/>
      <c r="BD48" s="748">
        <f t="shared" si="98"/>
        <v>0</v>
      </c>
      <c r="BE48" s="749">
        <f t="shared" si="99"/>
        <v>0</v>
      </c>
      <c r="BF48" s="747"/>
      <c r="BG48" s="748">
        <f t="shared" si="100"/>
        <v>0</v>
      </c>
      <c r="BH48" s="749">
        <f t="shared" si="101"/>
        <v>0</v>
      </c>
    </row>
    <row r="49" spans="1:60" ht="14.25">
      <c r="A49" s="509" t="e">
        <f t="shared" si="16"/>
        <v>#REF!</v>
      </c>
      <c r="B49" s="510">
        <f t="shared" si="17"/>
        <v>0</v>
      </c>
      <c r="C49" s="512" t="e">
        <f t="shared" si="18"/>
        <v>#REF!</v>
      </c>
      <c r="D49" s="513" t="str">
        <f t="shared" si="103"/>
        <v>4. OBRAS DE DRENAJE</v>
      </c>
      <c r="E49" s="537">
        <v>32</v>
      </c>
      <c r="F49" s="408" t="s">
        <v>330</v>
      </c>
      <c r="G49" s="535" t="s">
        <v>85</v>
      </c>
      <c r="H49" s="17">
        <v>173</v>
      </c>
      <c r="I49" s="17">
        <v>1483.78</v>
      </c>
      <c r="J49" s="26">
        <f t="shared" si="102"/>
        <v>256693.94</v>
      </c>
      <c r="K49" s="21">
        <f>SUMIF($V$3:$BH$3,       "&lt;"&amp;Datos!$C$20,       V49:BH49)</f>
        <v>0</v>
      </c>
      <c r="L49" s="28">
        <f>SUMIF($V$2:$CH$2,"&lt;"&amp;Datos!$C$20,V49:CH49)</f>
        <v>0</v>
      </c>
      <c r="M49" s="515">
        <f>LOOKUP(Datos!$C$20,    'Cant. Ejec,'!$V$3:$BH$3,      'Cant. Ejec,'!$V49:$BH49)</f>
        <v>0</v>
      </c>
      <c r="N49" s="515">
        <f>LOOKUP(Datos!$C$20,    'Cant. Ejec,'!$V$2:$BH$2,      'Cant. Ejec,'!$V49:$BH49)</f>
        <v>0</v>
      </c>
      <c r="O49" s="21">
        <f>SUMIF($V$3:$CH$3,                                                    "&lt;"&amp;(Datos!$C$20+1),V49:CL49)</f>
        <v>0</v>
      </c>
      <c r="P49" s="515">
        <f>SUMIF($V$2:$CH$2,                    "&lt;"&amp;(Datos!$C$20+1),V49:CL49)</f>
        <v>0</v>
      </c>
      <c r="Q49" s="21">
        <f t="shared" si="76"/>
        <v>173</v>
      </c>
      <c r="R49" s="515">
        <f t="shared" si="77"/>
        <v>256693.94</v>
      </c>
      <c r="S49" s="425">
        <f t="shared" si="78"/>
        <v>0</v>
      </c>
      <c r="T49" s="425">
        <f t="shared" si="79"/>
        <v>0</v>
      </c>
      <c r="U49" s="729">
        <f t="shared" si="80"/>
        <v>1</v>
      </c>
      <c r="V49" s="747"/>
      <c r="W49" s="748">
        <f t="shared" si="104"/>
        <v>0</v>
      </c>
      <c r="X49" s="749">
        <f t="shared" si="105"/>
        <v>0</v>
      </c>
      <c r="Y49" s="747"/>
      <c r="Z49" s="748">
        <f t="shared" si="106"/>
        <v>0</v>
      </c>
      <c r="AA49" s="749">
        <f t="shared" si="107"/>
        <v>0</v>
      </c>
      <c r="AB49" s="747"/>
      <c r="AC49" s="748">
        <f t="shared" si="108"/>
        <v>0</v>
      </c>
      <c r="AD49" s="749">
        <f t="shared" si="109"/>
        <v>0</v>
      </c>
      <c r="AE49" s="747"/>
      <c r="AF49" s="748">
        <f t="shared" si="110"/>
        <v>0</v>
      </c>
      <c r="AG49" s="749">
        <f t="shared" si="111"/>
        <v>0</v>
      </c>
      <c r="AH49" s="747"/>
      <c r="AI49" s="748">
        <f t="shared" si="112"/>
        <v>0</v>
      </c>
      <c r="AJ49" s="749">
        <f t="shared" si="113"/>
        <v>0</v>
      </c>
      <c r="AK49" s="747"/>
      <c r="AL49" s="748">
        <f t="shared" si="86"/>
        <v>0</v>
      </c>
      <c r="AM49" s="749">
        <f t="shared" si="87"/>
        <v>0</v>
      </c>
      <c r="AN49" s="747"/>
      <c r="AO49" s="748">
        <f t="shared" si="88"/>
        <v>0</v>
      </c>
      <c r="AP49" s="749">
        <f t="shared" si="89"/>
        <v>0</v>
      </c>
      <c r="AQ49" s="747"/>
      <c r="AR49" s="748">
        <f t="shared" si="90"/>
        <v>0</v>
      </c>
      <c r="AS49" s="749">
        <f t="shared" si="91"/>
        <v>0</v>
      </c>
      <c r="AT49" s="747"/>
      <c r="AU49" s="748">
        <f t="shared" si="92"/>
        <v>0</v>
      </c>
      <c r="AV49" s="749">
        <f t="shared" si="93"/>
        <v>0</v>
      </c>
      <c r="AW49" s="747"/>
      <c r="AX49" s="748">
        <f t="shared" si="94"/>
        <v>0</v>
      </c>
      <c r="AY49" s="749">
        <f t="shared" si="95"/>
        <v>0</v>
      </c>
      <c r="AZ49" s="747"/>
      <c r="BA49" s="748">
        <f t="shared" si="96"/>
        <v>0</v>
      </c>
      <c r="BB49" s="749">
        <f t="shared" si="97"/>
        <v>0</v>
      </c>
      <c r="BC49" s="747"/>
      <c r="BD49" s="748">
        <f t="shared" si="98"/>
        <v>0</v>
      </c>
      <c r="BE49" s="749">
        <f t="shared" si="99"/>
        <v>0</v>
      </c>
      <c r="BF49" s="747"/>
      <c r="BG49" s="748">
        <f t="shared" si="100"/>
        <v>0</v>
      </c>
      <c r="BH49" s="749">
        <f t="shared" si="101"/>
        <v>0</v>
      </c>
    </row>
    <row r="50" spans="1:60" ht="14.25">
      <c r="A50" s="509" t="e">
        <f t="shared" si="16"/>
        <v>#REF!</v>
      </c>
      <c r="B50" s="510">
        <f t="shared" si="17"/>
        <v>0</v>
      </c>
      <c r="C50" s="512" t="e">
        <f t="shared" si="18"/>
        <v>#REF!</v>
      </c>
      <c r="D50" s="513" t="str">
        <f t="shared" si="103"/>
        <v>4. OBRAS DE DRENAJE</v>
      </c>
      <c r="E50" s="537">
        <v>33</v>
      </c>
      <c r="F50" s="408" t="s">
        <v>331</v>
      </c>
      <c r="G50" s="535" t="s">
        <v>88</v>
      </c>
      <c r="H50" s="17">
        <v>1320</v>
      </c>
      <c r="I50" s="17">
        <v>298.16000000000003</v>
      </c>
      <c r="J50" s="26">
        <f t="shared" si="102"/>
        <v>393571.2</v>
      </c>
      <c r="K50" s="21">
        <f>SUMIF($V$3:$BH$3,       "&lt;"&amp;Datos!$C$20,       V50:BH50)</f>
        <v>0</v>
      </c>
      <c r="L50" s="28">
        <f>SUMIF($V$2:$CH$2,"&lt;"&amp;Datos!$C$20,V50:CH50)</f>
        <v>0</v>
      </c>
      <c r="M50" s="515">
        <f>LOOKUP(Datos!$C$20,    'Cant. Ejec,'!$V$3:$BH$3,      'Cant. Ejec,'!$V50:$BH50)</f>
        <v>0</v>
      </c>
      <c r="N50" s="515">
        <f>LOOKUP(Datos!$C$20,    'Cant. Ejec,'!$V$2:$BH$2,      'Cant. Ejec,'!$V50:$BH50)</f>
        <v>0</v>
      </c>
      <c r="O50" s="21">
        <f>SUMIF($V$3:$CH$3,                                                    "&lt;"&amp;(Datos!$C$20+1),V50:CL50)</f>
        <v>0</v>
      </c>
      <c r="P50" s="515">
        <f>SUMIF($V$2:$CH$2,                    "&lt;"&amp;(Datos!$C$20+1),V50:CL50)</f>
        <v>0</v>
      </c>
      <c r="Q50" s="21">
        <f t="shared" si="76"/>
        <v>1320</v>
      </c>
      <c r="R50" s="515">
        <f t="shared" si="77"/>
        <v>393571.2</v>
      </c>
      <c r="S50" s="425">
        <f t="shared" si="78"/>
        <v>0</v>
      </c>
      <c r="T50" s="425">
        <f t="shared" si="79"/>
        <v>0</v>
      </c>
      <c r="U50" s="729">
        <f t="shared" si="80"/>
        <v>1</v>
      </c>
      <c r="V50" s="747"/>
      <c r="W50" s="748">
        <f t="shared" si="104"/>
        <v>0</v>
      </c>
      <c r="X50" s="749">
        <f t="shared" si="105"/>
        <v>0</v>
      </c>
      <c r="Y50" s="747"/>
      <c r="Z50" s="748">
        <f t="shared" si="106"/>
        <v>0</v>
      </c>
      <c r="AA50" s="749">
        <f t="shared" si="107"/>
        <v>0</v>
      </c>
      <c r="AB50" s="747"/>
      <c r="AC50" s="748">
        <f t="shared" si="108"/>
        <v>0</v>
      </c>
      <c r="AD50" s="749">
        <f t="shared" si="109"/>
        <v>0</v>
      </c>
      <c r="AE50" s="747"/>
      <c r="AF50" s="748">
        <f t="shared" si="110"/>
        <v>0</v>
      </c>
      <c r="AG50" s="749">
        <f t="shared" si="111"/>
        <v>0</v>
      </c>
      <c r="AH50" s="747"/>
      <c r="AI50" s="748">
        <f t="shared" si="112"/>
        <v>0</v>
      </c>
      <c r="AJ50" s="749">
        <f t="shared" si="113"/>
        <v>0</v>
      </c>
      <c r="AK50" s="747"/>
      <c r="AL50" s="748">
        <f t="shared" si="86"/>
        <v>0</v>
      </c>
      <c r="AM50" s="749">
        <f t="shared" si="87"/>
        <v>0</v>
      </c>
      <c r="AN50" s="747"/>
      <c r="AO50" s="748">
        <f t="shared" si="88"/>
        <v>0</v>
      </c>
      <c r="AP50" s="749">
        <f t="shared" si="89"/>
        <v>0</v>
      </c>
      <c r="AQ50" s="747"/>
      <c r="AR50" s="748">
        <f t="shared" si="90"/>
        <v>0</v>
      </c>
      <c r="AS50" s="749">
        <f t="shared" si="91"/>
        <v>0</v>
      </c>
      <c r="AT50" s="747"/>
      <c r="AU50" s="748">
        <f t="shared" si="92"/>
        <v>0</v>
      </c>
      <c r="AV50" s="749">
        <f t="shared" si="93"/>
        <v>0</v>
      </c>
      <c r="AW50" s="747"/>
      <c r="AX50" s="748">
        <f t="shared" si="94"/>
        <v>0</v>
      </c>
      <c r="AY50" s="749">
        <f t="shared" si="95"/>
        <v>0</v>
      </c>
      <c r="AZ50" s="747"/>
      <c r="BA50" s="748">
        <f t="shared" si="96"/>
        <v>0</v>
      </c>
      <c r="BB50" s="749">
        <f t="shared" si="97"/>
        <v>0</v>
      </c>
      <c r="BC50" s="747"/>
      <c r="BD50" s="748">
        <f t="shared" si="98"/>
        <v>0</v>
      </c>
      <c r="BE50" s="749">
        <f t="shared" si="99"/>
        <v>0</v>
      </c>
      <c r="BF50" s="747"/>
      <c r="BG50" s="748">
        <f t="shared" si="100"/>
        <v>0</v>
      </c>
      <c r="BH50" s="749">
        <f t="shared" si="101"/>
        <v>0</v>
      </c>
    </row>
    <row r="51" spans="1:60" ht="25.5">
      <c r="A51" s="509" t="e">
        <f t="shared" si="16"/>
        <v>#REF!</v>
      </c>
      <c r="B51" s="510">
        <f t="shared" si="17"/>
        <v>0</v>
      </c>
      <c r="C51" s="512" t="e">
        <f t="shared" si="18"/>
        <v>#REF!</v>
      </c>
      <c r="D51" s="513" t="str">
        <f t="shared" si="103"/>
        <v>4. OBRAS DE DRENAJE</v>
      </c>
      <c r="E51" s="537">
        <v>34</v>
      </c>
      <c r="F51" s="408" t="s">
        <v>332</v>
      </c>
      <c r="G51" s="535" t="s">
        <v>88</v>
      </c>
      <c r="H51" s="17">
        <v>14</v>
      </c>
      <c r="I51" s="17">
        <v>1943.4</v>
      </c>
      <c r="J51" s="26">
        <f t="shared" si="102"/>
        <v>27207.599999999999</v>
      </c>
      <c r="K51" s="21">
        <f>SUMIF($V$3:$BH$3,       "&lt;"&amp;Datos!$C$20,       V51:BH51)</f>
        <v>0</v>
      </c>
      <c r="L51" s="28">
        <f>SUMIF($V$2:$CH$2,"&lt;"&amp;Datos!$C$20,V51:CH51)</f>
        <v>0</v>
      </c>
      <c r="M51" s="515">
        <f>LOOKUP(Datos!$C$20,    'Cant. Ejec,'!$V$3:$BH$3,      'Cant. Ejec,'!$V51:$BH51)</f>
        <v>0</v>
      </c>
      <c r="N51" s="515">
        <f>LOOKUP(Datos!$C$20,    'Cant. Ejec,'!$V$2:$BH$2,      'Cant. Ejec,'!$V51:$BH51)</f>
        <v>0</v>
      </c>
      <c r="O51" s="21">
        <f>SUMIF($V$3:$CH$3,                                                    "&lt;"&amp;(Datos!$C$20+1),V51:CL51)</f>
        <v>0</v>
      </c>
      <c r="P51" s="515">
        <f>SUMIF($V$2:$CH$2,                    "&lt;"&amp;(Datos!$C$20+1),V51:CL51)</f>
        <v>0</v>
      </c>
      <c r="Q51" s="21">
        <f t="shared" si="76"/>
        <v>14</v>
      </c>
      <c r="R51" s="515">
        <f t="shared" si="77"/>
        <v>27207.599999999999</v>
      </c>
      <c r="S51" s="425">
        <f t="shared" si="78"/>
        <v>0</v>
      </c>
      <c r="T51" s="425">
        <f t="shared" si="79"/>
        <v>0</v>
      </c>
      <c r="U51" s="729">
        <f t="shared" si="80"/>
        <v>1</v>
      </c>
      <c r="V51" s="747"/>
      <c r="W51" s="748">
        <f t="shared" si="104"/>
        <v>0</v>
      </c>
      <c r="X51" s="749">
        <f t="shared" si="105"/>
        <v>0</v>
      </c>
      <c r="Y51" s="747"/>
      <c r="Z51" s="748">
        <f t="shared" si="106"/>
        <v>0</v>
      </c>
      <c r="AA51" s="749">
        <f t="shared" si="107"/>
        <v>0</v>
      </c>
      <c r="AB51" s="747"/>
      <c r="AC51" s="748">
        <f t="shared" si="108"/>
        <v>0</v>
      </c>
      <c r="AD51" s="749">
        <f t="shared" si="109"/>
        <v>0</v>
      </c>
      <c r="AE51" s="747"/>
      <c r="AF51" s="748">
        <f t="shared" si="110"/>
        <v>0</v>
      </c>
      <c r="AG51" s="749">
        <f t="shared" si="111"/>
        <v>0</v>
      </c>
      <c r="AH51" s="747"/>
      <c r="AI51" s="748">
        <f t="shared" si="112"/>
        <v>0</v>
      </c>
      <c r="AJ51" s="749">
        <f t="shared" si="113"/>
        <v>0</v>
      </c>
      <c r="AK51" s="747"/>
      <c r="AL51" s="748">
        <f t="shared" si="86"/>
        <v>0</v>
      </c>
      <c r="AM51" s="749">
        <f t="shared" si="87"/>
        <v>0</v>
      </c>
      <c r="AN51" s="747"/>
      <c r="AO51" s="748">
        <f t="shared" si="88"/>
        <v>0</v>
      </c>
      <c r="AP51" s="749">
        <f t="shared" si="89"/>
        <v>0</v>
      </c>
      <c r="AQ51" s="747"/>
      <c r="AR51" s="748">
        <f t="shared" si="90"/>
        <v>0</v>
      </c>
      <c r="AS51" s="749">
        <f t="shared" si="91"/>
        <v>0</v>
      </c>
      <c r="AT51" s="747"/>
      <c r="AU51" s="748">
        <f t="shared" si="92"/>
        <v>0</v>
      </c>
      <c r="AV51" s="749">
        <f t="shared" si="93"/>
        <v>0</v>
      </c>
      <c r="AW51" s="747"/>
      <c r="AX51" s="748">
        <f t="shared" si="94"/>
        <v>0</v>
      </c>
      <c r="AY51" s="749">
        <f t="shared" si="95"/>
        <v>0</v>
      </c>
      <c r="AZ51" s="747"/>
      <c r="BA51" s="748">
        <f t="shared" si="96"/>
        <v>0</v>
      </c>
      <c r="BB51" s="749">
        <f t="shared" si="97"/>
        <v>0</v>
      </c>
      <c r="BC51" s="747"/>
      <c r="BD51" s="748">
        <f t="shared" si="98"/>
        <v>0</v>
      </c>
      <c r="BE51" s="749">
        <f t="shared" si="99"/>
        <v>0</v>
      </c>
      <c r="BF51" s="747"/>
      <c r="BG51" s="748">
        <f t="shared" si="100"/>
        <v>0</v>
      </c>
      <c r="BH51" s="749">
        <f t="shared" si="101"/>
        <v>0</v>
      </c>
    </row>
    <row r="52" spans="1:60" ht="14.25">
      <c r="A52" s="509" t="e">
        <f t="shared" si="16"/>
        <v>#REF!</v>
      </c>
      <c r="B52" s="510">
        <f t="shared" si="17"/>
        <v>0</v>
      </c>
      <c r="C52" s="512" t="e">
        <f t="shared" si="18"/>
        <v>#REF!</v>
      </c>
      <c r="D52" s="513" t="str">
        <f t="shared" si="103"/>
        <v>4. OBRAS DE DRENAJE</v>
      </c>
      <c r="E52" s="537">
        <v>35</v>
      </c>
      <c r="F52" s="408" t="s">
        <v>333</v>
      </c>
      <c r="G52" s="535" t="s">
        <v>85</v>
      </c>
      <c r="H52" s="17">
        <v>8800</v>
      </c>
      <c r="I52" s="17">
        <v>34.61</v>
      </c>
      <c r="J52" s="26">
        <f t="shared" si="102"/>
        <v>304568</v>
      </c>
      <c r="K52" s="21">
        <f>SUMIF($V$3:$BH$3,       "&lt;"&amp;Datos!$C$20,       V52:BH52)</f>
        <v>0</v>
      </c>
      <c r="L52" s="28">
        <f>SUMIF($V$2:$CH$2,"&lt;"&amp;Datos!$C$20,V52:CH52)</f>
        <v>0</v>
      </c>
      <c r="M52" s="515">
        <f>LOOKUP(Datos!$C$20,    'Cant. Ejec,'!$V$3:$BH$3,      'Cant. Ejec,'!$V52:$BH52)</f>
        <v>0</v>
      </c>
      <c r="N52" s="515">
        <f>LOOKUP(Datos!$C$20,    'Cant. Ejec,'!$V$2:$BH$2,      'Cant. Ejec,'!$V52:$BH52)</f>
        <v>0</v>
      </c>
      <c r="O52" s="21">
        <f>SUMIF($V$3:$CH$3,                                                    "&lt;"&amp;(Datos!$C$20+1),V52:CL52)</f>
        <v>0</v>
      </c>
      <c r="P52" s="515">
        <f>SUMIF($V$2:$CH$2,                    "&lt;"&amp;(Datos!$C$20+1),V52:CL52)</f>
        <v>0</v>
      </c>
      <c r="Q52" s="21">
        <f t="shared" si="76"/>
        <v>8800</v>
      </c>
      <c r="R52" s="515">
        <f t="shared" si="77"/>
        <v>304568</v>
      </c>
      <c r="S52" s="425">
        <f t="shared" si="78"/>
        <v>0</v>
      </c>
      <c r="T52" s="425">
        <f t="shared" si="79"/>
        <v>0</v>
      </c>
      <c r="U52" s="729">
        <f t="shared" si="80"/>
        <v>1</v>
      </c>
      <c r="V52" s="747"/>
      <c r="W52" s="748">
        <f t="shared" si="104"/>
        <v>0</v>
      </c>
      <c r="X52" s="749">
        <f t="shared" si="105"/>
        <v>0</v>
      </c>
      <c r="Y52" s="747"/>
      <c r="Z52" s="748">
        <f t="shared" si="106"/>
        <v>0</v>
      </c>
      <c r="AA52" s="749">
        <f t="shared" si="107"/>
        <v>0</v>
      </c>
      <c r="AB52" s="747"/>
      <c r="AC52" s="748">
        <f t="shared" si="108"/>
        <v>0</v>
      </c>
      <c r="AD52" s="749">
        <f t="shared" si="109"/>
        <v>0</v>
      </c>
      <c r="AE52" s="747"/>
      <c r="AF52" s="748">
        <f t="shared" si="110"/>
        <v>0</v>
      </c>
      <c r="AG52" s="749">
        <f t="shared" si="111"/>
        <v>0</v>
      </c>
      <c r="AH52" s="747"/>
      <c r="AI52" s="748">
        <f t="shared" si="112"/>
        <v>0</v>
      </c>
      <c r="AJ52" s="749">
        <f t="shared" si="113"/>
        <v>0</v>
      </c>
      <c r="AK52" s="747"/>
      <c r="AL52" s="748">
        <f t="shared" si="86"/>
        <v>0</v>
      </c>
      <c r="AM52" s="749">
        <f t="shared" si="87"/>
        <v>0</v>
      </c>
      <c r="AN52" s="747"/>
      <c r="AO52" s="748">
        <f t="shared" si="88"/>
        <v>0</v>
      </c>
      <c r="AP52" s="749">
        <f t="shared" si="89"/>
        <v>0</v>
      </c>
      <c r="AQ52" s="747"/>
      <c r="AR52" s="748">
        <f t="shared" si="90"/>
        <v>0</v>
      </c>
      <c r="AS52" s="749">
        <f t="shared" si="91"/>
        <v>0</v>
      </c>
      <c r="AT52" s="747"/>
      <c r="AU52" s="748">
        <f t="shared" si="92"/>
        <v>0</v>
      </c>
      <c r="AV52" s="749">
        <f t="shared" si="93"/>
        <v>0</v>
      </c>
      <c r="AW52" s="747"/>
      <c r="AX52" s="748">
        <f t="shared" si="94"/>
        <v>0</v>
      </c>
      <c r="AY52" s="749">
        <f t="shared" si="95"/>
        <v>0</v>
      </c>
      <c r="AZ52" s="747"/>
      <c r="BA52" s="748">
        <f t="shared" si="96"/>
        <v>0</v>
      </c>
      <c r="BB52" s="749">
        <f t="shared" si="97"/>
        <v>0</v>
      </c>
      <c r="BC52" s="747"/>
      <c r="BD52" s="748">
        <f t="shared" si="98"/>
        <v>0</v>
      </c>
      <c r="BE52" s="749">
        <f t="shared" si="99"/>
        <v>0</v>
      </c>
      <c r="BF52" s="747"/>
      <c r="BG52" s="748">
        <f t="shared" si="100"/>
        <v>0</v>
      </c>
      <c r="BH52" s="749">
        <f t="shared" si="101"/>
        <v>0</v>
      </c>
    </row>
    <row r="53" spans="1:60" ht="14.25">
      <c r="A53" s="509" t="e">
        <f t="shared" si="16"/>
        <v>#REF!</v>
      </c>
      <c r="B53" s="510">
        <f t="shared" si="17"/>
        <v>0</v>
      </c>
      <c r="C53" s="512" t="e">
        <f t="shared" si="18"/>
        <v>#REF!</v>
      </c>
      <c r="D53" s="513" t="str">
        <f t="shared" si="103"/>
        <v>4. OBRAS DE DRENAJE</v>
      </c>
      <c r="E53" s="537">
        <v>36</v>
      </c>
      <c r="F53" s="408" t="s">
        <v>334</v>
      </c>
      <c r="G53" s="535" t="s">
        <v>86</v>
      </c>
      <c r="H53" s="17">
        <v>1200</v>
      </c>
      <c r="I53" s="17">
        <v>106.62</v>
      </c>
      <c r="J53" s="26">
        <f t="shared" si="102"/>
        <v>127944</v>
      </c>
      <c r="K53" s="21">
        <f>SUMIF($V$3:$BH$3,       "&lt;"&amp;Datos!$C$20,       V53:BH53)</f>
        <v>0</v>
      </c>
      <c r="L53" s="28">
        <f>SUMIF($V$2:$CH$2,"&lt;"&amp;Datos!$C$20,V53:CH53)</f>
        <v>0</v>
      </c>
      <c r="M53" s="515">
        <f>LOOKUP(Datos!$C$20,    'Cant. Ejec,'!$V$3:$BH$3,      'Cant. Ejec,'!$V53:$BH53)</f>
        <v>0</v>
      </c>
      <c r="N53" s="515">
        <f>LOOKUP(Datos!$C$20,    'Cant. Ejec,'!$V$2:$BH$2,      'Cant. Ejec,'!$V53:$BH53)</f>
        <v>0</v>
      </c>
      <c r="O53" s="21">
        <f>SUMIF($V$3:$CH$3,                                                    "&lt;"&amp;(Datos!$C$20+1),V53:CL53)</f>
        <v>0</v>
      </c>
      <c r="P53" s="515">
        <f>SUMIF($V$2:$CH$2,                    "&lt;"&amp;(Datos!$C$20+1),V53:CL53)</f>
        <v>0</v>
      </c>
      <c r="Q53" s="21">
        <f t="shared" si="76"/>
        <v>1200</v>
      </c>
      <c r="R53" s="515">
        <f t="shared" si="77"/>
        <v>127944</v>
      </c>
      <c r="S53" s="425">
        <f t="shared" si="78"/>
        <v>0</v>
      </c>
      <c r="T53" s="425">
        <f t="shared" si="79"/>
        <v>0</v>
      </c>
      <c r="U53" s="729">
        <f t="shared" si="80"/>
        <v>1</v>
      </c>
      <c r="V53" s="747"/>
      <c r="W53" s="748">
        <f t="shared" si="104"/>
        <v>0</v>
      </c>
      <c r="X53" s="749">
        <f t="shared" si="105"/>
        <v>0</v>
      </c>
      <c r="Y53" s="747"/>
      <c r="Z53" s="748">
        <f t="shared" si="106"/>
        <v>0</v>
      </c>
      <c r="AA53" s="749">
        <f t="shared" si="107"/>
        <v>0</v>
      </c>
      <c r="AB53" s="747"/>
      <c r="AC53" s="748">
        <f t="shared" si="108"/>
        <v>0</v>
      </c>
      <c r="AD53" s="749">
        <f t="shared" si="109"/>
        <v>0</v>
      </c>
      <c r="AE53" s="747"/>
      <c r="AF53" s="748">
        <f t="shared" si="110"/>
        <v>0</v>
      </c>
      <c r="AG53" s="749">
        <f t="shared" si="111"/>
        <v>0</v>
      </c>
      <c r="AH53" s="747"/>
      <c r="AI53" s="748">
        <f t="shared" si="112"/>
        <v>0</v>
      </c>
      <c r="AJ53" s="749">
        <f t="shared" si="113"/>
        <v>0</v>
      </c>
      <c r="AK53" s="747"/>
      <c r="AL53" s="748">
        <f t="shared" si="86"/>
        <v>0</v>
      </c>
      <c r="AM53" s="749">
        <f t="shared" si="87"/>
        <v>0</v>
      </c>
      <c r="AN53" s="747"/>
      <c r="AO53" s="748">
        <f t="shared" si="88"/>
        <v>0</v>
      </c>
      <c r="AP53" s="749">
        <f t="shared" si="89"/>
        <v>0</v>
      </c>
      <c r="AQ53" s="747"/>
      <c r="AR53" s="748">
        <f t="shared" si="90"/>
        <v>0</v>
      </c>
      <c r="AS53" s="749">
        <f t="shared" si="91"/>
        <v>0</v>
      </c>
      <c r="AT53" s="747"/>
      <c r="AU53" s="748">
        <f t="shared" si="92"/>
        <v>0</v>
      </c>
      <c r="AV53" s="749">
        <f t="shared" si="93"/>
        <v>0</v>
      </c>
      <c r="AW53" s="747"/>
      <c r="AX53" s="748">
        <f t="shared" si="94"/>
        <v>0</v>
      </c>
      <c r="AY53" s="749">
        <f t="shared" si="95"/>
        <v>0</v>
      </c>
      <c r="AZ53" s="747"/>
      <c r="BA53" s="748">
        <f t="shared" si="96"/>
        <v>0</v>
      </c>
      <c r="BB53" s="749">
        <f t="shared" si="97"/>
        <v>0</v>
      </c>
      <c r="BC53" s="747"/>
      <c r="BD53" s="748">
        <f t="shared" si="98"/>
        <v>0</v>
      </c>
      <c r="BE53" s="749">
        <f t="shared" si="99"/>
        <v>0</v>
      </c>
      <c r="BF53" s="747"/>
      <c r="BG53" s="748">
        <f t="shared" si="100"/>
        <v>0</v>
      </c>
      <c r="BH53" s="749">
        <f t="shared" si="101"/>
        <v>0</v>
      </c>
    </row>
    <row r="54" spans="1:60" ht="14.25">
      <c r="A54" s="509" t="e">
        <f t="shared" si="16"/>
        <v>#REF!</v>
      </c>
      <c r="B54" s="510">
        <f t="shared" si="17"/>
        <v>0</v>
      </c>
      <c r="C54" s="512" t="e">
        <f t="shared" si="18"/>
        <v>#REF!</v>
      </c>
      <c r="D54" s="513" t="str">
        <f t="shared" si="103"/>
        <v>4. OBRAS DE DRENAJE</v>
      </c>
      <c r="E54" s="537">
        <v>37</v>
      </c>
      <c r="F54" s="408" t="s">
        <v>335</v>
      </c>
      <c r="G54" s="535" t="s">
        <v>85</v>
      </c>
      <c r="H54" s="17">
        <v>44</v>
      </c>
      <c r="I54" s="17">
        <v>761.21</v>
      </c>
      <c r="J54" s="26">
        <f t="shared" si="102"/>
        <v>33493.24</v>
      </c>
      <c r="K54" s="21">
        <f>SUMIF($V$3:$BH$3,       "&lt;"&amp;Datos!$C$20,       V54:BH54)</f>
        <v>0</v>
      </c>
      <c r="L54" s="28">
        <f>SUMIF($V$2:$CH$2,"&lt;"&amp;Datos!$C$20,V54:CH54)</f>
        <v>0</v>
      </c>
      <c r="M54" s="515">
        <f>LOOKUP(Datos!$C$20,    'Cant. Ejec,'!$V$3:$BH$3,      'Cant. Ejec,'!$V54:$BH54)</f>
        <v>0</v>
      </c>
      <c r="N54" s="515">
        <f>LOOKUP(Datos!$C$20,    'Cant. Ejec,'!$V$2:$BH$2,      'Cant. Ejec,'!$V54:$BH54)</f>
        <v>0</v>
      </c>
      <c r="O54" s="21">
        <f>SUMIF($V$3:$CH$3,                                                    "&lt;"&amp;(Datos!$C$20+1),V54:CL54)</f>
        <v>0</v>
      </c>
      <c r="P54" s="515">
        <f>SUMIF($V$2:$CH$2,                    "&lt;"&amp;(Datos!$C$20+1),V54:CL54)</f>
        <v>0</v>
      </c>
      <c r="Q54" s="21">
        <f t="shared" si="76"/>
        <v>44</v>
      </c>
      <c r="R54" s="515">
        <f t="shared" si="77"/>
        <v>33493.24</v>
      </c>
      <c r="S54" s="425">
        <f t="shared" si="78"/>
        <v>0</v>
      </c>
      <c r="T54" s="425">
        <f t="shared" si="79"/>
        <v>0</v>
      </c>
      <c r="U54" s="729">
        <f t="shared" si="80"/>
        <v>1</v>
      </c>
      <c r="V54" s="747"/>
      <c r="W54" s="748">
        <f t="shared" si="104"/>
        <v>0</v>
      </c>
      <c r="X54" s="749">
        <f t="shared" si="105"/>
        <v>0</v>
      </c>
      <c r="Y54" s="747"/>
      <c r="Z54" s="748">
        <f t="shared" si="106"/>
        <v>0</v>
      </c>
      <c r="AA54" s="749">
        <f t="shared" si="107"/>
        <v>0</v>
      </c>
      <c r="AB54" s="747"/>
      <c r="AC54" s="748">
        <f t="shared" si="108"/>
        <v>0</v>
      </c>
      <c r="AD54" s="749">
        <f t="shared" si="109"/>
        <v>0</v>
      </c>
      <c r="AE54" s="747"/>
      <c r="AF54" s="748">
        <f t="shared" si="110"/>
        <v>0</v>
      </c>
      <c r="AG54" s="749">
        <f t="shared" si="111"/>
        <v>0</v>
      </c>
      <c r="AH54" s="747"/>
      <c r="AI54" s="748">
        <f t="shared" si="112"/>
        <v>0</v>
      </c>
      <c r="AJ54" s="749">
        <f t="shared" si="113"/>
        <v>0</v>
      </c>
      <c r="AK54" s="747"/>
      <c r="AL54" s="748">
        <f t="shared" si="86"/>
        <v>0</v>
      </c>
      <c r="AM54" s="749">
        <f t="shared" si="87"/>
        <v>0</v>
      </c>
      <c r="AN54" s="747"/>
      <c r="AO54" s="748">
        <f t="shared" si="88"/>
        <v>0</v>
      </c>
      <c r="AP54" s="749">
        <f t="shared" si="89"/>
        <v>0</v>
      </c>
      <c r="AQ54" s="747"/>
      <c r="AR54" s="748">
        <f t="shared" si="90"/>
        <v>0</v>
      </c>
      <c r="AS54" s="749">
        <f t="shared" si="91"/>
        <v>0</v>
      </c>
      <c r="AT54" s="747"/>
      <c r="AU54" s="748">
        <f t="shared" si="92"/>
        <v>0</v>
      </c>
      <c r="AV54" s="749">
        <f t="shared" si="93"/>
        <v>0</v>
      </c>
      <c r="AW54" s="747"/>
      <c r="AX54" s="748">
        <f t="shared" si="94"/>
        <v>0</v>
      </c>
      <c r="AY54" s="749">
        <f t="shared" si="95"/>
        <v>0</v>
      </c>
      <c r="AZ54" s="747"/>
      <c r="BA54" s="748">
        <f t="shared" si="96"/>
        <v>0</v>
      </c>
      <c r="BB54" s="749">
        <f t="shared" si="97"/>
        <v>0</v>
      </c>
      <c r="BC54" s="747"/>
      <c r="BD54" s="748">
        <f t="shared" si="98"/>
        <v>0</v>
      </c>
      <c r="BE54" s="749">
        <f t="shared" si="99"/>
        <v>0</v>
      </c>
      <c r="BF54" s="747"/>
      <c r="BG54" s="748">
        <f t="shared" si="100"/>
        <v>0</v>
      </c>
      <c r="BH54" s="749">
        <f t="shared" si="101"/>
        <v>0</v>
      </c>
    </row>
    <row r="55" spans="1:60" ht="14.25">
      <c r="A55" s="509" t="e">
        <f t="shared" si="16"/>
        <v>#REF!</v>
      </c>
      <c r="B55" s="510">
        <f t="shared" si="17"/>
        <v>0</v>
      </c>
      <c r="C55" s="512" t="e">
        <f t="shared" si="18"/>
        <v>#REF!</v>
      </c>
      <c r="D55" s="513" t="str">
        <f t="shared" si="103"/>
        <v>4. OBRAS DE DRENAJE</v>
      </c>
      <c r="E55" s="537">
        <v>38</v>
      </c>
      <c r="F55" s="408" t="s">
        <v>336</v>
      </c>
      <c r="G55" s="535" t="s">
        <v>85</v>
      </c>
      <c r="H55" s="17">
        <v>8</v>
      </c>
      <c r="I55" s="17">
        <v>941.82</v>
      </c>
      <c r="J55" s="26">
        <f t="shared" si="102"/>
        <v>7534.56</v>
      </c>
      <c r="K55" s="21">
        <f>SUMIF($V$3:$BH$3,       "&lt;"&amp;Datos!$C$20,       V55:BH55)</f>
        <v>0</v>
      </c>
      <c r="L55" s="28">
        <f>SUMIF($V$2:$CH$2,"&lt;"&amp;Datos!$C$20,V55:CH55)</f>
        <v>0</v>
      </c>
      <c r="M55" s="515">
        <f>LOOKUP(Datos!$C$20,    'Cant. Ejec,'!$V$3:$BH$3,      'Cant. Ejec,'!$V55:$BH55)</f>
        <v>0</v>
      </c>
      <c r="N55" s="515">
        <f>LOOKUP(Datos!$C$20,    'Cant. Ejec,'!$V$2:$BH$2,      'Cant. Ejec,'!$V55:$BH55)</f>
        <v>0</v>
      </c>
      <c r="O55" s="21">
        <f>SUMIF($V$3:$CH$3,                                                    "&lt;"&amp;(Datos!$C$20+1),V55:CL55)</f>
        <v>0</v>
      </c>
      <c r="P55" s="515">
        <f>SUMIF($V$2:$CH$2,                    "&lt;"&amp;(Datos!$C$20+1),V55:CL55)</f>
        <v>0</v>
      </c>
      <c r="Q55" s="21">
        <f t="shared" si="76"/>
        <v>8</v>
      </c>
      <c r="R55" s="515">
        <f t="shared" si="77"/>
        <v>7534.56</v>
      </c>
      <c r="S55" s="425">
        <f t="shared" si="78"/>
        <v>0</v>
      </c>
      <c r="T55" s="425">
        <f t="shared" si="79"/>
        <v>0</v>
      </c>
      <c r="U55" s="729">
        <f t="shared" si="80"/>
        <v>1</v>
      </c>
      <c r="V55" s="747"/>
      <c r="W55" s="748">
        <f t="shared" si="104"/>
        <v>0</v>
      </c>
      <c r="X55" s="749">
        <f t="shared" si="105"/>
        <v>0</v>
      </c>
      <c r="Y55" s="747"/>
      <c r="Z55" s="748">
        <f t="shared" si="106"/>
        <v>0</v>
      </c>
      <c r="AA55" s="749">
        <f t="shared" si="107"/>
        <v>0</v>
      </c>
      <c r="AB55" s="747"/>
      <c r="AC55" s="748">
        <f t="shared" si="108"/>
        <v>0</v>
      </c>
      <c r="AD55" s="749">
        <f t="shared" si="109"/>
        <v>0</v>
      </c>
      <c r="AE55" s="747"/>
      <c r="AF55" s="748">
        <f t="shared" si="110"/>
        <v>0</v>
      </c>
      <c r="AG55" s="749">
        <f t="shared" si="111"/>
        <v>0</v>
      </c>
      <c r="AH55" s="747"/>
      <c r="AI55" s="748">
        <f t="shared" si="112"/>
        <v>0</v>
      </c>
      <c r="AJ55" s="749">
        <f t="shared" si="113"/>
        <v>0</v>
      </c>
      <c r="AK55" s="747"/>
      <c r="AL55" s="748">
        <f t="shared" si="86"/>
        <v>0</v>
      </c>
      <c r="AM55" s="749">
        <f t="shared" si="87"/>
        <v>0</v>
      </c>
      <c r="AN55" s="747"/>
      <c r="AO55" s="748">
        <f t="shared" si="88"/>
        <v>0</v>
      </c>
      <c r="AP55" s="749">
        <f t="shared" si="89"/>
        <v>0</v>
      </c>
      <c r="AQ55" s="747"/>
      <c r="AR55" s="748">
        <f t="shared" si="90"/>
        <v>0</v>
      </c>
      <c r="AS55" s="749">
        <f t="shared" si="91"/>
        <v>0</v>
      </c>
      <c r="AT55" s="747"/>
      <c r="AU55" s="748">
        <f t="shared" si="92"/>
        <v>0</v>
      </c>
      <c r="AV55" s="749">
        <f t="shared" si="93"/>
        <v>0</v>
      </c>
      <c r="AW55" s="747"/>
      <c r="AX55" s="748">
        <f t="shared" si="94"/>
        <v>0</v>
      </c>
      <c r="AY55" s="749">
        <f t="shared" si="95"/>
        <v>0</v>
      </c>
      <c r="AZ55" s="747"/>
      <c r="BA55" s="748">
        <f t="shared" si="96"/>
        <v>0</v>
      </c>
      <c r="BB55" s="749">
        <f t="shared" si="97"/>
        <v>0</v>
      </c>
      <c r="BC55" s="747"/>
      <c r="BD55" s="748">
        <f t="shared" si="98"/>
        <v>0</v>
      </c>
      <c r="BE55" s="749">
        <f t="shared" si="99"/>
        <v>0</v>
      </c>
      <c r="BF55" s="747"/>
      <c r="BG55" s="748">
        <f t="shared" si="100"/>
        <v>0</v>
      </c>
      <c r="BH55" s="749">
        <f t="shared" si="101"/>
        <v>0</v>
      </c>
    </row>
    <row r="56" spans="1:60" ht="14.25">
      <c r="A56" s="509" t="e">
        <f t="shared" si="16"/>
        <v>#REF!</v>
      </c>
      <c r="B56" s="510">
        <f t="shared" si="17"/>
        <v>0</v>
      </c>
      <c r="C56" s="512" t="e">
        <f t="shared" si="18"/>
        <v>#REF!</v>
      </c>
      <c r="D56" s="513" t="str">
        <f t="shared" si="103"/>
        <v>4. OBRAS DE DRENAJE</v>
      </c>
      <c r="E56" s="537">
        <v>39</v>
      </c>
      <c r="F56" s="408" t="s">
        <v>337</v>
      </c>
      <c r="G56" s="535" t="s">
        <v>85</v>
      </c>
      <c r="H56" s="17">
        <v>4</v>
      </c>
      <c r="I56" s="17">
        <v>110.15</v>
      </c>
      <c r="J56" s="26">
        <f t="shared" si="102"/>
        <v>440.6</v>
      </c>
      <c r="K56" s="21">
        <f>SUMIF($V$3:$BH$3,       "&lt;"&amp;Datos!$C$20,       V56:BH56)</f>
        <v>0</v>
      </c>
      <c r="L56" s="28">
        <f>SUMIF($V$2:$CH$2,"&lt;"&amp;Datos!$C$20,V56:CH56)</f>
        <v>0</v>
      </c>
      <c r="M56" s="515">
        <f>LOOKUP(Datos!$C$20,    'Cant. Ejec,'!$V$3:$BH$3,      'Cant. Ejec,'!$V56:$BH56)</f>
        <v>0</v>
      </c>
      <c r="N56" s="515">
        <f>LOOKUP(Datos!$C$20,    'Cant. Ejec,'!$V$2:$BH$2,      'Cant. Ejec,'!$V56:$BH56)</f>
        <v>0</v>
      </c>
      <c r="O56" s="21">
        <f>SUMIF($V$3:$CH$3,                                                    "&lt;"&amp;(Datos!$C$20+1),V56:CL56)</f>
        <v>0</v>
      </c>
      <c r="P56" s="515">
        <f>SUMIF($V$2:$CH$2,                    "&lt;"&amp;(Datos!$C$20+1),V56:CL56)</f>
        <v>0</v>
      </c>
      <c r="Q56" s="21">
        <f t="shared" si="76"/>
        <v>4</v>
      </c>
      <c r="R56" s="515">
        <f t="shared" si="77"/>
        <v>440.6</v>
      </c>
      <c r="S56" s="425">
        <f t="shared" si="78"/>
        <v>0</v>
      </c>
      <c r="T56" s="425">
        <f t="shared" si="79"/>
        <v>0</v>
      </c>
      <c r="U56" s="729">
        <f t="shared" si="80"/>
        <v>1</v>
      </c>
      <c r="V56" s="747"/>
      <c r="W56" s="748">
        <f t="shared" si="104"/>
        <v>0</v>
      </c>
      <c r="X56" s="749">
        <f t="shared" si="105"/>
        <v>0</v>
      </c>
      <c r="Y56" s="747"/>
      <c r="Z56" s="748">
        <f t="shared" si="106"/>
        <v>0</v>
      </c>
      <c r="AA56" s="749">
        <f t="shared" si="107"/>
        <v>0</v>
      </c>
      <c r="AB56" s="747"/>
      <c r="AC56" s="748">
        <f t="shared" si="108"/>
        <v>0</v>
      </c>
      <c r="AD56" s="749">
        <f t="shared" si="109"/>
        <v>0</v>
      </c>
      <c r="AE56" s="747"/>
      <c r="AF56" s="748">
        <f t="shared" si="110"/>
        <v>0</v>
      </c>
      <c r="AG56" s="749">
        <f t="shared" si="111"/>
        <v>0</v>
      </c>
      <c r="AH56" s="747"/>
      <c r="AI56" s="748">
        <f t="shared" si="112"/>
        <v>0</v>
      </c>
      <c r="AJ56" s="749">
        <f t="shared" si="113"/>
        <v>0</v>
      </c>
      <c r="AK56" s="747"/>
      <c r="AL56" s="748">
        <f t="shared" si="86"/>
        <v>0</v>
      </c>
      <c r="AM56" s="749">
        <f t="shared" si="87"/>
        <v>0</v>
      </c>
      <c r="AN56" s="747"/>
      <c r="AO56" s="748">
        <f t="shared" si="88"/>
        <v>0</v>
      </c>
      <c r="AP56" s="749">
        <f t="shared" si="89"/>
        <v>0</v>
      </c>
      <c r="AQ56" s="747"/>
      <c r="AR56" s="748">
        <f t="shared" si="90"/>
        <v>0</v>
      </c>
      <c r="AS56" s="749">
        <f t="shared" si="91"/>
        <v>0</v>
      </c>
      <c r="AT56" s="747"/>
      <c r="AU56" s="748">
        <f t="shared" si="92"/>
        <v>0</v>
      </c>
      <c r="AV56" s="749">
        <f t="shared" si="93"/>
        <v>0</v>
      </c>
      <c r="AW56" s="747"/>
      <c r="AX56" s="748">
        <f t="shared" si="94"/>
        <v>0</v>
      </c>
      <c r="AY56" s="749">
        <f t="shared" si="95"/>
        <v>0</v>
      </c>
      <c r="AZ56" s="747"/>
      <c r="BA56" s="748">
        <f t="shared" si="96"/>
        <v>0</v>
      </c>
      <c r="BB56" s="749">
        <f t="shared" si="97"/>
        <v>0</v>
      </c>
      <c r="BC56" s="747"/>
      <c r="BD56" s="748">
        <f t="shared" si="98"/>
        <v>0</v>
      </c>
      <c r="BE56" s="749">
        <f t="shared" si="99"/>
        <v>0</v>
      </c>
      <c r="BF56" s="747"/>
      <c r="BG56" s="748">
        <f t="shared" si="100"/>
        <v>0</v>
      </c>
      <c r="BH56" s="749">
        <f t="shared" si="101"/>
        <v>0</v>
      </c>
    </row>
    <row r="57" spans="1:60" ht="14.25">
      <c r="A57" s="509" t="e">
        <f t="shared" si="16"/>
        <v>#REF!</v>
      </c>
      <c r="B57" s="510">
        <f t="shared" si="17"/>
        <v>0</v>
      </c>
      <c r="C57" s="512" t="e">
        <f t="shared" si="18"/>
        <v>#REF!</v>
      </c>
      <c r="D57" s="513" t="str">
        <f t="shared" si="103"/>
        <v>4. OBRAS DE DRENAJE</v>
      </c>
      <c r="E57" s="537">
        <v>40</v>
      </c>
      <c r="F57" s="408" t="s">
        <v>338</v>
      </c>
      <c r="G57" s="535" t="s">
        <v>86</v>
      </c>
      <c r="H57" s="17">
        <v>226.87</v>
      </c>
      <c r="I57" s="17">
        <v>107.87</v>
      </c>
      <c r="J57" s="26">
        <f t="shared" si="102"/>
        <v>24472.47</v>
      </c>
      <c r="K57" s="21">
        <f>SUMIF($V$3:$BH$3,       "&lt;"&amp;Datos!$C$20,       V57:BH57)</f>
        <v>0</v>
      </c>
      <c r="L57" s="28">
        <f>SUMIF($V$2:$CH$2,"&lt;"&amp;Datos!$C$20,V57:CH57)</f>
        <v>0</v>
      </c>
      <c r="M57" s="515">
        <f>LOOKUP(Datos!$C$20,    'Cant. Ejec,'!$V$3:$BH$3,      'Cant. Ejec,'!$V57:$BH57)</f>
        <v>0</v>
      </c>
      <c r="N57" s="515">
        <f>LOOKUP(Datos!$C$20,    'Cant. Ejec,'!$V$2:$BH$2,      'Cant. Ejec,'!$V57:$BH57)</f>
        <v>0</v>
      </c>
      <c r="O57" s="21">
        <f>SUMIF($V$3:$CH$3,                                                    "&lt;"&amp;(Datos!$C$20+1),V57:CL57)</f>
        <v>0</v>
      </c>
      <c r="P57" s="515">
        <f>SUMIF($V$2:$CH$2,                    "&lt;"&amp;(Datos!$C$20+1),V57:CL57)</f>
        <v>0</v>
      </c>
      <c r="Q57" s="21">
        <f t="shared" si="76"/>
        <v>226.87</v>
      </c>
      <c r="R57" s="515">
        <f t="shared" si="77"/>
        <v>24472.47</v>
      </c>
      <c r="S57" s="425">
        <f t="shared" si="78"/>
        <v>0</v>
      </c>
      <c r="T57" s="425">
        <f t="shared" si="79"/>
        <v>0</v>
      </c>
      <c r="U57" s="729">
        <f t="shared" si="80"/>
        <v>1</v>
      </c>
      <c r="V57" s="747"/>
      <c r="W57" s="748">
        <f t="shared" si="104"/>
        <v>0</v>
      </c>
      <c r="X57" s="749">
        <f t="shared" si="105"/>
        <v>0</v>
      </c>
      <c r="Y57" s="747"/>
      <c r="Z57" s="748">
        <f t="shared" si="106"/>
        <v>0</v>
      </c>
      <c r="AA57" s="749">
        <f t="shared" si="107"/>
        <v>0</v>
      </c>
      <c r="AB57" s="747"/>
      <c r="AC57" s="748">
        <f t="shared" si="108"/>
        <v>0</v>
      </c>
      <c r="AD57" s="749">
        <f t="shared" si="109"/>
        <v>0</v>
      </c>
      <c r="AE57" s="747"/>
      <c r="AF57" s="748">
        <f t="shared" si="110"/>
        <v>0</v>
      </c>
      <c r="AG57" s="749">
        <f t="shared" si="111"/>
        <v>0</v>
      </c>
      <c r="AH57" s="747"/>
      <c r="AI57" s="748">
        <f t="shared" si="112"/>
        <v>0</v>
      </c>
      <c r="AJ57" s="749">
        <f t="shared" si="113"/>
        <v>0</v>
      </c>
      <c r="AK57" s="747"/>
      <c r="AL57" s="748">
        <f t="shared" si="86"/>
        <v>0</v>
      </c>
      <c r="AM57" s="749">
        <f t="shared" si="87"/>
        <v>0</v>
      </c>
      <c r="AN57" s="747"/>
      <c r="AO57" s="748">
        <f t="shared" si="88"/>
        <v>0</v>
      </c>
      <c r="AP57" s="749">
        <f t="shared" si="89"/>
        <v>0</v>
      </c>
      <c r="AQ57" s="747"/>
      <c r="AR57" s="748">
        <f t="shared" si="90"/>
        <v>0</v>
      </c>
      <c r="AS57" s="749">
        <f t="shared" si="91"/>
        <v>0</v>
      </c>
      <c r="AT57" s="747"/>
      <c r="AU57" s="748">
        <f t="shared" si="92"/>
        <v>0</v>
      </c>
      <c r="AV57" s="749">
        <f t="shared" si="93"/>
        <v>0</v>
      </c>
      <c r="AW57" s="747"/>
      <c r="AX57" s="748">
        <f t="shared" si="94"/>
        <v>0</v>
      </c>
      <c r="AY57" s="749">
        <f t="shared" si="95"/>
        <v>0</v>
      </c>
      <c r="AZ57" s="747"/>
      <c r="BA57" s="748">
        <f t="shared" si="96"/>
        <v>0</v>
      </c>
      <c r="BB57" s="749">
        <f t="shared" si="97"/>
        <v>0</v>
      </c>
      <c r="BC57" s="747"/>
      <c r="BD57" s="748">
        <f t="shared" si="98"/>
        <v>0</v>
      </c>
      <c r="BE57" s="749">
        <f t="shared" si="99"/>
        <v>0</v>
      </c>
      <c r="BF57" s="747"/>
      <c r="BG57" s="748">
        <f t="shared" si="100"/>
        <v>0</v>
      </c>
      <c r="BH57" s="749">
        <f t="shared" si="101"/>
        <v>0</v>
      </c>
    </row>
    <row r="58" spans="1:60" ht="14.25">
      <c r="A58" s="509" t="e">
        <f t="shared" si="16"/>
        <v>#REF!</v>
      </c>
      <c r="B58" s="510">
        <f t="shared" si="17"/>
        <v>0</v>
      </c>
      <c r="C58" s="512" t="e">
        <f t="shared" si="18"/>
        <v>#REF!</v>
      </c>
      <c r="D58" s="513" t="str">
        <f t="shared" si="103"/>
        <v>4. OBRAS DE DRENAJE</v>
      </c>
      <c r="E58" s="537">
        <v>41</v>
      </c>
      <c r="F58" s="408" t="s">
        <v>334</v>
      </c>
      <c r="G58" s="535" t="s">
        <v>86</v>
      </c>
      <c r="H58" s="17">
        <v>132</v>
      </c>
      <c r="I58" s="17">
        <v>127.01</v>
      </c>
      <c r="J58" s="26">
        <f t="shared" si="102"/>
        <v>16765.32</v>
      </c>
      <c r="K58" s="21">
        <f>SUMIF($V$3:$BH$3,       "&lt;"&amp;Datos!$C$20,       V58:BH58)</f>
        <v>0</v>
      </c>
      <c r="L58" s="28">
        <f>SUMIF($V$2:$CH$2,"&lt;"&amp;Datos!$C$20,V58:CH58)</f>
        <v>0</v>
      </c>
      <c r="M58" s="515">
        <f>LOOKUP(Datos!$C$20,    'Cant. Ejec,'!$V$3:$BH$3,      'Cant. Ejec,'!$V58:$BH58)</f>
        <v>0</v>
      </c>
      <c r="N58" s="515">
        <f>LOOKUP(Datos!$C$20,    'Cant. Ejec,'!$V$2:$BH$2,      'Cant. Ejec,'!$V58:$BH58)</f>
        <v>0</v>
      </c>
      <c r="O58" s="21">
        <f>SUMIF($V$3:$CH$3,                                                    "&lt;"&amp;(Datos!$C$20+1),V58:CL58)</f>
        <v>0</v>
      </c>
      <c r="P58" s="515">
        <f>SUMIF($V$2:$CH$2,                    "&lt;"&amp;(Datos!$C$20+1),V58:CL58)</f>
        <v>0</v>
      </c>
      <c r="Q58" s="21">
        <f t="shared" si="76"/>
        <v>132</v>
      </c>
      <c r="R58" s="515">
        <f t="shared" si="77"/>
        <v>16765.32</v>
      </c>
      <c r="S58" s="425">
        <f t="shared" si="78"/>
        <v>0</v>
      </c>
      <c r="T58" s="425">
        <f t="shared" si="79"/>
        <v>0</v>
      </c>
      <c r="U58" s="729">
        <f t="shared" si="80"/>
        <v>1</v>
      </c>
      <c r="V58" s="747"/>
      <c r="W58" s="748">
        <f t="shared" si="104"/>
        <v>0</v>
      </c>
      <c r="X58" s="749">
        <f t="shared" si="105"/>
        <v>0</v>
      </c>
      <c r="Y58" s="747"/>
      <c r="Z58" s="748">
        <f t="shared" si="106"/>
        <v>0</v>
      </c>
      <c r="AA58" s="749">
        <f t="shared" si="107"/>
        <v>0</v>
      </c>
      <c r="AB58" s="747"/>
      <c r="AC58" s="748">
        <f t="shared" si="108"/>
        <v>0</v>
      </c>
      <c r="AD58" s="749">
        <f t="shared" si="109"/>
        <v>0</v>
      </c>
      <c r="AE58" s="747"/>
      <c r="AF58" s="748">
        <f t="shared" si="110"/>
        <v>0</v>
      </c>
      <c r="AG58" s="749">
        <f t="shared" si="111"/>
        <v>0</v>
      </c>
      <c r="AH58" s="747"/>
      <c r="AI58" s="748">
        <f t="shared" si="112"/>
        <v>0</v>
      </c>
      <c r="AJ58" s="749">
        <f t="shared" si="113"/>
        <v>0</v>
      </c>
      <c r="AK58" s="747"/>
      <c r="AL58" s="748">
        <f t="shared" si="86"/>
        <v>0</v>
      </c>
      <c r="AM58" s="749">
        <f t="shared" si="87"/>
        <v>0</v>
      </c>
      <c r="AN58" s="747"/>
      <c r="AO58" s="748">
        <f t="shared" si="88"/>
        <v>0</v>
      </c>
      <c r="AP58" s="749">
        <f t="shared" si="89"/>
        <v>0</v>
      </c>
      <c r="AQ58" s="747"/>
      <c r="AR58" s="748">
        <f t="shared" si="90"/>
        <v>0</v>
      </c>
      <c r="AS58" s="749">
        <f t="shared" si="91"/>
        <v>0</v>
      </c>
      <c r="AT58" s="747"/>
      <c r="AU58" s="748">
        <f t="shared" si="92"/>
        <v>0</v>
      </c>
      <c r="AV58" s="749">
        <f t="shared" si="93"/>
        <v>0</v>
      </c>
      <c r="AW58" s="747"/>
      <c r="AX58" s="748">
        <f t="shared" si="94"/>
        <v>0</v>
      </c>
      <c r="AY58" s="749">
        <f t="shared" si="95"/>
        <v>0</v>
      </c>
      <c r="AZ58" s="747"/>
      <c r="BA58" s="748">
        <f t="shared" si="96"/>
        <v>0</v>
      </c>
      <c r="BB58" s="749">
        <f t="shared" si="97"/>
        <v>0</v>
      </c>
      <c r="BC58" s="747"/>
      <c r="BD58" s="748">
        <f t="shared" si="98"/>
        <v>0</v>
      </c>
      <c r="BE58" s="749">
        <f t="shared" si="99"/>
        <v>0</v>
      </c>
      <c r="BF58" s="747"/>
      <c r="BG58" s="748">
        <f t="shared" si="100"/>
        <v>0</v>
      </c>
      <c r="BH58" s="749">
        <f t="shared" si="101"/>
        <v>0</v>
      </c>
    </row>
    <row r="59" spans="1:60" ht="14.25">
      <c r="A59" s="509" t="e">
        <f t="shared" si="16"/>
        <v>#REF!</v>
      </c>
      <c r="B59" s="510">
        <f t="shared" si="17"/>
        <v>0</v>
      </c>
      <c r="C59" s="512" t="e">
        <f t="shared" si="18"/>
        <v>#REF!</v>
      </c>
      <c r="D59" s="513" t="str">
        <f t="shared" si="103"/>
        <v>4. OBRAS DE DRENAJE</v>
      </c>
      <c r="E59" s="537">
        <v>42</v>
      </c>
      <c r="F59" s="408" t="s">
        <v>339</v>
      </c>
      <c r="G59" s="535" t="s">
        <v>86</v>
      </c>
      <c r="H59" s="17">
        <v>27</v>
      </c>
      <c r="I59" s="19">
        <v>174.55</v>
      </c>
      <c r="J59" s="26">
        <f t="shared" si="102"/>
        <v>4712.8500000000004</v>
      </c>
      <c r="K59" s="21">
        <f>SUMIF($V$3:$BH$3,       "&lt;"&amp;Datos!$C$20,       V59:BH59)</f>
        <v>0</v>
      </c>
      <c r="L59" s="28">
        <f>SUMIF($V$2:$CH$2,"&lt;"&amp;Datos!$C$20,V59:CH59)</f>
        <v>0</v>
      </c>
      <c r="M59" s="515">
        <f>LOOKUP(Datos!$C$20,    'Cant. Ejec,'!$V$3:$BH$3,      'Cant. Ejec,'!$V59:$BH59)</f>
        <v>0</v>
      </c>
      <c r="N59" s="515">
        <f>LOOKUP(Datos!$C$20,    'Cant. Ejec,'!$V$2:$BH$2,      'Cant. Ejec,'!$V59:$BH59)</f>
        <v>0</v>
      </c>
      <c r="O59" s="21">
        <f>SUMIF($V$3:$CH$3,                                                    "&lt;"&amp;(Datos!$C$20+1),V59:CL59)</f>
        <v>0</v>
      </c>
      <c r="P59" s="515">
        <f>SUMIF($V$2:$CH$2,                    "&lt;"&amp;(Datos!$C$20+1),V59:CL59)</f>
        <v>0</v>
      </c>
      <c r="Q59" s="21">
        <f t="shared" si="76"/>
        <v>27</v>
      </c>
      <c r="R59" s="515">
        <f t="shared" si="77"/>
        <v>4712.8500000000004</v>
      </c>
      <c r="S59" s="425">
        <f t="shared" si="78"/>
        <v>0</v>
      </c>
      <c r="T59" s="425">
        <f t="shared" si="79"/>
        <v>0</v>
      </c>
      <c r="U59" s="729">
        <f t="shared" si="80"/>
        <v>1</v>
      </c>
      <c r="V59" s="747"/>
      <c r="W59" s="748">
        <f t="shared" si="104"/>
        <v>0</v>
      </c>
      <c r="X59" s="749">
        <f t="shared" si="105"/>
        <v>0</v>
      </c>
      <c r="Y59" s="747"/>
      <c r="Z59" s="748">
        <f t="shared" si="106"/>
        <v>0</v>
      </c>
      <c r="AA59" s="749">
        <f t="shared" si="107"/>
        <v>0</v>
      </c>
      <c r="AB59" s="747"/>
      <c r="AC59" s="748">
        <f t="shared" si="108"/>
        <v>0</v>
      </c>
      <c r="AD59" s="749">
        <f t="shared" si="109"/>
        <v>0</v>
      </c>
      <c r="AE59" s="747"/>
      <c r="AF59" s="748">
        <f t="shared" si="110"/>
        <v>0</v>
      </c>
      <c r="AG59" s="749">
        <f t="shared" si="111"/>
        <v>0</v>
      </c>
      <c r="AH59" s="747"/>
      <c r="AI59" s="748">
        <f t="shared" si="112"/>
        <v>0</v>
      </c>
      <c r="AJ59" s="749">
        <f t="shared" si="113"/>
        <v>0</v>
      </c>
      <c r="AK59" s="747"/>
      <c r="AL59" s="748">
        <f t="shared" si="86"/>
        <v>0</v>
      </c>
      <c r="AM59" s="749">
        <f t="shared" si="87"/>
        <v>0</v>
      </c>
      <c r="AN59" s="747"/>
      <c r="AO59" s="748">
        <f t="shared" si="88"/>
        <v>0</v>
      </c>
      <c r="AP59" s="749">
        <f t="shared" si="89"/>
        <v>0</v>
      </c>
      <c r="AQ59" s="747"/>
      <c r="AR59" s="748">
        <f t="shared" si="90"/>
        <v>0</v>
      </c>
      <c r="AS59" s="749">
        <f t="shared" si="91"/>
        <v>0</v>
      </c>
      <c r="AT59" s="747"/>
      <c r="AU59" s="748">
        <f t="shared" si="92"/>
        <v>0</v>
      </c>
      <c r="AV59" s="749">
        <f t="shared" si="93"/>
        <v>0</v>
      </c>
      <c r="AW59" s="747"/>
      <c r="AX59" s="748">
        <f t="shared" si="94"/>
        <v>0</v>
      </c>
      <c r="AY59" s="749">
        <f t="shared" si="95"/>
        <v>0</v>
      </c>
      <c r="AZ59" s="747"/>
      <c r="BA59" s="748">
        <f t="shared" si="96"/>
        <v>0</v>
      </c>
      <c r="BB59" s="749">
        <f t="shared" si="97"/>
        <v>0</v>
      </c>
      <c r="BC59" s="747"/>
      <c r="BD59" s="748">
        <f t="shared" si="98"/>
        <v>0</v>
      </c>
      <c r="BE59" s="749">
        <f t="shared" si="99"/>
        <v>0</v>
      </c>
      <c r="BF59" s="747"/>
      <c r="BG59" s="748">
        <f t="shared" si="100"/>
        <v>0</v>
      </c>
      <c r="BH59" s="749">
        <f t="shared" si="101"/>
        <v>0</v>
      </c>
    </row>
    <row r="60" spans="1:60" ht="14.25">
      <c r="A60" s="509" t="e">
        <f t="shared" si="16"/>
        <v>#REF!</v>
      </c>
      <c r="B60" s="510">
        <f t="shared" si="17"/>
        <v>0</v>
      </c>
      <c r="C60" s="512" t="e">
        <f t="shared" si="18"/>
        <v>#REF!</v>
      </c>
      <c r="D60" s="513" t="str">
        <f t="shared" si="103"/>
        <v>4. OBRAS DE DRENAJE</v>
      </c>
      <c r="E60" s="537">
        <v>43</v>
      </c>
      <c r="F60" s="408" t="s">
        <v>340</v>
      </c>
      <c r="G60" s="535" t="s">
        <v>85</v>
      </c>
      <c r="H60" s="17">
        <v>66</v>
      </c>
      <c r="I60" s="19">
        <v>72.510000000000005</v>
      </c>
      <c r="J60" s="26">
        <f t="shared" si="102"/>
        <v>4785.66</v>
      </c>
      <c r="K60" s="21">
        <f>SUMIF($V$3:$BH$3,       "&lt;"&amp;Datos!$C$20,       V60:BH60)</f>
        <v>0</v>
      </c>
      <c r="L60" s="28">
        <f>SUMIF($V$2:$CH$2,"&lt;"&amp;Datos!$C$20,V60:CH60)</f>
        <v>0</v>
      </c>
      <c r="M60" s="515">
        <f>LOOKUP(Datos!$C$20,    'Cant. Ejec,'!$V$3:$BH$3,      'Cant. Ejec,'!$V60:$BH60)</f>
        <v>0</v>
      </c>
      <c r="N60" s="515">
        <f>LOOKUP(Datos!$C$20,    'Cant. Ejec,'!$V$2:$BH$2,      'Cant. Ejec,'!$V60:$BH60)</f>
        <v>0</v>
      </c>
      <c r="O60" s="21">
        <f>SUMIF($V$3:$CH$3,                                                    "&lt;"&amp;(Datos!$C$20+1),V60:CL60)</f>
        <v>0</v>
      </c>
      <c r="P60" s="515">
        <f>SUMIF($V$2:$CH$2,                    "&lt;"&amp;(Datos!$C$20+1),V60:CL60)</f>
        <v>0</v>
      </c>
      <c r="Q60" s="21">
        <f t="shared" si="76"/>
        <v>66</v>
      </c>
      <c r="R60" s="515">
        <f t="shared" si="77"/>
        <v>4785.66</v>
      </c>
      <c r="S60" s="425">
        <f t="shared" si="78"/>
        <v>0</v>
      </c>
      <c r="T60" s="425">
        <f t="shared" si="79"/>
        <v>0</v>
      </c>
      <c r="U60" s="729">
        <f t="shared" si="80"/>
        <v>1</v>
      </c>
      <c r="V60" s="747"/>
      <c r="W60" s="748">
        <f t="shared" si="104"/>
        <v>0</v>
      </c>
      <c r="X60" s="749">
        <f t="shared" si="105"/>
        <v>0</v>
      </c>
      <c r="Y60" s="747"/>
      <c r="Z60" s="748">
        <f t="shared" si="106"/>
        <v>0</v>
      </c>
      <c r="AA60" s="749">
        <f t="shared" si="107"/>
        <v>0</v>
      </c>
      <c r="AB60" s="747"/>
      <c r="AC60" s="748">
        <f t="shared" si="108"/>
        <v>0</v>
      </c>
      <c r="AD60" s="749">
        <f t="shared" si="109"/>
        <v>0</v>
      </c>
      <c r="AE60" s="747"/>
      <c r="AF60" s="748">
        <f t="shared" si="110"/>
        <v>0</v>
      </c>
      <c r="AG60" s="749">
        <f t="shared" si="111"/>
        <v>0</v>
      </c>
      <c r="AH60" s="747"/>
      <c r="AI60" s="748">
        <f t="shared" si="112"/>
        <v>0</v>
      </c>
      <c r="AJ60" s="749">
        <f t="shared" si="113"/>
        <v>0</v>
      </c>
      <c r="AK60" s="747"/>
      <c r="AL60" s="748">
        <f t="shared" si="86"/>
        <v>0</v>
      </c>
      <c r="AM60" s="749">
        <f t="shared" si="87"/>
        <v>0</v>
      </c>
      <c r="AN60" s="747"/>
      <c r="AO60" s="748">
        <f t="shared" si="88"/>
        <v>0</v>
      </c>
      <c r="AP60" s="749">
        <f t="shared" si="89"/>
        <v>0</v>
      </c>
      <c r="AQ60" s="747"/>
      <c r="AR60" s="748">
        <f t="shared" si="90"/>
        <v>0</v>
      </c>
      <c r="AS60" s="749">
        <f t="shared" si="91"/>
        <v>0</v>
      </c>
      <c r="AT60" s="747"/>
      <c r="AU60" s="748">
        <f t="shared" si="92"/>
        <v>0</v>
      </c>
      <c r="AV60" s="749">
        <f t="shared" si="93"/>
        <v>0</v>
      </c>
      <c r="AW60" s="747"/>
      <c r="AX60" s="748">
        <f t="shared" si="94"/>
        <v>0</v>
      </c>
      <c r="AY60" s="749">
        <f t="shared" si="95"/>
        <v>0</v>
      </c>
      <c r="AZ60" s="747"/>
      <c r="BA60" s="748">
        <f t="shared" si="96"/>
        <v>0</v>
      </c>
      <c r="BB60" s="749">
        <f t="shared" si="97"/>
        <v>0</v>
      </c>
      <c r="BC60" s="747"/>
      <c r="BD60" s="748">
        <f t="shared" si="98"/>
        <v>0</v>
      </c>
      <c r="BE60" s="749">
        <f t="shared" si="99"/>
        <v>0</v>
      </c>
      <c r="BF60" s="747"/>
      <c r="BG60" s="748">
        <f t="shared" si="100"/>
        <v>0</v>
      </c>
      <c r="BH60" s="749">
        <f t="shared" si="101"/>
        <v>0</v>
      </c>
    </row>
    <row r="61" spans="1:60" ht="14.25">
      <c r="A61" s="509" t="e">
        <f t="shared" si="16"/>
        <v>#REF!</v>
      </c>
      <c r="B61" s="510">
        <f t="shared" si="17"/>
        <v>0</v>
      </c>
      <c r="C61" s="512" t="e">
        <f t="shared" si="18"/>
        <v>#REF!</v>
      </c>
      <c r="D61" s="513" t="str">
        <f t="shared" si="103"/>
        <v>4. OBRAS DE DRENAJE</v>
      </c>
      <c r="E61" s="537">
        <v>44</v>
      </c>
      <c r="F61" s="408" t="s">
        <v>341</v>
      </c>
      <c r="G61" s="535" t="s">
        <v>86</v>
      </c>
      <c r="H61" s="17">
        <v>4400</v>
      </c>
      <c r="I61" s="19">
        <v>33.590000000000003</v>
      </c>
      <c r="J61" s="26">
        <f t="shared" si="102"/>
        <v>147796</v>
      </c>
      <c r="K61" s="21">
        <f>SUMIF($V$3:$BH$3,       "&lt;"&amp;Datos!$C$20,       V61:BH61)</f>
        <v>0</v>
      </c>
      <c r="L61" s="28">
        <f>SUMIF($V$2:$CH$2,"&lt;"&amp;Datos!$C$20,V61:CH61)</f>
        <v>0</v>
      </c>
      <c r="M61" s="515">
        <f>LOOKUP(Datos!$C$20,    'Cant. Ejec,'!$V$3:$BH$3,      'Cant. Ejec,'!$V61:$BH61)</f>
        <v>0</v>
      </c>
      <c r="N61" s="515">
        <f>LOOKUP(Datos!$C$20,    'Cant. Ejec,'!$V$2:$BH$2,      'Cant. Ejec,'!$V61:$BH61)</f>
        <v>0</v>
      </c>
      <c r="O61" s="21">
        <f>SUMIF($V$3:$CH$3,                                                    "&lt;"&amp;(Datos!$C$20+1),V61:CL61)</f>
        <v>0</v>
      </c>
      <c r="P61" s="515">
        <f>SUMIF($V$2:$CH$2,                    "&lt;"&amp;(Datos!$C$20+1),V61:CL61)</f>
        <v>0</v>
      </c>
      <c r="Q61" s="21">
        <f t="shared" si="76"/>
        <v>4400</v>
      </c>
      <c r="R61" s="515">
        <f t="shared" si="77"/>
        <v>147796</v>
      </c>
      <c r="S61" s="425">
        <f t="shared" si="78"/>
        <v>0</v>
      </c>
      <c r="T61" s="425">
        <f t="shared" si="79"/>
        <v>0</v>
      </c>
      <c r="U61" s="729">
        <f t="shared" si="80"/>
        <v>1</v>
      </c>
      <c r="V61" s="747"/>
      <c r="W61" s="748">
        <f t="shared" si="104"/>
        <v>0</v>
      </c>
      <c r="X61" s="749">
        <f t="shared" si="105"/>
        <v>0</v>
      </c>
      <c r="Y61" s="747"/>
      <c r="Z61" s="748">
        <f t="shared" si="106"/>
        <v>0</v>
      </c>
      <c r="AA61" s="749">
        <f t="shared" si="107"/>
        <v>0</v>
      </c>
      <c r="AB61" s="747"/>
      <c r="AC61" s="748">
        <f t="shared" si="108"/>
        <v>0</v>
      </c>
      <c r="AD61" s="749">
        <f t="shared" si="109"/>
        <v>0</v>
      </c>
      <c r="AE61" s="747"/>
      <c r="AF61" s="748">
        <f t="shared" si="110"/>
        <v>0</v>
      </c>
      <c r="AG61" s="749">
        <f t="shared" si="111"/>
        <v>0</v>
      </c>
      <c r="AH61" s="747"/>
      <c r="AI61" s="748">
        <f t="shared" si="112"/>
        <v>0</v>
      </c>
      <c r="AJ61" s="749">
        <f t="shared" si="113"/>
        <v>0</v>
      </c>
      <c r="AK61" s="747"/>
      <c r="AL61" s="748">
        <f t="shared" si="86"/>
        <v>0</v>
      </c>
      <c r="AM61" s="749">
        <f t="shared" si="87"/>
        <v>0</v>
      </c>
      <c r="AN61" s="747"/>
      <c r="AO61" s="748">
        <f t="shared" si="88"/>
        <v>0</v>
      </c>
      <c r="AP61" s="749">
        <f t="shared" si="89"/>
        <v>0</v>
      </c>
      <c r="AQ61" s="747"/>
      <c r="AR61" s="748">
        <f t="shared" si="90"/>
        <v>0</v>
      </c>
      <c r="AS61" s="749">
        <f t="shared" si="91"/>
        <v>0</v>
      </c>
      <c r="AT61" s="747"/>
      <c r="AU61" s="748">
        <f t="shared" si="92"/>
        <v>0</v>
      </c>
      <c r="AV61" s="749">
        <f t="shared" si="93"/>
        <v>0</v>
      </c>
      <c r="AW61" s="747"/>
      <c r="AX61" s="748">
        <f t="shared" si="94"/>
        <v>0</v>
      </c>
      <c r="AY61" s="749">
        <f t="shared" si="95"/>
        <v>0</v>
      </c>
      <c r="AZ61" s="747"/>
      <c r="BA61" s="748">
        <f t="shared" si="96"/>
        <v>0</v>
      </c>
      <c r="BB61" s="749">
        <f t="shared" si="97"/>
        <v>0</v>
      </c>
      <c r="BC61" s="747"/>
      <c r="BD61" s="748">
        <f t="shared" si="98"/>
        <v>0</v>
      </c>
      <c r="BE61" s="749">
        <f t="shared" si="99"/>
        <v>0</v>
      </c>
      <c r="BF61" s="747"/>
      <c r="BG61" s="748">
        <f t="shared" si="100"/>
        <v>0</v>
      </c>
      <c r="BH61" s="749">
        <f t="shared" si="101"/>
        <v>0</v>
      </c>
    </row>
    <row r="62" spans="1:60" ht="14.25">
      <c r="A62" s="509" t="e">
        <f t="shared" si="16"/>
        <v>#REF!</v>
      </c>
      <c r="B62" s="510">
        <f t="shared" si="17"/>
        <v>0</v>
      </c>
      <c r="C62" s="512" t="e">
        <f t="shared" si="18"/>
        <v>#REF!</v>
      </c>
      <c r="D62" s="513" t="str">
        <f t="shared" si="103"/>
        <v>4. OBRAS DE DRENAJE</v>
      </c>
      <c r="E62" s="537">
        <v>45</v>
      </c>
      <c r="F62" s="408" t="s">
        <v>342</v>
      </c>
      <c r="G62" s="535" t="s">
        <v>86</v>
      </c>
      <c r="H62" s="17">
        <v>6072</v>
      </c>
      <c r="I62" s="17">
        <v>33.82</v>
      </c>
      <c r="J62" s="26">
        <f t="shared" si="102"/>
        <v>205355.04</v>
      </c>
      <c r="K62" s="21">
        <f>SUMIF($V$3:$BH$3,       "&lt;"&amp;Datos!$C$20,       V62:BH62)</f>
        <v>0</v>
      </c>
      <c r="L62" s="28">
        <f>SUMIF($V$2:$CH$2,"&lt;"&amp;Datos!$C$20,V62:CH62)</f>
        <v>0</v>
      </c>
      <c r="M62" s="515">
        <f>LOOKUP(Datos!$C$20,    'Cant. Ejec,'!$V$3:$BH$3,      'Cant. Ejec,'!$V62:$BH62)</f>
        <v>0</v>
      </c>
      <c r="N62" s="515">
        <f>LOOKUP(Datos!$C$20,    'Cant. Ejec,'!$V$2:$BH$2,      'Cant. Ejec,'!$V62:$BH62)</f>
        <v>0</v>
      </c>
      <c r="O62" s="21">
        <f>SUMIF($V$3:$CH$3,                                                    "&lt;"&amp;(Datos!$C$20+1),V62:CL62)</f>
        <v>0</v>
      </c>
      <c r="P62" s="515">
        <f>SUMIF($V$2:$CH$2,                    "&lt;"&amp;(Datos!$C$20+1),V62:CL62)</f>
        <v>0</v>
      </c>
      <c r="Q62" s="21">
        <f t="shared" si="76"/>
        <v>6072</v>
      </c>
      <c r="R62" s="515">
        <f t="shared" si="77"/>
        <v>205355.04</v>
      </c>
      <c r="S62" s="425">
        <f t="shared" si="78"/>
        <v>0</v>
      </c>
      <c r="T62" s="425">
        <f t="shared" si="79"/>
        <v>0</v>
      </c>
      <c r="U62" s="729">
        <f t="shared" si="80"/>
        <v>1</v>
      </c>
      <c r="V62" s="747"/>
      <c r="W62" s="748">
        <f t="shared" si="104"/>
        <v>0</v>
      </c>
      <c r="X62" s="749">
        <f t="shared" si="105"/>
        <v>0</v>
      </c>
      <c r="Y62" s="747"/>
      <c r="Z62" s="748">
        <f t="shared" si="106"/>
        <v>0</v>
      </c>
      <c r="AA62" s="749">
        <f t="shared" si="107"/>
        <v>0</v>
      </c>
      <c r="AB62" s="747"/>
      <c r="AC62" s="748">
        <f t="shared" si="108"/>
        <v>0</v>
      </c>
      <c r="AD62" s="749">
        <f t="shared" si="109"/>
        <v>0</v>
      </c>
      <c r="AE62" s="747"/>
      <c r="AF62" s="748">
        <f t="shared" si="110"/>
        <v>0</v>
      </c>
      <c r="AG62" s="749">
        <f t="shared" si="111"/>
        <v>0</v>
      </c>
      <c r="AH62" s="747"/>
      <c r="AI62" s="748">
        <f t="shared" si="112"/>
        <v>0</v>
      </c>
      <c r="AJ62" s="749">
        <f t="shared" si="113"/>
        <v>0</v>
      </c>
      <c r="AK62" s="747"/>
      <c r="AL62" s="748">
        <f t="shared" si="86"/>
        <v>0</v>
      </c>
      <c r="AM62" s="749">
        <f t="shared" si="87"/>
        <v>0</v>
      </c>
      <c r="AN62" s="747"/>
      <c r="AO62" s="748">
        <f t="shared" si="88"/>
        <v>0</v>
      </c>
      <c r="AP62" s="749">
        <f t="shared" si="89"/>
        <v>0</v>
      </c>
      <c r="AQ62" s="747"/>
      <c r="AR62" s="748">
        <f t="shared" si="90"/>
        <v>0</v>
      </c>
      <c r="AS62" s="749">
        <f t="shared" si="91"/>
        <v>0</v>
      </c>
      <c r="AT62" s="747"/>
      <c r="AU62" s="748">
        <f t="shared" si="92"/>
        <v>0</v>
      </c>
      <c r="AV62" s="749">
        <f t="shared" si="93"/>
        <v>0</v>
      </c>
      <c r="AW62" s="747"/>
      <c r="AX62" s="748">
        <f t="shared" si="94"/>
        <v>0</v>
      </c>
      <c r="AY62" s="749">
        <f t="shared" si="95"/>
        <v>0</v>
      </c>
      <c r="AZ62" s="747"/>
      <c r="BA62" s="748">
        <f t="shared" si="96"/>
        <v>0</v>
      </c>
      <c r="BB62" s="749">
        <f t="shared" si="97"/>
        <v>0</v>
      </c>
      <c r="BC62" s="747"/>
      <c r="BD62" s="748">
        <f t="shared" si="98"/>
        <v>0</v>
      </c>
      <c r="BE62" s="749">
        <f t="shared" si="99"/>
        <v>0</v>
      </c>
      <c r="BF62" s="747"/>
      <c r="BG62" s="748">
        <f t="shared" si="100"/>
        <v>0</v>
      </c>
      <c r="BH62" s="749">
        <f t="shared" si="101"/>
        <v>0</v>
      </c>
    </row>
    <row r="63" spans="1:60" ht="14.25">
      <c r="A63" s="509" t="e">
        <f t="shared" si="16"/>
        <v>#REF!</v>
      </c>
      <c r="B63" s="510">
        <f t="shared" si="17"/>
        <v>0</v>
      </c>
      <c r="C63" s="512" t="e">
        <f t="shared" si="18"/>
        <v>#REF!</v>
      </c>
      <c r="D63" s="513" t="str">
        <f t="shared" si="103"/>
        <v>4. OBRAS DE DRENAJE</v>
      </c>
      <c r="E63" s="537">
        <v>46</v>
      </c>
      <c r="F63" s="415" t="s">
        <v>343</v>
      </c>
      <c r="G63" s="535" t="s">
        <v>86</v>
      </c>
      <c r="H63" s="17">
        <v>2200</v>
      </c>
      <c r="I63" s="17">
        <v>18.82</v>
      </c>
      <c r="J63" s="26">
        <f t="shared" si="102"/>
        <v>41404</v>
      </c>
      <c r="K63" s="21">
        <f>SUMIF($V$3:$BH$3,       "&lt;"&amp;Datos!$C$20,       V63:BH63)</f>
        <v>0</v>
      </c>
      <c r="L63" s="28">
        <f>SUMIF($V$2:$CH$2,"&lt;"&amp;Datos!$C$20,V63:CH63)</f>
        <v>0</v>
      </c>
      <c r="M63" s="515">
        <f>LOOKUP(Datos!$C$20,    'Cant. Ejec,'!$V$3:$BH$3,      'Cant. Ejec,'!$V63:$BH63)</f>
        <v>0</v>
      </c>
      <c r="N63" s="515">
        <f>LOOKUP(Datos!$C$20,    'Cant. Ejec,'!$V$2:$BH$2,      'Cant. Ejec,'!$V63:$BH63)</f>
        <v>0</v>
      </c>
      <c r="O63" s="21">
        <f>SUMIF($V$3:$CH$3,                                                    "&lt;"&amp;(Datos!$C$20+1),V63:CL63)</f>
        <v>0</v>
      </c>
      <c r="P63" s="515">
        <f>SUMIF($V$2:$CH$2,                    "&lt;"&amp;(Datos!$C$20+1),V63:CL63)</f>
        <v>0</v>
      </c>
      <c r="Q63" s="21">
        <f t="shared" si="76"/>
        <v>2200</v>
      </c>
      <c r="R63" s="515">
        <f t="shared" si="77"/>
        <v>41404</v>
      </c>
      <c r="S63" s="425">
        <f t="shared" si="78"/>
        <v>0</v>
      </c>
      <c r="T63" s="425">
        <f t="shared" si="79"/>
        <v>0</v>
      </c>
      <c r="U63" s="729">
        <f t="shared" si="80"/>
        <v>1</v>
      </c>
      <c r="V63" s="747"/>
      <c r="W63" s="748">
        <f t="shared" si="104"/>
        <v>0</v>
      </c>
      <c r="X63" s="749">
        <f t="shared" si="105"/>
        <v>0</v>
      </c>
      <c r="Y63" s="747"/>
      <c r="Z63" s="748">
        <f t="shared" si="106"/>
        <v>0</v>
      </c>
      <c r="AA63" s="749">
        <f t="shared" si="107"/>
        <v>0</v>
      </c>
      <c r="AB63" s="747"/>
      <c r="AC63" s="748">
        <f t="shared" si="108"/>
        <v>0</v>
      </c>
      <c r="AD63" s="749">
        <f t="shared" si="109"/>
        <v>0</v>
      </c>
      <c r="AE63" s="747"/>
      <c r="AF63" s="748">
        <f t="shared" si="110"/>
        <v>0</v>
      </c>
      <c r="AG63" s="749">
        <f t="shared" si="111"/>
        <v>0</v>
      </c>
      <c r="AH63" s="747"/>
      <c r="AI63" s="748">
        <f t="shared" si="112"/>
        <v>0</v>
      </c>
      <c r="AJ63" s="749">
        <f t="shared" si="113"/>
        <v>0</v>
      </c>
      <c r="AK63" s="747"/>
      <c r="AL63" s="748">
        <f t="shared" si="86"/>
        <v>0</v>
      </c>
      <c r="AM63" s="749">
        <f t="shared" si="87"/>
        <v>0</v>
      </c>
      <c r="AN63" s="747"/>
      <c r="AO63" s="748">
        <f t="shared" si="88"/>
        <v>0</v>
      </c>
      <c r="AP63" s="749">
        <f t="shared" si="89"/>
        <v>0</v>
      </c>
      <c r="AQ63" s="747"/>
      <c r="AR63" s="748">
        <f t="shared" si="90"/>
        <v>0</v>
      </c>
      <c r="AS63" s="749">
        <f t="shared" si="91"/>
        <v>0</v>
      </c>
      <c r="AT63" s="747"/>
      <c r="AU63" s="748">
        <f t="shared" si="92"/>
        <v>0</v>
      </c>
      <c r="AV63" s="749">
        <f t="shared" si="93"/>
        <v>0</v>
      </c>
      <c r="AW63" s="747"/>
      <c r="AX63" s="748">
        <f t="shared" si="94"/>
        <v>0</v>
      </c>
      <c r="AY63" s="749">
        <f t="shared" si="95"/>
        <v>0</v>
      </c>
      <c r="AZ63" s="747"/>
      <c r="BA63" s="748">
        <f t="shared" si="96"/>
        <v>0</v>
      </c>
      <c r="BB63" s="749">
        <f t="shared" si="97"/>
        <v>0</v>
      </c>
      <c r="BC63" s="747"/>
      <c r="BD63" s="748">
        <f t="shared" si="98"/>
        <v>0</v>
      </c>
      <c r="BE63" s="749">
        <f t="shared" si="99"/>
        <v>0</v>
      </c>
      <c r="BF63" s="747"/>
      <c r="BG63" s="748">
        <f t="shared" si="100"/>
        <v>0</v>
      </c>
      <c r="BH63" s="749">
        <f t="shared" si="101"/>
        <v>0</v>
      </c>
    </row>
    <row r="64" spans="1:60" ht="14.25">
      <c r="A64" s="509" t="e">
        <f t="shared" si="16"/>
        <v>#REF!</v>
      </c>
      <c r="B64" s="510">
        <f t="shared" si="17"/>
        <v>0</v>
      </c>
      <c r="C64" s="512" t="e">
        <f t="shared" si="18"/>
        <v>#REF!</v>
      </c>
      <c r="D64" s="513" t="str">
        <f t="shared" si="103"/>
        <v>4. OBRAS DE DRENAJE</v>
      </c>
      <c r="E64" s="537">
        <v>47</v>
      </c>
      <c r="F64" s="408" t="s">
        <v>344</v>
      </c>
      <c r="G64" s="535" t="s">
        <v>85</v>
      </c>
      <c r="H64" s="17">
        <v>44</v>
      </c>
      <c r="I64" s="17">
        <v>85.23</v>
      </c>
      <c r="J64" s="26">
        <f t="shared" si="102"/>
        <v>3750.12</v>
      </c>
      <c r="K64" s="21">
        <f>SUMIF($V$3:$BH$3,       "&lt;"&amp;Datos!$C$20,       V64:BH64)</f>
        <v>0</v>
      </c>
      <c r="L64" s="28">
        <f>SUMIF($V$2:$CH$2,"&lt;"&amp;Datos!$C$20,V64:CH64)</f>
        <v>0</v>
      </c>
      <c r="M64" s="515">
        <f>LOOKUP(Datos!$C$20,    'Cant. Ejec,'!$V$3:$BH$3,      'Cant. Ejec,'!$V64:$BH64)</f>
        <v>0</v>
      </c>
      <c r="N64" s="515">
        <f>LOOKUP(Datos!$C$20,    'Cant. Ejec,'!$V$2:$BH$2,      'Cant. Ejec,'!$V64:$BH64)</f>
        <v>0</v>
      </c>
      <c r="O64" s="21">
        <f>SUMIF($V$3:$CH$3,                                                    "&lt;"&amp;(Datos!$C$20+1),V64:CL64)</f>
        <v>0</v>
      </c>
      <c r="P64" s="515">
        <f>SUMIF($V$2:$CH$2,                    "&lt;"&amp;(Datos!$C$20+1),V64:CL64)</f>
        <v>0</v>
      </c>
      <c r="Q64" s="21">
        <f t="shared" si="76"/>
        <v>44</v>
      </c>
      <c r="R64" s="515">
        <f t="shared" si="77"/>
        <v>3750.12</v>
      </c>
      <c r="S64" s="425">
        <f t="shared" si="78"/>
        <v>0</v>
      </c>
      <c r="T64" s="425">
        <f t="shared" si="79"/>
        <v>0</v>
      </c>
      <c r="U64" s="729">
        <f t="shared" si="80"/>
        <v>1</v>
      </c>
      <c r="V64" s="747"/>
      <c r="W64" s="748">
        <f t="shared" si="104"/>
        <v>0</v>
      </c>
      <c r="X64" s="749">
        <f t="shared" si="105"/>
        <v>0</v>
      </c>
      <c r="Y64" s="747"/>
      <c r="Z64" s="748">
        <f t="shared" si="106"/>
        <v>0</v>
      </c>
      <c r="AA64" s="749">
        <f t="shared" si="107"/>
        <v>0</v>
      </c>
      <c r="AB64" s="747"/>
      <c r="AC64" s="748">
        <f t="shared" si="108"/>
        <v>0</v>
      </c>
      <c r="AD64" s="749">
        <f t="shared" si="109"/>
        <v>0</v>
      </c>
      <c r="AE64" s="747"/>
      <c r="AF64" s="748">
        <f t="shared" si="110"/>
        <v>0</v>
      </c>
      <c r="AG64" s="749">
        <f t="shared" si="111"/>
        <v>0</v>
      </c>
      <c r="AH64" s="747"/>
      <c r="AI64" s="748">
        <f t="shared" si="112"/>
        <v>0</v>
      </c>
      <c r="AJ64" s="749">
        <f t="shared" si="113"/>
        <v>0</v>
      </c>
      <c r="AK64" s="747"/>
      <c r="AL64" s="748">
        <f t="shared" si="86"/>
        <v>0</v>
      </c>
      <c r="AM64" s="749">
        <f t="shared" si="87"/>
        <v>0</v>
      </c>
      <c r="AN64" s="747"/>
      <c r="AO64" s="748">
        <f t="shared" si="88"/>
        <v>0</v>
      </c>
      <c r="AP64" s="749">
        <f t="shared" si="89"/>
        <v>0</v>
      </c>
      <c r="AQ64" s="747"/>
      <c r="AR64" s="748">
        <f t="shared" si="90"/>
        <v>0</v>
      </c>
      <c r="AS64" s="749">
        <f t="shared" si="91"/>
        <v>0</v>
      </c>
      <c r="AT64" s="747"/>
      <c r="AU64" s="748">
        <f t="shared" si="92"/>
        <v>0</v>
      </c>
      <c r="AV64" s="749">
        <f t="shared" si="93"/>
        <v>0</v>
      </c>
      <c r="AW64" s="747"/>
      <c r="AX64" s="748">
        <f t="shared" si="94"/>
        <v>0</v>
      </c>
      <c r="AY64" s="749">
        <f t="shared" si="95"/>
        <v>0</v>
      </c>
      <c r="AZ64" s="747"/>
      <c r="BA64" s="748">
        <f t="shared" si="96"/>
        <v>0</v>
      </c>
      <c r="BB64" s="749">
        <f t="shared" si="97"/>
        <v>0</v>
      </c>
      <c r="BC64" s="747"/>
      <c r="BD64" s="748">
        <f t="shared" si="98"/>
        <v>0</v>
      </c>
      <c r="BE64" s="749">
        <f t="shared" si="99"/>
        <v>0</v>
      </c>
      <c r="BF64" s="747"/>
      <c r="BG64" s="748">
        <f t="shared" si="100"/>
        <v>0</v>
      </c>
      <c r="BH64" s="749">
        <f t="shared" si="101"/>
        <v>0</v>
      </c>
    </row>
    <row r="65" spans="1:60" ht="14.25">
      <c r="A65" s="509" t="e">
        <f t="shared" si="16"/>
        <v>#REF!</v>
      </c>
      <c r="B65" s="510">
        <f t="shared" si="17"/>
        <v>0</v>
      </c>
      <c r="C65" s="512" t="e">
        <f t="shared" si="18"/>
        <v>#REF!</v>
      </c>
      <c r="D65" s="513" t="str">
        <f t="shared" si="103"/>
        <v>4. OBRAS DE DRENAJE</v>
      </c>
      <c r="E65" s="537">
        <v>48</v>
      </c>
      <c r="F65" s="408" t="s">
        <v>345</v>
      </c>
      <c r="G65" s="535" t="s">
        <v>88</v>
      </c>
      <c r="H65" s="17">
        <v>55</v>
      </c>
      <c r="I65" s="17">
        <v>130.9</v>
      </c>
      <c r="J65" s="26">
        <f t="shared" si="102"/>
        <v>7199.5</v>
      </c>
      <c r="K65" s="21">
        <f>SUMIF($V$3:$BH$3,       "&lt;"&amp;Datos!$C$20,       V65:BH65)</f>
        <v>0</v>
      </c>
      <c r="L65" s="28">
        <f>SUMIF($V$2:$CH$2,"&lt;"&amp;Datos!$C$20,V65:CH65)</f>
        <v>0</v>
      </c>
      <c r="M65" s="515">
        <f>LOOKUP(Datos!$C$20,    'Cant. Ejec,'!$V$3:$BH$3,      'Cant. Ejec,'!$V65:$BH65)</f>
        <v>0</v>
      </c>
      <c r="N65" s="515">
        <f>LOOKUP(Datos!$C$20,    'Cant. Ejec,'!$V$2:$BH$2,      'Cant. Ejec,'!$V65:$BH65)</f>
        <v>0</v>
      </c>
      <c r="O65" s="21">
        <f>SUMIF($V$3:$CH$3,                                                    "&lt;"&amp;(Datos!$C$20+1),V65:CL65)</f>
        <v>0</v>
      </c>
      <c r="P65" s="515">
        <f>SUMIF($V$2:$CH$2,                    "&lt;"&amp;(Datos!$C$20+1),V65:CL65)</f>
        <v>0</v>
      </c>
      <c r="Q65" s="21">
        <f t="shared" si="76"/>
        <v>55</v>
      </c>
      <c r="R65" s="515">
        <f t="shared" si="77"/>
        <v>7199.5</v>
      </c>
      <c r="S65" s="425">
        <f t="shared" si="78"/>
        <v>0</v>
      </c>
      <c r="T65" s="425">
        <f t="shared" si="79"/>
        <v>0</v>
      </c>
      <c r="U65" s="729">
        <f t="shared" si="80"/>
        <v>1</v>
      </c>
      <c r="V65" s="747"/>
      <c r="W65" s="748">
        <f t="shared" si="104"/>
        <v>0</v>
      </c>
      <c r="X65" s="749">
        <f t="shared" si="105"/>
        <v>0</v>
      </c>
      <c r="Y65" s="747"/>
      <c r="Z65" s="748">
        <f t="shared" si="106"/>
        <v>0</v>
      </c>
      <c r="AA65" s="749">
        <f t="shared" si="107"/>
        <v>0</v>
      </c>
      <c r="AB65" s="747"/>
      <c r="AC65" s="748">
        <f t="shared" si="108"/>
        <v>0</v>
      </c>
      <c r="AD65" s="749">
        <f t="shared" si="109"/>
        <v>0</v>
      </c>
      <c r="AE65" s="747"/>
      <c r="AF65" s="748">
        <f t="shared" si="110"/>
        <v>0</v>
      </c>
      <c r="AG65" s="749">
        <f t="shared" si="111"/>
        <v>0</v>
      </c>
      <c r="AH65" s="747"/>
      <c r="AI65" s="748">
        <f t="shared" si="112"/>
        <v>0</v>
      </c>
      <c r="AJ65" s="749">
        <f t="shared" si="113"/>
        <v>0</v>
      </c>
      <c r="AK65" s="747"/>
      <c r="AL65" s="748">
        <f t="shared" si="86"/>
        <v>0</v>
      </c>
      <c r="AM65" s="749">
        <f t="shared" si="87"/>
        <v>0</v>
      </c>
      <c r="AN65" s="747"/>
      <c r="AO65" s="748">
        <f t="shared" si="88"/>
        <v>0</v>
      </c>
      <c r="AP65" s="749">
        <f t="shared" si="89"/>
        <v>0</v>
      </c>
      <c r="AQ65" s="747"/>
      <c r="AR65" s="748">
        <f t="shared" si="90"/>
        <v>0</v>
      </c>
      <c r="AS65" s="749">
        <f t="shared" si="91"/>
        <v>0</v>
      </c>
      <c r="AT65" s="747"/>
      <c r="AU65" s="748">
        <f t="shared" si="92"/>
        <v>0</v>
      </c>
      <c r="AV65" s="749">
        <f t="shared" si="93"/>
        <v>0</v>
      </c>
      <c r="AW65" s="747"/>
      <c r="AX65" s="748">
        <f t="shared" si="94"/>
        <v>0</v>
      </c>
      <c r="AY65" s="749">
        <f t="shared" si="95"/>
        <v>0</v>
      </c>
      <c r="AZ65" s="747"/>
      <c r="BA65" s="748">
        <f t="shared" si="96"/>
        <v>0</v>
      </c>
      <c r="BB65" s="749">
        <f t="shared" si="97"/>
        <v>0</v>
      </c>
      <c r="BC65" s="747"/>
      <c r="BD65" s="748">
        <f t="shared" si="98"/>
        <v>0</v>
      </c>
      <c r="BE65" s="749">
        <f t="shared" si="99"/>
        <v>0</v>
      </c>
      <c r="BF65" s="747"/>
      <c r="BG65" s="748">
        <f t="shared" si="100"/>
        <v>0</v>
      </c>
      <c r="BH65" s="749">
        <f t="shared" si="101"/>
        <v>0</v>
      </c>
    </row>
    <row r="66" spans="1:60" s="12" customFormat="1" ht="14.25">
      <c r="A66" s="509" t="e">
        <f t="shared" si="16"/>
        <v>#REF!</v>
      </c>
      <c r="B66" s="510">
        <f t="shared" si="17"/>
        <v>0</v>
      </c>
      <c r="C66" s="512" t="e">
        <f t="shared" si="18"/>
        <v>#REF!</v>
      </c>
      <c r="D66" s="513" t="str">
        <f t="shared" si="103"/>
        <v>4. OBRAS DE DRENAJE</v>
      </c>
      <c r="E66" s="537">
        <v>49</v>
      </c>
      <c r="F66" s="415" t="s">
        <v>346</v>
      </c>
      <c r="G66" s="535" t="s">
        <v>85</v>
      </c>
      <c r="H66" s="17">
        <v>66</v>
      </c>
      <c r="I66" s="19">
        <v>104.01</v>
      </c>
      <c r="J66" s="26">
        <f t="shared" si="102"/>
        <v>6864.66</v>
      </c>
      <c r="K66" s="21">
        <f>SUMIF($V$3:$BH$3,       "&lt;"&amp;Datos!$C$20,       V66:BH66)</f>
        <v>0</v>
      </c>
      <c r="L66" s="28">
        <f>SUMIF($V$2:$CH$2,"&lt;"&amp;Datos!$C$20,V66:CH66)</f>
        <v>0</v>
      </c>
      <c r="M66" s="515">
        <f>LOOKUP(Datos!$C$20,    'Cant. Ejec,'!$V$3:$BH$3,      'Cant. Ejec,'!$V66:$BH66)</f>
        <v>0</v>
      </c>
      <c r="N66" s="515">
        <f>LOOKUP(Datos!$C$20,    'Cant. Ejec,'!$V$2:$BH$2,      'Cant. Ejec,'!$V66:$BH66)</f>
        <v>0</v>
      </c>
      <c r="O66" s="21">
        <f>SUMIF($V$3:$CH$3,                                                    "&lt;"&amp;(Datos!$C$20+1),V66:CL66)</f>
        <v>0</v>
      </c>
      <c r="P66" s="515">
        <f>SUMIF($V$2:$CH$2,                    "&lt;"&amp;(Datos!$C$20+1),V66:CL66)</f>
        <v>0</v>
      </c>
      <c r="Q66" s="21">
        <f t="shared" si="76"/>
        <v>66</v>
      </c>
      <c r="R66" s="515">
        <f t="shared" si="77"/>
        <v>6864.66</v>
      </c>
      <c r="S66" s="425">
        <f t="shared" si="78"/>
        <v>0</v>
      </c>
      <c r="T66" s="425">
        <f t="shared" si="79"/>
        <v>0</v>
      </c>
      <c r="U66" s="729">
        <f t="shared" si="80"/>
        <v>1</v>
      </c>
      <c r="V66" s="747"/>
      <c r="W66" s="748">
        <f t="shared" si="104"/>
        <v>0</v>
      </c>
      <c r="X66" s="749">
        <f t="shared" si="105"/>
        <v>0</v>
      </c>
      <c r="Y66" s="747"/>
      <c r="Z66" s="748">
        <f t="shared" si="106"/>
        <v>0</v>
      </c>
      <c r="AA66" s="749">
        <f t="shared" si="107"/>
        <v>0</v>
      </c>
      <c r="AB66" s="747"/>
      <c r="AC66" s="748">
        <f t="shared" si="108"/>
        <v>0</v>
      </c>
      <c r="AD66" s="749">
        <f t="shared" si="109"/>
        <v>0</v>
      </c>
      <c r="AE66" s="747"/>
      <c r="AF66" s="748">
        <f t="shared" si="110"/>
        <v>0</v>
      </c>
      <c r="AG66" s="749">
        <f t="shared" si="111"/>
        <v>0</v>
      </c>
      <c r="AH66" s="747"/>
      <c r="AI66" s="748">
        <f t="shared" si="112"/>
        <v>0</v>
      </c>
      <c r="AJ66" s="749">
        <f t="shared" si="113"/>
        <v>0</v>
      </c>
      <c r="AK66" s="747"/>
      <c r="AL66" s="748">
        <f t="shared" si="86"/>
        <v>0</v>
      </c>
      <c r="AM66" s="749">
        <f t="shared" si="87"/>
        <v>0</v>
      </c>
      <c r="AN66" s="747"/>
      <c r="AO66" s="748">
        <f t="shared" si="88"/>
        <v>0</v>
      </c>
      <c r="AP66" s="749">
        <f t="shared" si="89"/>
        <v>0</v>
      </c>
      <c r="AQ66" s="747"/>
      <c r="AR66" s="748">
        <f t="shared" si="90"/>
        <v>0</v>
      </c>
      <c r="AS66" s="749">
        <f t="shared" si="91"/>
        <v>0</v>
      </c>
      <c r="AT66" s="747"/>
      <c r="AU66" s="748">
        <f t="shared" si="92"/>
        <v>0</v>
      </c>
      <c r="AV66" s="749">
        <f t="shared" si="93"/>
        <v>0</v>
      </c>
      <c r="AW66" s="747"/>
      <c r="AX66" s="748">
        <f t="shared" si="94"/>
        <v>0</v>
      </c>
      <c r="AY66" s="749">
        <f t="shared" si="95"/>
        <v>0</v>
      </c>
      <c r="AZ66" s="747"/>
      <c r="BA66" s="748">
        <f t="shared" si="96"/>
        <v>0</v>
      </c>
      <c r="BB66" s="749">
        <f t="shared" si="97"/>
        <v>0</v>
      </c>
      <c r="BC66" s="747"/>
      <c r="BD66" s="748">
        <f t="shared" si="98"/>
        <v>0</v>
      </c>
      <c r="BE66" s="749">
        <f t="shared" si="99"/>
        <v>0</v>
      </c>
      <c r="BF66" s="747"/>
      <c r="BG66" s="748">
        <f t="shared" si="100"/>
        <v>0</v>
      </c>
      <c r="BH66" s="749">
        <f t="shared" si="101"/>
        <v>0</v>
      </c>
    </row>
    <row r="67" spans="1:60" s="12" customFormat="1" ht="14.25">
      <c r="A67" s="509" t="e">
        <f t="shared" si="16"/>
        <v>#REF!</v>
      </c>
      <c r="B67" s="510">
        <f t="shared" si="17"/>
        <v>0</v>
      </c>
      <c r="C67" s="512" t="e">
        <f t="shared" si="18"/>
        <v>#REF!</v>
      </c>
      <c r="D67" s="513" t="str">
        <f t="shared" si="103"/>
        <v>4. OBRAS DE DRENAJE</v>
      </c>
      <c r="E67" s="537">
        <v>50</v>
      </c>
      <c r="F67" s="415" t="s">
        <v>347</v>
      </c>
      <c r="G67" s="535" t="s">
        <v>85</v>
      </c>
      <c r="H67" s="17">
        <v>11</v>
      </c>
      <c r="I67" s="19">
        <v>286.33</v>
      </c>
      <c r="J67" s="26">
        <f t="shared" si="102"/>
        <v>3149.63</v>
      </c>
      <c r="K67" s="21">
        <f>SUMIF($V$3:$BH$3,       "&lt;"&amp;Datos!$C$20,       V67:BH67)</f>
        <v>0</v>
      </c>
      <c r="L67" s="28">
        <f>SUMIF($V$2:$CH$2,"&lt;"&amp;Datos!$C$20,V67:CH67)</f>
        <v>0</v>
      </c>
      <c r="M67" s="515">
        <f>LOOKUP(Datos!$C$20,    'Cant. Ejec,'!$V$3:$BH$3,      'Cant. Ejec,'!$V67:$BH67)</f>
        <v>0</v>
      </c>
      <c r="N67" s="515">
        <f>LOOKUP(Datos!$C$20,    'Cant. Ejec,'!$V$2:$BH$2,      'Cant. Ejec,'!$V67:$BH67)</f>
        <v>0</v>
      </c>
      <c r="O67" s="21">
        <f>SUMIF($V$3:$CH$3,                                                    "&lt;"&amp;(Datos!$C$20+1),V67:CL67)</f>
        <v>0</v>
      </c>
      <c r="P67" s="515">
        <f>SUMIF($V$2:$CH$2,                    "&lt;"&amp;(Datos!$C$20+1),V67:CL67)</f>
        <v>0</v>
      </c>
      <c r="Q67" s="21">
        <f t="shared" si="76"/>
        <v>11</v>
      </c>
      <c r="R67" s="515">
        <f t="shared" si="77"/>
        <v>3149.63</v>
      </c>
      <c r="S67" s="425">
        <f t="shared" si="78"/>
        <v>0</v>
      </c>
      <c r="T67" s="425">
        <f t="shared" si="79"/>
        <v>0</v>
      </c>
      <c r="U67" s="729">
        <f t="shared" si="80"/>
        <v>1</v>
      </c>
      <c r="V67" s="747"/>
      <c r="W67" s="748">
        <f t="shared" si="104"/>
        <v>0</v>
      </c>
      <c r="X67" s="749">
        <f t="shared" si="105"/>
        <v>0</v>
      </c>
      <c r="Y67" s="747"/>
      <c r="Z67" s="748">
        <f t="shared" si="106"/>
        <v>0</v>
      </c>
      <c r="AA67" s="749">
        <f t="shared" si="107"/>
        <v>0</v>
      </c>
      <c r="AB67" s="747"/>
      <c r="AC67" s="748">
        <f t="shared" si="108"/>
        <v>0</v>
      </c>
      <c r="AD67" s="749">
        <f t="shared" si="109"/>
        <v>0</v>
      </c>
      <c r="AE67" s="747"/>
      <c r="AF67" s="748">
        <f t="shared" si="110"/>
        <v>0</v>
      </c>
      <c r="AG67" s="749">
        <f t="shared" si="111"/>
        <v>0</v>
      </c>
      <c r="AH67" s="747"/>
      <c r="AI67" s="748">
        <f t="shared" si="112"/>
        <v>0</v>
      </c>
      <c r="AJ67" s="749">
        <f t="shared" si="113"/>
        <v>0</v>
      </c>
      <c r="AK67" s="747"/>
      <c r="AL67" s="748">
        <f t="shared" si="86"/>
        <v>0</v>
      </c>
      <c r="AM67" s="749">
        <f t="shared" si="87"/>
        <v>0</v>
      </c>
      <c r="AN67" s="747"/>
      <c r="AO67" s="748">
        <f t="shared" si="88"/>
        <v>0</v>
      </c>
      <c r="AP67" s="749">
        <f t="shared" si="89"/>
        <v>0</v>
      </c>
      <c r="AQ67" s="747"/>
      <c r="AR67" s="748">
        <f t="shared" si="90"/>
        <v>0</v>
      </c>
      <c r="AS67" s="749">
        <f t="shared" si="91"/>
        <v>0</v>
      </c>
      <c r="AT67" s="747"/>
      <c r="AU67" s="748">
        <f t="shared" si="92"/>
        <v>0</v>
      </c>
      <c r="AV67" s="749">
        <f t="shared" si="93"/>
        <v>0</v>
      </c>
      <c r="AW67" s="747"/>
      <c r="AX67" s="748">
        <f t="shared" si="94"/>
        <v>0</v>
      </c>
      <c r="AY67" s="749">
        <f t="shared" si="95"/>
        <v>0</v>
      </c>
      <c r="AZ67" s="747"/>
      <c r="BA67" s="748">
        <f t="shared" si="96"/>
        <v>0</v>
      </c>
      <c r="BB67" s="749">
        <f t="shared" si="97"/>
        <v>0</v>
      </c>
      <c r="BC67" s="747"/>
      <c r="BD67" s="748">
        <f t="shared" si="98"/>
        <v>0</v>
      </c>
      <c r="BE67" s="749">
        <f t="shared" si="99"/>
        <v>0</v>
      </c>
      <c r="BF67" s="747"/>
      <c r="BG67" s="748">
        <f t="shared" si="100"/>
        <v>0</v>
      </c>
      <c r="BH67" s="749">
        <f t="shared" si="101"/>
        <v>0</v>
      </c>
    </row>
    <row r="68" spans="1:60" s="12" customFormat="1" ht="14.25">
      <c r="A68" s="509" t="e">
        <f t="shared" si="16"/>
        <v>#REF!</v>
      </c>
      <c r="B68" s="510">
        <f t="shared" si="17"/>
        <v>0</v>
      </c>
      <c r="C68" s="512" t="e">
        <f t="shared" si="18"/>
        <v>#REF!</v>
      </c>
      <c r="D68" s="513" t="str">
        <f t="shared" si="103"/>
        <v>4. OBRAS DE DRENAJE</v>
      </c>
      <c r="E68" s="537">
        <v>51</v>
      </c>
      <c r="F68" s="408" t="s">
        <v>348</v>
      </c>
      <c r="G68" s="535" t="s">
        <v>85</v>
      </c>
      <c r="H68" s="17">
        <v>11</v>
      </c>
      <c r="I68" s="19">
        <v>120.83</v>
      </c>
      <c r="J68" s="26">
        <f t="shared" si="102"/>
        <v>1329.13</v>
      </c>
      <c r="K68" s="21">
        <f>SUMIF($V$3:$BH$3,       "&lt;"&amp;Datos!$C$20,       V68:BH68)</f>
        <v>0</v>
      </c>
      <c r="L68" s="28">
        <f>SUMIF($V$2:$CH$2,"&lt;"&amp;Datos!$C$20,V68:CH68)</f>
        <v>0</v>
      </c>
      <c r="M68" s="515">
        <f>LOOKUP(Datos!$C$20,    'Cant. Ejec,'!$V$3:$BH$3,      'Cant. Ejec,'!$V68:$BH68)</f>
        <v>0</v>
      </c>
      <c r="N68" s="515">
        <f>LOOKUP(Datos!$C$20,    'Cant. Ejec,'!$V$2:$BH$2,      'Cant. Ejec,'!$V68:$BH68)</f>
        <v>0</v>
      </c>
      <c r="O68" s="21">
        <f>SUMIF($V$3:$CH$3,                                                    "&lt;"&amp;(Datos!$C$20+1),V68:CL68)</f>
        <v>0</v>
      </c>
      <c r="P68" s="515">
        <f>SUMIF($V$2:$CH$2,                    "&lt;"&amp;(Datos!$C$20+1),V68:CL68)</f>
        <v>0</v>
      </c>
      <c r="Q68" s="21">
        <f t="shared" si="76"/>
        <v>11</v>
      </c>
      <c r="R68" s="515">
        <f t="shared" si="77"/>
        <v>1329.13</v>
      </c>
      <c r="S68" s="425">
        <f t="shared" si="78"/>
        <v>0</v>
      </c>
      <c r="T68" s="425">
        <f t="shared" si="79"/>
        <v>0</v>
      </c>
      <c r="U68" s="729">
        <f t="shared" si="80"/>
        <v>1</v>
      </c>
      <c r="V68" s="747"/>
      <c r="W68" s="748">
        <f t="shared" si="104"/>
        <v>0</v>
      </c>
      <c r="X68" s="749">
        <f t="shared" si="105"/>
        <v>0</v>
      </c>
      <c r="Y68" s="747"/>
      <c r="Z68" s="748">
        <f t="shared" si="106"/>
        <v>0</v>
      </c>
      <c r="AA68" s="749">
        <f t="shared" si="107"/>
        <v>0</v>
      </c>
      <c r="AB68" s="747"/>
      <c r="AC68" s="748">
        <f t="shared" si="108"/>
        <v>0</v>
      </c>
      <c r="AD68" s="749">
        <f t="shared" si="109"/>
        <v>0</v>
      </c>
      <c r="AE68" s="747"/>
      <c r="AF68" s="748">
        <f t="shared" si="110"/>
        <v>0</v>
      </c>
      <c r="AG68" s="749">
        <f t="shared" si="111"/>
        <v>0</v>
      </c>
      <c r="AH68" s="747"/>
      <c r="AI68" s="748">
        <f t="shared" si="112"/>
        <v>0</v>
      </c>
      <c r="AJ68" s="749">
        <f t="shared" si="113"/>
        <v>0</v>
      </c>
      <c r="AK68" s="747"/>
      <c r="AL68" s="748">
        <f t="shared" si="86"/>
        <v>0</v>
      </c>
      <c r="AM68" s="749">
        <f t="shared" si="87"/>
        <v>0</v>
      </c>
      <c r="AN68" s="747"/>
      <c r="AO68" s="748">
        <f t="shared" si="88"/>
        <v>0</v>
      </c>
      <c r="AP68" s="749">
        <f t="shared" si="89"/>
        <v>0</v>
      </c>
      <c r="AQ68" s="747"/>
      <c r="AR68" s="748">
        <f t="shared" si="90"/>
        <v>0</v>
      </c>
      <c r="AS68" s="749">
        <f t="shared" si="91"/>
        <v>0</v>
      </c>
      <c r="AT68" s="747"/>
      <c r="AU68" s="748">
        <f t="shared" si="92"/>
        <v>0</v>
      </c>
      <c r="AV68" s="749">
        <f t="shared" si="93"/>
        <v>0</v>
      </c>
      <c r="AW68" s="747"/>
      <c r="AX68" s="748">
        <f t="shared" si="94"/>
        <v>0</v>
      </c>
      <c r="AY68" s="749">
        <f t="shared" si="95"/>
        <v>0</v>
      </c>
      <c r="AZ68" s="747"/>
      <c r="BA68" s="748">
        <f t="shared" si="96"/>
        <v>0</v>
      </c>
      <c r="BB68" s="749">
        <f t="shared" si="97"/>
        <v>0</v>
      </c>
      <c r="BC68" s="747"/>
      <c r="BD68" s="748">
        <f t="shared" si="98"/>
        <v>0</v>
      </c>
      <c r="BE68" s="749">
        <f t="shared" si="99"/>
        <v>0</v>
      </c>
      <c r="BF68" s="747"/>
      <c r="BG68" s="748">
        <f t="shared" si="100"/>
        <v>0</v>
      </c>
      <c r="BH68" s="749">
        <f t="shared" si="101"/>
        <v>0</v>
      </c>
    </row>
    <row r="69" spans="1:60" s="12" customFormat="1" ht="14.25">
      <c r="A69" s="509" t="e">
        <f t="shared" si="16"/>
        <v>#REF!</v>
      </c>
      <c r="B69" s="510">
        <f t="shared" si="17"/>
        <v>0</v>
      </c>
      <c r="C69" s="512" t="e">
        <f t="shared" si="18"/>
        <v>#REF!</v>
      </c>
      <c r="D69" s="513" t="str">
        <f t="shared" si="103"/>
        <v>4. OBRAS DE DRENAJE</v>
      </c>
      <c r="E69" s="537">
        <v>52</v>
      </c>
      <c r="F69" s="408" t="s">
        <v>349</v>
      </c>
      <c r="G69" s="535" t="s">
        <v>85</v>
      </c>
      <c r="H69" s="17">
        <v>11</v>
      </c>
      <c r="I69" s="19">
        <v>104.01</v>
      </c>
      <c r="J69" s="26">
        <f t="shared" si="102"/>
        <v>1144.1099999999999</v>
      </c>
      <c r="K69" s="21">
        <f>SUMIF($V$3:$BH$3,       "&lt;"&amp;Datos!$C$20,       V69:BH69)</f>
        <v>0</v>
      </c>
      <c r="L69" s="28">
        <f>SUMIF($V$2:$CH$2,"&lt;"&amp;Datos!$C$20,V69:CH69)</f>
        <v>0</v>
      </c>
      <c r="M69" s="515">
        <f>LOOKUP(Datos!$C$20,    'Cant. Ejec,'!$V$3:$BH$3,      'Cant. Ejec,'!$V69:$BH69)</f>
        <v>0</v>
      </c>
      <c r="N69" s="515">
        <f>LOOKUP(Datos!$C$20,    'Cant. Ejec,'!$V$2:$BH$2,      'Cant. Ejec,'!$V69:$BH69)</f>
        <v>0</v>
      </c>
      <c r="O69" s="21">
        <f>SUMIF($V$3:$CH$3,                                                    "&lt;"&amp;(Datos!$C$20+1),V69:CL69)</f>
        <v>0</v>
      </c>
      <c r="P69" s="515">
        <f>SUMIF($V$2:$CH$2,                    "&lt;"&amp;(Datos!$C$20+1),V69:CL69)</f>
        <v>0</v>
      </c>
      <c r="Q69" s="21">
        <f t="shared" si="76"/>
        <v>11</v>
      </c>
      <c r="R69" s="515">
        <f t="shared" si="77"/>
        <v>1144.1099999999999</v>
      </c>
      <c r="S69" s="425">
        <f t="shared" si="78"/>
        <v>0</v>
      </c>
      <c r="T69" s="425">
        <f t="shared" si="79"/>
        <v>0</v>
      </c>
      <c r="U69" s="729">
        <f t="shared" si="80"/>
        <v>1</v>
      </c>
      <c r="V69" s="747"/>
      <c r="W69" s="748">
        <f t="shared" si="104"/>
        <v>0</v>
      </c>
      <c r="X69" s="749">
        <f t="shared" si="105"/>
        <v>0</v>
      </c>
      <c r="Y69" s="747"/>
      <c r="Z69" s="748">
        <f t="shared" si="106"/>
        <v>0</v>
      </c>
      <c r="AA69" s="749">
        <f t="shared" si="107"/>
        <v>0</v>
      </c>
      <c r="AB69" s="747"/>
      <c r="AC69" s="748">
        <f t="shared" si="108"/>
        <v>0</v>
      </c>
      <c r="AD69" s="749">
        <f t="shared" si="109"/>
        <v>0</v>
      </c>
      <c r="AE69" s="747"/>
      <c r="AF69" s="748">
        <f t="shared" si="110"/>
        <v>0</v>
      </c>
      <c r="AG69" s="749">
        <f t="shared" si="111"/>
        <v>0</v>
      </c>
      <c r="AH69" s="747"/>
      <c r="AI69" s="748">
        <f t="shared" si="112"/>
        <v>0</v>
      </c>
      <c r="AJ69" s="749">
        <f t="shared" si="113"/>
        <v>0</v>
      </c>
      <c r="AK69" s="747"/>
      <c r="AL69" s="748">
        <f t="shared" si="86"/>
        <v>0</v>
      </c>
      <c r="AM69" s="749">
        <f t="shared" si="87"/>
        <v>0</v>
      </c>
      <c r="AN69" s="747"/>
      <c r="AO69" s="748">
        <f t="shared" si="88"/>
        <v>0</v>
      </c>
      <c r="AP69" s="749">
        <f t="shared" si="89"/>
        <v>0</v>
      </c>
      <c r="AQ69" s="747"/>
      <c r="AR69" s="748">
        <f t="shared" si="90"/>
        <v>0</v>
      </c>
      <c r="AS69" s="749">
        <f t="shared" si="91"/>
        <v>0</v>
      </c>
      <c r="AT69" s="747"/>
      <c r="AU69" s="748">
        <f t="shared" si="92"/>
        <v>0</v>
      </c>
      <c r="AV69" s="749">
        <f t="shared" si="93"/>
        <v>0</v>
      </c>
      <c r="AW69" s="747"/>
      <c r="AX69" s="748">
        <f t="shared" si="94"/>
        <v>0</v>
      </c>
      <c r="AY69" s="749">
        <f t="shared" si="95"/>
        <v>0</v>
      </c>
      <c r="AZ69" s="747"/>
      <c r="BA69" s="748">
        <f t="shared" si="96"/>
        <v>0</v>
      </c>
      <c r="BB69" s="749">
        <f t="shared" si="97"/>
        <v>0</v>
      </c>
      <c r="BC69" s="747"/>
      <c r="BD69" s="748">
        <f t="shared" si="98"/>
        <v>0</v>
      </c>
      <c r="BE69" s="749">
        <f t="shared" si="99"/>
        <v>0</v>
      </c>
      <c r="BF69" s="747"/>
      <c r="BG69" s="748">
        <f t="shared" si="100"/>
        <v>0</v>
      </c>
      <c r="BH69" s="749">
        <f t="shared" si="101"/>
        <v>0</v>
      </c>
    </row>
    <row r="70" spans="1:60" s="12" customFormat="1" ht="14.25">
      <c r="A70" s="509" t="e">
        <f t="shared" si="16"/>
        <v>#REF!</v>
      </c>
      <c r="B70" s="510">
        <f t="shared" si="17"/>
        <v>0</v>
      </c>
      <c r="C70" s="512" t="e">
        <f t="shared" si="18"/>
        <v>#REF!</v>
      </c>
      <c r="D70" s="513" t="str">
        <f t="shared" si="103"/>
        <v>4. OBRAS DE DRENAJE</v>
      </c>
      <c r="E70" s="537">
        <v>53</v>
      </c>
      <c r="F70" s="415" t="s">
        <v>350</v>
      </c>
      <c r="G70" s="535" t="s">
        <v>85</v>
      </c>
      <c r="H70" s="17">
        <v>11</v>
      </c>
      <c r="I70" s="19">
        <v>104.01</v>
      </c>
      <c r="J70" s="26">
        <f t="shared" si="102"/>
        <v>1144.1099999999999</v>
      </c>
      <c r="K70" s="21">
        <f>SUMIF($V$3:$BH$3,       "&lt;"&amp;Datos!$C$20,       V70:BH70)</f>
        <v>0</v>
      </c>
      <c r="L70" s="28">
        <f>SUMIF($V$2:$CH$2,"&lt;"&amp;Datos!$C$20,V70:CH70)</f>
        <v>0</v>
      </c>
      <c r="M70" s="515">
        <f>LOOKUP(Datos!$C$20,    'Cant. Ejec,'!$V$3:$BH$3,      'Cant. Ejec,'!$V70:$BH70)</f>
        <v>0</v>
      </c>
      <c r="N70" s="515">
        <f>LOOKUP(Datos!$C$20,    'Cant. Ejec,'!$V$2:$BH$2,      'Cant. Ejec,'!$V70:$BH70)</f>
        <v>0</v>
      </c>
      <c r="O70" s="21">
        <f>SUMIF($V$3:$CH$3,                                                    "&lt;"&amp;(Datos!$C$20+1),V70:CL70)</f>
        <v>0</v>
      </c>
      <c r="P70" s="515">
        <f>SUMIF($V$2:$CH$2,                    "&lt;"&amp;(Datos!$C$20+1),V70:CL70)</f>
        <v>0</v>
      </c>
      <c r="Q70" s="21">
        <f t="shared" si="76"/>
        <v>11</v>
      </c>
      <c r="R70" s="515">
        <f t="shared" si="77"/>
        <v>1144.1099999999999</v>
      </c>
      <c r="S70" s="425">
        <f t="shared" si="78"/>
        <v>0</v>
      </c>
      <c r="T70" s="425">
        <f t="shared" si="79"/>
        <v>0</v>
      </c>
      <c r="U70" s="729">
        <f t="shared" si="80"/>
        <v>1</v>
      </c>
      <c r="V70" s="747"/>
      <c r="W70" s="748">
        <f t="shared" si="104"/>
        <v>0</v>
      </c>
      <c r="X70" s="749">
        <f t="shared" si="105"/>
        <v>0</v>
      </c>
      <c r="Y70" s="747"/>
      <c r="Z70" s="748">
        <f t="shared" si="106"/>
        <v>0</v>
      </c>
      <c r="AA70" s="749">
        <f t="shared" si="107"/>
        <v>0</v>
      </c>
      <c r="AB70" s="747"/>
      <c r="AC70" s="748">
        <f t="shared" si="108"/>
        <v>0</v>
      </c>
      <c r="AD70" s="749">
        <f t="shared" si="109"/>
        <v>0</v>
      </c>
      <c r="AE70" s="747"/>
      <c r="AF70" s="748">
        <f t="shared" si="110"/>
        <v>0</v>
      </c>
      <c r="AG70" s="749">
        <f t="shared" si="111"/>
        <v>0</v>
      </c>
      <c r="AH70" s="747"/>
      <c r="AI70" s="748">
        <f t="shared" si="112"/>
        <v>0</v>
      </c>
      <c r="AJ70" s="749">
        <f t="shared" si="113"/>
        <v>0</v>
      </c>
      <c r="AK70" s="747"/>
      <c r="AL70" s="748">
        <f t="shared" si="86"/>
        <v>0</v>
      </c>
      <c r="AM70" s="749">
        <f t="shared" si="87"/>
        <v>0</v>
      </c>
      <c r="AN70" s="747"/>
      <c r="AO70" s="748">
        <f t="shared" si="88"/>
        <v>0</v>
      </c>
      <c r="AP70" s="749">
        <f t="shared" si="89"/>
        <v>0</v>
      </c>
      <c r="AQ70" s="747"/>
      <c r="AR70" s="748">
        <f t="shared" si="90"/>
        <v>0</v>
      </c>
      <c r="AS70" s="749">
        <f t="shared" si="91"/>
        <v>0</v>
      </c>
      <c r="AT70" s="747"/>
      <c r="AU70" s="748">
        <f t="shared" si="92"/>
        <v>0</v>
      </c>
      <c r="AV70" s="749">
        <f t="shared" si="93"/>
        <v>0</v>
      </c>
      <c r="AW70" s="747"/>
      <c r="AX70" s="748">
        <f t="shared" si="94"/>
        <v>0</v>
      </c>
      <c r="AY70" s="749">
        <f t="shared" si="95"/>
        <v>0</v>
      </c>
      <c r="AZ70" s="747"/>
      <c r="BA70" s="748">
        <f t="shared" si="96"/>
        <v>0</v>
      </c>
      <c r="BB70" s="749">
        <f t="shared" si="97"/>
        <v>0</v>
      </c>
      <c r="BC70" s="747"/>
      <c r="BD70" s="748">
        <f t="shared" si="98"/>
        <v>0</v>
      </c>
      <c r="BE70" s="749">
        <f t="shared" si="99"/>
        <v>0</v>
      </c>
      <c r="BF70" s="747"/>
      <c r="BG70" s="748">
        <f t="shared" si="100"/>
        <v>0</v>
      </c>
      <c r="BH70" s="749">
        <f t="shared" si="101"/>
        <v>0</v>
      </c>
    </row>
    <row r="71" spans="1:60" s="12" customFormat="1" ht="14.25">
      <c r="A71" s="509" t="e">
        <f t="shared" si="16"/>
        <v>#REF!</v>
      </c>
      <c r="B71" s="510">
        <f t="shared" si="17"/>
        <v>0</v>
      </c>
      <c r="C71" s="512" t="e">
        <f t="shared" si="18"/>
        <v>#REF!</v>
      </c>
      <c r="D71" s="513" t="str">
        <f t="shared" si="103"/>
        <v>4. OBRAS DE DRENAJE</v>
      </c>
      <c r="E71" s="537">
        <v>54</v>
      </c>
      <c r="F71" s="415" t="s">
        <v>351</v>
      </c>
      <c r="G71" s="535" t="s">
        <v>86</v>
      </c>
      <c r="H71" s="17">
        <v>1600</v>
      </c>
      <c r="I71" s="19">
        <v>7.53</v>
      </c>
      <c r="J71" s="26">
        <f t="shared" si="102"/>
        <v>12048</v>
      </c>
      <c r="K71" s="21">
        <f>SUMIF($V$3:$BH$3,       "&lt;"&amp;Datos!$C$20,       V71:BH71)</f>
        <v>0</v>
      </c>
      <c r="L71" s="28">
        <f>SUMIF($V$2:$CH$2,"&lt;"&amp;Datos!$C$20,V71:CH71)</f>
        <v>0</v>
      </c>
      <c r="M71" s="515">
        <f>LOOKUP(Datos!$C$20,    'Cant. Ejec,'!$V$3:$BH$3,      'Cant. Ejec,'!$V71:$BH71)</f>
        <v>0</v>
      </c>
      <c r="N71" s="515">
        <f>LOOKUP(Datos!$C$20,    'Cant. Ejec,'!$V$2:$BH$2,      'Cant. Ejec,'!$V71:$BH71)</f>
        <v>0</v>
      </c>
      <c r="O71" s="21">
        <f>SUMIF($V$3:$CH$3,                                                    "&lt;"&amp;(Datos!$C$20+1),V71:CL71)</f>
        <v>0</v>
      </c>
      <c r="P71" s="515">
        <f>SUMIF($V$2:$CH$2,                    "&lt;"&amp;(Datos!$C$20+1),V71:CL71)</f>
        <v>0</v>
      </c>
      <c r="Q71" s="21">
        <f t="shared" si="76"/>
        <v>1600</v>
      </c>
      <c r="R71" s="515">
        <f t="shared" si="77"/>
        <v>12048</v>
      </c>
      <c r="S71" s="425">
        <f t="shared" si="78"/>
        <v>0</v>
      </c>
      <c r="T71" s="425">
        <f t="shared" si="79"/>
        <v>0</v>
      </c>
      <c r="U71" s="729">
        <f t="shared" si="80"/>
        <v>1</v>
      </c>
      <c r="V71" s="747"/>
      <c r="W71" s="748">
        <f t="shared" si="104"/>
        <v>0</v>
      </c>
      <c r="X71" s="749">
        <f t="shared" si="105"/>
        <v>0</v>
      </c>
      <c r="Y71" s="747"/>
      <c r="Z71" s="748">
        <f t="shared" si="106"/>
        <v>0</v>
      </c>
      <c r="AA71" s="749">
        <f t="shared" si="107"/>
        <v>0</v>
      </c>
      <c r="AB71" s="747"/>
      <c r="AC71" s="748">
        <f t="shared" si="108"/>
        <v>0</v>
      </c>
      <c r="AD71" s="749">
        <f t="shared" si="109"/>
        <v>0</v>
      </c>
      <c r="AE71" s="747"/>
      <c r="AF71" s="748">
        <f t="shared" si="110"/>
        <v>0</v>
      </c>
      <c r="AG71" s="749">
        <f t="shared" si="111"/>
        <v>0</v>
      </c>
      <c r="AH71" s="747"/>
      <c r="AI71" s="748">
        <f t="shared" si="112"/>
        <v>0</v>
      </c>
      <c r="AJ71" s="749">
        <f t="shared" si="113"/>
        <v>0</v>
      </c>
      <c r="AK71" s="747"/>
      <c r="AL71" s="748">
        <f t="shared" si="86"/>
        <v>0</v>
      </c>
      <c r="AM71" s="749">
        <f t="shared" si="87"/>
        <v>0</v>
      </c>
      <c r="AN71" s="747"/>
      <c r="AO71" s="748">
        <f t="shared" si="88"/>
        <v>0</v>
      </c>
      <c r="AP71" s="749">
        <f t="shared" si="89"/>
        <v>0</v>
      </c>
      <c r="AQ71" s="747"/>
      <c r="AR71" s="748">
        <f t="shared" si="90"/>
        <v>0</v>
      </c>
      <c r="AS71" s="749">
        <f t="shared" si="91"/>
        <v>0</v>
      </c>
      <c r="AT71" s="747"/>
      <c r="AU71" s="748">
        <f t="shared" si="92"/>
        <v>0</v>
      </c>
      <c r="AV71" s="749">
        <f t="shared" si="93"/>
        <v>0</v>
      </c>
      <c r="AW71" s="747"/>
      <c r="AX71" s="748">
        <f t="shared" si="94"/>
        <v>0</v>
      </c>
      <c r="AY71" s="749">
        <f t="shared" si="95"/>
        <v>0</v>
      </c>
      <c r="AZ71" s="747"/>
      <c r="BA71" s="748">
        <f t="shared" si="96"/>
        <v>0</v>
      </c>
      <c r="BB71" s="749">
        <f t="shared" si="97"/>
        <v>0</v>
      </c>
      <c r="BC71" s="747"/>
      <c r="BD71" s="748">
        <f t="shared" si="98"/>
        <v>0</v>
      </c>
      <c r="BE71" s="749">
        <f t="shared" si="99"/>
        <v>0</v>
      </c>
      <c r="BF71" s="747"/>
      <c r="BG71" s="748">
        <f t="shared" si="100"/>
        <v>0</v>
      </c>
      <c r="BH71" s="749">
        <f t="shared" si="101"/>
        <v>0</v>
      </c>
    </row>
    <row r="72" spans="1:60" s="12" customFormat="1" ht="14.25">
      <c r="A72" s="509" t="e">
        <f t="shared" si="16"/>
        <v>#REF!</v>
      </c>
      <c r="B72" s="510">
        <f t="shared" si="17"/>
        <v>0</v>
      </c>
      <c r="C72" s="512" t="e">
        <f t="shared" si="18"/>
        <v>#REF!</v>
      </c>
      <c r="D72" s="513" t="str">
        <f t="shared" si="103"/>
        <v>4. OBRAS DE DRENAJE</v>
      </c>
      <c r="E72" s="537">
        <v>55</v>
      </c>
      <c r="F72" s="408" t="s">
        <v>352</v>
      </c>
      <c r="G72" s="535" t="s">
        <v>88</v>
      </c>
      <c r="H72" s="17">
        <v>17</v>
      </c>
      <c r="I72" s="19">
        <v>104.01</v>
      </c>
      <c r="J72" s="26">
        <f t="shared" si="102"/>
        <v>1768.17</v>
      </c>
      <c r="K72" s="21">
        <f>SUMIF($V$3:$BH$3,       "&lt;"&amp;Datos!$C$20,       V72:BH72)</f>
        <v>0</v>
      </c>
      <c r="L72" s="28">
        <f>SUMIF($V$2:$CH$2,"&lt;"&amp;Datos!$C$20,V72:CH72)</f>
        <v>0</v>
      </c>
      <c r="M72" s="515">
        <f>LOOKUP(Datos!$C$20,    'Cant. Ejec,'!$V$3:$BH$3,      'Cant. Ejec,'!$V72:$BH72)</f>
        <v>0</v>
      </c>
      <c r="N72" s="515">
        <f>LOOKUP(Datos!$C$20,    'Cant. Ejec,'!$V$2:$BH$2,      'Cant. Ejec,'!$V72:$BH72)</f>
        <v>0</v>
      </c>
      <c r="O72" s="21">
        <f>SUMIF($V$3:$CH$3,                                                    "&lt;"&amp;(Datos!$C$20+1),V72:CL72)</f>
        <v>0</v>
      </c>
      <c r="P72" s="515">
        <f>SUMIF($V$2:$CH$2,                    "&lt;"&amp;(Datos!$C$20+1),V72:CL72)</f>
        <v>0</v>
      </c>
      <c r="Q72" s="21">
        <f t="shared" si="76"/>
        <v>17</v>
      </c>
      <c r="R72" s="515">
        <f t="shared" si="77"/>
        <v>1768.17</v>
      </c>
      <c r="S72" s="425">
        <f t="shared" si="78"/>
        <v>0</v>
      </c>
      <c r="T72" s="425">
        <f t="shared" si="79"/>
        <v>0</v>
      </c>
      <c r="U72" s="729">
        <f t="shared" si="80"/>
        <v>1</v>
      </c>
      <c r="V72" s="747"/>
      <c r="W72" s="748">
        <f t="shared" si="104"/>
        <v>0</v>
      </c>
      <c r="X72" s="749">
        <f t="shared" si="105"/>
        <v>0</v>
      </c>
      <c r="Y72" s="747"/>
      <c r="Z72" s="748">
        <f t="shared" si="106"/>
        <v>0</v>
      </c>
      <c r="AA72" s="749">
        <f t="shared" si="107"/>
        <v>0</v>
      </c>
      <c r="AB72" s="747"/>
      <c r="AC72" s="748">
        <f t="shared" si="108"/>
        <v>0</v>
      </c>
      <c r="AD72" s="749">
        <f t="shared" si="109"/>
        <v>0</v>
      </c>
      <c r="AE72" s="747"/>
      <c r="AF72" s="748">
        <f t="shared" si="110"/>
        <v>0</v>
      </c>
      <c r="AG72" s="749">
        <f t="shared" si="111"/>
        <v>0</v>
      </c>
      <c r="AH72" s="747"/>
      <c r="AI72" s="748">
        <f t="shared" si="112"/>
        <v>0</v>
      </c>
      <c r="AJ72" s="749">
        <f t="shared" si="113"/>
        <v>0</v>
      </c>
      <c r="AK72" s="747"/>
      <c r="AL72" s="748">
        <f t="shared" si="86"/>
        <v>0</v>
      </c>
      <c r="AM72" s="749">
        <f t="shared" si="87"/>
        <v>0</v>
      </c>
      <c r="AN72" s="747"/>
      <c r="AO72" s="748">
        <f t="shared" si="88"/>
        <v>0</v>
      </c>
      <c r="AP72" s="749">
        <f t="shared" si="89"/>
        <v>0</v>
      </c>
      <c r="AQ72" s="747"/>
      <c r="AR72" s="748">
        <f t="shared" si="90"/>
        <v>0</v>
      </c>
      <c r="AS72" s="749">
        <f t="shared" si="91"/>
        <v>0</v>
      </c>
      <c r="AT72" s="747"/>
      <c r="AU72" s="748">
        <f t="shared" si="92"/>
        <v>0</v>
      </c>
      <c r="AV72" s="749">
        <f t="shared" si="93"/>
        <v>0</v>
      </c>
      <c r="AW72" s="747"/>
      <c r="AX72" s="748">
        <f t="shared" si="94"/>
        <v>0</v>
      </c>
      <c r="AY72" s="749">
        <f t="shared" si="95"/>
        <v>0</v>
      </c>
      <c r="AZ72" s="747"/>
      <c r="BA72" s="748">
        <f t="shared" si="96"/>
        <v>0</v>
      </c>
      <c r="BB72" s="749">
        <f t="shared" si="97"/>
        <v>0</v>
      </c>
      <c r="BC72" s="747"/>
      <c r="BD72" s="748">
        <f t="shared" si="98"/>
        <v>0</v>
      </c>
      <c r="BE72" s="749">
        <f t="shared" si="99"/>
        <v>0</v>
      </c>
      <c r="BF72" s="747"/>
      <c r="BG72" s="748">
        <f t="shared" si="100"/>
        <v>0</v>
      </c>
      <c r="BH72" s="749">
        <f t="shared" si="101"/>
        <v>0</v>
      </c>
    </row>
    <row r="73" spans="1:60" s="12" customFormat="1" ht="14.25">
      <c r="A73" s="509" t="e">
        <f t="shared" si="16"/>
        <v>#REF!</v>
      </c>
      <c r="B73" s="510">
        <f t="shared" si="17"/>
        <v>0</v>
      </c>
      <c r="C73" s="512" t="e">
        <f t="shared" si="18"/>
        <v>#REF!</v>
      </c>
      <c r="D73" s="513" t="str">
        <f t="shared" si="103"/>
        <v>4. OBRAS DE DRENAJE</v>
      </c>
      <c r="E73" s="537">
        <v>56</v>
      </c>
      <c r="F73" s="408" t="s">
        <v>353</v>
      </c>
      <c r="G73" s="535" t="s">
        <v>88</v>
      </c>
      <c r="H73" s="17">
        <v>8250</v>
      </c>
      <c r="I73" s="19">
        <v>26.74</v>
      </c>
      <c r="J73" s="26">
        <f t="shared" si="102"/>
        <v>220605</v>
      </c>
      <c r="K73" s="21">
        <f>SUMIF($V$3:$BH$3,       "&lt;"&amp;Datos!$C$20,       V73:BH73)</f>
        <v>0</v>
      </c>
      <c r="L73" s="28">
        <f>SUMIF($V$2:$CH$2,"&lt;"&amp;Datos!$C$20,V73:CH73)</f>
        <v>0</v>
      </c>
      <c r="M73" s="515">
        <f>LOOKUP(Datos!$C$20,    'Cant. Ejec,'!$V$3:$BH$3,      'Cant. Ejec,'!$V73:$BH73)</f>
        <v>0</v>
      </c>
      <c r="N73" s="515">
        <f>LOOKUP(Datos!$C$20,    'Cant. Ejec,'!$V$2:$BH$2,      'Cant. Ejec,'!$V73:$BH73)</f>
        <v>0</v>
      </c>
      <c r="O73" s="21">
        <f>SUMIF($V$3:$CH$3,                                                    "&lt;"&amp;(Datos!$C$20+1),V73:CL73)</f>
        <v>0</v>
      </c>
      <c r="P73" s="515">
        <f>SUMIF($V$2:$CH$2,                    "&lt;"&amp;(Datos!$C$20+1),V73:CL73)</f>
        <v>0</v>
      </c>
      <c r="Q73" s="21">
        <f t="shared" si="76"/>
        <v>8250</v>
      </c>
      <c r="R73" s="515">
        <f t="shared" si="77"/>
        <v>220605</v>
      </c>
      <c r="S73" s="425">
        <f t="shared" si="78"/>
        <v>0</v>
      </c>
      <c r="T73" s="425">
        <f t="shared" si="79"/>
        <v>0</v>
      </c>
      <c r="U73" s="729">
        <f t="shared" si="80"/>
        <v>1</v>
      </c>
      <c r="V73" s="747"/>
      <c r="W73" s="748">
        <f t="shared" si="104"/>
        <v>0</v>
      </c>
      <c r="X73" s="749">
        <f t="shared" si="105"/>
        <v>0</v>
      </c>
      <c r="Y73" s="747"/>
      <c r="Z73" s="748">
        <f t="shared" si="106"/>
        <v>0</v>
      </c>
      <c r="AA73" s="749">
        <f t="shared" si="107"/>
        <v>0</v>
      </c>
      <c r="AB73" s="747"/>
      <c r="AC73" s="748">
        <f t="shared" si="108"/>
        <v>0</v>
      </c>
      <c r="AD73" s="749">
        <f t="shared" si="109"/>
        <v>0</v>
      </c>
      <c r="AE73" s="747"/>
      <c r="AF73" s="748">
        <f t="shared" si="110"/>
        <v>0</v>
      </c>
      <c r="AG73" s="749">
        <f t="shared" si="111"/>
        <v>0</v>
      </c>
      <c r="AH73" s="747"/>
      <c r="AI73" s="748">
        <f t="shared" si="112"/>
        <v>0</v>
      </c>
      <c r="AJ73" s="749">
        <f t="shared" si="113"/>
        <v>0</v>
      </c>
      <c r="AK73" s="747"/>
      <c r="AL73" s="748">
        <f t="shared" si="86"/>
        <v>0</v>
      </c>
      <c r="AM73" s="749">
        <f t="shared" si="87"/>
        <v>0</v>
      </c>
      <c r="AN73" s="747"/>
      <c r="AO73" s="748">
        <f t="shared" si="88"/>
        <v>0</v>
      </c>
      <c r="AP73" s="749">
        <f t="shared" si="89"/>
        <v>0</v>
      </c>
      <c r="AQ73" s="747"/>
      <c r="AR73" s="748">
        <f t="shared" si="90"/>
        <v>0</v>
      </c>
      <c r="AS73" s="749">
        <f t="shared" si="91"/>
        <v>0</v>
      </c>
      <c r="AT73" s="747"/>
      <c r="AU73" s="748">
        <f t="shared" si="92"/>
        <v>0</v>
      </c>
      <c r="AV73" s="749">
        <f t="shared" si="93"/>
        <v>0</v>
      </c>
      <c r="AW73" s="747"/>
      <c r="AX73" s="748">
        <f t="shared" si="94"/>
        <v>0</v>
      </c>
      <c r="AY73" s="749">
        <f t="shared" si="95"/>
        <v>0</v>
      </c>
      <c r="AZ73" s="747"/>
      <c r="BA73" s="748">
        <f t="shared" si="96"/>
        <v>0</v>
      </c>
      <c r="BB73" s="749">
        <f t="shared" si="97"/>
        <v>0</v>
      </c>
      <c r="BC73" s="747"/>
      <c r="BD73" s="748">
        <f t="shared" si="98"/>
        <v>0</v>
      </c>
      <c r="BE73" s="749">
        <f t="shared" si="99"/>
        <v>0</v>
      </c>
      <c r="BF73" s="747"/>
      <c r="BG73" s="748">
        <f t="shared" si="100"/>
        <v>0</v>
      </c>
      <c r="BH73" s="749">
        <f t="shared" si="101"/>
        <v>0</v>
      </c>
    </row>
    <row r="74" spans="1:60" s="12" customFormat="1" ht="14.25">
      <c r="A74" s="509" t="e">
        <f t="shared" si="16"/>
        <v>#REF!</v>
      </c>
      <c r="B74" s="510">
        <f t="shared" si="17"/>
        <v>0</v>
      </c>
      <c r="C74" s="512" t="e">
        <f t="shared" si="18"/>
        <v>#REF!</v>
      </c>
      <c r="D74" s="513" t="str">
        <f t="shared" si="103"/>
        <v>4. OBRAS DE DRENAJE</v>
      </c>
      <c r="E74" s="537">
        <v>57</v>
      </c>
      <c r="F74" s="408" t="s">
        <v>354</v>
      </c>
      <c r="G74" s="535" t="s">
        <v>422</v>
      </c>
      <c r="H74" s="17">
        <v>27500</v>
      </c>
      <c r="I74" s="19">
        <v>2.72</v>
      </c>
      <c r="J74" s="26">
        <f t="shared" si="102"/>
        <v>74800</v>
      </c>
      <c r="K74" s="21">
        <f>SUMIF($V$3:$BH$3,       "&lt;"&amp;Datos!$C$20,       V74:BH74)</f>
        <v>0</v>
      </c>
      <c r="L74" s="28">
        <f>SUMIF($V$2:$CH$2,"&lt;"&amp;Datos!$C$20,V74:CH74)</f>
        <v>0</v>
      </c>
      <c r="M74" s="515">
        <f>LOOKUP(Datos!$C$20,    'Cant. Ejec,'!$V$3:$BH$3,      'Cant. Ejec,'!$V74:$BH74)</f>
        <v>0</v>
      </c>
      <c r="N74" s="515">
        <f>LOOKUP(Datos!$C$20,    'Cant. Ejec,'!$V$2:$BH$2,      'Cant. Ejec,'!$V74:$BH74)</f>
        <v>0</v>
      </c>
      <c r="O74" s="21">
        <f>SUMIF($V$3:$CH$3,                                                    "&lt;"&amp;(Datos!$C$20+1),V74:CL74)</f>
        <v>0</v>
      </c>
      <c r="P74" s="515">
        <f>SUMIF($V$2:$CH$2,                    "&lt;"&amp;(Datos!$C$20+1),V74:CL74)</f>
        <v>0</v>
      </c>
      <c r="Q74" s="21">
        <f t="shared" si="76"/>
        <v>27500</v>
      </c>
      <c r="R74" s="515">
        <f t="shared" si="77"/>
        <v>74800</v>
      </c>
      <c r="S74" s="425">
        <f t="shared" si="78"/>
        <v>0</v>
      </c>
      <c r="T74" s="425">
        <f t="shared" si="79"/>
        <v>0</v>
      </c>
      <c r="U74" s="729">
        <f t="shared" si="80"/>
        <v>1</v>
      </c>
      <c r="V74" s="747"/>
      <c r="W74" s="748">
        <f t="shared" si="104"/>
        <v>0</v>
      </c>
      <c r="X74" s="749">
        <f t="shared" si="105"/>
        <v>0</v>
      </c>
      <c r="Y74" s="747"/>
      <c r="Z74" s="748">
        <f t="shared" si="106"/>
        <v>0</v>
      </c>
      <c r="AA74" s="749">
        <f t="shared" si="107"/>
        <v>0</v>
      </c>
      <c r="AB74" s="747"/>
      <c r="AC74" s="748">
        <f t="shared" si="108"/>
        <v>0</v>
      </c>
      <c r="AD74" s="749">
        <f t="shared" si="109"/>
        <v>0</v>
      </c>
      <c r="AE74" s="747"/>
      <c r="AF74" s="748">
        <f t="shared" si="110"/>
        <v>0</v>
      </c>
      <c r="AG74" s="749">
        <f t="shared" si="111"/>
        <v>0</v>
      </c>
      <c r="AH74" s="747"/>
      <c r="AI74" s="748">
        <f t="shared" si="112"/>
        <v>0</v>
      </c>
      <c r="AJ74" s="749">
        <f>+AI74/$J74</f>
        <v>0</v>
      </c>
      <c r="AK74" s="747"/>
      <c r="AL74" s="748">
        <f t="shared" si="86"/>
        <v>0</v>
      </c>
      <c r="AM74" s="749">
        <f>+AL74/$J74</f>
        <v>0</v>
      </c>
      <c r="AN74" s="747"/>
      <c r="AO74" s="748">
        <f t="shared" si="88"/>
        <v>0</v>
      </c>
      <c r="AP74" s="749">
        <f>+AO74/$J74</f>
        <v>0</v>
      </c>
      <c r="AQ74" s="747"/>
      <c r="AR74" s="748">
        <f t="shared" si="90"/>
        <v>0</v>
      </c>
      <c r="AS74" s="749">
        <f>+AR74/$J74</f>
        <v>0</v>
      </c>
      <c r="AT74" s="747"/>
      <c r="AU74" s="748">
        <f t="shared" si="92"/>
        <v>0</v>
      </c>
      <c r="AV74" s="749">
        <f>+AU74/$J74</f>
        <v>0</v>
      </c>
      <c r="AW74" s="747"/>
      <c r="AX74" s="748">
        <f t="shared" si="94"/>
        <v>0</v>
      </c>
      <c r="AY74" s="749">
        <f>+AX74/$J74</f>
        <v>0</v>
      </c>
      <c r="AZ74" s="747"/>
      <c r="BA74" s="748">
        <f t="shared" si="96"/>
        <v>0</v>
      </c>
      <c r="BB74" s="749">
        <f>+BA74/$J74</f>
        <v>0</v>
      </c>
      <c r="BC74" s="747"/>
      <c r="BD74" s="748">
        <f t="shared" si="98"/>
        <v>0</v>
      </c>
      <c r="BE74" s="749">
        <f>+BD74/$J74</f>
        <v>0</v>
      </c>
      <c r="BF74" s="747"/>
      <c r="BG74" s="748">
        <f t="shared" si="100"/>
        <v>0</v>
      </c>
      <c r="BH74" s="749">
        <f>+BG74/$J74</f>
        <v>0</v>
      </c>
    </row>
    <row r="75" spans="1:60" s="12" customFormat="1" ht="14.25">
      <c r="A75" s="509"/>
      <c r="B75" s="510"/>
      <c r="C75" s="512"/>
      <c r="D75" s="513"/>
      <c r="E75" s="537" t="s">
        <v>454</v>
      </c>
      <c r="F75" s="408" t="s">
        <v>455</v>
      </c>
      <c r="G75" s="535" t="s">
        <v>88</v>
      </c>
      <c r="H75" s="17">
        <v>13370</v>
      </c>
      <c r="I75" s="19">
        <v>19.98</v>
      </c>
      <c r="J75" s="26">
        <f t="shared" si="102"/>
        <v>267132.59999999998</v>
      </c>
      <c r="K75" s="21">
        <f>SUMIF($V$3:$BH$3,       "&lt;"&amp;Datos!$C$20,       V75:BH75)</f>
        <v>650</v>
      </c>
      <c r="L75" s="28">
        <f>SUMIF($V$2:$CH$2,"&lt;"&amp;Datos!$C$20,V75:CH75)</f>
        <v>12987</v>
      </c>
      <c r="M75" s="515">
        <f>LOOKUP(Datos!$C$20,    'Cant. Ejec,'!$V$3:$BH$3,      'Cant. Ejec,'!$V75:$BH75)</f>
        <v>4015</v>
      </c>
      <c r="N75" s="515">
        <f>LOOKUP(Datos!$C$20,    'Cant. Ejec,'!$V$2:$BH$2,      'Cant. Ejec,'!$V75:$BH75)</f>
        <v>80219.7</v>
      </c>
      <c r="O75" s="21">
        <f>SUMIF($V$3:$CH$3,                                                    "&lt;"&amp;(Datos!$C$20+1),V75:CL75)</f>
        <v>4665</v>
      </c>
      <c r="P75" s="515">
        <f>SUMIF($V$2:$CH$2,                    "&lt;"&amp;(Datos!$C$20+1),V75:CL75)</f>
        <v>93206.7</v>
      </c>
      <c r="Q75" s="21">
        <f t="shared" si="76"/>
        <v>8705</v>
      </c>
      <c r="R75" s="515">
        <f t="shared" si="77"/>
        <v>173925.89999999997</v>
      </c>
      <c r="S75" s="425">
        <f t="shared" si="78"/>
        <v>0.30029917726252808</v>
      </c>
      <c r="T75" s="425">
        <f t="shared" si="79"/>
        <v>0.34891548242333587</v>
      </c>
      <c r="U75" s="729">
        <f t="shared" si="80"/>
        <v>0.65108451757666408</v>
      </c>
      <c r="V75" s="747"/>
      <c r="W75" s="748"/>
      <c r="X75" s="749"/>
      <c r="Y75" s="747"/>
      <c r="Z75" s="748"/>
      <c r="AA75" s="749"/>
      <c r="AB75" s="747"/>
      <c r="AC75" s="748"/>
      <c r="AD75" s="749"/>
      <c r="AE75" s="747"/>
      <c r="AF75" s="748"/>
      <c r="AG75" s="749"/>
      <c r="AH75" s="747"/>
      <c r="AI75" s="748">
        <f t="shared" si="112"/>
        <v>0</v>
      </c>
      <c r="AJ75" s="749">
        <f>+AI75/$J75</f>
        <v>0</v>
      </c>
      <c r="AK75" s="747"/>
      <c r="AL75" s="748">
        <f t="shared" si="86"/>
        <v>0</v>
      </c>
      <c r="AM75" s="749">
        <f t="shared" ref="AM75:AM92" si="114">+AL75/$J75</f>
        <v>0</v>
      </c>
      <c r="AN75" s="747"/>
      <c r="AO75" s="748">
        <f t="shared" si="88"/>
        <v>0</v>
      </c>
      <c r="AP75" s="749">
        <f t="shared" ref="AP75:AP92" si="115">+AO75/$J75</f>
        <v>0</v>
      </c>
      <c r="AQ75" s="747"/>
      <c r="AR75" s="748">
        <f t="shared" si="90"/>
        <v>0</v>
      </c>
      <c r="AS75" s="749">
        <f t="shared" ref="AS75:AS92" si="116">+AR75/$J75</f>
        <v>0</v>
      </c>
      <c r="AT75" s="747"/>
      <c r="AU75" s="748">
        <f t="shared" si="92"/>
        <v>0</v>
      </c>
      <c r="AV75" s="749">
        <f t="shared" ref="AV75:AV92" si="117">+AU75/$J75</f>
        <v>0</v>
      </c>
      <c r="AW75" s="881">
        <f>+(34200-33950)*2+(34600-34450)</f>
        <v>650</v>
      </c>
      <c r="AX75" s="882">
        <f t="shared" si="94"/>
        <v>12987</v>
      </c>
      <c r="AY75" s="883">
        <f t="shared" ref="AY75:AY92" si="118">+AX75/$J75</f>
        <v>4.8616305160807782E-2</v>
      </c>
      <c r="AZ75" s="881">
        <v>4015</v>
      </c>
      <c r="BA75" s="882">
        <f t="shared" si="96"/>
        <v>80219.7</v>
      </c>
      <c r="BB75" s="883">
        <f t="shared" ref="BB75:BB92" si="119">+BA75/$J75</f>
        <v>0.30029917726252808</v>
      </c>
      <c r="BC75" s="747"/>
      <c r="BD75" s="748">
        <f t="shared" si="98"/>
        <v>0</v>
      </c>
      <c r="BE75" s="749">
        <f t="shared" ref="BE75:BE92" si="120">+BD75/$J75</f>
        <v>0</v>
      </c>
      <c r="BF75" s="747"/>
      <c r="BG75" s="748">
        <f t="shared" si="100"/>
        <v>0</v>
      </c>
      <c r="BH75" s="749">
        <f t="shared" ref="BH75:BH92" si="121">+BG75/$J75</f>
        <v>0</v>
      </c>
    </row>
    <row r="76" spans="1:60" s="12" customFormat="1" ht="14.25">
      <c r="A76" s="509" t="e">
        <f>+IF(B76&gt;0,B76+#REF!,IF(C76&gt;#REF!,C76,0))</f>
        <v>#REF!</v>
      </c>
      <c r="B76" s="510" t="e">
        <f>+IF(#REF!&gt;=0.01,1,0)</f>
        <v>#REF!</v>
      </c>
      <c r="C76" s="512" t="e">
        <f>+B76+#REF!</f>
        <v>#REF!</v>
      </c>
      <c r="D76" s="513"/>
      <c r="E76" s="538">
        <v>5</v>
      </c>
      <c r="F76" s="522" t="s">
        <v>355</v>
      </c>
      <c r="G76" s="548"/>
      <c r="H76" s="549"/>
      <c r="I76" s="550"/>
      <c r="J76" s="551">
        <f>SUM(J77:J92)</f>
        <v>12064327.41</v>
      </c>
      <c r="K76" s="552">
        <f>SUMIF($V$3:$BH$3,       "&lt;"&amp;Datos!$C$20,       V76:BH76)</f>
        <v>0</v>
      </c>
      <c r="L76" s="551">
        <f t="shared" ref="L76" si="122">+ROUND(I76*K76,2)</f>
        <v>0</v>
      </c>
      <c r="M76" s="553">
        <f>LOOKUP(Datos!$C$20,    'Cant. Ejec,'!$V$3:$BH$3,      'Cant. Ejec,'!$V76:$BH76)</f>
        <v>0</v>
      </c>
      <c r="N76" s="551">
        <f t="shared" ref="N76" si="123">+ROUND(I76*M76,2)</f>
        <v>0</v>
      </c>
      <c r="O76" s="552">
        <f t="shared" ref="O76" si="124">+V76+Y76+AB76+AE76+AH76+AK76+AN76+AQ76+AT76+AW76+AZ76+BC76+BF76</f>
        <v>0</v>
      </c>
      <c r="P76" s="551">
        <f t="shared" ref="P76" si="125">L76+N76</f>
        <v>0</v>
      </c>
      <c r="Q76" s="553">
        <f t="shared" si="76"/>
        <v>0</v>
      </c>
      <c r="R76" s="551">
        <f t="shared" si="77"/>
        <v>12064327.41</v>
      </c>
      <c r="S76" s="571">
        <f t="shared" si="78"/>
        <v>0</v>
      </c>
      <c r="T76" s="642">
        <f t="shared" si="79"/>
        <v>0</v>
      </c>
      <c r="U76" s="728">
        <f t="shared" si="80"/>
        <v>1</v>
      </c>
      <c r="V76" s="741"/>
      <c r="W76" s="742">
        <f>SUM(W77:W92)</f>
        <v>0</v>
      </c>
      <c r="X76" s="743">
        <f t="shared" ref="X76:X82" si="126">+W76/$J76</f>
        <v>0</v>
      </c>
      <c r="Y76" s="741"/>
      <c r="Z76" s="742">
        <f>SUM(Z77:Z92)</f>
        <v>0</v>
      </c>
      <c r="AA76" s="743">
        <f t="shared" ref="AA76:AA82" si="127">+Z76/$J76</f>
        <v>0</v>
      </c>
      <c r="AB76" s="741"/>
      <c r="AC76" s="742">
        <f>SUM(AC77:AC92)</f>
        <v>0</v>
      </c>
      <c r="AD76" s="743">
        <f t="shared" ref="AD76:AD82" si="128">+AC76/$J76</f>
        <v>0</v>
      </c>
      <c r="AE76" s="741"/>
      <c r="AF76" s="742">
        <f>SUM(AF77:AF92)</f>
        <v>0</v>
      </c>
      <c r="AG76" s="743">
        <f t="shared" ref="AG76:AG82" si="129">+AF76/$J76</f>
        <v>0</v>
      </c>
      <c r="AH76" s="741"/>
      <c r="AI76" s="742">
        <f>SUM(AI77:AI92)</f>
        <v>0</v>
      </c>
      <c r="AJ76" s="743">
        <f t="shared" ref="AJ76:AJ82" si="130">+AI76/$J76</f>
        <v>0</v>
      </c>
      <c r="AK76" s="741"/>
      <c r="AL76" s="742">
        <f>SUM(AL77:AL92)</f>
        <v>0</v>
      </c>
      <c r="AM76" s="743">
        <f t="shared" si="114"/>
        <v>0</v>
      </c>
      <c r="AN76" s="741"/>
      <c r="AO76" s="742">
        <f>SUM(AO77:AO92)</f>
        <v>0</v>
      </c>
      <c r="AP76" s="743">
        <f t="shared" si="115"/>
        <v>0</v>
      </c>
      <c r="AQ76" s="741"/>
      <c r="AR76" s="742">
        <f>SUM(AR77:AR92)</f>
        <v>0</v>
      </c>
      <c r="AS76" s="743">
        <f t="shared" si="116"/>
        <v>0</v>
      </c>
      <c r="AT76" s="741"/>
      <c r="AU76" s="742">
        <f>SUM(AU77:AU92)</f>
        <v>0</v>
      </c>
      <c r="AV76" s="743">
        <f t="shared" si="117"/>
        <v>0</v>
      </c>
      <c r="AW76" s="741"/>
      <c r="AX76" s="742">
        <f>SUM(AX77:AX92)</f>
        <v>0</v>
      </c>
      <c r="AY76" s="743">
        <f t="shared" si="118"/>
        <v>0</v>
      </c>
      <c r="AZ76" s="741"/>
      <c r="BA76" s="742">
        <f>SUM(BA77:BA92)</f>
        <v>0</v>
      </c>
      <c r="BB76" s="743">
        <f t="shared" si="119"/>
        <v>0</v>
      </c>
      <c r="BC76" s="741"/>
      <c r="BD76" s="742">
        <f>SUM(BD77:BD92)</f>
        <v>0</v>
      </c>
      <c r="BE76" s="743">
        <f t="shared" si="120"/>
        <v>0</v>
      </c>
      <c r="BF76" s="741"/>
      <c r="BG76" s="742">
        <f>SUM(BG77:BG92)</f>
        <v>0</v>
      </c>
      <c r="BH76" s="743">
        <f t="shared" si="121"/>
        <v>0</v>
      </c>
    </row>
    <row r="77" spans="1:60" ht="14.25">
      <c r="A77" s="509" t="e">
        <f t="shared" ref="A77:A101" si="131">+IF(B77&gt;0,B77+C76,IF(C77&gt;C76,C77,0))</f>
        <v>#REF!</v>
      </c>
      <c r="B77" s="510">
        <f t="shared" ref="B77:B101" si="132">+IF(M77&gt;=0.01,1,0)</f>
        <v>0</v>
      </c>
      <c r="C77" s="512" t="e">
        <f t="shared" ref="C77:C101" si="133">+B77+C76</f>
        <v>#REF!</v>
      </c>
      <c r="D77" s="513" t="str">
        <f>+E76&amp;". "&amp;F76</f>
        <v>5. SEÑALIZACION Y SEGURIDAD VIAL</v>
      </c>
      <c r="E77" s="537">
        <v>58</v>
      </c>
      <c r="F77" s="408" t="s">
        <v>356</v>
      </c>
      <c r="G77" s="409" t="s">
        <v>88</v>
      </c>
      <c r="H77" s="23">
        <v>14232</v>
      </c>
      <c r="I77" s="406">
        <v>659.99</v>
      </c>
      <c r="J77" s="26">
        <f t="shared" ref="J77:J92" si="134">ROUND(H77*I77,2)</f>
        <v>9392977.6799999997</v>
      </c>
      <c r="K77" s="23">
        <f>SUMIF($V$3:$BH$3,       "&lt;"&amp;Datos!$C$20,       V77:BH77)</f>
        <v>0</v>
      </c>
      <c r="L77" s="28">
        <f>SUMIF($V$2:$CH$2,"&lt;"&amp;Datos!$C$20,V77:CH77)</f>
        <v>0</v>
      </c>
      <c r="M77" s="22">
        <f>LOOKUP(Datos!$C$20,    'Cant. Ejec,'!$V$3:$BH$3,      'Cant. Ejec,'!$V77:$BH77)</f>
        <v>0</v>
      </c>
      <c r="N77" s="30">
        <f>LOOKUP(Datos!$C$20,    'Cant. Ejec,'!$V$2:$BH$2,      'Cant. Ejec,'!$V77:$BH77)</f>
        <v>0</v>
      </c>
      <c r="O77" s="21">
        <f>SUMIF($V$3:$CH$3,                                                    "&lt;"&amp;(Datos!$C$20+1),V77:CL77)</f>
        <v>0</v>
      </c>
      <c r="P77" s="30">
        <f>SUMIF($V$2:$CH$2,                    "&lt;"&amp;(Datos!$C$20+1),V77:CL77)</f>
        <v>0</v>
      </c>
      <c r="Q77" s="21">
        <f t="shared" si="76"/>
        <v>14232</v>
      </c>
      <c r="R77" s="515">
        <f t="shared" si="77"/>
        <v>9392977.6799999997</v>
      </c>
      <c r="S77" s="425">
        <f t="shared" si="78"/>
        <v>0</v>
      </c>
      <c r="T77" s="425">
        <f t="shared" si="79"/>
        <v>0</v>
      </c>
      <c r="U77" s="729">
        <f t="shared" si="80"/>
        <v>1</v>
      </c>
      <c r="V77" s="747"/>
      <c r="W77" s="748">
        <f t="shared" ref="W77:W82" si="135">ROUND(V77*$I77,2)</f>
        <v>0</v>
      </c>
      <c r="X77" s="749">
        <f t="shared" si="126"/>
        <v>0</v>
      </c>
      <c r="Y77" s="747"/>
      <c r="Z77" s="748">
        <f t="shared" ref="Z77:Z82" si="136">ROUND(Y77*$I77,2)</f>
        <v>0</v>
      </c>
      <c r="AA77" s="749">
        <f t="shared" si="127"/>
        <v>0</v>
      </c>
      <c r="AB77" s="747"/>
      <c r="AC77" s="748">
        <f t="shared" ref="AC77:AC82" si="137">ROUND(AB77*$I77,2)</f>
        <v>0</v>
      </c>
      <c r="AD77" s="749">
        <f t="shared" si="128"/>
        <v>0</v>
      </c>
      <c r="AE77" s="747"/>
      <c r="AF77" s="748">
        <f t="shared" ref="AF77:AF82" si="138">ROUND(AE77*$I77,2)</f>
        <v>0</v>
      </c>
      <c r="AG77" s="749">
        <f t="shared" si="129"/>
        <v>0</v>
      </c>
      <c r="AH77" s="747"/>
      <c r="AI77" s="748">
        <f t="shared" ref="AI77:AI82" si="139">ROUND(AH77*$I77,2)</f>
        <v>0</v>
      </c>
      <c r="AJ77" s="749">
        <f t="shared" si="130"/>
        <v>0</v>
      </c>
      <c r="AK77" s="747"/>
      <c r="AL77" s="748">
        <f t="shared" ref="AL77:AL92" si="140">ROUND(AK77*$I77,2)</f>
        <v>0</v>
      </c>
      <c r="AM77" s="749">
        <f t="shared" si="114"/>
        <v>0</v>
      </c>
      <c r="AN77" s="747"/>
      <c r="AO77" s="748">
        <f t="shared" ref="AO77:AO92" si="141">ROUND(AN77*$I77,2)</f>
        <v>0</v>
      </c>
      <c r="AP77" s="749">
        <f t="shared" si="115"/>
        <v>0</v>
      </c>
      <c r="AQ77" s="747"/>
      <c r="AR77" s="748">
        <f t="shared" ref="AR77:AR92" si="142">ROUND(AQ77*$I77,2)</f>
        <v>0</v>
      </c>
      <c r="AS77" s="749">
        <f t="shared" si="116"/>
        <v>0</v>
      </c>
      <c r="AT77" s="747"/>
      <c r="AU77" s="748">
        <f t="shared" ref="AU77:AU92" si="143">ROUND(AT77*$I77,2)</f>
        <v>0</v>
      </c>
      <c r="AV77" s="749">
        <f t="shared" si="117"/>
        <v>0</v>
      </c>
      <c r="AW77" s="747"/>
      <c r="AX77" s="748">
        <f t="shared" ref="AX77:AX92" si="144">ROUND(AW77*$I77,2)</f>
        <v>0</v>
      </c>
      <c r="AY77" s="749">
        <f t="shared" si="118"/>
        <v>0</v>
      </c>
      <c r="AZ77" s="747"/>
      <c r="BA77" s="748">
        <f t="shared" ref="BA77:BA92" si="145">ROUND(AZ77*$I77,2)</f>
        <v>0</v>
      </c>
      <c r="BB77" s="749">
        <f t="shared" si="119"/>
        <v>0</v>
      </c>
      <c r="BC77" s="747"/>
      <c r="BD77" s="748">
        <f t="shared" ref="BD77:BD92" si="146">ROUND(BC77*$I77,2)</f>
        <v>0</v>
      </c>
      <c r="BE77" s="749">
        <f t="shared" si="120"/>
        <v>0</v>
      </c>
      <c r="BF77" s="747"/>
      <c r="BG77" s="748">
        <f t="shared" ref="BG77:BG92" si="147">ROUND(BF77*$I77,2)</f>
        <v>0</v>
      </c>
      <c r="BH77" s="749">
        <f t="shared" si="121"/>
        <v>0</v>
      </c>
    </row>
    <row r="78" spans="1:60" ht="14.25">
      <c r="A78" s="509" t="e">
        <f t="shared" si="131"/>
        <v>#REF!</v>
      </c>
      <c r="B78" s="510">
        <f t="shared" si="132"/>
        <v>0</v>
      </c>
      <c r="C78" s="512" t="e">
        <f t="shared" si="133"/>
        <v>#REF!</v>
      </c>
      <c r="D78" s="513" t="str">
        <f>+D77</f>
        <v>5. SEÑALIZACION Y SEGURIDAD VIAL</v>
      </c>
      <c r="E78" s="539">
        <v>59</v>
      </c>
      <c r="F78" s="413" t="s">
        <v>238</v>
      </c>
      <c r="G78" s="414" t="s">
        <v>88</v>
      </c>
      <c r="H78" s="20">
        <v>31500</v>
      </c>
      <c r="I78" s="407">
        <v>8.27</v>
      </c>
      <c r="J78" s="26">
        <f t="shared" si="134"/>
        <v>260505</v>
      </c>
      <c r="K78" s="20">
        <f>SUMIF($V$3:$BH$3,       "&lt;"&amp;Datos!$C$20,       V78:BH78)</f>
        <v>0</v>
      </c>
      <c r="L78" s="28">
        <f>SUMIF($V$2:$CH$2,"&lt;"&amp;Datos!$C$20,V78:CH78)</f>
        <v>0</v>
      </c>
      <c r="M78" s="27">
        <f>LOOKUP(Datos!$C$20,    'Cant. Ejec,'!$V$3:$BH$3,      'Cant. Ejec,'!$V78:$BH78)</f>
        <v>0</v>
      </c>
      <c r="N78" s="18">
        <f>LOOKUP(Datos!$C$20,    'Cant. Ejec,'!$V$2:$BH$2,      'Cant. Ejec,'!$V78:$BH78)</f>
        <v>0</v>
      </c>
      <c r="O78" s="21">
        <f>SUMIF($V$3:$CH$3,                                                    "&lt;"&amp;(Datos!$C$20+1),V78:CL78)</f>
        <v>0</v>
      </c>
      <c r="P78" s="515">
        <f>SUMIF($V$2:$CH$2,                    "&lt;"&amp;(Datos!$C$20+1),V78:CL78)</f>
        <v>0</v>
      </c>
      <c r="Q78" s="21">
        <f t="shared" si="76"/>
        <v>31500</v>
      </c>
      <c r="R78" s="515">
        <f t="shared" si="77"/>
        <v>260505</v>
      </c>
      <c r="S78" s="425">
        <f t="shared" si="78"/>
        <v>0</v>
      </c>
      <c r="T78" s="425">
        <f t="shared" si="79"/>
        <v>0</v>
      </c>
      <c r="U78" s="729">
        <f t="shared" si="80"/>
        <v>1</v>
      </c>
      <c r="V78" s="747"/>
      <c r="W78" s="748">
        <f t="shared" si="135"/>
        <v>0</v>
      </c>
      <c r="X78" s="749">
        <f t="shared" si="126"/>
        <v>0</v>
      </c>
      <c r="Y78" s="747"/>
      <c r="Z78" s="748">
        <f t="shared" si="136"/>
        <v>0</v>
      </c>
      <c r="AA78" s="749">
        <f t="shared" si="127"/>
        <v>0</v>
      </c>
      <c r="AB78" s="747"/>
      <c r="AC78" s="748">
        <f t="shared" si="137"/>
        <v>0</v>
      </c>
      <c r="AD78" s="749">
        <f t="shared" si="128"/>
        <v>0</v>
      </c>
      <c r="AE78" s="747"/>
      <c r="AF78" s="748">
        <f t="shared" si="138"/>
        <v>0</v>
      </c>
      <c r="AG78" s="749">
        <f t="shared" si="129"/>
        <v>0</v>
      </c>
      <c r="AH78" s="747"/>
      <c r="AI78" s="748">
        <f t="shared" si="139"/>
        <v>0</v>
      </c>
      <c r="AJ78" s="749">
        <f t="shared" si="130"/>
        <v>0</v>
      </c>
      <c r="AK78" s="747"/>
      <c r="AL78" s="748">
        <f t="shared" si="140"/>
        <v>0</v>
      </c>
      <c r="AM78" s="749">
        <f t="shared" si="114"/>
        <v>0</v>
      </c>
      <c r="AN78" s="747"/>
      <c r="AO78" s="748">
        <f t="shared" si="141"/>
        <v>0</v>
      </c>
      <c r="AP78" s="749">
        <f t="shared" si="115"/>
        <v>0</v>
      </c>
      <c r="AQ78" s="747"/>
      <c r="AR78" s="748">
        <f t="shared" si="142"/>
        <v>0</v>
      </c>
      <c r="AS78" s="749">
        <f t="shared" si="116"/>
        <v>0</v>
      </c>
      <c r="AT78" s="747"/>
      <c r="AU78" s="748">
        <f t="shared" si="143"/>
        <v>0</v>
      </c>
      <c r="AV78" s="749">
        <f t="shared" si="117"/>
        <v>0</v>
      </c>
      <c r="AW78" s="747"/>
      <c r="AX78" s="748">
        <f t="shared" si="144"/>
        <v>0</v>
      </c>
      <c r="AY78" s="749">
        <f t="shared" si="118"/>
        <v>0</v>
      </c>
      <c r="AZ78" s="747"/>
      <c r="BA78" s="748">
        <f t="shared" si="145"/>
        <v>0</v>
      </c>
      <c r="BB78" s="749">
        <f t="shared" si="119"/>
        <v>0</v>
      </c>
      <c r="BC78" s="747"/>
      <c r="BD78" s="748">
        <f t="shared" si="146"/>
        <v>0</v>
      </c>
      <c r="BE78" s="749">
        <f t="shared" si="120"/>
        <v>0</v>
      </c>
      <c r="BF78" s="747"/>
      <c r="BG78" s="748">
        <f t="shared" si="147"/>
        <v>0</v>
      </c>
      <c r="BH78" s="749">
        <f t="shared" si="121"/>
        <v>0</v>
      </c>
    </row>
    <row r="79" spans="1:60" ht="14.25">
      <c r="A79" s="509" t="e">
        <f t="shared" si="131"/>
        <v>#REF!</v>
      </c>
      <c r="B79" s="510">
        <f t="shared" si="132"/>
        <v>0</v>
      </c>
      <c r="C79" s="512" t="e">
        <f t="shared" si="133"/>
        <v>#REF!</v>
      </c>
      <c r="D79" s="513" t="str">
        <f t="shared" ref="D79:D92" si="148">+D78</f>
        <v>5. SEÑALIZACION Y SEGURIDAD VIAL</v>
      </c>
      <c r="E79" s="537">
        <v>60</v>
      </c>
      <c r="F79" s="408" t="s">
        <v>357</v>
      </c>
      <c r="G79" s="411" t="s">
        <v>88</v>
      </c>
      <c r="H79" s="17">
        <v>90000</v>
      </c>
      <c r="I79" s="405">
        <v>10.4</v>
      </c>
      <c r="J79" s="26">
        <f t="shared" si="134"/>
        <v>936000</v>
      </c>
      <c r="K79" s="17">
        <f>SUMIF($V$3:$BH$3,       "&lt;"&amp;Datos!$C$20,       V79:BH79)</f>
        <v>0</v>
      </c>
      <c r="L79" s="28">
        <f>SUMIF($V$2:$CH$2,"&lt;"&amp;Datos!$C$20,V79:CH79)</f>
        <v>0</v>
      </c>
      <c r="M79" s="25">
        <f>LOOKUP(Datos!$C$20,    'Cant. Ejec,'!$V$3:$BH$3,      'Cant. Ejec,'!$V79:$BH79)</f>
        <v>0</v>
      </c>
      <c r="N79" s="18">
        <f>LOOKUP(Datos!$C$20,    'Cant. Ejec,'!$V$2:$BH$2,      'Cant. Ejec,'!$V79:$BH79)</f>
        <v>0</v>
      </c>
      <c r="O79" s="21">
        <f>SUMIF($V$3:$CH$3,                                                    "&lt;"&amp;(Datos!$C$20+1),V79:CL79)</f>
        <v>0</v>
      </c>
      <c r="P79" s="515">
        <f>SUMIF($V$2:$CH$2,                    "&lt;"&amp;(Datos!$C$20+1),V79:CL79)</f>
        <v>0</v>
      </c>
      <c r="Q79" s="21">
        <f t="shared" si="76"/>
        <v>90000</v>
      </c>
      <c r="R79" s="515">
        <f t="shared" si="77"/>
        <v>936000</v>
      </c>
      <c r="S79" s="425">
        <f t="shared" si="78"/>
        <v>0</v>
      </c>
      <c r="T79" s="425">
        <f t="shared" si="79"/>
        <v>0</v>
      </c>
      <c r="U79" s="729">
        <f t="shared" si="80"/>
        <v>1</v>
      </c>
      <c r="V79" s="747"/>
      <c r="W79" s="748">
        <f t="shared" si="135"/>
        <v>0</v>
      </c>
      <c r="X79" s="749">
        <f t="shared" si="126"/>
        <v>0</v>
      </c>
      <c r="Y79" s="747"/>
      <c r="Z79" s="748">
        <f t="shared" si="136"/>
        <v>0</v>
      </c>
      <c r="AA79" s="749">
        <f t="shared" si="127"/>
        <v>0</v>
      </c>
      <c r="AB79" s="747"/>
      <c r="AC79" s="748">
        <f t="shared" si="137"/>
        <v>0</v>
      </c>
      <c r="AD79" s="749">
        <f t="shared" si="128"/>
        <v>0</v>
      </c>
      <c r="AE79" s="747"/>
      <c r="AF79" s="748">
        <f t="shared" si="138"/>
        <v>0</v>
      </c>
      <c r="AG79" s="749">
        <f t="shared" si="129"/>
        <v>0</v>
      </c>
      <c r="AH79" s="747"/>
      <c r="AI79" s="748">
        <f t="shared" si="139"/>
        <v>0</v>
      </c>
      <c r="AJ79" s="749">
        <f t="shared" si="130"/>
        <v>0</v>
      </c>
      <c r="AK79" s="747"/>
      <c r="AL79" s="748">
        <f t="shared" si="140"/>
        <v>0</v>
      </c>
      <c r="AM79" s="749">
        <f t="shared" si="114"/>
        <v>0</v>
      </c>
      <c r="AN79" s="747"/>
      <c r="AO79" s="748">
        <f t="shared" si="141"/>
        <v>0</v>
      </c>
      <c r="AP79" s="749">
        <f t="shared" si="115"/>
        <v>0</v>
      </c>
      <c r="AQ79" s="747"/>
      <c r="AR79" s="748">
        <f t="shared" si="142"/>
        <v>0</v>
      </c>
      <c r="AS79" s="749">
        <f t="shared" si="116"/>
        <v>0</v>
      </c>
      <c r="AT79" s="747"/>
      <c r="AU79" s="748">
        <f t="shared" si="143"/>
        <v>0</v>
      </c>
      <c r="AV79" s="749">
        <f t="shared" si="117"/>
        <v>0</v>
      </c>
      <c r="AW79" s="747"/>
      <c r="AX79" s="748">
        <f t="shared" si="144"/>
        <v>0</v>
      </c>
      <c r="AY79" s="749">
        <f t="shared" si="118"/>
        <v>0</v>
      </c>
      <c r="AZ79" s="747"/>
      <c r="BA79" s="748">
        <f t="shared" si="145"/>
        <v>0</v>
      </c>
      <c r="BB79" s="749">
        <f t="shared" si="119"/>
        <v>0</v>
      </c>
      <c r="BC79" s="747"/>
      <c r="BD79" s="748">
        <f t="shared" si="146"/>
        <v>0</v>
      </c>
      <c r="BE79" s="749">
        <f t="shared" si="120"/>
        <v>0</v>
      </c>
      <c r="BF79" s="747"/>
      <c r="BG79" s="748">
        <f t="shared" si="147"/>
        <v>0</v>
      </c>
      <c r="BH79" s="749">
        <f t="shared" si="121"/>
        <v>0</v>
      </c>
    </row>
    <row r="80" spans="1:60" ht="14.25">
      <c r="A80" s="509" t="e">
        <f t="shared" si="131"/>
        <v>#REF!</v>
      </c>
      <c r="B80" s="510">
        <f t="shared" si="132"/>
        <v>0</v>
      </c>
      <c r="C80" s="512" t="e">
        <f t="shared" si="133"/>
        <v>#REF!</v>
      </c>
      <c r="D80" s="513" t="str">
        <f t="shared" si="148"/>
        <v>5. SEÑALIZACION Y SEGURIDAD VIAL</v>
      </c>
      <c r="E80" s="537">
        <v>61</v>
      </c>
      <c r="F80" s="408" t="s">
        <v>358</v>
      </c>
      <c r="G80" s="411" t="s">
        <v>86</v>
      </c>
      <c r="H80" s="17">
        <v>250</v>
      </c>
      <c r="I80" s="405">
        <v>72.150000000000006</v>
      </c>
      <c r="J80" s="26">
        <f t="shared" si="134"/>
        <v>18037.5</v>
      </c>
      <c r="K80" s="17">
        <f>SUMIF($V$3:$BH$3,       "&lt;"&amp;Datos!$C$20,       V80:BH80)</f>
        <v>0</v>
      </c>
      <c r="L80" s="28">
        <f>SUMIF($V$2:$CH$2,"&lt;"&amp;Datos!$C$20,V80:CH80)</f>
        <v>0</v>
      </c>
      <c r="M80" s="25">
        <f>LOOKUP(Datos!$C$20,    'Cant. Ejec,'!$V$3:$BH$3,      'Cant. Ejec,'!$V80:$BH80)</f>
        <v>0</v>
      </c>
      <c r="N80" s="18">
        <f>LOOKUP(Datos!$C$20,    'Cant. Ejec,'!$V$2:$BH$2,      'Cant. Ejec,'!$V80:$BH80)</f>
        <v>0</v>
      </c>
      <c r="O80" s="21">
        <f>SUMIF($V$3:$CH$3,                                                    "&lt;"&amp;(Datos!$C$20+1),V80:CL80)</f>
        <v>0</v>
      </c>
      <c r="P80" s="515">
        <f>SUMIF($V$2:$CH$2,                    "&lt;"&amp;(Datos!$C$20+1),V80:CL80)</f>
        <v>0</v>
      </c>
      <c r="Q80" s="21">
        <f t="shared" si="76"/>
        <v>250</v>
      </c>
      <c r="R80" s="515">
        <f t="shared" si="77"/>
        <v>18037.5</v>
      </c>
      <c r="S80" s="425">
        <f t="shared" si="78"/>
        <v>0</v>
      </c>
      <c r="T80" s="425">
        <f t="shared" si="79"/>
        <v>0</v>
      </c>
      <c r="U80" s="729">
        <f t="shared" si="80"/>
        <v>1</v>
      </c>
      <c r="V80" s="747"/>
      <c r="W80" s="748">
        <f t="shared" si="135"/>
        <v>0</v>
      </c>
      <c r="X80" s="749">
        <f t="shared" si="126"/>
        <v>0</v>
      </c>
      <c r="Y80" s="747"/>
      <c r="Z80" s="748">
        <f t="shared" si="136"/>
        <v>0</v>
      </c>
      <c r="AA80" s="749">
        <f t="shared" si="127"/>
        <v>0</v>
      </c>
      <c r="AB80" s="747"/>
      <c r="AC80" s="748">
        <f t="shared" si="137"/>
        <v>0</v>
      </c>
      <c r="AD80" s="749">
        <f t="shared" si="128"/>
        <v>0</v>
      </c>
      <c r="AE80" s="747"/>
      <c r="AF80" s="748">
        <f t="shared" si="138"/>
        <v>0</v>
      </c>
      <c r="AG80" s="749">
        <f t="shared" si="129"/>
        <v>0</v>
      </c>
      <c r="AH80" s="747"/>
      <c r="AI80" s="748">
        <f t="shared" si="139"/>
        <v>0</v>
      </c>
      <c r="AJ80" s="749">
        <f t="shared" si="130"/>
        <v>0</v>
      </c>
      <c r="AK80" s="747"/>
      <c r="AL80" s="748">
        <f t="shared" si="140"/>
        <v>0</v>
      </c>
      <c r="AM80" s="749">
        <f t="shared" si="114"/>
        <v>0</v>
      </c>
      <c r="AN80" s="747"/>
      <c r="AO80" s="748">
        <f t="shared" si="141"/>
        <v>0</v>
      </c>
      <c r="AP80" s="749">
        <f t="shared" si="115"/>
        <v>0</v>
      </c>
      <c r="AQ80" s="747"/>
      <c r="AR80" s="748">
        <f t="shared" si="142"/>
        <v>0</v>
      </c>
      <c r="AS80" s="749">
        <f t="shared" si="116"/>
        <v>0</v>
      </c>
      <c r="AT80" s="747"/>
      <c r="AU80" s="748">
        <f t="shared" si="143"/>
        <v>0</v>
      </c>
      <c r="AV80" s="749">
        <f t="shared" si="117"/>
        <v>0</v>
      </c>
      <c r="AW80" s="747"/>
      <c r="AX80" s="748">
        <f t="shared" si="144"/>
        <v>0</v>
      </c>
      <c r="AY80" s="749">
        <f t="shared" si="118"/>
        <v>0</v>
      </c>
      <c r="AZ80" s="747"/>
      <c r="BA80" s="748">
        <f t="shared" si="145"/>
        <v>0</v>
      </c>
      <c r="BB80" s="749">
        <f t="shared" si="119"/>
        <v>0</v>
      </c>
      <c r="BC80" s="747"/>
      <c r="BD80" s="748">
        <f t="shared" si="146"/>
        <v>0</v>
      </c>
      <c r="BE80" s="749">
        <f t="shared" si="120"/>
        <v>0</v>
      </c>
      <c r="BF80" s="747"/>
      <c r="BG80" s="748">
        <f t="shared" si="147"/>
        <v>0</v>
      </c>
      <c r="BH80" s="749">
        <f t="shared" si="121"/>
        <v>0</v>
      </c>
    </row>
    <row r="81" spans="1:60" ht="14.25">
      <c r="A81" s="509" t="e">
        <f t="shared" si="131"/>
        <v>#REF!</v>
      </c>
      <c r="B81" s="510">
        <f t="shared" si="132"/>
        <v>0</v>
      </c>
      <c r="C81" s="512" t="e">
        <f t="shared" si="133"/>
        <v>#REF!</v>
      </c>
      <c r="D81" s="513" t="str">
        <f t="shared" si="148"/>
        <v>5. SEÑALIZACION Y SEGURIDAD VIAL</v>
      </c>
      <c r="E81" s="537">
        <v>62</v>
      </c>
      <c r="F81" s="408" t="s">
        <v>359</v>
      </c>
      <c r="G81" s="411" t="s">
        <v>360</v>
      </c>
      <c r="H81" s="17">
        <v>180</v>
      </c>
      <c r="I81" s="405">
        <v>1283.31</v>
      </c>
      <c r="J81" s="26">
        <f t="shared" si="134"/>
        <v>230995.8</v>
      </c>
      <c r="K81" s="17">
        <f>SUMIF($V$3:$BH$3,       "&lt;"&amp;Datos!$C$20,       V81:BH81)</f>
        <v>0</v>
      </c>
      <c r="L81" s="28">
        <f>SUMIF($V$2:$CH$2,"&lt;"&amp;Datos!$C$20,V81:CH81)</f>
        <v>0</v>
      </c>
      <c r="M81" s="25">
        <f>LOOKUP(Datos!$C$20,    'Cant. Ejec,'!$V$3:$BH$3,      'Cant. Ejec,'!$V81:$BH81)</f>
        <v>0</v>
      </c>
      <c r="N81" s="18">
        <f>LOOKUP(Datos!$C$20,    'Cant. Ejec,'!$V$2:$BH$2,      'Cant. Ejec,'!$V81:$BH81)</f>
        <v>0</v>
      </c>
      <c r="O81" s="21">
        <f>SUMIF($V$3:$CH$3,                                                    "&lt;"&amp;(Datos!$C$20+1),V81:CL81)</f>
        <v>0</v>
      </c>
      <c r="P81" s="515">
        <f>SUMIF($V$2:$CH$2,                    "&lt;"&amp;(Datos!$C$20+1),V81:CL81)</f>
        <v>0</v>
      </c>
      <c r="Q81" s="21">
        <f t="shared" si="76"/>
        <v>180</v>
      </c>
      <c r="R81" s="515">
        <f t="shared" si="77"/>
        <v>230995.8</v>
      </c>
      <c r="S81" s="425">
        <f t="shared" si="78"/>
        <v>0</v>
      </c>
      <c r="T81" s="425">
        <f t="shared" si="79"/>
        <v>0</v>
      </c>
      <c r="U81" s="729">
        <f t="shared" si="80"/>
        <v>1</v>
      </c>
      <c r="V81" s="747"/>
      <c r="W81" s="748">
        <f t="shared" si="135"/>
        <v>0</v>
      </c>
      <c r="X81" s="749">
        <f t="shared" si="126"/>
        <v>0</v>
      </c>
      <c r="Y81" s="747"/>
      <c r="Z81" s="748">
        <f t="shared" si="136"/>
        <v>0</v>
      </c>
      <c r="AA81" s="749">
        <f t="shared" si="127"/>
        <v>0</v>
      </c>
      <c r="AB81" s="747"/>
      <c r="AC81" s="748">
        <f t="shared" si="137"/>
        <v>0</v>
      </c>
      <c r="AD81" s="749">
        <f t="shared" si="128"/>
        <v>0</v>
      </c>
      <c r="AE81" s="747"/>
      <c r="AF81" s="748">
        <f t="shared" si="138"/>
        <v>0</v>
      </c>
      <c r="AG81" s="749">
        <f t="shared" si="129"/>
        <v>0</v>
      </c>
      <c r="AH81" s="747"/>
      <c r="AI81" s="748">
        <f t="shared" si="139"/>
        <v>0</v>
      </c>
      <c r="AJ81" s="749">
        <f t="shared" si="130"/>
        <v>0</v>
      </c>
      <c r="AK81" s="747"/>
      <c r="AL81" s="748">
        <f t="shared" si="140"/>
        <v>0</v>
      </c>
      <c r="AM81" s="749">
        <f t="shared" si="114"/>
        <v>0</v>
      </c>
      <c r="AN81" s="747"/>
      <c r="AO81" s="748">
        <f t="shared" si="141"/>
        <v>0</v>
      </c>
      <c r="AP81" s="749">
        <f t="shared" si="115"/>
        <v>0</v>
      </c>
      <c r="AQ81" s="747"/>
      <c r="AR81" s="748">
        <f t="shared" si="142"/>
        <v>0</v>
      </c>
      <c r="AS81" s="749">
        <f t="shared" si="116"/>
        <v>0</v>
      </c>
      <c r="AT81" s="747"/>
      <c r="AU81" s="748">
        <f t="shared" si="143"/>
        <v>0</v>
      </c>
      <c r="AV81" s="749">
        <f t="shared" si="117"/>
        <v>0</v>
      </c>
      <c r="AW81" s="747"/>
      <c r="AX81" s="748">
        <f t="shared" si="144"/>
        <v>0</v>
      </c>
      <c r="AY81" s="749">
        <f t="shared" si="118"/>
        <v>0</v>
      </c>
      <c r="AZ81" s="747"/>
      <c r="BA81" s="748">
        <f t="shared" si="145"/>
        <v>0</v>
      </c>
      <c r="BB81" s="749">
        <f t="shared" si="119"/>
        <v>0</v>
      </c>
      <c r="BC81" s="747"/>
      <c r="BD81" s="748">
        <f t="shared" si="146"/>
        <v>0</v>
      </c>
      <c r="BE81" s="749">
        <f t="shared" si="120"/>
        <v>0</v>
      </c>
      <c r="BF81" s="747"/>
      <c r="BG81" s="748">
        <f t="shared" si="147"/>
        <v>0</v>
      </c>
      <c r="BH81" s="749">
        <f t="shared" si="121"/>
        <v>0</v>
      </c>
    </row>
    <row r="82" spans="1:60" ht="14.25">
      <c r="A82" s="509" t="e">
        <f t="shared" si="131"/>
        <v>#REF!</v>
      </c>
      <c r="B82" s="510">
        <f t="shared" si="132"/>
        <v>0</v>
      </c>
      <c r="C82" s="512" t="e">
        <f t="shared" si="133"/>
        <v>#REF!</v>
      </c>
      <c r="D82" s="513" t="str">
        <f t="shared" si="148"/>
        <v>5. SEÑALIZACION Y SEGURIDAD VIAL</v>
      </c>
      <c r="E82" s="537">
        <v>63</v>
      </c>
      <c r="F82" s="408" t="s">
        <v>361</v>
      </c>
      <c r="G82" s="411" t="s">
        <v>360</v>
      </c>
      <c r="H82" s="17">
        <v>30</v>
      </c>
      <c r="I82" s="405">
        <v>1283.31</v>
      </c>
      <c r="J82" s="26">
        <f t="shared" si="134"/>
        <v>38499.300000000003</v>
      </c>
      <c r="K82" s="17">
        <f>SUMIF($V$3:$BH$3,       "&lt;"&amp;Datos!$C$20,       V82:BH82)</f>
        <v>0</v>
      </c>
      <c r="L82" s="28">
        <f>SUMIF($V$2:$CH$2,"&lt;"&amp;Datos!$C$20,V82:CH82)</f>
        <v>0</v>
      </c>
      <c r="M82" s="25">
        <f>LOOKUP(Datos!$C$20,    'Cant. Ejec,'!$V$3:$BH$3,      'Cant. Ejec,'!$V82:$BH82)</f>
        <v>0</v>
      </c>
      <c r="N82" s="18">
        <f>LOOKUP(Datos!$C$20,    'Cant. Ejec,'!$V$2:$BH$2,      'Cant. Ejec,'!$V82:$BH82)</f>
        <v>0</v>
      </c>
      <c r="O82" s="21">
        <f>SUMIF($V$3:$CH$3,                                                    "&lt;"&amp;(Datos!$C$20+1),V82:CL82)</f>
        <v>0</v>
      </c>
      <c r="P82" s="515">
        <f>SUMIF($V$2:$CH$2,                    "&lt;"&amp;(Datos!$C$20+1),V82:CL82)</f>
        <v>0</v>
      </c>
      <c r="Q82" s="21">
        <f t="shared" si="76"/>
        <v>30</v>
      </c>
      <c r="R82" s="515">
        <f t="shared" si="77"/>
        <v>38499.300000000003</v>
      </c>
      <c r="S82" s="425">
        <f t="shared" si="78"/>
        <v>0</v>
      </c>
      <c r="T82" s="425">
        <f t="shared" si="79"/>
        <v>0</v>
      </c>
      <c r="U82" s="729">
        <f t="shared" si="80"/>
        <v>1</v>
      </c>
      <c r="V82" s="747"/>
      <c r="W82" s="748">
        <f t="shared" si="135"/>
        <v>0</v>
      </c>
      <c r="X82" s="749">
        <f t="shared" si="126"/>
        <v>0</v>
      </c>
      <c r="Y82" s="747"/>
      <c r="Z82" s="748">
        <f t="shared" si="136"/>
        <v>0</v>
      </c>
      <c r="AA82" s="749">
        <f t="shared" si="127"/>
        <v>0</v>
      </c>
      <c r="AB82" s="747"/>
      <c r="AC82" s="748">
        <f t="shared" si="137"/>
        <v>0</v>
      </c>
      <c r="AD82" s="749">
        <f t="shared" si="128"/>
        <v>0</v>
      </c>
      <c r="AE82" s="747"/>
      <c r="AF82" s="748">
        <f t="shared" si="138"/>
        <v>0</v>
      </c>
      <c r="AG82" s="749">
        <f t="shared" si="129"/>
        <v>0</v>
      </c>
      <c r="AH82" s="747"/>
      <c r="AI82" s="748">
        <f t="shared" si="139"/>
        <v>0</v>
      </c>
      <c r="AJ82" s="749">
        <f t="shared" si="130"/>
        <v>0</v>
      </c>
      <c r="AK82" s="747"/>
      <c r="AL82" s="748">
        <f t="shared" si="140"/>
        <v>0</v>
      </c>
      <c r="AM82" s="749">
        <f t="shared" si="114"/>
        <v>0</v>
      </c>
      <c r="AN82" s="747"/>
      <c r="AO82" s="748">
        <f t="shared" si="141"/>
        <v>0</v>
      </c>
      <c r="AP82" s="749">
        <f t="shared" si="115"/>
        <v>0</v>
      </c>
      <c r="AQ82" s="747"/>
      <c r="AR82" s="748">
        <f t="shared" si="142"/>
        <v>0</v>
      </c>
      <c r="AS82" s="749">
        <f t="shared" si="116"/>
        <v>0</v>
      </c>
      <c r="AT82" s="747"/>
      <c r="AU82" s="748">
        <f t="shared" si="143"/>
        <v>0</v>
      </c>
      <c r="AV82" s="749">
        <f t="shared" si="117"/>
        <v>0</v>
      </c>
      <c r="AW82" s="747"/>
      <c r="AX82" s="748">
        <f t="shared" si="144"/>
        <v>0</v>
      </c>
      <c r="AY82" s="749">
        <f t="shared" si="118"/>
        <v>0</v>
      </c>
      <c r="AZ82" s="747"/>
      <c r="BA82" s="748">
        <f t="shared" si="145"/>
        <v>0</v>
      </c>
      <c r="BB82" s="749">
        <f t="shared" si="119"/>
        <v>0</v>
      </c>
      <c r="BC82" s="747"/>
      <c r="BD82" s="748">
        <f t="shared" si="146"/>
        <v>0</v>
      </c>
      <c r="BE82" s="749">
        <f t="shared" si="120"/>
        <v>0</v>
      </c>
      <c r="BF82" s="747"/>
      <c r="BG82" s="748">
        <f t="shared" si="147"/>
        <v>0</v>
      </c>
      <c r="BH82" s="749">
        <f t="shared" si="121"/>
        <v>0</v>
      </c>
    </row>
    <row r="83" spans="1:60" ht="14.25">
      <c r="A83" s="509" t="e">
        <f t="shared" si="131"/>
        <v>#REF!</v>
      </c>
      <c r="B83" s="510">
        <f t="shared" si="132"/>
        <v>0</v>
      </c>
      <c r="C83" s="512" t="e">
        <f t="shared" si="133"/>
        <v>#REF!</v>
      </c>
      <c r="D83" s="513" t="str">
        <f t="shared" si="148"/>
        <v>5. SEÑALIZACION Y SEGURIDAD VIAL</v>
      </c>
      <c r="E83" s="537">
        <v>64</v>
      </c>
      <c r="F83" s="408" t="s">
        <v>362</v>
      </c>
      <c r="G83" s="411" t="s">
        <v>360</v>
      </c>
      <c r="H83" s="17">
        <v>30</v>
      </c>
      <c r="I83" s="405">
        <v>1839.02</v>
      </c>
      <c r="J83" s="26">
        <f t="shared" si="134"/>
        <v>55170.6</v>
      </c>
      <c r="K83" s="17">
        <f>SUMIF($V$3:$BH$3,       "&lt;"&amp;Datos!$C$20,       V83:BH83)</f>
        <v>0</v>
      </c>
      <c r="L83" s="28">
        <f>SUMIF($V$2:$CH$2,"&lt;"&amp;Datos!$C$20,V83:CH83)</f>
        <v>0</v>
      </c>
      <c r="M83" s="25">
        <f>LOOKUP(Datos!$C$20,    'Cant. Ejec,'!$V$3:$BH$3,      'Cant. Ejec,'!$V83:$BH83)</f>
        <v>0</v>
      </c>
      <c r="N83" s="18">
        <f>LOOKUP(Datos!$C$20,    'Cant. Ejec,'!$V$2:$BH$2,      'Cant. Ejec,'!$V83:$BH83)</f>
        <v>0</v>
      </c>
      <c r="O83" s="21">
        <f>SUMIF($V$3:$CH$3,                                                    "&lt;"&amp;(Datos!$C$20+1),V83:CL83)</f>
        <v>0</v>
      </c>
      <c r="P83" s="515">
        <f>SUMIF($V$2:$CH$2,                    "&lt;"&amp;(Datos!$C$20+1),V83:CL83)</f>
        <v>0</v>
      </c>
      <c r="Q83" s="21">
        <f t="shared" si="76"/>
        <v>30</v>
      </c>
      <c r="R83" s="515">
        <f t="shared" si="77"/>
        <v>55170.6</v>
      </c>
      <c r="S83" s="425">
        <f t="shared" si="78"/>
        <v>0</v>
      </c>
      <c r="T83" s="425">
        <f t="shared" si="79"/>
        <v>0</v>
      </c>
      <c r="U83" s="729">
        <f t="shared" si="80"/>
        <v>1</v>
      </c>
      <c r="V83" s="747"/>
      <c r="W83" s="748">
        <f t="shared" ref="W83:W92" si="149">ROUND(V83*$I83,2)</f>
        <v>0</v>
      </c>
      <c r="X83" s="749">
        <f t="shared" ref="X83:X92" si="150">+W83/$J83</f>
        <v>0</v>
      </c>
      <c r="Y83" s="747"/>
      <c r="Z83" s="748">
        <f t="shared" ref="Z83:Z92" si="151">ROUND(Y83*$I83,2)</f>
        <v>0</v>
      </c>
      <c r="AA83" s="749">
        <f t="shared" ref="AA83:AA92" si="152">+Z83/$J83</f>
        <v>0</v>
      </c>
      <c r="AB83" s="747"/>
      <c r="AC83" s="748">
        <f t="shared" ref="AC83:AC92" si="153">ROUND(AB83*$I83,2)</f>
        <v>0</v>
      </c>
      <c r="AD83" s="749">
        <f t="shared" ref="AD83:AD92" si="154">+AC83/$J83</f>
        <v>0</v>
      </c>
      <c r="AE83" s="747"/>
      <c r="AF83" s="748">
        <f t="shared" ref="AF83:AF92" si="155">ROUND(AE83*$I83,2)</f>
        <v>0</v>
      </c>
      <c r="AG83" s="749">
        <f t="shared" ref="AG83:AG92" si="156">+AF83/$J83</f>
        <v>0</v>
      </c>
      <c r="AH83" s="747"/>
      <c r="AI83" s="748">
        <f t="shared" ref="AI83:AI92" si="157">ROUND(AH83*$I83,2)</f>
        <v>0</v>
      </c>
      <c r="AJ83" s="749">
        <f t="shared" ref="AJ83:AJ92" si="158">+AI83/$J83</f>
        <v>0</v>
      </c>
      <c r="AK83" s="747"/>
      <c r="AL83" s="748">
        <f t="shared" si="140"/>
        <v>0</v>
      </c>
      <c r="AM83" s="749">
        <f t="shared" si="114"/>
        <v>0</v>
      </c>
      <c r="AN83" s="747"/>
      <c r="AO83" s="748">
        <f t="shared" si="141"/>
        <v>0</v>
      </c>
      <c r="AP83" s="749">
        <f t="shared" si="115"/>
        <v>0</v>
      </c>
      <c r="AQ83" s="747"/>
      <c r="AR83" s="748">
        <f t="shared" si="142"/>
        <v>0</v>
      </c>
      <c r="AS83" s="749">
        <f t="shared" si="116"/>
        <v>0</v>
      </c>
      <c r="AT83" s="747"/>
      <c r="AU83" s="748">
        <f t="shared" si="143"/>
        <v>0</v>
      </c>
      <c r="AV83" s="749">
        <f t="shared" si="117"/>
        <v>0</v>
      </c>
      <c r="AW83" s="747"/>
      <c r="AX83" s="748">
        <f t="shared" si="144"/>
        <v>0</v>
      </c>
      <c r="AY83" s="749">
        <f t="shared" si="118"/>
        <v>0</v>
      </c>
      <c r="AZ83" s="747"/>
      <c r="BA83" s="748">
        <f t="shared" si="145"/>
        <v>0</v>
      </c>
      <c r="BB83" s="749">
        <f t="shared" si="119"/>
        <v>0</v>
      </c>
      <c r="BC83" s="747"/>
      <c r="BD83" s="748">
        <f t="shared" si="146"/>
        <v>0</v>
      </c>
      <c r="BE83" s="749">
        <f t="shared" si="120"/>
        <v>0</v>
      </c>
      <c r="BF83" s="747"/>
      <c r="BG83" s="748">
        <f t="shared" si="147"/>
        <v>0</v>
      </c>
      <c r="BH83" s="749">
        <f t="shared" si="121"/>
        <v>0</v>
      </c>
    </row>
    <row r="84" spans="1:60" ht="14.25">
      <c r="A84" s="509" t="e">
        <f t="shared" si="131"/>
        <v>#REF!</v>
      </c>
      <c r="B84" s="510">
        <f t="shared" si="132"/>
        <v>0</v>
      </c>
      <c r="C84" s="512" t="e">
        <f t="shared" si="133"/>
        <v>#REF!</v>
      </c>
      <c r="D84" s="513" t="str">
        <f t="shared" si="148"/>
        <v>5. SEÑALIZACION Y SEGURIDAD VIAL</v>
      </c>
      <c r="E84" s="537">
        <v>65</v>
      </c>
      <c r="F84" s="408" t="s">
        <v>363</v>
      </c>
      <c r="G84" s="411" t="s">
        <v>360</v>
      </c>
      <c r="H84" s="17">
        <v>65</v>
      </c>
      <c r="I84" s="405">
        <v>1542.64</v>
      </c>
      <c r="J84" s="26">
        <f t="shared" si="134"/>
        <v>100271.6</v>
      </c>
      <c r="K84" s="17">
        <f>SUMIF($V$3:$BH$3,       "&lt;"&amp;Datos!$C$20,       V84:BH84)</f>
        <v>0</v>
      </c>
      <c r="L84" s="28">
        <f>SUMIF($V$2:$CH$2,"&lt;"&amp;Datos!$C$20,V84:CH84)</f>
        <v>0</v>
      </c>
      <c r="M84" s="25">
        <f>LOOKUP(Datos!$C$20,    'Cant. Ejec,'!$V$3:$BH$3,      'Cant. Ejec,'!$V84:$BH84)</f>
        <v>0</v>
      </c>
      <c r="N84" s="18">
        <f>LOOKUP(Datos!$C$20,    'Cant. Ejec,'!$V$2:$BH$2,      'Cant. Ejec,'!$V84:$BH84)</f>
        <v>0</v>
      </c>
      <c r="O84" s="21">
        <f>SUMIF($V$3:$CH$3,                                                    "&lt;"&amp;(Datos!$C$20+1),V84:CL84)</f>
        <v>0</v>
      </c>
      <c r="P84" s="515">
        <f>SUMIF($V$2:$CH$2,                    "&lt;"&amp;(Datos!$C$20+1),V84:CL84)</f>
        <v>0</v>
      </c>
      <c r="Q84" s="21">
        <f t="shared" si="76"/>
        <v>65</v>
      </c>
      <c r="R84" s="515">
        <f t="shared" si="77"/>
        <v>100271.6</v>
      </c>
      <c r="S84" s="425">
        <f t="shared" si="78"/>
        <v>0</v>
      </c>
      <c r="T84" s="425">
        <f t="shared" si="79"/>
        <v>0</v>
      </c>
      <c r="U84" s="729">
        <f t="shared" si="80"/>
        <v>1</v>
      </c>
      <c r="V84" s="747"/>
      <c r="W84" s="748">
        <f t="shared" si="149"/>
        <v>0</v>
      </c>
      <c r="X84" s="749">
        <f t="shared" si="150"/>
        <v>0</v>
      </c>
      <c r="Y84" s="747"/>
      <c r="Z84" s="748">
        <f t="shared" si="151"/>
        <v>0</v>
      </c>
      <c r="AA84" s="749">
        <f t="shared" si="152"/>
        <v>0</v>
      </c>
      <c r="AB84" s="747"/>
      <c r="AC84" s="748">
        <f t="shared" si="153"/>
        <v>0</v>
      </c>
      <c r="AD84" s="749">
        <f t="shared" si="154"/>
        <v>0</v>
      </c>
      <c r="AE84" s="747"/>
      <c r="AF84" s="748">
        <f t="shared" si="155"/>
        <v>0</v>
      </c>
      <c r="AG84" s="749">
        <f t="shared" si="156"/>
        <v>0</v>
      </c>
      <c r="AH84" s="747"/>
      <c r="AI84" s="748">
        <f t="shared" si="157"/>
        <v>0</v>
      </c>
      <c r="AJ84" s="749">
        <f t="shared" si="158"/>
        <v>0</v>
      </c>
      <c r="AK84" s="747"/>
      <c r="AL84" s="748">
        <f t="shared" si="140"/>
        <v>0</v>
      </c>
      <c r="AM84" s="749">
        <f t="shared" si="114"/>
        <v>0</v>
      </c>
      <c r="AN84" s="747"/>
      <c r="AO84" s="748">
        <f t="shared" si="141"/>
        <v>0</v>
      </c>
      <c r="AP84" s="749">
        <f t="shared" si="115"/>
        <v>0</v>
      </c>
      <c r="AQ84" s="747"/>
      <c r="AR84" s="748">
        <f t="shared" si="142"/>
        <v>0</v>
      </c>
      <c r="AS84" s="749">
        <f t="shared" si="116"/>
        <v>0</v>
      </c>
      <c r="AT84" s="747"/>
      <c r="AU84" s="748">
        <f t="shared" si="143"/>
        <v>0</v>
      </c>
      <c r="AV84" s="749">
        <f t="shared" si="117"/>
        <v>0</v>
      </c>
      <c r="AW84" s="747"/>
      <c r="AX84" s="748">
        <f t="shared" si="144"/>
        <v>0</v>
      </c>
      <c r="AY84" s="749">
        <f t="shared" si="118"/>
        <v>0</v>
      </c>
      <c r="AZ84" s="747"/>
      <c r="BA84" s="748">
        <f t="shared" si="145"/>
        <v>0</v>
      </c>
      <c r="BB84" s="749">
        <f t="shared" si="119"/>
        <v>0</v>
      </c>
      <c r="BC84" s="747"/>
      <c r="BD84" s="748">
        <f t="shared" si="146"/>
        <v>0</v>
      </c>
      <c r="BE84" s="749">
        <f t="shared" si="120"/>
        <v>0</v>
      </c>
      <c r="BF84" s="747"/>
      <c r="BG84" s="748">
        <f t="shared" si="147"/>
        <v>0</v>
      </c>
      <c r="BH84" s="749">
        <f t="shared" si="121"/>
        <v>0</v>
      </c>
    </row>
    <row r="85" spans="1:60" ht="14.25">
      <c r="A85" s="509" t="e">
        <f t="shared" si="131"/>
        <v>#REF!</v>
      </c>
      <c r="B85" s="510">
        <f t="shared" si="132"/>
        <v>0</v>
      </c>
      <c r="C85" s="512" t="e">
        <f t="shared" si="133"/>
        <v>#REF!</v>
      </c>
      <c r="D85" s="513" t="str">
        <f t="shared" si="148"/>
        <v>5. SEÑALIZACION Y SEGURIDAD VIAL</v>
      </c>
      <c r="E85" s="537">
        <v>66</v>
      </c>
      <c r="F85" s="408" t="s">
        <v>364</v>
      </c>
      <c r="G85" s="411" t="s">
        <v>360</v>
      </c>
      <c r="H85" s="17">
        <v>2</v>
      </c>
      <c r="I85" s="405">
        <v>4225.3900000000003</v>
      </c>
      <c r="J85" s="26">
        <f t="shared" si="134"/>
        <v>8450.7800000000007</v>
      </c>
      <c r="K85" s="17">
        <f>SUMIF($V$3:$BH$3,       "&lt;"&amp;Datos!$C$20,       V85:BH85)</f>
        <v>0</v>
      </c>
      <c r="L85" s="28">
        <f>SUMIF($V$2:$CH$2,"&lt;"&amp;Datos!$C$20,V85:CH85)</f>
        <v>0</v>
      </c>
      <c r="M85" s="25">
        <f>LOOKUP(Datos!$C$20,    'Cant. Ejec,'!$V$3:$BH$3,      'Cant. Ejec,'!$V85:$BH85)</f>
        <v>0</v>
      </c>
      <c r="N85" s="18">
        <f>LOOKUP(Datos!$C$20,    'Cant. Ejec,'!$V$2:$BH$2,      'Cant. Ejec,'!$V85:$BH85)</f>
        <v>0</v>
      </c>
      <c r="O85" s="21">
        <f>SUMIF($V$3:$CH$3,                                                    "&lt;"&amp;(Datos!$C$20+1),V85:CL85)</f>
        <v>0</v>
      </c>
      <c r="P85" s="515">
        <f>SUMIF($V$2:$CH$2,                    "&lt;"&amp;(Datos!$C$20+1),V85:CL85)</f>
        <v>0</v>
      </c>
      <c r="Q85" s="21">
        <f t="shared" si="76"/>
        <v>2</v>
      </c>
      <c r="R85" s="515">
        <f t="shared" si="77"/>
        <v>8450.7800000000007</v>
      </c>
      <c r="S85" s="425">
        <f t="shared" si="78"/>
        <v>0</v>
      </c>
      <c r="T85" s="425">
        <f t="shared" si="79"/>
        <v>0</v>
      </c>
      <c r="U85" s="729">
        <f t="shared" si="80"/>
        <v>1</v>
      </c>
      <c r="V85" s="747"/>
      <c r="W85" s="748">
        <f t="shared" si="149"/>
        <v>0</v>
      </c>
      <c r="X85" s="749">
        <f t="shared" si="150"/>
        <v>0</v>
      </c>
      <c r="Y85" s="747"/>
      <c r="Z85" s="748">
        <f t="shared" si="151"/>
        <v>0</v>
      </c>
      <c r="AA85" s="749">
        <f t="shared" si="152"/>
        <v>0</v>
      </c>
      <c r="AB85" s="747"/>
      <c r="AC85" s="748">
        <f t="shared" si="153"/>
        <v>0</v>
      </c>
      <c r="AD85" s="749">
        <f t="shared" si="154"/>
        <v>0</v>
      </c>
      <c r="AE85" s="747"/>
      <c r="AF85" s="748">
        <f t="shared" si="155"/>
        <v>0</v>
      </c>
      <c r="AG85" s="749">
        <f t="shared" si="156"/>
        <v>0</v>
      </c>
      <c r="AH85" s="747"/>
      <c r="AI85" s="748">
        <f t="shared" si="157"/>
        <v>0</v>
      </c>
      <c r="AJ85" s="749">
        <f t="shared" si="158"/>
        <v>0</v>
      </c>
      <c r="AK85" s="747"/>
      <c r="AL85" s="748">
        <f t="shared" si="140"/>
        <v>0</v>
      </c>
      <c r="AM85" s="749">
        <f t="shared" si="114"/>
        <v>0</v>
      </c>
      <c r="AN85" s="747"/>
      <c r="AO85" s="748">
        <f t="shared" si="141"/>
        <v>0</v>
      </c>
      <c r="AP85" s="749">
        <f t="shared" si="115"/>
        <v>0</v>
      </c>
      <c r="AQ85" s="747"/>
      <c r="AR85" s="748">
        <f t="shared" si="142"/>
        <v>0</v>
      </c>
      <c r="AS85" s="749">
        <f t="shared" si="116"/>
        <v>0</v>
      </c>
      <c r="AT85" s="747"/>
      <c r="AU85" s="748">
        <f t="shared" si="143"/>
        <v>0</v>
      </c>
      <c r="AV85" s="749">
        <f t="shared" si="117"/>
        <v>0</v>
      </c>
      <c r="AW85" s="747"/>
      <c r="AX85" s="748">
        <f t="shared" si="144"/>
        <v>0</v>
      </c>
      <c r="AY85" s="749">
        <f t="shared" si="118"/>
        <v>0</v>
      </c>
      <c r="AZ85" s="747"/>
      <c r="BA85" s="748">
        <f t="shared" si="145"/>
        <v>0</v>
      </c>
      <c r="BB85" s="749">
        <f t="shared" si="119"/>
        <v>0</v>
      </c>
      <c r="BC85" s="747"/>
      <c r="BD85" s="748">
        <f t="shared" si="146"/>
        <v>0</v>
      </c>
      <c r="BE85" s="749">
        <f t="shared" si="120"/>
        <v>0</v>
      </c>
      <c r="BF85" s="747"/>
      <c r="BG85" s="748">
        <f t="shared" si="147"/>
        <v>0</v>
      </c>
      <c r="BH85" s="749">
        <f t="shared" si="121"/>
        <v>0</v>
      </c>
    </row>
    <row r="86" spans="1:60" ht="14.25">
      <c r="A86" s="509" t="e">
        <f t="shared" si="131"/>
        <v>#REF!</v>
      </c>
      <c r="B86" s="510">
        <f t="shared" si="132"/>
        <v>0</v>
      </c>
      <c r="C86" s="512" t="e">
        <f t="shared" si="133"/>
        <v>#REF!</v>
      </c>
      <c r="D86" s="513" t="str">
        <f t="shared" si="148"/>
        <v>5. SEÑALIZACION Y SEGURIDAD VIAL</v>
      </c>
      <c r="E86" s="537">
        <v>67</v>
      </c>
      <c r="F86" s="408" t="s">
        <v>365</v>
      </c>
      <c r="G86" s="411" t="s">
        <v>360</v>
      </c>
      <c r="H86" s="17">
        <v>6</v>
      </c>
      <c r="I86" s="405">
        <v>3521.48</v>
      </c>
      <c r="J86" s="26">
        <f t="shared" si="134"/>
        <v>21128.880000000001</v>
      </c>
      <c r="K86" s="17">
        <f>SUMIF($V$3:$BH$3,       "&lt;"&amp;Datos!$C$20,       V86:BH86)</f>
        <v>0</v>
      </c>
      <c r="L86" s="28">
        <f>SUMIF($V$2:$CH$2,"&lt;"&amp;Datos!$C$20,V86:CH86)</f>
        <v>0</v>
      </c>
      <c r="M86" s="25">
        <f>LOOKUP(Datos!$C$20,    'Cant. Ejec,'!$V$3:$BH$3,      'Cant. Ejec,'!$V86:$BH86)</f>
        <v>0</v>
      </c>
      <c r="N86" s="18">
        <f>LOOKUP(Datos!$C$20,    'Cant. Ejec,'!$V$2:$BH$2,      'Cant. Ejec,'!$V86:$BH86)</f>
        <v>0</v>
      </c>
      <c r="O86" s="21">
        <f>SUMIF($V$3:$CH$3,                                                    "&lt;"&amp;(Datos!$C$20+1),V86:CL86)</f>
        <v>0</v>
      </c>
      <c r="P86" s="515">
        <f>SUMIF($V$2:$CH$2,                    "&lt;"&amp;(Datos!$C$20+1),V86:CL86)</f>
        <v>0</v>
      </c>
      <c r="Q86" s="21">
        <f t="shared" si="76"/>
        <v>6</v>
      </c>
      <c r="R86" s="515">
        <f t="shared" si="77"/>
        <v>21128.880000000001</v>
      </c>
      <c r="S86" s="425">
        <f t="shared" si="78"/>
        <v>0</v>
      </c>
      <c r="T86" s="425">
        <f t="shared" si="79"/>
        <v>0</v>
      </c>
      <c r="U86" s="729">
        <f t="shared" si="80"/>
        <v>1</v>
      </c>
      <c r="V86" s="747"/>
      <c r="W86" s="748">
        <f t="shared" si="149"/>
        <v>0</v>
      </c>
      <c r="X86" s="749">
        <f t="shared" si="150"/>
        <v>0</v>
      </c>
      <c r="Y86" s="747"/>
      <c r="Z86" s="748">
        <f t="shared" si="151"/>
        <v>0</v>
      </c>
      <c r="AA86" s="749">
        <f t="shared" si="152"/>
        <v>0</v>
      </c>
      <c r="AB86" s="747"/>
      <c r="AC86" s="748">
        <f t="shared" si="153"/>
        <v>0</v>
      </c>
      <c r="AD86" s="749">
        <f t="shared" si="154"/>
        <v>0</v>
      </c>
      <c r="AE86" s="747"/>
      <c r="AF86" s="748">
        <f t="shared" si="155"/>
        <v>0</v>
      </c>
      <c r="AG86" s="749">
        <f t="shared" si="156"/>
        <v>0</v>
      </c>
      <c r="AH86" s="747"/>
      <c r="AI86" s="748">
        <f t="shared" si="157"/>
        <v>0</v>
      </c>
      <c r="AJ86" s="749">
        <f t="shared" si="158"/>
        <v>0</v>
      </c>
      <c r="AK86" s="747"/>
      <c r="AL86" s="748">
        <f t="shared" si="140"/>
        <v>0</v>
      </c>
      <c r="AM86" s="749">
        <f t="shared" si="114"/>
        <v>0</v>
      </c>
      <c r="AN86" s="747"/>
      <c r="AO86" s="748">
        <f t="shared" si="141"/>
        <v>0</v>
      </c>
      <c r="AP86" s="749">
        <f t="shared" si="115"/>
        <v>0</v>
      </c>
      <c r="AQ86" s="747"/>
      <c r="AR86" s="748">
        <f t="shared" si="142"/>
        <v>0</v>
      </c>
      <c r="AS86" s="749">
        <f t="shared" si="116"/>
        <v>0</v>
      </c>
      <c r="AT86" s="747"/>
      <c r="AU86" s="748">
        <f t="shared" si="143"/>
        <v>0</v>
      </c>
      <c r="AV86" s="749">
        <f t="shared" si="117"/>
        <v>0</v>
      </c>
      <c r="AW86" s="747"/>
      <c r="AX86" s="748">
        <f t="shared" si="144"/>
        <v>0</v>
      </c>
      <c r="AY86" s="749">
        <f t="shared" si="118"/>
        <v>0</v>
      </c>
      <c r="AZ86" s="747"/>
      <c r="BA86" s="748">
        <f t="shared" si="145"/>
        <v>0</v>
      </c>
      <c r="BB86" s="749">
        <f t="shared" si="119"/>
        <v>0</v>
      </c>
      <c r="BC86" s="747"/>
      <c r="BD86" s="748">
        <f t="shared" si="146"/>
        <v>0</v>
      </c>
      <c r="BE86" s="749">
        <f t="shared" si="120"/>
        <v>0</v>
      </c>
      <c r="BF86" s="747"/>
      <c r="BG86" s="748">
        <f t="shared" si="147"/>
        <v>0</v>
      </c>
      <c r="BH86" s="749">
        <f t="shared" si="121"/>
        <v>0</v>
      </c>
    </row>
    <row r="87" spans="1:60" ht="14.25">
      <c r="A87" s="509" t="e">
        <f t="shared" si="131"/>
        <v>#REF!</v>
      </c>
      <c r="B87" s="510">
        <f t="shared" si="132"/>
        <v>0</v>
      </c>
      <c r="C87" s="512" t="e">
        <f t="shared" si="133"/>
        <v>#REF!</v>
      </c>
      <c r="D87" s="513" t="str">
        <f t="shared" si="148"/>
        <v>5. SEÑALIZACION Y SEGURIDAD VIAL</v>
      </c>
      <c r="E87" s="537">
        <v>68</v>
      </c>
      <c r="F87" s="408" t="s">
        <v>366</v>
      </c>
      <c r="G87" s="411" t="s">
        <v>360</v>
      </c>
      <c r="H87" s="17">
        <v>4</v>
      </c>
      <c r="I87" s="405">
        <v>5040.4399999999996</v>
      </c>
      <c r="J87" s="26">
        <f t="shared" si="134"/>
        <v>20161.759999999998</v>
      </c>
      <c r="K87" s="17">
        <f>SUMIF($V$3:$BH$3,       "&lt;"&amp;Datos!$C$20,       V87:BH87)</f>
        <v>0</v>
      </c>
      <c r="L87" s="28">
        <f>SUMIF($V$2:$CH$2,"&lt;"&amp;Datos!$C$20,V87:CH87)</f>
        <v>0</v>
      </c>
      <c r="M87" s="25">
        <f>LOOKUP(Datos!$C$20,    'Cant. Ejec,'!$V$3:$BH$3,      'Cant. Ejec,'!$V87:$BH87)</f>
        <v>0</v>
      </c>
      <c r="N87" s="18">
        <f>LOOKUP(Datos!$C$20,    'Cant. Ejec,'!$V$2:$BH$2,      'Cant. Ejec,'!$V87:$BH87)</f>
        <v>0</v>
      </c>
      <c r="O87" s="21">
        <f>SUMIF($V$3:$CH$3,                                                    "&lt;"&amp;(Datos!$C$20+1),V87:CL87)</f>
        <v>0</v>
      </c>
      <c r="P87" s="515">
        <f>SUMIF($V$2:$CH$2,                    "&lt;"&amp;(Datos!$C$20+1),V87:CL87)</f>
        <v>0</v>
      </c>
      <c r="Q87" s="21">
        <f t="shared" si="76"/>
        <v>4</v>
      </c>
      <c r="R87" s="515">
        <f t="shared" si="77"/>
        <v>20161.759999999998</v>
      </c>
      <c r="S87" s="425">
        <f t="shared" si="78"/>
        <v>0</v>
      </c>
      <c r="T87" s="425">
        <f t="shared" si="79"/>
        <v>0</v>
      </c>
      <c r="U87" s="729">
        <f t="shared" si="80"/>
        <v>1</v>
      </c>
      <c r="V87" s="747"/>
      <c r="W87" s="748">
        <f t="shared" si="149"/>
        <v>0</v>
      </c>
      <c r="X87" s="749">
        <f t="shared" si="150"/>
        <v>0</v>
      </c>
      <c r="Y87" s="747"/>
      <c r="Z87" s="748">
        <f t="shared" si="151"/>
        <v>0</v>
      </c>
      <c r="AA87" s="749">
        <f t="shared" si="152"/>
        <v>0</v>
      </c>
      <c r="AB87" s="747"/>
      <c r="AC87" s="748">
        <f t="shared" si="153"/>
        <v>0</v>
      </c>
      <c r="AD87" s="749">
        <f t="shared" si="154"/>
        <v>0</v>
      </c>
      <c r="AE87" s="747"/>
      <c r="AF87" s="748">
        <f t="shared" si="155"/>
        <v>0</v>
      </c>
      <c r="AG87" s="749">
        <f t="shared" si="156"/>
        <v>0</v>
      </c>
      <c r="AH87" s="747"/>
      <c r="AI87" s="748">
        <f t="shared" si="157"/>
        <v>0</v>
      </c>
      <c r="AJ87" s="749">
        <f t="shared" si="158"/>
        <v>0</v>
      </c>
      <c r="AK87" s="747"/>
      <c r="AL87" s="748">
        <f t="shared" si="140"/>
        <v>0</v>
      </c>
      <c r="AM87" s="749">
        <f t="shared" si="114"/>
        <v>0</v>
      </c>
      <c r="AN87" s="747"/>
      <c r="AO87" s="748">
        <f t="shared" si="141"/>
        <v>0</v>
      </c>
      <c r="AP87" s="749">
        <f t="shared" si="115"/>
        <v>0</v>
      </c>
      <c r="AQ87" s="747"/>
      <c r="AR87" s="748">
        <f t="shared" si="142"/>
        <v>0</v>
      </c>
      <c r="AS87" s="749">
        <f t="shared" si="116"/>
        <v>0</v>
      </c>
      <c r="AT87" s="747"/>
      <c r="AU87" s="748">
        <f t="shared" si="143"/>
        <v>0</v>
      </c>
      <c r="AV87" s="749">
        <f t="shared" si="117"/>
        <v>0</v>
      </c>
      <c r="AW87" s="747"/>
      <c r="AX87" s="748">
        <f t="shared" si="144"/>
        <v>0</v>
      </c>
      <c r="AY87" s="749">
        <f t="shared" si="118"/>
        <v>0</v>
      </c>
      <c r="AZ87" s="747"/>
      <c r="BA87" s="748">
        <f t="shared" si="145"/>
        <v>0</v>
      </c>
      <c r="BB87" s="749">
        <f t="shared" si="119"/>
        <v>0</v>
      </c>
      <c r="BC87" s="747"/>
      <c r="BD87" s="748">
        <f t="shared" si="146"/>
        <v>0</v>
      </c>
      <c r="BE87" s="749">
        <f t="shared" si="120"/>
        <v>0</v>
      </c>
      <c r="BF87" s="747"/>
      <c r="BG87" s="748">
        <f t="shared" si="147"/>
        <v>0</v>
      </c>
      <c r="BH87" s="749">
        <f t="shared" si="121"/>
        <v>0</v>
      </c>
    </row>
    <row r="88" spans="1:60" ht="14.25">
      <c r="A88" s="509" t="e">
        <f t="shared" si="131"/>
        <v>#REF!</v>
      </c>
      <c r="B88" s="510">
        <f t="shared" si="132"/>
        <v>0</v>
      </c>
      <c r="C88" s="512" t="e">
        <f t="shared" si="133"/>
        <v>#REF!</v>
      </c>
      <c r="D88" s="513" t="str">
        <f t="shared" si="148"/>
        <v>5. SEÑALIZACION Y SEGURIDAD VIAL</v>
      </c>
      <c r="E88" s="537">
        <v>69</v>
      </c>
      <c r="F88" s="408" t="s">
        <v>367</v>
      </c>
      <c r="G88" s="411" t="s">
        <v>360</v>
      </c>
      <c r="H88" s="17">
        <v>1</v>
      </c>
      <c r="I88" s="405">
        <v>5892.53</v>
      </c>
      <c r="J88" s="26">
        <f t="shared" si="134"/>
        <v>5892.53</v>
      </c>
      <c r="K88" s="17">
        <f>SUMIF($V$3:$BH$3,       "&lt;"&amp;Datos!$C$20,       V88:BH88)</f>
        <v>0</v>
      </c>
      <c r="L88" s="28">
        <f>SUMIF($V$2:$CH$2,"&lt;"&amp;Datos!$C$20,V88:CH88)</f>
        <v>0</v>
      </c>
      <c r="M88" s="25">
        <f>LOOKUP(Datos!$C$20,    'Cant. Ejec,'!$V$3:$BH$3,      'Cant. Ejec,'!$V88:$BH88)</f>
        <v>0</v>
      </c>
      <c r="N88" s="18">
        <f>LOOKUP(Datos!$C$20,    'Cant. Ejec,'!$V$2:$BH$2,      'Cant. Ejec,'!$V88:$BH88)</f>
        <v>0</v>
      </c>
      <c r="O88" s="21">
        <f>SUMIF($V$3:$CH$3,                                                    "&lt;"&amp;(Datos!$C$20+1),V88:CL88)</f>
        <v>0</v>
      </c>
      <c r="P88" s="515">
        <f>SUMIF($V$2:$CH$2,                    "&lt;"&amp;(Datos!$C$20+1),V88:CL88)</f>
        <v>0</v>
      </c>
      <c r="Q88" s="21">
        <f t="shared" si="76"/>
        <v>1</v>
      </c>
      <c r="R88" s="515">
        <f t="shared" si="77"/>
        <v>5892.53</v>
      </c>
      <c r="S88" s="425">
        <f t="shared" si="78"/>
        <v>0</v>
      </c>
      <c r="T88" s="425">
        <f t="shared" si="79"/>
        <v>0</v>
      </c>
      <c r="U88" s="729">
        <f t="shared" si="80"/>
        <v>1</v>
      </c>
      <c r="V88" s="747"/>
      <c r="W88" s="748">
        <f t="shared" si="149"/>
        <v>0</v>
      </c>
      <c r="X88" s="749">
        <f t="shared" si="150"/>
        <v>0</v>
      </c>
      <c r="Y88" s="747"/>
      <c r="Z88" s="748">
        <f t="shared" si="151"/>
        <v>0</v>
      </c>
      <c r="AA88" s="749">
        <f t="shared" si="152"/>
        <v>0</v>
      </c>
      <c r="AB88" s="747"/>
      <c r="AC88" s="748">
        <f t="shared" si="153"/>
        <v>0</v>
      </c>
      <c r="AD88" s="749">
        <f t="shared" si="154"/>
        <v>0</v>
      </c>
      <c r="AE88" s="747"/>
      <c r="AF88" s="748">
        <f t="shared" si="155"/>
        <v>0</v>
      </c>
      <c r="AG88" s="749">
        <f t="shared" si="156"/>
        <v>0</v>
      </c>
      <c r="AH88" s="747"/>
      <c r="AI88" s="748">
        <f t="shared" si="157"/>
        <v>0</v>
      </c>
      <c r="AJ88" s="749">
        <f t="shared" si="158"/>
        <v>0</v>
      </c>
      <c r="AK88" s="747"/>
      <c r="AL88" s="748">
        <f t="shared" si="140"/>
        <v>0</v>
      </c>
      <c r="AM88" s="749">
        <f t="shared" si="114"/>
        <v>0</v>
      </c>
      <c r="AN88" s="747"/>
      <c r="AO88" s="748">
        <f t="shared" si="141"/>
        <v>0</v>
      </c>
      <c r="AP88" s="749">
        <f t="shared" si="115"/>
        <v>0</v>
      </c>
      <c r="AQ88" s="747"/>
      <c r="AR88" s="748">
        <f t="shared" si="142"/>
        <v>0</v>
      </c>
      <c r="AS88" s="749">
        <f t="shared" si="116"/>
        <v>0</v>
      </c>
      <c r="AT88" s="747"/>
      <c r="AU88" s="748">
        <f t="shared" si="143"/>
        <v>0</v>
      </c>
      <c r="AV88" s="749">
        <f t="shared" si="117"/>
        <v>0</v>
      </c>
      <c r="AW88" s="747"/>
      <c r="AX88" s="748">
        <f t="shared" si="144"/>
        <v>0</v>
      </c>
      <c r="AY88" s="749">
        <f t="shared" si="118"/>
        <v>0</v>
      </c>
      <c r="AZ88" s="747"/>
      <c r="BA88" s="748">
        <f t="shared" si="145"/>
        <v>0</v>
      </c>
      <c r="BB88" s="749">
        <f t="shared" si="119"/>
        <v>0</v>
      </c>
      <c r="BC88" s="747"/>
      <c r="BD88" s="748">
        <f t="shared" si="146"/>
        <v>0</v>
      </c>
      <c r="BE88" s="749">
        <f t="shared" si="120"/>
        <v>0</v>
      </c>
      <c r="BF88" s="747"/>
      <c r="BG88" s="748">
        <f t="shared" si="147"/>
        <v>0</v>
      </c>
      <c r="BH88" s="749">
        <f t="shared" si="121"/>
        <v>0</v>
      </c>
    </row>
    <row r="89" spans="1:60" ht="14.25">
      <c r="A89" s="509" t="e">
        <f t="shared" si="131"/>
        <v>#REF!</v>
      </c>
      <c r="B89" s="510">
        <f t="shared" si="132"/>
        <v>0</v>
      </c>
      <c r="C89" s="512" t="e">
        <f t="shared" si="133"/>
        <v>#REF!</v>
      </c>
      <c r="D89" s="513" t="str">
        <f t="shared" si="148"/>
        <v>5. SEÑALIZACION Y SEGURIDAD VIAL</v>
      </c>
      <c r="E89" s="537">
        <v>70</v>
      </c>
      <c r="F89" s="408" t="s">
        <v>368</v>
      </c>
      <c r="G89" s="411" t="s">
        <v>360</v>
      </c>
      <c r="H89" s="17">
        <v>8</v>
      </c>
      <c r="I89" s="405">
        <v>5216.41</v>
      </c>
      <c r="J89" s="26">
        <f t="shared" si="134"/>
        <v>41731.279999999999</v>
      </c>
      <c r="K89" s="17">
        <f>SUMIF($V$3:$BH$3,       "&lt;"&amp;Datos!$C$20,       V89:BH89)</f>
        <v>0</v>
      </c>
      <c r="L89" s="28">
        <f>SUMIF($V$2:$CH$2,"&lt;"&amp;Datos!$C$20,V89:CH89)</f>
        <v>0</v>
      </c>
      <c r="M89" s="25">
        <f>LOOKUP(Datos!$C$20,    'Cant. Ejec,'!$V$3:$BH$3,      'Cant. Ejec,'!$V89:$BH89)</f>
        <v>0</v>
      </c>
      <c r="N89" s="18">
        <f>LOOKUP(Datos!$C$20,    'Cant. Ejec,'!$V$2:$BH$2,      'Cant. Ejec,'!$V89:$BH89)</f>
        <v>0</v>
      </c>
      <c r="O89" s="21">
        <f>SUMIF($V$3:$CH$3,                                                    "&lt;"&amp;(Datos!$C$20+1),V89:CL89)</f>
        <v>0</v>
      </c>
      <c r="P89" s="515">
        <f>SUMIF($V$2:$CH$2,                    "&lt;"&amp;(Datos!$C$20+1),V89:CL89)</f>
        <v>0</v>
      </c>
      <c r="Q89" s="21">
        <f t="shared" si="76"/>
        <v>8</v>
      </c>
      <c r="R89" s="515">
        <f t="shared" si="77"/>
        <v>41731.279999999999</v>
      </c>
      <c r="S89" s="425">
        <f t="shared" si="78"/>
        <v>0</v>
      </c>
      <c r="T89" s="425">
        <f t="shared" si="79"/>
        <v>0</v>
      </c>
      <c r="U89" s="729">
        <f t="shared" si="80"/>
        <v>1</v>
      </c>
      <c r="V89" s="747"/>
      <c r="W89" s="748">
        <f t="shared" si="149"/>
        <v>0</v>
      </c>
      <c r="X89" s="749">
        <f t="shared" si="150"/>
        <v>0</v>
      </c>
      <c r="Y89" s="747"/>
      <c r="Z89" s="748">
        <f t="shared" si="151"/>
        <v>0</v>
      </c>
      <c r="AA89" s="749">
        <f t="shared" si="152"/>
        <v>0</v>
      </c>
      <c r="AB89" s="747"/>
      <c r="AC89" s="748">
        <f t="shared" si="153"/>
        <v>0</v>
      </c>
      <c r="AD89" s="749">
        <f t="shared" si="154"/>
        <v>0</v>
      </c>
      <c r="AE89" s="747"/>
      <c r="AF89" s="748">
        <f t="shared" si="155"/>
        <v>0</v>
      </c>
      <c r="AG89" s="749">
        <f t="shared" si="156"/>
        <v>0</v>
      </c>
      <c r="AH89" s="747"/>
      <c r="AI89" s="748">
        <f t="shared" si="157"/>
        <v>0</v>
      </c>
      <c r="AJ89" s="749">
        <f t="shared" si="158"/>
        <v>0</v>
      </c>
      <c r="AK89" s="747"/>
      <c r="AL89" s="748">
        <f t="shared" si="140"/>
        <v>0</v>
      </c>
      <c r="AM89" s="749">
        <f t="shared" si="114"/>
        <v>0</v>
      </c>
      <c r="AN89" s="747"/>
      <c r="AO89" s="748">
        <f t="shared" si="141"/>
        <v>0</v>
      </c>
      <c r="AP89" s="749">
        <f t="shared" si="115"/>
        <v>0</v>
      </c>
      <c r="AQ89" s="747"/>
      <c r="AR89" s="748">
        <f t="shared" si="142"/>
        <v>0</v>
      </c>
      <c r="AS89" s="749">
        <f t="shared" si="116"/>
        <v>0</v>
      </c>
      <c r="AT89" s="747"/>
      <c r="AU89" s="748">
        <f t="shared" si="143"/>
        <v>0</v>
      </c>
      <c r="AV89" s="749">
        <f t="shared" si="117"/>
        <v>0</v>
      </c>
      <c r="AW89" s="747"/>
      <c r="AX89" s="748">
        <f t="shared" si="144"/>
        <v>0</v>
      </c>
      <c r="AY89" s="749">
        <f t="shared" si="118"/>
        <v>0</v>
      </c>
      <c r="AZ89" s="747"/>
      <c r="BA89" s="748">
        <f t="shared" si="145"/>
        <v>0</v>
      </c>
      <c r="BB89" s="749">
        <f t="shared" si="119"/>
        <v>0</v>
      </c>
      <c r="BC89" s="747"/>
      <c r="BD89" s="748">
        <f t="shared" si="146"/>
        <v>0</v>
      </c>
      <c r="BE89" s="749">
        <f t="shared" si="120"/>
        <v>0</v>
      </c>
      <c r="BF89" s="747"/>
      <c r="BG89" s="748">
        <f t="shared" si="147"/>
        <v>0</v>
      </c>
      <c r="BH89" s="749">
        <f t="shared" si="121"/>
        <v>0</v>
      </c>
    </row>
    <row r="90" spans="1:60" ht="14.25">
      <c r="A90" s="509" t="e">
        <f t="shared" si="131"/>
        <v>#REF!</v>
      </c>
      <c r="B90" s="510">
        <f t="shared" si="132"/>
        <v>0</v>
      </c>
      <c r="C90" s="512" t="e">
        <f t="shared" si="133"/>
        <v>#REF!</v>
      </c>
      <c r="D90" s="513" t="str">
        <f t="shared" si="148"/>
        <v>5. SEÑALIZACION Y SEGURIDAD VIAL</v>
      </c>
      <c r="E90" s="537">
        <v>71</v>
      </c>
      <c r="F90" s="408" t="s">
        <v>369</v>
      </c>
      <c r="G90" s="411" t="s">
        <v>360</v>
      </c>
      <c r="H90" s="17">
        <v>22</v>
      </c>
      <c r="I90" s="405">
        <v>2141.4499999999998</v>
      </c>
      <c r="J90" s="26">
        <f t="shared" si="134"/>
        <v>47111.9</v>
      </c>
      <c r="K90" s="17">
        <f>SUMIF($V$3:$BH$3,       "&lt;"&amp;Datos!$C$20,       V90:BH90)</f>
        <v>0</v>
      </c>
      <c r="L90" s="28">
        <f>SUMIF($V$2:$CH$2,"&lt;"&amp;Datos!$C$20,V90:CH90)</f>
        <v>0</v>
      </c>
      <c r="M90" s="25">
        <f>LOOKUP(Datos!$C$20,    'Cant. Ejec,'!$V$3:$BH$3,      'Cant. Ejec,'!$V90:$BH90)</f>
        <v>0</v>
      </c>
      <c r="N90" s="18">
        <f>LOOKUP(Datos!$C$20,    'Cant. Ejec,'!$V$2:$BH$2,      'Cant. Ejec,'!$V90:$BH90)</f>
        <v>0</v>
      </c>
      <c r="O90" s="21">
        <f>SUMIF($V$3:$CH$3,                                                    "&lt;"&amp;(Datos!$C$20+1),V90:CL90)</f>
        <v>0</v>
      </c>
      <c r="P90" s="515">
        <f>SUMIF($V$2:$CH$2,                    "&lt;"&amp;(Datos!$C$20+1),V90:CL90)</f>
        <v>0</v>
      </c>
      <c r="Q90" s="21">
        <f t="shared" si="76"/>
        <v>22</v>
      </c>
      <c r="R90" s="515">
        <f t="shared" si="77"/>
        <v>47111.9</v>
      </c>
      <c r="S90" s="425">
        <f t="shared" si="78"/>
        <v>0</v>
      </c>
      <c r="T90" s="425">
        <f t="shared" si="79"/>
        <v>0</v>
      </c>
      <c r="U90" s="729">
        <f t="shared" si="80"/>
        <v>1</v>
      </c>
      <c r="V90" s="747"/>
      <c r="W90" s="748">
        <f t="shared" si="149"/>
        <v>0</v>
      </c>
      <c r="X90" s="749">
        <f t="shared" si="150"/>
        <v>0</v>
      </c>
      <c r="Y90" s="747"/>
      <c r="Z90" s="748">
        <f t="shared" si="151"/>
        <v>0</v>
      </c>
      <c r="AA90" s="749">
        <f t="shared" si="152"/>
        <v>0</v>
      </c>
      <c r="AB90" s="747"/>
      <c r="AC90" s="748">
        <f t="shared" si="153"/>
        <v>0</v>
      </c>
      <c r="AD90" s="749">
        <f t="shared" si="154"/>
        <v>0</v>
      </c>
      <c r="AE90" s="747"/>
      <c r="AF90" s="748">
        <f t="shared" si="155"/>
        <v>0</v>
      </c>
      <c r="AG90" s="749">
        <f t="shared" si="156"/>
        <v>0</v>
      </c>
      <c r="AH90" s="747"/>
      <c r="AI90" s="748">
        <f t="shared" si="157"/>
        <v>0</v>
      </c>
      <c r="AJ90" s="749">
        <f t="shared" si="158"/>
        <v>0</v>
      </c>
      <c r="AK90" s="747"/>
      <c r="AL90" s="748">
        <f t="shared" si="140"/>
        <v>0</v>
      </c>
      <c r="AM90" s="749">
        <f t="shared" si="114"/>
        <v>0</v>
      </c>
      <c r="AN90" s="747"/>
      <c r="AO90" s="748">
        <f t="shared" si="141"/>
        <v>0</v>
      </c>
      <c r="AP90" s="749">
        <f t="shared" si="115"/>
        <v>0</v>
      </c>
      <c r="AQ90" s="747"/>
      <c r="AR90" s="748">
        <f t="shared" si="142"/>
        <v>0</v>
      </c>
      <c r="AS90" s="749">
        <f t="shared" si="116"/>
        <v>0</v>
      </c>
      <c r="AT90" s="747"/>
      <c r="AU90" s="748">
        <f t="shared" si="143"/>
        <v>0</v>
      </c>
      <c r="AV90" s="749">
        <f t="shared" si="117"/>
        <v>0</v>
      </c>
      <c r="AW90" s="747"/>
      <c r="AX90" s="748">
        <f t="shared" si="144"/>
        <v>0</v>
      </c>
      <c r="AY90" s="749">
        <f t="shared" si="118"/>
        <v>0</v>
      </c>
      <c r="AZ90" s="747"/>
      <c r="BA90" s="748">
        <f t="shared" si="145"/>
        <v>0</v>
      </c>
      <c r="BB90" s="749">
        <f t="shared" si="119"/>
        <v>0</v>
      </c>
      <c r="BC90" s="747"/>
      <c r="BD90" s="748">
        <f t="shared" si="146"/>
        <v>0</v>
      </c>
      <c r="BE90" s="749">
        <f t="shared" si="120"/>
        <v>0</v>
      </c>
      <c r="BF90" s="747"/>
      <c r="BG90" s="748">
        <f t="shared" si="147"/>
        <v>0</v>
      </c>
      <c r="BH90" s="749">
        <f t="shared" si="121"/>
        <v>0</v>
      </c>
    </row>
    <row r="91" spans="1:60" ht="14.25">
      <c r="A91" s="509" t="e">
        <f t="shared" si="131"/>
        <v>#REF!</v>
      </c>
      <c r="B91" s="510">
        <f t="shared" si="132"/>
        <v>0</v>
      </c>
      <c r="C91" s="512" t="e">
        <f t="shared" si="133"/>
        <v>#REF!</v>
      </c>
      <c r="D91" s="513" t="str">
        <f t="shared" si="148"/>
        <v>5. SEÑALIZACION Y SEGURIDAD VIAL</v>
      </c>
      <c r="E91" s="537">
        <v>72</v>
      </c>
      <c r="F91" s="408" t="s">
        <v>370</v>
      </c>
      <c r="G91" s="411" t="s">
        <v>360</v>
      </c>
      <c r="H91" s="17">
        <v>16875</v>
      </c>
      <c r="I91" s="405">
        <v>52.22</v>
      </c>
      <c r="J91" s="26">
        <f t="shared" si="134"/>
        <v>881212.5</v>
      </c>
      <c r="K91" s="17">
        <f>SUMIF($V$3:$BH$3,       "&lt;"&amp;Datos!$C$20,       V91:BH91)</f>
        <v>0</v>
      </c>
      <c r="L91" s="28">
        <f>SUMIF($V$2:$CH$2,"&lt;"&amp;Datos!$C$20,V91:CH91)</f>
        <v>0</v>
      </c>
      <c r="M91" s="25">
        <f>LOOKUP(Datos!$C$20,    'Cant. Ejec,'!$V$3:$BH$3,      'Cant. Ejec,'!$V91:$BH91)</f>
        <v>0</v>
      </c>
      <c r="N91" s="18">
        <f>LOOKUP(Datos!$C$20,    'Cant. Ejec,'!$V$2:$BH$2,      'Cant. Ejec,'!$V91:$BH91)</f>
        <v>0</v>
      </c>
      <c r="O91" s="21">
        <f>SUMIF($V$3:$CH$3,                                                    "&lt;"&amp;(Datos!$C$20+1),V91:CL91)</f>
        <v>0</v>
      </c>
      <c r="P91" s="515">
        <f>SUMIF($V$2:$CH$2,                    "&lt;"&amp;(Datos!$C$20+1),V91:CL91)</f>
        <v>0</v>
      </c>
      <c r="Q91" s="21">
        <f t="shared" si="76"/>
        <v>16875</v>
      </c>
      <c r="R91" s="515">
        <f t="shared" si="77"/>
        <v>881212.5</v>
      </c>
      <c r="S91" s="425">
        <f t="shared" si="78"/>
        <v>0</v>
      </c>
      <c r="T91" s="425">
        <f t="shared" si="79"/>
        <v>0</v>
      </c>
      <c r="U91" s="729">
        <f t="shared" si="80"/>
        <v>1</v>
      </c>
      <c r="V91" s="747"/>
      <c r="W91" s="748">
        <f t="shared" si="149"/>
        <v>0</v>
      </c>
      <c r="X91" s="749">
        <f t="shared" si="150"/>
        <v>0</v>
      </c>
      <c r="Y91" s="747"/>
      <c r="Z91" s="748">
        <f t="shared" si="151"/>
        <v>0</v>
      </c>
      <c r="AA91" s="749">
        <f t="shared" si="152"/>
        <v>0</v>
      </c>
      <c r="AB91" s="747"/>
      <c r="AC91" s="748">
        <f t="shared" si="153"/>
        <v>0</v>
      </c>
      <c r="AD91" s="749">
        <f t="shared" si="154"/>
        <v>0</v>
      </c>
      <c r="AE91" s="747"/>
      <c r="AF91" s="748">
        <f t="shared" si="155"/>
        <v>0</v>
      </c>
      <c r="AG91" s="749">
        <f t="shared" si="156"/>
        <v>0</v>
      </c>
      <c r="AH91" s="747"/>
      <c r="AI91" s="748">
        <f t="shared" si="157"/>
        <v>0</v>
      </c>
      <c r="AJ91" s="749">
        <f t="shared" si="158"/>
        <v>0</v>
      </c>
      <c r="AK91" s="747"/>
      <c r="AL91" s="748">
        <f t="shared" si="140"/>
        <v>0</v>
      </c>
      <c r="AM91" s="749">
        <f t="shared" si="114"/>
        <v>0</v>
      </c>
      <c r="AN91" s="747"/>
      <c r="AO91" s="748">
        <f t="shared" si="141"/>
        <v>0</v>
      </c>
      <c r="AP91" s="749">
        <f t="shared" si="115"/>
        <v>0</v>
      </c>
      <c r="AQ91" s="747"/>
      <c r="AR91" s="748">
        <f t="shared" si="142"/>
        <v>0</v>
      </c>
      <c r="AS91" s="749">
        <f t="shared" si="116"/>
        <v>0</v>
      </c>
      <c r="AT91" s="747"/>
      <c r="AU91" s="748">
        <f t="shared" si="143"/>
        <v>0</v>
      </c>
      <c r="AV91" s="749">
        <f t="shared" si="117"/>
        <v>0</v>
      </c>
      <c r="AW91" s="747"/>
      <c r="AX91" s="748">
        <f t="shared" si="144"/>
        <v>0</v>
      </c>
      <c r="AY91" s="749">
        <f t="shared" si="118"/>
        <v>0</v>
      </c>
      <c r="AZ91" s="747"/>
      <c r="BA91" s="748">
        <f t="shared" si="145"/>
        <v>0</v>
      </c>
      <c r="BB91" s="749">
        <f t="shared" si="119"/>
        <v>0</v>
      </c>
      <c r="BC91" s="747"/>
      <c r="BD91" s="748">
        <f t="shared" si="146"/>
        <v>0</v>
      </c>
      <c r="BE91" s="749">
        <f t="shared" si="120"/>
        <v>0</v>
      </c>
      <c r="BF91" s="747"/>
      <c r="BG91" s="748">
        <f t="shared" si="147"/>
        <v>0</v>
      </c>
      <c r="BH91" s="749">
        <f t="shared" si="121"/>
        <v>0</v>
      </c>
    </row>
    <row r="92" spans="1:60" ht="14.25">
      <c r="A92" s="509" t="e">
        <f t="shared" si="131"/>
        <v>#REF!</v>
      </c>
      <c r="B92" s="510">
        <f t="shared" si="132"/>
        <v>0</v>
      </c>
      <c r="C92" s="512" t="e">
        <f t="shared" si="133"/>
        <v>#REF!</v>
      </c>
      <c r="D92" s="513" t="str">
        <f t="shared" si="148"/>
        <v>5. SEÑALIZACION Y SEGURIDAD VIAL</v>
      </c>
      <c r="E92" s="537">
        <v>73</v>
      </c>
      <c r="F92" s="408" t="s">
        <v>371</v>
      </c>
      <c r="G92" s="411" t="s">
        <v>89</v>
      </c>
      <c r="H92" s="17">
        <v>109</v>
      </c>
      <c r="I92" s="405">
        <v>56.7</v>
      </c>
      <c r="J92" s="26">
        <f t="shared" si="134"/>
        <v>6180.3</v>
      </c>
      <c r="K92" s="17">
        <f>SUMIF($V$3:$BH$3,       "&lt;"&amp;Datos!$C$20,       V92:BH92)</f>
        <v>0</v>
      </c>
      <c r="L92" s="28">
        <f>SUMIF($V$2:$CH$2,"&lt;"&amp;Datos!$C$20,V92:CH92)</f>
        <v>0</v>
      </c>
      <c r="M92" s="223">
        <f>LOOKUP(Datos!$C$20,    'Cant. Ejec,'!$V$3:$BH$3,      'Cant. Ejec,'!$V92:$BH92)</f>
        <v>0</v>
      </c>
      <c r="N92" s="572">
        <f>LOOKUP(Datos!$C$20,    'Cant. Ejec,'!$V$2:$BH$2,      'Cant. Ejec,'!$V92:$BH92)</f>
        <v>0</v>
      </c>
      <c r="O92" s="21">
        <f>SUMIF($V$3:$CH$3,                                                    "&lt;"&amp;(Datos!$C$20+1),V92:CL92)</f>
        <v>0</v>
      </c>
      <c r="P92" s="515">
        <f>SUMIF($V$2:$CH$2,                    "&lt;"&amp;(Datos!$C$20+1),V92:CL92)</f>
        <v>0</v>
      </c>
      <c r="Q92" s="21">
        <f t="shared" si="76"/>
        <v>109</v>
      </c>
      <c r="R92" s="515">
        <f t="shared" si="77"/>
        <v>6180.3</v>
      </c>
      <c r="S92" s="534">
        <f t="shared" si="78"/>
        <v>0</v>
      </c>
      <c r="T92" s="534">
        <f t="shared" si="79"/>
        <v>0</v>
      </c>
      <c r="U92" s="730">
        <f t="shared" si="80"/>
        <v>1</v>
      </c>
      <c r="V92" s="747"/>
      <c r="W92" s="748">
        <f t="shared" si="149"/>
        <v>0</v>
      </c>
      <c r="X92" s="749">
        <f t="shared" si="150"/>
        <v>0</v>
      </c>
      <c r="Y92" s="747"/>
      <c r="Z92" s="748">
        <f t="shared" si="151"/>
        <v>0</v>
      </c>
      <c r="AA92" s="749">
        <f t="shared" si="152"/>
        <v>0</v>
      </c>
      <c r="AB92" s="747"/>
      <c r="AC92" s="748">
        <f t="shared" si="153"/>
        <v>0</v>
      </c>
      <c r="AD92" s="749">
        <f t="shared" si="154"/>
        <v>0</v>
      </c>
      <c r="AE92" s="747"/>
      <c r="AF92" s="748">
        <f t="shared" si="155"/>
        <v>0</v>
      </c>
      <c r="AG92" s="749">
        <f t="shared" si="156"/>
        <v>0</v>
      </c>
      <c r="AH92" s="747"/>
      <c r="AI92" s="748">
        <f t="shared" si="157"/>
        <v>0</v>
      </c>
      <c r="AJ92" s="749">
        <f t="shared" si="158"/>
        <v>0</v>
      </c>
      <c r="AK92" s="747"/>
      <c r="AL92" s="748">
        <f t="shared" si="140"/>
        <v>0</v>
      </c>
      <c r="AM92" s="749">
        <f t="shared" si="114"/>
        <v>0</v>
      </c>
      <c r="AN92" s="747"/>
      <c r="AO92" s="748">
        <f t="shared" si="141"/>
        <v>0</v>
      </c>
      <c r="AP92" s="749">
        <f t="shared" si="115"/>
        <v>0</v>
      </c>
      <c r="AQ92" s="747"/>
      <c r="AR92" s="748">
        <f t="shared" si="142"/>
        <v>0</v>
      </c>
      <c r="AS92" s="749">
        <f t="shared" si="116"/>
        <v>0</v>
      </c>
      <c r="AT92" s="747"/>
      <c r="AU92" s="748">
        <f t="shared" si="143"/>
        <v>0</v>
      </c>
      <c r="AV92" s="749">
        <f t="shared" si="117"/>
        <v>0</v>
      </c>
      <c r="AW92" s="747"/>
      <c r="AX92" s="748">
        <f t="shared" si="144"/>
        <v>0</v>
      </c>
      <c r="AY92" s="749">
        <f t="shared" si="118"/>
        <v>0</v>
      </c>
      <c r="AZ92" s="747"/>
      <c r="BA92" s="748">
        <f t="shared" si="145"/>
        <v>0</v>
      </c>
      <c r="BB92" s="749">
        <f t="shared" si="119"/>
        <v>0</v>
      </c>
      <c r="BC92" s="747"/>
      <c r="BD92" s="748">
        <f t="shared" si="146"/>
        <v>0</v>
      </c>
      <c r="BE92" s="749">
        <f t="shared" si="120"/>
        <v>0</v>
      </c>
      <c r="BF92" s="747"/>
      <c r="BG92" s="748">
        <f t="shared" si="147"/>
        <v>0</v>
      </c>
      <c r="BH92" s="749">
        <f t="shared" si="121"/>
        <v>0</v>
      </c>
    </row>
    <row r="93" spans="1:60" ht="14.25">
      <c r="A93" s="509" t="e">
        <f>+IF(B93&gt;0,B93+#REF!,IF(C93&gt;#REF!,C93,0))</f>
        <v>#REF!</v>
      </c>
      <c r="B93" s="510" t="e">
        <f>+IF(#REF!&gt;=0.01,1,0)</f>
        <v>#REF!</v>
      </c>
      <c r="C93" s="512" t="e">
        <f>+B93+#REF!</f>
        <v>#REF!</v>
      </c>
      <c r="D93" s="513"/>
      <c r="E93" s="538">
        <v>6</v>
      </c>
      <c r="F93" s="522" t="s">
        <v>241</v>
      </c>
      <c r="G93" s="548"/>
      <c r="H93" s="549"/>
      <c r="I93" s="550"/>
      <c r="J93" s="551">
        <f>SUM(J94)</f>
        <v>1018905.14</v>
      </c>
      <c r="K93" s="552">
        <f>SUMIF($V$3:$CH$3,"&lt;"&amp;Datos!$C$20,V93:CH93)</f>
        <v>0</v>
      </c>
      <c r="L93" s="551">
        <f>SUM(L94)</f>
        <v>50945.259999999995</v>
      </c>
      <c r="M93" s="553">
        <f>LOOKUP(Datos!$C$20,'Cant. Ejec,'!$V$3:$BB$3,'Cant. Ejec,'!$V93:$BB93)</f>
        <v>0</v>
      </c>
      <c r="N93" s="551">
        <f>SUM(N94)</f>
        <v>30567.15</v>
      </c>
      <c r="O93" s="552"/>
      <c r="P93" s="551">
        <f>SUM(P94)</f>
        <v>81512.41</v>
      </c>
      <c r="Q93" s="553"/>
      <c r="R93" s="551">
        <f>SUM(R94)</f>
        <v>937392.73</v>
      </c>
      <c r="S93" s="571">
        <f>(N93/J93)</f>
        <v>2.9999995877928343E-2</v>
      </c>
      <c r="T93" s="642">
        <f>(P93/J93)</f>
        <v>7.9999998822265245E-2</v>
      </c>
      <c r="U93" s="728">
        <f>(R93/J93)</f>
        <v>0.92000000117773473</v>
      </c>
      <c r="V93" s="741"/>
      <c r="W93" s="742">
        <f>SUM(W94)</f>
        <v>0</v>
      </c>
      <c r="X93" s="743">
        <f t="shared" ref="X93:X101" si="159">+W93/$J93</f>
        <v>0</v>
      </c>
      <c r="Y93" s="741"/>
      <c r="Z93" s="742">
        <f>SUM(Z94)</f>
        <v>40756.21</v>
      </c>
      <c r="AA93" s="743">
        <f t="shared" ref="AA93:AA101" si="160">+Z93/$J93</f>
        <v>4.0000004318360781E-2</v>
      </c>
      <c r="AB93" s="741"/>
      <c r="AC93" s="742">
        <f>SUM(AC94)</f>
        <v>0</v>
      </c>
      <c r="AD93" s="743">
        <f t="shared" ref="AD93:AD101" si="161">+AC93/$J93</f>
        <v>0</v>
      </c>
      <c r="AE93" s="741"/>
      <c r="AF93" s="742">
        <f>SUM(AF94)</f>
        <v>0</v>
      </c>
      <c r="AG93" s="743">
        <f t="shared" ref="AG93:AG101" si="162">+AF93/$J93</f>
        <v>0</v>
      </c>
      <c r="AH93" s="741"/>
      <c r="AI93" s="742">
        <f>SUM(AI94)</f>
        <v>0</v>
      </c>
      <c r="AJ93" s="743">
        <f>+AI93/$J93</f>
        <v>0</v>
      </c>
      <c r="AK93" s="741"/>
      <c r="AL93" s="742">
        <f>SUM(AL94)</f>
        <v>0</v>
      </c>
      <c r="AM93" s="743">
        <f>+AL93/$J93</f>
        <v>0</v>
      </c>
      <c r="AN93" s="741"/>
      <c r="AO93" s="742">
        <f>SUM(AO94)</f>
        <v>0</v>
      </c>
      <c r="AP93" s="743">
        <f>+AO93/$J93</f>
        <v>0</v>
      </c>
      <c r="AQ93" s="741"/>
      <c r="AR93" s="742">
        <f>SUM(AR94)</f>
        <v>0</v>
      </c>
      <c r="AS93" s="743">
        <f>+AR93/$J93</f>
        <v>0</v>
      </c>
      <c r="AT93" s="741"/>
      <c r="AU93" s="742">
        <f>SUM(AU94)</f>
        <v>0</v>
      </c>
      <c r="AV93" s="743">
        <f>+AU93/$J93</f>
        <v>0</v>
      </c>
      <c r="AW93" s="741"/>
      <c r="AX93" s="742">
        <f>SUM(AX94)</f>
        <v>10189.049999999999</v>
      </c>
      <c r="AY93" s="743">
        <f>+AX93/$J93</f>
        <v>9.9999986259761125E-3</v>
      </c>
      <c r="AZ93" s="741"/>
      <c r="BA93" s="742">
        <f>SUM(BA94)</f>
        <v>30567.15</v>
      </c>
      <c r="BB93" s="743">
        <f>+BA93/$J93</f>
        <v>2.9999995877928343E-2</v>
      </c>
      <c r="BC93" s="741"/>
      <c r="BD93" s="742">
        <f>SUM(BD94)</f>
        <v>0</v>
      </c>
      <c r="BE93" s="743">
        <f>+BD93/$J93</f>
        <v>0</v>
      </c>
      <c r="BF93" s="741"/>
      <c r="BG93" s="742">
        <f>SUM(BG94)</f>
        <v>0</v>
      </c>
      <c r="BH93" s="743">
        <f>+BG93/$J93</f>
        <v>0</v>
      </c>
    </row>
    <row r="94" spans="1:60" ht="14.25">
      <c r="A94" s="509" t="e">
        <f t="shared" si="131"/>
        <v>#REF!</v>
      </c>
      <c r="B94" s="510">
        <f t="shared" si="132"/>
        <v>1</v>
      </c>
      <c r="C94" s="512" t="e">
        <f t="shared" si="133"/>
        <v>#REF!</v>
      </c>
      <c r="D94" s="513" t="str">
        <f>+E93&amp;". "&amp;F93</f>
        <v>6. MEDIDAS DE MITIGACION AMBIENTAL</v>
      </c>
      <c r="E94" s="537">
        <v>74</v>
      </c>
      <c r="F94" s="408" t="s">
        <v>241</v>
      </c>
      <c r="G94" s="411" t="s">
        <v>91</v>
      </c>
      <c r="H94" s="17">
        <v>1</v>
      </c>
      <c r="I94" s="405">
        <v>1018905.14</v>
      </c>
      <c r="J94" s="26">
        <f>ROUND(H94*I94,2)</f>
        <v>1018905.14</v>
      </c>
      <c r="K94" s="17">
        <f>SUMIF($V$3:$BH$3,       "&lt;"&amp;Datos!$C$20,       V94:BH94)</f>
        <v>0.05</v>
      </c>
      <c r="L94" s="28">
        <f>SUMIF($V$2:$CH$2,"&lt;"&amp;Datos!$C$20,V94:CH94)</f>
        <v>50945.259999999995</v>
      </c>
      <c r="M94" s="573">
        <f>LOOKUP(Datos!$C$20,    'Cant. Ejec,'!$V$3:$BH$3,      'Cant. Ejec,'!$V94:$BH94)</f>
        <v>0.03</v>
      </c>
      <c r="N94" s="574">
        <f>LOOKUP(Datos!$C$20,    'Cant. Ejec,'!$V$2:$BH$2,      'Cant. Ejec,'!$V94:$BH94)</f>
        <v>30567.15</v>
      </c>
      <c r="O94" s="21">
        <f>SUMIF($V$3:$CH$3,                                                    "&lt;"&amp;(Datos!$C$20+1),V94:CL94)</f>
        <v>0.08</v>
      </c>
      <c r="P94" s="515">
        <f>SUMIF($V$2:$CH$2,                    "&lt;"&amp;(Datos!$C$20+1),V94:CL94)</f>
        <v>81512.41</v>
      </c>
      <c r="Q94" s="21">
        <f>H94-O94</f>
        <v>0.92</v>
      </c>
      <c r="R94" s="515">
        <f>+J94-P94</f>
        <v>937392.73</v>
      </c>
      <c r="S94" s="534">
        <f>(N94/J94)</f>
        <v>2.9999995877928343E-2</v>
      </c>
      <c r="T94" s="534">
        <f>(P94/J94)</f>
        <v>7.9999998822265245E-2</v>
      </c>
      <c r="U94" s="730">
        <f>(R94/J94)</f>
        <v>0.92000000117773473</v>
      </c>
      <c r="V94" s="747"/>
      <c r="W94" s="748">
        <f>ROUND(V94*$I94,2)</f>
        <v>0</v>
      </c>
      <c r="X94" s="749">
        <f t="shared" si="159"/>
        <v>0</v>
      </c>
      <c r="Y94" s="747">
        <v>0.04</v>
      </c>
      <c r="Z94" s="748">
        <f>ROUND(Y94*$I94,2)</f>
        <v>40756.21</v>
      </c>
      <c r="AA94" s="749">
        <f t="shared" si="160"/>
        <v>4.0000004318360781E-2</v>
      </c>
      <c r="AB94" s="747"/>
      <c r="AC94" s="748">
        <f>ROUND(AB94*$I94,2)</f>
        <v>0</v>
      </c>
      <c r="AD94" s="749">
        <f t="shared" si="161"/>
        <v>0</v>
      </c>
      <c r="AE94" s="747"/>
      <c r="AF94" s="748">
        <f>ROUND(AE94*$I94,2)</f>
        <v>0</v>
      </c>
      <c r="AG94" s="749">
        <f t="shared" si="162"/>
        <v>0</v>
      </c>
      <c r="AH94" s="747"/>
      <c r="AI94" s="748">
        <f>ROUND(AH94*$I94,2)</f>
        <v>0</v>
      </c>
      <c r="AJ94" s="749">
        <f t="shared" ref="AJ94:AJ99" si="163">+AI94/$J94</f>
        <v>0</v>
      </c>
      <c r="AK94" s="747"/>
      <c r="AL94" s="748">
        <f>ROUND(AK94*$I94,2)</f>
        <v>0</v>
      </c>
      <c r="AM94" s="749">
        <f t="shared" ref="AM94:AM100" si="164">+AL94/$J94</f>
        <v>0</v>
      </c>
      <c r="AN94" s="747"/>
      <c r="AO94" s="748">
        <f>ROUND(AN94*$I94,2)</f>
        <v>0</v>
      </c>
      <c r="AP94" s="749">
        <f t="shared" ref="AP94:AP100" si="165">+AO94/$J94</f>
        <v>0</v>
      </c>
      <c r="AQ94" s="1165">
        <v>0</v>
      </c>
      <c r="AR94" s="1166">
        <f>ROUND(AQ94*$I94,2)</f>
        <v>0</v>
      </c>
      <c r="AS94" s="1167">
        <f t="shared" ref="AS94:AS100" si="166">+AR94/$J94</f>
        <v>0</v>
      </c>
      <c r="AT94" s="747"/>
      <c r="AU94" s="748">
        <f>ROUND(AT94*$I94,2)</f>
        <v>0</v>
      </c>
      <c r="AV94" s="749">
        <f t="shared" ref="AV94:AV99" si="167">+AU94/$J94</f>
        <v>0</v>
      </c>
      <c r="AW94" s="881">
        <v>0.01</v>
      </c>
      <c r="AX94" s="882">
        <f>ROUND(AW94*$I94,2)</f>
        <v>10189.049999999999</v>
      </c>
      <c r="AY94" s="883">
        <f t="shared" ref="AY94:AY99" si="168">+AX94/$J94</f>
        <v>9.9999986259761125E-3</v>
      </c>
      <c r="AZ94" s="881">
        <v>0.03</v>
      </c>
      <c r="BA94" s="882">
        <f>ROUND(AZ94*$I94,2)</f>
        <v>30567.15</v>
      </c>
      <c r="BB94" s="883">
        <f t="shared" ref="BB94:BB99" si="169">+BA94/$J94</f>
        <v>2.9999995877928343E-2</v>
      </c>
      <c r="BC94" s="747"/>
      <c r="BD94" s="748">
        <f>ROUND(BC94*$I94,2)</f>
        <v>0</v>
      </c>
      <c r="BE94" s="749">
        <f t="shared" ref="BE94:BE99" si="170">+BD94/$J94</f>
        <v>0</v>
      </c>
      <c r="BF94" s="747"/>
      <c r="BG94" s="748">
        <f>ROUND(BF94*$I94,2)</f>
        <v>0</v>
      </c>
      <c r="BH94" s="749">
        <f t="shared" ref="BH94:BH99" si="171">+BG94/$J94</f>
        <v>0</v>
      </c>
    </row>
    <row r="95" spans="1:60" ht="14.25">
      <c r="A95" s="509" t="e">
        <f>+IF(B95&gt;0,B95+#REF!,IF(C95&gt;#REF!,C95,0))</f>
        <v>#REF!</v>
      </c>
      <c r="B95" s="510" t="e">
        <f>+IF(#REF!&gt;=0.01,1,0)</f>
        <v>#REF!</v>
      </c>
      <c r="C95" s="512" t="e">
        <f>+B95+#REF!</f>
        <v>#REF!</v>
      </c>
      <c r="D95" s="513"/>
      <c r="E95" s="538">
        <v>7</v>
      </c>
      <c r="F95" s="522" t="s">
        <v>372</v>
      </c>
      <c r="G95" s="548"/>
      <c r="H95" s="549"/>
      <c r="I95" s="550"/>
      <c r="J95" s="551">
        <f>SUM(J96:J101)</f>
        <v>2248712.06</v>
      </c>
      <c r="K95" s="552">
        <f>SUMIF($V$3:$CH$3,"&lt;"&amp;Datos!$C$20,V95:CH95)</f>
        <v>0</v>
      </c>
      <c r="L95" s="551">
        <f>SUM(L96:L101)</f>
        <v>63419.1</v>
      </c>
      <c r="M95" s="553">
        <f>LOOKUP(Datos!$C$20,'Cant. Ejec,'!$V$3:$BB$3,'Cant. Ejec,'!$V95:$BB95)</f>
        <v>0</v>
      </c>
      <c r="N95" s="551">
        <f>SUM(N96:N101)</f>
        <v>17997.77</v>
      </c>
      <c r="O95" s="552"/>
      <c r="P95" s="551">
        <f>SUM(P96:P101)</f>
        <v>81416.87000000001</v>
      </c>
      <c r="Q95" s="553"/>
      <c r="R95" s="551">
        <f>SUM(R96:R101)</f>
        <v>2167295.19</v>
      </c>
      <c r="S95" s="571">
        <f>(N95/J95)</f>
        <v>8.0035902862547904E-3</v>
      </c>
      <c r="T95" s="642">
        <f>(P95/J95)</f>
        <v>3.6206000513911957E-2</v>
      </c>
      <c r="U95" s="728">
        <f>(R95/J95)</f>
        <v>0.96379399948608802</v>
      </c>
      <c r="V95" s="741"/>
      <c r="W95" s="742">
        <f>SUM(W96:W101)</f>
        <v>0</v>
      </c>
      <c r="X95" s="743">
        <f t="shared" si="159"/>
        <v>0</v>
      </c>
      <c r="Y95" s="741"/>
      <c r="Z95" s="742">
        <f>SUM(Z96:Z101)</f>
        <v>0</v>
      </c>
      <c r="AA95" s="743">
        <f t="shared" si="160"/>
        <v>0</v>
      </c>
      <c r="AB95" s="741"/>
      <c r="AC95" s="742">
        <f>SUM(AC96:AC101)</f>
        <v>0</v>
      </c>
      <c r="AD95" s="743">
        <f t="shared" si="161"/>
        <v>0</v>
      </c>
      <c r="AE95" s="741"/>
      <c r="AF95" s="742">
        <f>SUM(AF96:AF101)</f>
        <v>0</v>
      </c>
      <c r="AG95" s="743">
        <f t="shared" si="162"/>
        <v>0</v>
      </c>
      <c r="AH95" s="741"/>
      <c r="AI95" s="742">
        <f>SUM(AI96:AI103)</f>
        <v>0</v>
      </c>
      <c r="AJ95" s="743">
        <f t="shared" si="163"/>
        <v>0</v>
      </c>
      <c r="AK95" s="741"/>
      <c r="AL95" s="742">
        <f>SUM(AL96:AL103)</f>
        <v>0</v>
      </c>
      <c r="AM95" s="743">
        <f t="shared" si="164"/>
        <v>0</v>
      </c>
      <c r="AN95" s="741"/>
      <c r="AO95" s="742">
        <f>SUM(AO96:AO103)</f>
        <v>9267.23</v>
      </c>
      <c r="AP95" s="743">
        <f t="shared" si="165"/>
        <v>4.1211278957609182E-3</v>
      </c>
      <c r="AQ95" s="741"/>
      <c r="AR95" s="742">
        <f>SUM(AR96:AR103)</f>
        <v>17878.849999999999</v>
      </c>
      <c r="AS95" s="743">
        <f t="shared" si="166"/>
        <v>7.9507066814058884E-3</v>
      </c>
      <c r="AT95" s="741"/>
      <c r="AU95" s="742">
        <f>SUM(AU96:AU103)</f>
        <v>19731.14</v>
      </c>
      <c r="AV95" s="743">
        <f t="shared" si="167"/>
        <v>8.774418188516318E-3</v>
      </c>
      <c r="AW95" s="741"/>
      <c r="AX95" s="742">
        <f>SUM(AX96:AX103)</f>
        <v>16541.88</v>
      </c>
      <c r="AY95" s="743">
        <f t="shared" si="168"/>
        <v>7.3561574619740331E-3</v>
      </c>
      <c r="AZ95" s="741"/>
      <c r="BA95" s="742">
        <f>SUM(BA96:BA103)</f>
        <v>17997.77</v>
      </c>
      <c r="BB95" s="743">
        <f t="shared" si="169"/>
        <v>8.0035902862547904E-3</v>
      </c>
      <c r="BC95" s="741"/>
      <c r="BD95" s="742">
        <f>SUM(BD96:BD103)</f>
        <v>0</v>
      </c>
      <c r="BE95" s="743">
        <f t="shared" si="170"/>
        <v>0</v>
      </c>
      <c r="BF95" s="741"/>
      <c r="BG95" s="742">
        <f>SUM(BG96:BG103)</f>
        <v>0</v>
      </c>
      <c r="BH95" s="743">
        <f t="shared" si="171"/>
        <v>0</v>
      </c>
    </row>
    <row r="96" spans="1:60" ht="14.25">
      <c r="A96" s="509" t="e">
        <f t="shared" si="131"/>
        <v>#REF!</v>
      </c>
      <c r="B96" s="510">
        <f t="shared" si="132"/>
        <v>1</v>
      </c>
      <c r="C96" s="512" t="e">
        <f t="shared" si="133"/>
        <v>#REF!</v>
      </c>
      <c r="D96" s="513" t="str">
        <f>+E95&amp;". "&amp;F95</f>
        <v>7. SERVICIOS PARA EL INGENIERO</v>
      </c>
      <c r="E96" s="537">
        <v>75</v>
      </c>
      <c r="F96" s="408" t="s">
        <v>373</v>
      </c>
      <c r="G96" s="411" t="s">
        <v>239</v>
      </c>
      <c r="H96" s="17">
        <v>11316.9</v>
      </c>
      <c r="I96" s="405">
        <v>49.55</v>
      </c>
      <c r="J96" s="26">
        <f t="shared" ref="J96:J101" si="172">ROUND(H96*I96,2)</f>
        <v>560752.4</v>
      </c>
      <c r="K96" s="17">
        <f>SUMIF($V$3:$BH$3,       "&lt;"&amp;Datos!$C$20,       V96:BH96)</f>
        <v>446.4</v>
      </c>
      <c r="L96" s="28">
        <f>SUMIF($V$2:$CH$2,"&lt;"&amp;Datos!$C$20,V96:CH96)</f>
        <v>22119.119999999999</v>
      </c>
      <c r="M96" s="22">
        <f>LOOKUP(Datos!$C$20,    'Cant. Ejec,'!$V$3:$BH$3,      'Cant. Ejec,'!$V96:$BH96)</f>
        <v>122.4</v>
      </c>
      <c r="N96" s="30">
        <f>LOOKUP(Datos!$C$20,    'Cant. Ejec,'!$V$2:$BH$2,      'Cant. Ejec,'!$V96:$BH96)</f>
        <v>6064.92</v>
      </c>
      <c r="O96" s="21">
        <f>SUMIF($V$3:$CH$3,                                                    "&lt;"&amp;(Datos!$C$20+1),V96:CL96)</f>
        <v>568.79999999999995</v>
      </c>
      <c r="P96" s="515">
        <f>SUMIF($V$2:$CH$2,                    "&lt;"&amp;(Datos!$C$20+1),V96:CL96)</f>
        <v>28184.04</v>
      </c>
      <c r="Q96" s="21">
        <f t="shared" ref="Q96:Q101" si="173">H96-O96</f>
        <v>10748.1</v>
      </c>
      <c r="R96" s="515">
        <f t="shared" ref="R96:R101" si="174">+J96-P96</f>
        <v>532568.36</v>
      </c>
      <c r="S96" s="425">
        <f t="shared" ref="S96:S101" si="175">(N96/J96)</f>
        <v>1.0815682643533938E-2</v>
      </c>
      <c r="T96" s="425">
        <f t="shared" ref="T96:T101" si="176">(P96/J96)</f>
        <v>5.0261113461128298E-2</v>
      </c>
      <c r="U96" s="729">
        <f t="shared" ref="U96:U101" si="177">(R96/J96)</f>
        <v>0.94973888653887162</v>
      </c>
      <c r="V96" s="747"/>
      <c r="W96" s="748">
        <f t="shared" ref="W96:W101" si="178">ROUND(V96*$I96,2)</f>
        <v>0</v>
      </c>
      <c r="X96" s="749">
        <f t="shared" si="159"/>
        <v>0</v>
      </c>
      <c r="Y96" s="747"/>
      <c r="Z96" s="748">
        <f t="shared" ref="Z96:Z101" si="179">ROUND(Y96*$I96,2)</f>
        <v>0</v>
      </c>
      <c r="AA96" s="749">
        <f t="shared" si="160"/>
        <v>0</v>
      </c>
      <c r="AB96" s="747"/>
      <c r="AC96" s="748">
        <f t="shared" ref="AC96:AC101" si="180">ROUND(AB96*$I96,2)</f>
        <v>0</v>
      </c>
      <c r="AD96" s="749">
        <f t="shared" si="161"/>
        <v>0</v>
      </c>
      <c r="AE96" s="747"/>
      <c r="AF96" s="748">
        <f t="shared" ref="AF96:AF101" si="181">ROUND(AE96*$I96,2)</f>
        <v>0</v>
      </c>
      <c r="AG96" s="749">
        <f t="shared" si="162"/>
        <v>0</v>
      </c>
      <c r="AH96" s="747"/>
      <c r="AI96" s="748">
        <f t="shared" ref="AI96:AI101" si="182">ROUND(AH96*$I96,2)</f>
        <v>0</v>
      </c>
      <c r="AJ96" s="749">
        <f t="shared" si="163"/>
        <v>0</v>
      </c>
      <c r="AK96" s="747"/>
      <c r="AL96" s="748">
        <f t="shared" ref="AL96:AL103" si="183">ROUND(AK96*$I96,2)</f>
        <v>0</v>
      </c>
      <c r="AM96" s="749">
        <f t="shared" si="164"/>
        <v>0</v>
      </c>
      <c r="AN96" s="881">
        <v>76</v>
      </c>
      <c r="AO96" s="882">
        <f t="shared" ref="AO96:AO103" si="184">ROUND(AN96*$I96,2)</f>
        <v>3765.8</v>
      </c>
      <c r="AP96" s="749">
        <f t="shared" si="165"/>
        <v>6.7156199420635564E-3</v>
      </c>
      <c r="AQ96" s="881">
        <f>30*4</f>
        <v>120</v>
      </c>
      <c r="AR96" s="882">
        <f t="shared" ref="AR96:AR103" si="185">ROUND(AQ96*$I96,2)</f>
        <v>5946</v>
      </c>
      <c r="AS96" s="883">
        <f t="shared" si="166"/>
        <v>1.0603610434837193E-2</v>
      </c>
      <c r="AT96" s="881">
        <v>126.4</v>
      </c>
      <c r="AU96" s="882">
        <f t="shared" ref="AU96:AU103" si="186">ROUND(AT96*$I96,2)</f>
        <v>6263.12</v>
      </c>
      <c r="AV96" s="883">
        <f t="shared" si="167"/>
        <v>1.1169136324695177E-2</v>
      </c>
      <c r="AW96" s="881">
        <v>124</v>
      </c>
      <c r="AX96" s="882">
        <f t="shared" ref="AX96:AX103" si="187">ROUND(AW96*$I96,2)</f>
        <v>6144.2</v>
      </c>
      <c r="AY96" s="883">
        <f t="shared" si="168"/>
        <v>1.0957064115998432E-2</v>
      </c>
      <c r="AZ96" s="881">
        <v>122.4</v>
      </c>
      <c r="BA96" s="882">
        <f t="shared" ref="BA96:BA103" si="188">ROUND(AZ96*$I96,2)</f>
        <v>6064.92</v>
      </c>
      <c r="BB96" s="883">
        <f t="shared" si="169"/>
        <v>1.0815682643533938E-2</v>
      </c>
      <c r="BC96" s="747"/>
      <c r="BD96" s="748">
        <f t="shared" ref="BD96:BD103" si="189">ROUND(BC96*$I96,2)</f>
        <v>0</v>
      </c>
      <c r="BE96" s="749">
        <f t="shared" si="170"/>
        <v>0</v>
      </c>
      <c r="BF96" s="747"/>
      <c r="BG96" s="748">
        <f t="shared" ref="BG96:BG103" si="190">ROUND(BF96*$I96,2)</f>
        <v>0</v>
      </c>
      <c r="BH96" s="749">
        <f t="shared" si="171"/>
        <v>0</v>
      </c>
    </row>
    <row r="97" spans="1:60" ht="14.25">
      <c r="A97" s="509" t="e">
        <f t="shared" si="131"/>
        <v>#REF!</v>
      </c>
      <c r="B97" s="510">
        <f t="shared" si="132"/>
        <v>0</v>
      </c>
      <c r="C97" s="512" t="e">
        <f t="shared" si="133"/>
        <v>#REF!</v>
      </c>
      <c r="D97" s="513" t="str">
        <f>+D96</f>
        <v>7. SERVICIOS PARA EL INGENIERO</v>
      </c>
      <c r="E97" s="537">
        <v>76</v>
      </c>
      <c r="F97" s="408" t="s">
        <v>374</v>
      </c>
      <c r="G97" s="411" t="s">
        <v>360</v>
      </c>
      <c r="H97" s="17">
        <v>1</v>
      </c>
      <c r="I97" s="405">
        <v>527727.62</v>
      </c>
      <c r="J97" s="26">
        <f t="shared" si="172"/>
        <v>527727.62</v>
      </c>
      <c r="K97" s="17">
        <f>SUMIF($V$3:$BH$3,       "&lt;"&amp;Datos!$C$20,       V97:BH97)</f>
        <v>0</v>
      </c>
      <c r="L97" s="28">
        <f>SUMIF($V$2:$CH$2,"&lt;"&amp;Datos!$C$20,V97:CH97)</f>
        <v>0</v>
      </c>
      <c r="M97" s="25">
        <f>LOOKUP(Datos!$C$20,    'Cant. Ejec,'!$V$3:$BH$3,      'Cant. Ejec,'!$V97:$BH97)</f>
        <v>0</v>
      </c>
      <c r="N97" s="18">
        <f>LOOKUP(Datos!$C$20,    'Cant. Ejec,'!$V$2:$BH$2,      'Cant. Ejec,'!$V97:$BH97)</f>
        <v>0</v>
      </c>
      <c r="O97" s="21">
        <f>SUMIF($V$3:$CH$3,                                                    "&lt;"&amp;(Datos!$C$20+1),V97:CL97)</f>
        <v>0</v>
      </c>
      <c r="P97" s="515">
        <f>SUMIF($V$2:$CH$2,                    "&lt;"&amp;(Datos!$C$20+1),V97:CL97)</f>
        <v>0</v>
      </c>
      <c r="Q97" s="21">
        <f t="shared" si="173"/>
        <v>1</v>
      </c>
      <c r="R97" s="515">
        <f t="shared" si="174"/>
        <v>527727.62</v>
      </c>
      <c r="S97" s="425">
        <f t="shared" si="175"/>
        <v>0</v>
      </c>
      <c r="T97" s="425">
        <f t="shared" si="176"/>
        <v>0</v>
      </c>
      <c r="U97" s="729">
        <f t="shared" si="177"/>
        <v>1</v>
      </c>
      <c r="V97" s="747"/>
      <c r="W97" s="748">
        <f t="shared" si="178"/>
        <v>0</v>
      </c>
      <c r="X97" s="749">
        <f t="shared" si="159"/>
        <v>0</v>
      </c>
      <c r="Y97" s="747"/>
      <c r="Z97" s="748">
        <f t="shared" si="179"/>
        <v>0</v>
      </c>
      <c r="AA97" s="749">
        <f t="shared" si="160"/>
        <v>0</v>
      </c>
      <c r="AB97" s="747"/>
      <c r="AC97" s="748">
        <f t="shared" si="180"/>
        <v>0</v>
      </c>
      <c r="AD97" s="749">
        <f t="shared" si="161"/>
        <v>0</v>
      </c>
      <c r="AE97" s="747"/>
      <c r="AF97" s="748">
        <f t="shared" si="181"/>
        <v>0</v>
      </c>
      <c r="AG97" s="749">
        <f t="shared" si="162"/>
        <v>0</v>
      </c>
      <c r="AH97" s="747"/>
      <c r="AI97" s="748">
        <f t="shared" si="182"/>
        <v>0</v>
      </c>
      <c r="AJ97" s="749">
        <f t="shared" si="163"/>
        <v>0</v>
      </c>
      <c r="AK97" s="747"/>
      <c r="AL97" s="748">
        <f t="shared" si="183"/>
        <v>0</v>
      </c>
      <c r="AM97" s="749">
        <f t="shared" si="164"/>
        <v>0</v>
      </c>
      <c r="AN97" s="747"/>
      <c r="AO97" s="748">
        <f t="shared" si="184"/>
        <v>0</v>
      </c>
      <c r="AP97" s="749">
        <f t="shared" si="165"/>
        <v>0</v>
      </c>
      <c r="AQ97" s="1165"/>
      <c r="AR97" s="1166">
        <f t="shared" si="185"/>
        <v>0</v>
      </c>
      <c r="AS97" s="1167">
        <f t="shared" si="166"/>
        <v>0</v>
      </c>
      <c r="AT97" s="1165"/>
      <c r="AU97" s="1166">
        <f t="shared" si="186"/>
        <v>0</v>
      </c>
      <c r="AV97" s="1167">
        <f t="shared" si="167"/>
        <v>0</v>
      </c>
      <c r="AW97" s="747"/>
      <c r="AX97" s="748">
        <f t="shared" si="187"/>
        <v>0</v>
      </c>
      <c r="AY97" s="749">
        <f t="shared" si="168"/>
        <v>0</v>
      </c>
      <c r="AZ97" s="747"/>
      <c r="BA97" s="748">
        <f t="shared" si="188"/>
        <v>0</v>
      </c>
      <c r="BB97" s="749">
        <f t="shared" si="169"/>
        <v>0</v>
      </c>
      <c r="BC97" s="747"/>
      <c r="BD97" s="748">
        <f t="shared" si="189"/>
        <v>0</v>
      </c>
      <c r="BE97" s="749">
        <f t="shared" si="170"/>
        <v>0</v>
      </c>
      <c r="BF97" s="747"/>
      <c r="BG97" s="748">
        <f t="shared" si="190"/>
        <v>0</v>
      </c>
      <c r="BH97" s="749">
        <f t="shared" si="171"/>
        <v>0</v>
      </c>
    </row>
    <row r="98" spans="1:60" ht="14.25">
      <c r="A98" s="509" t="e">
        <f t="shared" si="131"/>
        <v>#REF!</v>
      </c>
      <c r="B98" s="510">
        <f t="shared" si="132"/>
        <v>0</v>
      </c>
      <c r="C98" s="512" t="e">
        <f t="shared" si="133"/>
        <v>#REF!</v>
      </c>
      <c r="D98" s="513" t="str">
        <f>+D97</f>
        <v>7. SERVICIOS PARA EL INGENIERO</v>
      </c>
      <c r="E98" s="537">
        <v>77</v>
      </c>
      <c r="F98" s="408" t="s">
        <v>375</v>
      </c>
      <c r="G98" s="411" t="s">
        <v>360</v>
      </c>
      <c r="H98" s="17">
        <v>2</v>
      </c>
      <c r="I98" s="405">
        <v>277857.94</v>
      </c>
      <c r="J98" s="26">
        <f t="shared" si="172"/>
        <v>555715.88</v>
      </c>
      <c r="K98" s="17">
        <f>SUMIF($V$3:$BH$3,       "&lt;"&amp;Datos!$C$20,       V98:BH98)</f>
        <v>0</v>
      </c>
      <c r="L98" s="28">
        <f>SUMIF($V$2:$CH$2,"&lt;"&amp;Datos!$C$20,V98:CH98)</f>
        <v>0</v>
      </c>
      <c r="M98" s="25">
        <f>LOOKUP(Datos!$C$20,    'Cant. Ejec,'!$V$3:$BH$3,      'Cant. Ejec,'!$V98:$BH98)</f>
        <v>0</v>
      </c>
      <c r="N98" s="18">
        <f>LOOKUP(Datos!$C$20,    'Cant. Ejec,'!$V$2:$BH$2,      'Cant. Ejec,'!$V98:$BH98)</f>
        <v>0</v>
      </c>
      <c r="O98" s="21">
        <f>SUMIF($V$3:$CH$3,                                                    "&lt;"&amp;(Datos!$C$20+1),V98:CL98)</f>
        <v>0</v>
      </c>
      <c r="P98" s="515">
        <f>SUMIF($V$2:$CH$2,                    "&lt;"&amp;(Datos!$C$20+1),V98:CL98)</f>
        <v>0</v>
      </c>
      <c r="Q98" s="21">
        <f t="shared" si="173"/>
        <v>2</v>
      </c>
      <c r="R98" s="515">
        <f t="shared" si="174"/>
        <v>555715.88</v>
      </c>
      <c r="S98" s="425">
        <f t="shared" si="175"/>
        <v>0</v>
      </c>
      <c r="T98" s="425">
        <f t="shared" si="176"/>
        <v>0</v>
      </c>
      <c r="U98" s="729">
        <f t="shared" si="177"/>
        <v>1</v>
      </c>
      <c r="V98" s="747"/>
      <c r="W98" s="748">
        <f t="shared" si="178"/>
        <v>0</v>
      </c>
      <c r="X98" s="749">
        <f t="shared" si="159"/>
        <v>0</v>
      </c>
      <c r="Y98" s="747"/>
      <c r="Z98" s="748">
        <f t="shared" si="179"/>
        <v>0</v>
      </c>
      <c r="AA98" s="749">
        <f t="shared" si="160"/>
        <v>0</v>
      </c>
      <c r="AB98" s="747"/>
      <c r="AC98" s="748">
        <f t="shared" si="180"/>
        <v>0</v>
      </c>
      <c r="AD98" s="749">
        <f t="shared" si="161"/>
        <v>0</v>
      </c>
      <c r="AE98" s="747"/>
      <c r="AF98" s="748">
        <f t="shared" si="181"/>
        <v>0</v>
      </c>
      <c r="AG98" s="749">
        <f t="shared" si="162"/>
        <v>0</v>
      </c>
      <c r="AH98" s="747"/>
      <c r="AI98" s="748">
        <f t="shared" si="182"/>
        <v>0</v>
      </c>
      <c r="AJ98" s="749">
        <f t="shared" si="163"/>
        <v>0</v>
      </c>
      <c r="AK98" s="747"/>
      <c r="AL98" s="748">
        <f t="shared" si="183"/>
        <v>0</v>
      </c>
      <c r="AM98" s="749">
        <f t="shared" si="164"/>
        <v>0</v>
      </c>
      <c r="AN98" s="747"/>
      <c r="AO98" s="748">
        <f t="shared" si="184"/>
        <v>0</v>
      </c>
      <c r="AP98" s="749">
        <f t="shared" si="165"/>
        <v>0</v>
      </c>
      <c r="AQ98" s="1165"/>
      <c r="AR98" s="1166">
        <f t="shared" si="185"/>
        <v>0</v>
      </c>
      <c r="AS98" s="1167">
        <f t="shared" si="166"/>
        <v>0</v>
      </c>
      <c r="AT98" s="1165"/>
      <c r="AU98" s="1166">
        <f t="shared" si="186"/>
        <v>0</v>
      </c>
      <c r="AV98" s="1167">
        <f t="shared" si="167"/>
        <v>0</v>
      </c>
      <c r="AW98" s="747"/>
      <c r="AX98" s="748">
        <f t="shared" si="187"/>
        <v>0</v>
      </c>
      <c r="AY98" s="749">
        <f t="shared" si="168"/>
        <v>0</v>
      </c>
      <c r="AZ98" s="747"/>
      <c r="BA98" s="748">
        <f t="shared" si="188"/>
        <v>0</v>
      </c>
      <c r="BB98" s="749">
        <f t="shared" si="169"/>
        <v>0</v>
      </c>
      <c r="BC98" s="747"/>
      <c r="BD98" s="748">
        <f t="shared" si="189"/>
        <v>0</v>
      </c>
      <c r="BE98" s="749">
        <f t="shared" si="170"/>
        <v>0</v>
      </c>
      <c r="BF98" s="747"/>
      <c r="BG98" s="748">
        <f t="shared" si="190"/>
        <v>0</v>
      </c>
      <c r="BH98" s="749">
        <f t="shared" si="171"/>
        <v>0</v>
      </c>
    </row>
    <row r="99" spans="1:60" ht="14.25">
      <c r="A99" s="509" t="e">
        <f t="shared" si="131"/>
        <v>#REF!</v>
      </c>
      <c r="B99" s="510">
        <f t="shared" si="132"/>
        <v>1</v>
      </c>
      <c r="C99" s="512" t="e">
        <f t="shared" si="133"/>
        <v>#REF!</v>
      </c>
      <c r="D99" s="513" t="str">
        <f>+D98</f>
        <v>7. SERVICIOS PARA EL INGENIERO</v>
      </c>
      <c r="E99" s="537">
        <v>78</v>
      </c>
      <c r="F99" s="408" t="s">
        <v>376</v>
      </c>
      <c r="G99" s="411" t="s">
        <v>240</v>
      </c>
      <c r="H99" s="17">
        <v>18</v>
      </c>
      <c r="I99" s="405">
        <v>1535.17</v>
      </c>
      <c r="J99" s="26">
        <f t="shared" si="172"/>
        <v>27633.06</v>
      </c>
      <c r="K99" s="17">
        <f>SUMIF($V$3:$BH$3,       "&lt;"&amp;Datos!$C$20,       V99:BH99)</f>
        <v>8</v>
      </c>
      <c r="L99" s="28">
        <f>SUMIF($V$2:$CH$2,"&lt;"&amp;Datos!$C$20,V99:CH99)</f>
        <v>12281.36</v>
      </c>
      <c r="M99" s="25">
        <f>LOOKUP(Datos!$C$20,    'Cant. Ejec,'!$V$3:$BH$3,      'Cant. Ejec,'!$V99:$BH99)</f>
        <v>2</v>
      </c>
      <c r="N99" s="18">
        <f>LOOKUP(Datos!$C$20,    'Cant. Ejec,'!$V$2:$BH$2,      'Cant. Ejec,'!$V99:$BH99)</f>
        <v>3070.34</v>
      </c>
      <c r="O99" s="21">
        <f>SUMIF($V$3:$CH$3,                                                    "&lt;"&amp;(Datos!$C$20+1),V99:CL99)</f>
        <v>10</v>
      </c>
      <c r="P99" s="515">
        <f>SUMIF($V$2:$CH$2,                    "&lt;"&amp;(Datos!$C$20+1),V99:CL99)</f>
        <v>15351.7</v>
      </c>
      <c r="Q99" s="21">
        <f t="shared" si="173"/>
        <v>8</v>
      </c>
      <c r="R99" s="515">
        <f t="shared" si="174"/>
        <v>12281.36</v>
      </c>
      <c r="S99" s="425">
        <f t="shared" si="175"/>
        <v>0.1111111111111111</v>
      </c>
      <c r="T99" s="425">
        <f t="shared" si="176"/>
        <v>0.55555555555555558</v>
      </c>
      <c r="U99" s="729">
        <f t="shared" si="177"/>
        <v>0.44444444444444442</v>
      </c>
      <c r="V99" s="747"/>
      <c r="W99" s="748">
        <f t="shared" si="178"/>
        <v>0</v>
      </c>
      <c r="X99" s="749">
        <f t="shared" si="159"/>
        <v>0</v>
      </c>
      <c r="Y99" s="747"/>
      <c r="Z99" s="748">
        <f t="shared" si="179"/>
        <v>0</v>
      </c>
      <c r="AA99" s="749">
        <f t="shared" si="160"/>
        <v>0</v>
      </c>
      <c r="AB99" s="747"/>
      <c r="AC99" s="748">
        <f t="shared" si="180"/>
        <v>0</v>
      </c>
      <c r="AD99" s="749">
        <f t="shared" si="161"/>
        <v>0</v>
      </c>
      <c r="AE99" s="747"/>
      <c r="AF99" s="748">
        <f t="shared" si="181"/>
        <v>0</v>
      </c>
      <c r="AG99" s="749">
        <f t="shared" si="162"/>
        <v>0</v>
      </c>
      <c r="AH99" s="747"/>
      <c r="AI99" s="748">
        <f t="shared" si="182"/>
        <v>0</v>
      </c>
      <c r="AJ99" s="749">
        <f t="shared" si="163"/>
        <v>0</v>
      </c>
      <c r="AK99" s="747"/>
      <c r="AL99" s="748">
        <f t="shared" si="183"/>
        <v>0</v>
      </c>
      <c r="AM99" s="749">
        <f t="shared" si="164"/>
        <v>0</v>
      </c>
      <c r="AN99" s="881">
        <v>2</v>
      </c>
      <c r="AO99" s="882">
        <f t="shared" si="184"/>
        <v>3070.34</v>
      </c>
      <c r="AP99" s="749">
        <f t="shared" si="165"/>
        <v>0.1111111111111111</v>
      </c>
      <c r="AQ99" s="881">
        <v>2</v>
      </c>
      <c r="AR99" s="882">
        <f t="shared" si="185"/>
        <v>3070.34</v>
      </c>
      <c r="AS99" s="883">
        <f t="shared" si="166"/>
        <v>0.1111111111111111</v>
      </c>
      <c r="AT99" s="881">
        <v>3</v>
      </c>
      <c r="AU99" s="882">
        <f t="shared" si="186"/>
        <v>4605.51</v>
      </c>
      <c r="AV99" s="883">
        <f t="shared" si="167"/>
        <v>0.16666666666666666</v>
      </c>
      <c r="AW99" s="881">
        <v>1</v>
      </c>
      <c r="AX99" s="882">
        <f t="shared" si="187"/>
        <v>1535.17</v>
      </c>
      <c r="AY99" s="883">
        <f t="shared" si="168"/>
        <v>5.5555555555555552E-2</v>
      </c>
      <c r="AZ99" s="881">
        <v>2</v>
      </c>
      <c r="BA99" s="882">
        <f t="shared" si="188"/>
        <v>3070.34</v>
      </c>
      <c r="BB99" s="883">
        <f t="shared" si="169"/>
        <v>0.1111111111111111</v>
      </c>
      <c r="BC99" s="747"/>
      <c r="BD99" s="748">
        <f t="shared" si="189"/>
        <v>0</v>
      </c>
      <c r="BE99" s="749">
        <f t="shared" si="170"/>
        <v>0</v>
      </c>
      <c r="BF99" s="747"/>
      <c r="BG99" s="748">
        <f t="shared" si="190"/>
        <v>0</v>
      </c>
      <c r="BH99" s="749">
        <f t="shared" si="171"/>
        <v>0</v>
      </c>
    </row>
    <row r="100" spans="1:60" ht="14.25">
      <c r="A100" s="509" t="e">
        <f t="shared" si="131"/>
        <v>#REF!</v>
      </c>
      <c r="B100" s="510">
        <f t="shared" si="132"/>
        <v>1</v>
      </c>
      <c r="C100" s="512" t="e">
        <f t="shared" si="133"/>
        <v>#REF!</v>
      </c>
      <c r="D100" s="513" t="str">
        <f>+D99</f>
        <v>7. SERVICIOS PARA EL INGENIERO</v>
      </c>
      <c r="E100" s="537">
        <v>79</v>
      </c>
      <c r="F100" s="408" t="s">
        <v>377</v>
      </c>
      <c r="G100" s="411" t="s">
        <v>421</v>
      </c>
      <c r="H100" s="17">
        <v>33004.019999999997</v>
      </c>
      <c r="I100" s="405">
        <v>15.2</v>
      </c>
      <c r="J100" s="26">
        <f t="shared" si="172"/>
        <v>501661.1</v>
      </c>
      <c r="K100" s="17">
        <f>SUMIF($V$3:$BH$3,       "&lt;"&amp;Datos!$C$20,       V100:BH100)</f>
        <v>1909.12</v>
      </c>
      <c r="L100" s="28">
        <f>SUMIF($V$2:$CH$2,"&lt;"&amp;Datos!$C$20,V100:CH100)</f>
        <v>29018.620000000003</v>
      </c>
      <c r="M100" s="25">
        <f>LOOKUP(Datos!$C$20,    'Cant. Ejec,'!$V$3:$BH$3,      'Cant. Ejec,'!$V100:$BH100)</f>
        <v>583.05999999999995</v>
      </c>
      <c r="N100" s="18">
        <f>LOOKUP(Datos!$C$20,    'Cant. Ejec,'!$V$2:$BH$2,      'Cant. Ejec,'!$V100:$BH100)</f>
        <v>8862.51</v>
      </c>
      <c r="O100" s="21">
        <f>SUMIF($V$3:$CH$3,                                                    "&lt;"&amp;(Datos!$C$20+1),V100:CL100)</f>
        <v>2492.1799999999998</v>
      </c>
      <c r="P100" s="515">
        <f>SUMIF($V$2:$CH$2,                    "&lt;"&amp;(Datos!$C$20+1),V100:CL100)</f>
        <v>37881.130000000005</v>
      </c>
      <c r="Q100" s="21">
        <f t="shared" si="173"/>
        <v>30511.839999999997</v>
      </c>
      <c r="R100" s="515">
        <f t="shared" si="174"/>
        <v>463779.97</v>
      </c>
      <c r="S100" s="425"/>
      <c r="T100" s="425"/>
      <c r="U100" s="729">
        <v>0</v>
      </c>
      <c r="V100" s="747"/>
      <c r="W100" s="748">
        <f t="shared" si="178"/>
        <v>0</v>
      </c>
      <c r="X100" s="749">
        <f t="shared" si="159"/>
        <v>0</v>
      </c>
      <c r="Y100" s="747"/>
      <c r="Z100" s="748">
        <f t="shared" si="179"/>
        <v>0</v>
      </c>
      <c r="AA100" s="749">
        <f t="shared" si="160"/>
        <v>0</v>
      </c>
      <c r="AB100" s="747"/>
      <c r="AC100" s="748">
        <f t="shared" si="180"/>
        <v>0</v>
      </c>
      <c r="AD100" s="749">
        <f t="shared" si="161"/>
        <v>0</v>
      </c>
      <c r="AE100" s="747"/>
      <c r="AF100" s="748">
        <f t="shared" si="181"/>
        <v>0</v>
      </c>
      <c r="AG100" s="749">
        <f t="shared" si="162"/>
        <v>0</v>
      </c>
      <c r="AH100" s="747"/>
      <c r="AI100" s="748">
        <f t="shared" si="182"/>
        <v>0</v>
      </c>
      <c r="AJ100" s="844">
        <f>+AI100/$J100</f>
        <v>0</v>
      </c>
      <c r="AK100" s="747"/>
      <c r="AL100" s="748">
        <f t="shared" si="183"/>
        <v>0</v>
      </c>
      <c r="AM100" s="749">
        <f t="shared" si="164"/>
        <v>0</v>
      </c>
      <c r="AN100" s="881">
        <v>159.94</v>
      </c>
      <c r="AO100" s="882">
        <f t="shared" si="184"/>
        <v>2431.09</v>
      </c>
      <c r="AP100" s="749">
        <f t="shared" si="165"/>
        <v>4.8460803518550677E-3</v>
      </c>
      <c r="AQ100" s="881">
        <v>583.05999999999995</v>
      </c>
      <c r="AR100" s="882">
        <f t="shared" si="185"/>
        <v>8862.51</v>
      </c>
      <c r="AS100" s="883">
        <f t="shared" si="166"/>
        <v>1.7666328922055149E-2</v>
      </c>
      <c r="AT100" s="881">
        <v>583.05999999999995</v>
      </c>
      <c r="AU100" s="882">
        <f t="shared" si="186"/>
        <v>8862.51</v>
      </c>
      <c r="AV100" s="883">
        <f>+AU100/$J100</f>
        <v>1.7666328922055149E-2</v>
      </c>
      <c r="AW100" s="881">
        <v>583.05999999999995</v>
      </c>
      <c r="AX100" s="882">
        <f t="shared" si="187"/>
        <v>8862.51</v>
      </c>
      <c r="AY100" s="883">
        <f>+AX100/$J100</f>
        <v>1.7666328922055149E-2</v>
      </c>
      <c r="AZ100" s="881">
        <v>583.05999999999995</v>
      </c>
      <c r="BA100" s="882">
        <f t="shared" si="188"/>
        <v>8862.51</v>
      </c>
      <c r="BB100" s="883">
        <f>+BA100/$J100</f>
        <v>1.7666328922055149E-2</v>
      </c>
      <c r="BC100" s="747"/>
      <c r="BD100" s="748">
        <f t="shared" si="189"/>
        <v>0</v>
      </c>
      <c r="BE100" s="844">
        <f>+BD100/$J100</f>
        <v>0</v>
      </c>
      <c r="BF100" s="747"/>
      <c r="BG100" s="748">
        <f t="shared" si="190"/>
        <v>0</v>
      </c>
      <c r="BH100" s="844">
        <f>+BG100/$J100</f>
        <v>0</v>
      </c>
    </row>
    <row r="101" spans="1:60" ht="14.25">
      <c r="A101" s="509" t="e">
        <f t="shared" si="131"/>
        <v>#REF!</v>
      </c>
      <c r="B101" s="510">
        <f t="shared" si="132"/>
        <v>0</v>
      </c>
      <c r="C101" s="512" t="e">
        <f t="shared" si="133"/>
        <v>#REF!</v>
      </c>
      <c r="D101" s="513" t="str">
        <f>+D100</f>
        <v>7. SERVICIOS PARA EL INGENIERO</v>
      </c>
      <c r="E101" s="537">
        <v>80</v>
      </c>
      <c r="F101" s="408" t="s">
        <v>378</v>
      </c>
      <c r="G101" s="411" t="s">
        <v>379</v>
      </c>
      <c r="H101" s="17">
        <v>540</v>
      </c>
      <c r="I101" s="405">
        <v>139.30000000000001</v>
      </c>
      <c r="J101" s="26">
        <f t="shared" si="172"/>
        <v>75222</v>
      </c>
      <c r="K101" s="17">
        <f>SUMIF($V$3:$BH$3,       "&lt;"&amp;Datos!$C$20,       V101:BH101)</f>
        <v>0</v>
      </c>
      <c r="L101" s="28">
        <f>SUMIF($V$2:$CH$2,"&lt;"&amp;Datos!$C$20,V101:CH101)</f>
        <v>0</v>
      </c>
      <c r="M101" s="25">
        <f>LOOKUP(Datos!$C$20,    'Cant. Ejec,'!$V$3:$BH$3,      'Cant. Ejec,'!$V101:$BH101)</f>
        <v>0</v>
      </c>
      <c r="N101" s="18">
        <f>LOOKUP(Datos!$C$20,    'Cant. Ejec,'!$V$2:$BH$2,      'Cant. Ejec,'!$V101:$BH101)</f>
        <v>0</v>
      </c>
      <c r="O101" s="21">
        <f>SUMIF($V$3:$CH$3,                                                    "&lt;"&amp;(Datos!$C$20+1),V101:CL101)</f>
        <v>0</v>
      </c>
      <c r="P101" s="515">
        <f>SUMIF($V$2:$CH$2,                    "&lt;"&amp;(Datos!$C$20+1),V101:CL101)</f>
        <v>0</v>
      </c>
      <c r="Q101" s="21">
        <f t="shared" si="173"/>
        <v>540</v>
      </c>
      <c r="R101" s="515">
        <f t="shared" si="174"/>
        <v>75222</v>
      </c>
      <c r="S101" s="534">
        <f t="shared" si="175"/>
        <v>0</v>
      </c>
      <c r="T101" s="534">
        <f t="shared" si="176"/>
        <v>0</v>
      </c>
      <c r="U101" s="730">
        <f t="shared" si="177"/>
        <v>1</v>
      </c>
      <c r="V101" s="747"/>
      <c r="W101" s="748">
        <f t="shared" si="178"/>
        <v>0</v>
      </c>
      <c r="X101" s="749">
        <f t="shared" si="159"/>
        <v>0</v>
      </c>
      <c r="Y101" s="747"/>
      <c r="Z101" s="748">
        <f t="shared" si="179"/>
        <v>0</v>
      </c>
      <c r="AA101" s="749">
        <f t="shared" si="160"/>
        <v>0</v>
      </c>
      <c r="AB101" s="747"/>
      <c r="AC101" s="748">
        <f t="shared" si="180"/>
        <v>0</v>
      </c>
      <c r="AD101" s="749">
        <f t="shared" si="161"/>
        <v>0</v>
      </c>
      <c r="AE101" s="747"/>
      <c r="AF101" s="748">
        <f t="shared" si="181"/>
        <v>0</v>
      </c>
      <c r="AG101" s="749">
        <f t="shared" si="162"/>
        <v>0</v>
      </c>
      <c r="AH101" s="747"/>
      <c r="AI101" s="748">
        <f t="shared" si="182"/>
        <v>0</v>
      </c>
      <c r="AJ101" s="749">
        <f>+AI101/$J101</f>
        <v>0</v>
      </c>
      <c r="AK101" s="747"/>
      <c r="AL101" s="748">
        <f t="shared" si="183"/>
        <v>0</v>
      </c>
      <c r="AM101" s="749">
        <f>+AL101/$J101</f>
        <v>0</v>
      </c>
      <c r="AN101" s="747"/>
      <c r="AO101" s="748">
        <f t="shared" si="184"/>
        <v>0</v>
      </c>
      <c r="AP101" s="749">
        <f>+AO101/$J101</f>
        <v>0</v>
      </c>
      <c r="AQ101" s="747"/>
      <c r="AR101" s="748">
        <f t="shared" si="185"/>
        <v>0</v>
      </c>
      <c r="AS101" s="749">
        <f>+AR101/$J101</f>
        <v>0</v>
      </c>
      <c r="AT101" s="747"/>
      <c r="AU101" s="748">
        <f t="shared" si="186"/>
        <v>0</v>
      </c>
      <c r="AV101" s="749">
        <f>+AU101/$J101</f>
        <v>0</v>
      </c>
      <c r="AW101" s="747"/>
      <c r="AX101" s="748">
        <f t="shared" si="187"/>
        <v>0</v>
      </c>
      <c r="AY101" s="749">
        <f>+AX101/$J101</f>
        <v>0</v>
      </c>
      <c r="AZ101" s="747"/>
      <c r="BA101" s="748">
        <f t="shared" si="188"/>
        <v>0</v>
      </c>
      <c r="BB101" s="749">
        <f>+BA101/$J101</f>
        <v>0</v>
      </c>
      <c r="BC101" s="747"/>
      <c r="BD101" s="748">
        <f t="shared" si="189"/>
        <v>0</v>
      </c>
      <c r="BE101" s="749">
        <f>+BD101/$J101</f>
        <v>0</v>
      </c>
      <c r="BF101" s="747"/>
      <c r="BG101" s="748">
        <f t="shared" si="190"/>
        <v>0</v>
      </c>
      <c r="BH101" s="749">
        <f>+BG101/$J101</f>
        <v>0</v>
      </c>
    </row>
    <row r="102" spans="1:60" ht="14.25">
      <c r="A102" s="509"/>
      <c r="B102" s="510"/>
      <c r="C102" s="512"/>
      <c r="D102" s="513"/>
      <c r="E102" s="3"/>
      <c r="F102" s="307" t="s">
        <v>219</v>
      </c>
      <c r="G102" s="206"/>
      <c r="H102" s="308"/>
      <c r="I102" s="514"/>
      <c r="J102" s="410">
        <v>1E-14</v>
      </c>
      <c r="K102" s="362"/>
      <c r="L102" s="362"/>
      <c r="M102" s="365"/>
      <c r="N102" s="362"/>
      <c r="O102" s="365"/>
      <c r="P102" s="523"/>
      <c r="Q102" s="524"/>
      <c r="R102" s="362"/>
      <c r="S102" s="366"/>
      <c r="T102" s="641"/>
      <c r="U102" s="641"/>
      <c r="V102" s="747"/>
      <c r="W102" s="748">
        <f>ROUND(V102*$I102,2)</f>
        <v>0</v>
      </c>
      <c r="X102" s="749">
        <f>+W102/$J102</f>
        <v>0</v>
      </c>
      <c r="Y102" s="747"/>
      <c r="Z102" s="748">
        <f>ROUND(Y102*$I102,2)</f>
        <v>0</v>
      </c>
      <c r="AA102" s="749">
        <f>+Z102/$J102</f>
        <v>0</v>
      </c>
      <c r="AB102" s="747"/>
      <c r="AC102" s="748">
        <f>ROUND(AB102*$I102,2)</f>
        <v>0</v>
      </c>
      <c r="AD102" s="749">
        <f>+AC102/$J102</f>
        <v>0</v>
      </c>
      <c r="AE102" s="747"/>
      <c r="AF102" s="748">
        <f>ROUND(AE102*$I102,2)</f>
        <v>0</v>
      </c>
      <c r="AG102" s="749">
        <f>+AF102/$J102</f>
        <v>0</v>
      </c>
      <c r="AH102" s="747"/>
      <c r="AI102" s="748">
        <f>ROUND(AH102*$I102,2)</f>
        <v>0</v>
      </c>
      <c r="AJ102" s="749">
        <f>+AI102/$J102</f>
        <v>0</v>
      </c>
      <c r="AK102" s="747"/>
      <c r="AL102" s="748">
        <f t="shared" si="183"/>
        <v>0</v>
      </c>
      <c r="AM102" s="749">
        <f>+AL102/$J102</f>
        <v>0</v>
      </c>
      <c r="AN102" s="747"/>
      <c r="AO102" s="748">
        <f t="shared" si="184"/>
        <v>0</v>
      </c>
      <c r="AP102" s="749">
        <f>+AO102/$J102</f>
        <v>0</v>
      </c>
      <c r="AQ102" s="747"/>
      <c r="AR102" s="748">
        <f t="shared" si="185"/>
        <v>0</v>
      </c>
      <c r="AS102" s="749">
        <f>+AR102/$J102</f>
        <v>0</v>
      </c>
      <c r="AT102" s="747"/>
      <c r="AU102" s="748">
        <f t="shared" si="186"/>
        <v>0</v>
      </c>
      <c r="AV102" s="749">
        <f>+AU102/$J102</f>
        <v>0</v>
      </c>
      <c r="AW102" s="747"/>
      <c r="AX102" s="748">
        <f t="shared" si="187"/>
        <v>0</v>
      </c>
      <c r="AY102" s="749">
        <f>+AX102/$J102</f>
        <v>0</v>
      </c>
      <c r="AZ102" s="747"/>
      <c r="BA102" s="748">
        <f t="shared" si="188"/>
        <v>0</v>
      </c>
      <c r="BB102" s="749">
        <f>+BA102/$J102</f>
        <v>0</v>
      </c>
      <c r="BC102" s="747"/>
      <c r="BD102" s="748">
        <f t="shared" si="189"/>
        <v>0</v>
      </c>
      <c r="BE102" s="749">
        <f>+BD102/$J102</f>
        <v>0</v>
      </c>
      <c r="BF102" s="747"/>
      <c r="BG102" s="748">
        <f t="shared" si="190"/>
        <v>0</v>
      </c>
      <c r="BH102" s="749">
        <f>+BG102/$J102</f>
        <v>0</v>
      </c>
    </row>
    <row r="103" spans="1:60" s="31" customFormat="1" ht="15" thickBot="1">
      <c r="D103" s="513"/>
      <c r="E103" s="576"/>
      <c r="F103" s="577" t="s">
        <v>6</v>
      </c>
      <c r="G103" s="578"/>
      <c r="H103" s="579"/>
      <c r="I103" s="580"/>
      <c r="J103" s="645">
        <f>+J5+J10+J27+J34+J76+J93+J95</f>
        <v>106631000.67</v>
      </c>
      <c r="K103" s="581"/>
      <c r="L103" s="645">
        <f>+L5+L10+L27+L34+L76+L93+L95</f>
        <v>4270358.2499999991</v>
      </c>
      <c r="M103" s="582"/>
      <c r="N103" s="645">
        <f>+N5+N10+N27+N34+N76+N93+N95</f>
        <v>1766556.24</v>
      </c>
      <c r="O103" s="581"/>
      <c r="P103" s="580">
        <f>+P5+P10+P27+P34+P76+P93+P95</f>
        <v>6036914.4900000012</v>
      </c>
      <c r="Q103" s="582"/>
      <c r="R103" s="580">
        <f>+R5+R10+R27+R34+R76+R93+R95</f>
        <v>97089454.149999991</v>
      </c>
      <c r="S103" s="644">
        <f>(N103/J103)</f>
        <v>1.6567004237980579E-2</v>
      </c>
      <c r="T103" s="643">
        <f>(P103/J103)</f>
        <v>5.6615003629975791E-2</v>
      </c>
      <c r="U103" s="731">
        <f>(R103/J103)</f>
        <v>0.91051808142053314</v>
      </c>
      <c r="V103" s="751"/>
      <c r="W103" s="752">
        <f>ROUND(V103*$I103,2)</f>
        <v>0</v>
      </c>
      <c r="X103" s="753">
        <f>+W103/$J103</f>
        <v>0</v>
      </c>
      <c r="Y103" s="751"/>
      <c r="Z103" s="752">
        <f>ROUND(Y103*$I103,2)</f>
        <v>0</v>
      </c>
      <c r="AA103" s="753">
        <f>+Z103/$J103</f>
        <v>0</v>
      </c>
      <c r="AB103" s="751"/>
      <c r="AC103" s="752">
        <f>ROUND(AB103*$I103,2)</f>
        <v>0</v>
      </c>
      <c r="AD103" s="753">
        <f>+AC103/$J103</f>
        <v>0</v>
      </c>
      <c r="AE103" s="751"/>
      <c r="AF103" s="752">
        <f>ROUND(AE103*$I103,2)</f>
        <v>0</v>
      </c>
      <c r="AG103" s="753">
        <f>+AF103/$J103</f>
        <v>0</v>
      </c>
      <c r="AH103" s="751"/>
      <c r="AI103" s="752">
        <f>ROUND(AH103*$I103,2)</f>
        <v>0</v>
      </c>
      <c r="AJ103" s="753">
        <f>+AI103/$J103</f>
        <v>0</v>
      </c>
      <c r="AK103" s="751"/>
      <c r="AL103" s="752">
        <f t="shared" si="183"/>
        <v>0</v>
      </c>
      <c r="AM103" s="753">
        <f>+AL103/$J103</f>
        <v>0</v>
      </c>
      <c r="AN103" s="751"/>
      <c r="AO103" s="752">
        <f t="shared" si="184"/>
        <v>0</v>
      </c>
      <c r="AP103" s="753">
        <f>+AO103/$J103</f>
        <v>0</v>
      </c>
      <c r="AQ103" s="751"/>
      <c r="AR103" s="752">
        <f t="shared" si="185"/>
        <v>0</v>
      </c>
      <c r="AS103" s="753">
        <f>+AR103/$J103</f>
        <v>0</v>
      </c>
      <c r="AT103" s="751"/>
      <c r="AU103" s="752">
        <f t="shared" si="186"/>
        <v>0</v>
      </c>
      <c r="AV103" s="753">
        <f>+AU103/$J103</f>
        <v>0</v>
      </c>
      <c r="AW103" s="751"/>
      <c r="AX103" s="752">
        <f t="shared" si="187"/>
        <v>0</v>
      </c>
      <c r="AY103" s="753">
        <f>+AX103/$J103</f>
        <v>0</v>
      </c>
      <c r="AZ103" s="751"/>
      <c r="BA103" s="752">
        <f t="shared" si="188"/>
        <v>0</v>
      </c>
      <c r="BB103" s="753">
        <f>+BA103/$J103</f>
        <v>0</v>
      </c>
      <c r="BC103" s="751"/>
      <c r="BD103" s="752">
        <f t="shared" si="189"/>
        <v>0</v>
      </c>
      <c r="BE103" s="753">
        <f>+BD103/$J103</f>
        <v>0</v>
      </c>
      <c r="BF103" s="751"/>
      <c r="BG103" s="752">
        <f t="shared" si="190"/>
        <v>0</v>
      </c>
      <c r="BH103" s="753">
        <f>+BG103/$J103</f>
        <v>0</v>
      </c>
    </row>
    <row r="104" spans="1:60" ht="12.75" customHeight="1">
      <c r="D104" s="513"/>
      <c r="E104" s="4"/>
      <c r="F104" s="5"/>
      <c r="G104" s="6"/>
      <c r="H104" s="6"/>
      <c r="I104" s="13"/>
      <c r="J104" s="7"/>
      <c r="K104" s="8"/>
      <c r="L104" s="8"/>
      <c r="M104" s="9"/>
      <c r="N104" s="8"/>
      <c r="O104" s="10"/>
      <c r="P104" s="8"/>
      <c r="Q104" s="1818"/>
      <c r="R104" s="1818"/>
      <c r="S104" s="8"/>
      <c r="T104" s="8"/>
      <c r="U104" s="11"/>
    </row>
    <row r="105" spans="1:60" ht="12.75" customHeight="1">
      <c r="E105" s="4"/>
      <c r="F105" s="5"/>
      <c r="G105" s="6"/>
      <c r="H105" s="6"/>
      <c r="I105" s="13"/>
      <c r="J105" s="7"/>
      <c r="K105" s="8"/>
      <c r="L105" s="8"/>
      <c r="M105" s="9"/>
      <c r="N105" s="8"/>
      <c r="O105" s="10"/>
      <c r="P105" s="8"/>
      <c r="Q105" s="725"/>
      <c r="R105" s="725"/>
      <c r="S105" s="8"/>
      <c r="T105" s="8"/>
      <c r="U105" s="11"/>
    </row>
    <row r="106" spans="1:60" ht="12.75" customHeight="1">
      <c r="E106" s="4"/>
      <c r="F106" s="5"/>
      <c r="G106" s="6"/>
      <c r="H106" s="6"/>
      <c r="I106" s="13"/>
      <c r="J106" s="7"/>
      <c r="K106" s="8"/>
      <c r="L106" s="8"/>
      <c r="M106" s="9"/>
      <c r="N106" s="8"/>
      <c r="O106" s="10"/>
      <c r="P106" s="8"/>
      <c r="Q106" s="725"/>
      <c r="R106" s="725"/>
      <c r="S106" s="8"/>
      <c r="T106" s="8"/>
      <c r="U106" s="11"/>
    </row>
    <row r="107" spans="1:60" ht="12.75" customHeight="1">
      <c r="E107" s="4"/>
      <c r="F107" s="5"/>
      <c r="G107" s="6"/>
      <c r="H107" s="6"/>
      <c r="I107" s="13"/>
      <c r="J107" s="7"/>
      <c r="K107" s="8"/>
      <c r="L107" s="8"/>
      <c r="M107" s="9"/>
      <c r="N107" s="8"/>
      <c r="O107" s="10"/>
      <c r="P107" s="8"/>
      <c r="Q107" s="725"/>
      <c r="R107" s="725"/>
      <c r="S107" s="8"/>
      <c r="T107" s="8"/>
      <c r="U107" s="11"/>
    </row>
    <row r="108" spans="1:60" ht="12.75" customHeight="1">
      <c r="E108" s="4"/>
      <c r="F108" s="5"/>
      <c r="G108" s="6"/>
      <c r="H108" s="6"/>
      <c r="I108" s="13"/>
      <c r="J108" s="7"/>
      <c r="K108" s="8"/>
      <c r="L108" s="8"/>
      <c r="M108" s="9"/>
      <c r="N108" s="8"/>
      <c r="O108" s="10"/>
      <c r="P108" s="8"/>
      <c r="Q108" s="725"/>
      <c r="R108" s="725"/>
      <c r="S108" s="8"/>
      <c r="T108" s="8"/>
      <c r="U108" s="11"/>
    </row>
    <row r="109" spans="1:60" ht="12.75" customHeight="1">
      <c r="E109" s="32"/>
      <c r="F109" s="12"/>
      <c r="G109" s="418"/>
      <c r="H109" s="418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5"/>
    </row>
    <row r="110" spans="1:60" ht="12.75" customHeight="1">
      <c r="E110" s="32"/>
      <c r="F110" s="724"/>
      <c r="G110" s="724"/>
      <c r="H110" s="724"/>
      <c r="I110" s="583"/>
      <c r="J110" s="1819"/>
      <c r="K110" s="1819"/>
      <c r="L110" s="1819"/>
      <c r="M110" s="583"/>
      <c r="N110" s="583"/>
      <c r="O110" s="583"/>
      <c r="P110" s="12"/>
      <c r="Q110" s="724"/>
      <c r="R110" s="14"/>
      <c r="S110" s="14"/>
      <c r="T110" s="14"/>
      <c r="U110" s="15"/>
    </row>
    <row r="111" spans="1:60" ht="12.75" customHeight="1">
      <c r="E111" s="32"/>
      <c r="F111" s="722"/>
      <c r="G111" s="724"/>
      <c r="H111" s="724"/>
      <c r="I111" s="583"/>
      <c r="J111" s="1820"/>
      <c r="K111" s="1820"/>
      <c r="L111" s="1820"/>
      <c r="M111" s="583"/>
      <c r="N111" s="583"/>
      <c r="O111" s="583"/>
      <c r="P111" s="12"/>
      <c r="Q111" s="722"/>
      <c r="R111" s="14"/>
      <c r="S111" s="14"/>
      <c r="T111" s="14"/>
      <c r="U111" s="15"/>
    </row>
    <row r="112" spans="1:60" s="33" customFormat="1" ht="23.25" customHeight="1">
      <c r="A112" s="1"/>
      <c r="B112" s="1"/>
      <c r="C112" s="1"/>
      <c r="D112" s="1"/>
      <c r="E112" s="207"/>
      <c r="F112" s="584"/>
      <c r="G112" s="585"/>
      <c r="H112" s="585"/>
      <c r="I112" s="586"/>
      <c r="J112" s="1815"/>
      <c r="K112" s="1815"/>
      <c r="L112" s="1815"/>
      <c r="M112" s="672"/>
      <c r="N112" s="672"/>
      <c r="O112" s="672"/>
      <c r="P112" s="673"/>
      <c r="Q112" s="723"/>
      <c r="R112" s="674"/>
      <c r="S112" s="208"/>
      <c r="T112" s="208"/>
      <c r="U112" s="209"/>
    </row>
    <row r="113" spans="1:21" s="33" customFormat="1" ht="12.75" customHeight="1">
      <c r="A113" s="1"/>
      <c r="B113" s="1"/>
      <c r="C113" s="1"/>
      <c r="D113" s="1"/>
      <c r="E113" s="2"/>
      <c r="F113" s="1"/>
      <c r="G113" s="2"/>
      <c r="H113" s="2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s="33" customFormat="1" ht="12.75" customHeight="1">
      <c r="A114" s="1"/>
      <c r="B114" s="1"/>
      <c r="C114" s="1"/>
      <c r="D114" s="1"/>
      <c r="E114" s="2"/>
      <c r="F114" s="1"/>
      <c r="G114" s="2"/>
      <c r="H114" s="2"/>
      <c r="I114" s="16"/>
      <c r="J114" s="16"/>
      <c r="K114" s="16"/>
      <c r="L114" s="16"/>
      <c r="M114" s="282"/>
      <c r="N114" s="220"/>
      <c r="O114" s="220"/>
      <c r="P114" s="283"/>
      <c r="Q114" s="16"/>
      <c r="R114" s="281"/>
      <c r="S114" s="16"/>
      <c r="T114" s="16"/>
      <c r="U114" s="16"/>
    </row>
    <row r="115" spans="1:21" s="33" customFormat="1" ht="12.75" customHeight="1">
      <c r="A115" s="1"/>
      <c r="B115" s="1"/>
      <c r="C115" s="1"/>
      <c r="D115" s="1"/>
      <c r="E115" s="2"/>
      <c r="F115" s="1"/>
      <c r="G115" s="2"/>
      <c r="H115" s="2"/>
      <c r="I115" s="16"/>
      <c r="J115" s="389"/>
      <c r="K115" s="16"/>
      <c r="L115" s="220"/>
      <c r="M115" s="282"/>
      <c r="N115" s="16"/>
      <c r="O115" s="16"/>
      <c r="P115" s="16"/>
      <c r="Q115" s="220"/>
      <c r="R115" s="281"/>
      <c r="S115" s="16"/>
      <c r="T115" s="16"/>
      <c r="U115" s="16"/>
    </row>
    <row r="116" spans="1:21" s="33" customFormat="1" ht="12.75" customHeight="1">
      <c r="A116" s="1"/>
      <c r="B116" s="1"/>
      <c r="C116" s="1"/>
      <c r="D116" s="1"/>
      <c r="E116" s="2"/>
      <c r="F116" s="1"/>
      <c r="G116" s="2"/>
      <c r="H116" s="2"/>
      <c r="I116" s="16"/>
      <c r="J116" s="390"/>
      <c r="K116" s="16"/>
      <c r="L116" s="16"/>
      <c r="M116" s="16"/>
      <c r="N116" s="16"/>
      <c r="O116" s="16"/>
      <c r="P116" s="283"/>
      <c r="Q116" s="281"/>
      <c r="R116" s="16"/>
      <c r="S116" s="16"/>
      <c r="T116" s="16"/>
      <c r="U116" s="16"/>
    </row>
    <row r="117" spans="1:21" s="33" customFormat="1" ht="12.75" customHeight="1">
      <c r="A117" s="1"/>
      <c r="B117" s="1"/>
      <c r="C117" s="1"/>
      <c r="D117" s="1"/>
      <c r="E117" s="2"/>
      <c r="F117" s="1"/>
      <c r="G117" s="2"/>
      <c r="H117" s="2"/>
      <c r="I117" s="16"/>
      <c r="J117" s="391"/>
      <c r="K117" s="16"/>
      <c r="L117" s="16"/>
      <c r="M117" s="16"/>
      <c r="N117" s="282"/>
      <c r="O117" s="16"/>
      <c r="P117" s="16"/>
      <c r="Q117" s="16"/>
      <c r="R117" s="16"/>
      <c r="S117" s="16"/>
      <c r="T117" s="16"/>
      <c r="U117" s="16"/>
    </row>
    <row r="118" spans="1:21" s="33" customFormat="1" ht="12.75" customHeight="1">
      <c r="A118" s="1"/>
      <c r="B118" s="1"/>
      <c r="C118" s="1"/>
      <c r="D118" s="1"/>
      <c r="E118" s="2"/>
      <c r="F118" s="1"/>
      <c r="G118" s="2"/>
      <c r="H118" s="2"/>
      <c r="I118" s="16"/>
      <c r="J118" s="16"/>
      <c r="K118" s="16"/>
      <c r="L118" s="16"/>
      <c r="M118" s="16"/>
      <c r="N118" s="282"/>
      <c r="O118" s="16"/>
      <c r="P118" s="282"/>
      <c r="Q118" s="16"/>
      <c r="R118" s="16"/>
      <c r="S118" s="16"/>
      <c r="T118" s="16"/>
      <c r="U118" s="16"/>
    </row>
    <row r="119" spans="1:21" s="33" customFormat="1" ht="12.75" customHeight="1">
      <c r="A119" s="1"/>
      <c r="B119" s="1"/>
      <c r="C119" s="1"/>
      <c r="D119" s="1"/>
      <c r="E119" s="2"/>
      <c r="F119" s="1"/>
      <c r="G119" s="2"/>
      <c r="H119" s="2"/>
      <c r="I119" s="16"/>
      <c r="J119" s="16"/>
      <c r="K119" s="16"/>
      <c r="L119" s="16"/>
      <c r="M119" s="16"/>
      <c r="N119" s="282"/>
      <c r="O119" s="283"/>
      <c r="P119" s="390"/>
      <c r="Q119" s="16"/>
      <c r="R119" s="16"/>
      <c r="S119" s="16"/>
      <c r="T119" s="16"/>
      <c r="U119" s="16"/>
    </row>
    <row r="120" spans="1:21" s="33" customFormat="1" ht="12.75" customHeight="1">
      <c r="A120" s="1"/>
      <c r="B120" s="1"/>
      <c r="C120" s="1"/>
      <c r="D120" s="1"/>
      <c r="E120" s="2"/>
      <c r="F120" s="1"/>
      <c r="G120" s="2"/>
      <c r="H120" s="2"/>
      <c r="I120" s="16"/>
      <c r="J120" s="16"/>
      <c r="K120" s="16"/>
      <c r="L120" s="16"/>
      <c r="M120" s="16"/>
      <c r="N120" s="282"/>
      <c r="O120" s="16"/>
      <c r="P120" s="16"/>
      <c r="Q120" s="16"/>
      <c r="R120" s="16"/>
      <c r="S120" s="16"/>
      <c r="T120" s="16"/>
      <c r="U120" s="16"/>
    </row>
    <row r="121" spans="1:21" s="33" customFormat="1" ht="12.75" customHeight="1">
      <c r="A121" s="1"/>
      <c r="B121" s="1"/>
      <c r="C121" s="1"/>
      <c r="D121" s="1"/>
      <c r="E121" s="2"/>
      <c r="F121" s="1"/>
      <c r="G121" s="2"/>
      <c r="H121" s="2"/>
      <c r="I121" s="16"/>
      <c r="J121" s="16"/>
      <c r="K121" s="16"/>
      <c r="L121" s="16"/>
      <c r="M121" s="16"/>
      <c r="N121" s="282"/>
      <c r="O121" s="16"/>
      <c r="P121" s="282"/>
      <c r="Q121" s="16"/>
      <c r="R121" s="16"/>
      <c r="S121" s="16"/>
      <c r="T121" s="16"/>
      <c r="U121" s="16"/>
    </row>
    <row r="122" spans="1:21" s="33" customFormat="1" ht="12.75" customHeight="1">
      <c r="A122" s="1"/>
      <c r="B122" s="1"/>
      <c r="C122" s="1"/>
      <c r="D122" s="1"/>
      <c r="E122" s="2"/>
      <c r="F122" s="1"/>
      <c r="G122" s="2"/>
      <c r="H122" s="2"/>
      <c r="I122" s="16"/>
      <c r="J122" s="16"/>
      <c r="K122" s="16"/>
      <c r="L122" s="16"/>
      <c r="M122" s="16"/>
      <c r="N122" s="220"/>
      <c r="O122" s="16"/>
      <c r="P122" s="16"/>
      <c r="Q122" s="16"/>
      <c r="R122" s="16"/>
      <c r="S122" s="16"/>
      <c r="T122" s="16"/>
      <c r="U122" s="16"/>
    </row>
    <row r="123" spans="1:21" s="33" customFormat="1" ht="12.75" customHeight="1">
      <c r="A123" s="1"/>
      <c r="B123" s="1"/>
      <c r="C123" s="1"/>
      <c r="D123" s="1"/>
      <c r="E123" s="2"/>
      <c r="F123" s="1"/>
      <c r="G123" s="2"/>
      <c r="H123" s="2"/>
      <c r="I123" s="16"/>
      <c r="J123" s="16"/>
      <c r="K123" s="16"/>
      <c r="L123" s="16"/>
      <c r="M123" s="16"/>
      <c r="N123" s="220"/>
      <c r="O123" s="16"/>
      <c r="P123" s="16"/>
      <c r="Q123" s="16"/>
      <c r="R123" s="16"/>
      <c r="S123" s="16"/>
      <c r="T123" s="16"/>
      <c r="U123" s="16"/>
    </row>
    <row r="124" spans="1:21" s="33" customFormat="1" ht="12.75" customHeight="1">
      <c r="A124" s="1"/>
      <c r="B124" s="1"/>
      <c r="C124" s="1"/>
      <c r="D124" s="1"/>
      <c r="E124" s="2"/>
      <c r="F124" s="1"/>
      <c r="G124" s="2"/>
      <c r="H124" s="2"/>
      <c r="I124" s="16"/>
      <c r="J124" s="16"/>
      <c r="K124" s="16"/>
      <c r="L124" s="282"/>
      <c r="M124" s="16"/>
      <c r="N124" s="282"/>
      <c r="O124" s="16"/>
      <c r="P124" s="16"/>
      <c r="Q124" s="16"/>
      <c r="R124" s="16"/>
      <c r="S124" s="16"/>
      <c r="T124" s="16"/>
      <c r="U124" s="16"/>
    </row>
    <row r="125" spans="1:21" s="33" customFormat="1" ht="12.75" customHeight="1">
      <c r="A125" s="1"/>
      <c r="B125" s="1"/>
      <c r="C125" s="1"/>
      <c r="D125" s="1"/>
      <c r="E125" s="2"/>
      <c r="F125" s="1"/>
      <c r="G125" s="2"/>
      <c r="H125" s="2"/>
      <c r="I125" s="16"/>
      <c r="J125" s="16"/>
      <c r="K125" s="16"/>
      <c r="L125" s="16"/>
      <c r="M125" s="16"/>
      <c r="N125" s="282"/>
      <c r="O125" s="16"/>
      <c r="P125" s="16"/>
      <c r="Q125" s="16"/>
      <c r="R125" s="16"/>
      <c r="S125" s="16"/>
      <c r="T125" s="16"/>
      <c r="U125" s="16"/>
    </row>
    <row r="126" spans="1:21" s="33" customFormat="1" ht="12.75" customHeight="1">
      <c r="A126" s="1"/>
      <c r="B126" s="1"/>
      <c r="C126" s="1"/>
      <c r="D126" s="1"/>
      <c r="E126" s="2"/>
      <c r="F126" s="1"/>
      <c r="G126" s="2"/>
      <c r="H126" s="2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</row>
    <row r="127" spans="1:21" s="33" customFormat="1" ht="12.75" customHeight="1">
      <c r="A127" s="1"/>
      <c r="B127" s="1"/>
      <c r="C127" s="1"/>
      <c r="D127" s="1"/>
      <c r="E127" s="2"/>
      <c r="F127" s="1"/>
      <c r="G127" s="2"/>
      <c r="H127" s="2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</row>
    <row r="128" spans="1:21" s="33" customFormat="1" ht="12.75" customHeight="1">
      <c r="A128" s="1"/>
      <c r="B128" s="1"/>
      <c r="C128" s="1"/>
      <c r="D128" s="1"/>
      <c r="E128" s="2"/>
      <c r="F128" s="1"/>
      <c r="G128" s="2"/>
      <c r="H128" s="2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</row>
    <row r="129" spans="1:21" s="33" customFormat="1" ht="12.75" customHeight="1">
      <c r="A129" s="1"/>
      <c r="B129" s="1"/>
      <c r="C129" s="1"/>
      <c r="D129" s="1"/>
      <c r="E129" s="2"/>
      <c r="F129" s="1"/>
      <c r="G129" s="2"/>
      <c r="H129" s="2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</row>
    <row r="130" spans="1:21" s="33" customFormat="1" ht="12.75" customHeight="1">
      <c r="A130" s="1"/>
      <c r="B130" s="1"/>
      <c r="C130" s="1"/>
      <c r="D130" s="1"/>
      <c r="E130" s="2"/>
      <c r="F130" s="1"/>
      <c r="G130" s="2"/>
      <c r="H130" s="2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</row>
    <row r="131" spans="1:21" s="33" customFormat="1" ht="12.75" customHeight="1">
      <c r="A131" s="1"/>
      <c r="B131" s="1"/>
      <c r="C131" s="1"/>
      <c r="D131" s="1"/>
      <c r="E131" s="2"/>
      <c r="F131" s="1"/>
      <c r="G131" s="2"/>
      <c r="H131" s="2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</row>
    <row r="132" spans="1:21" s="33" customFormat="1" ht="12.75" customHeight="1">
      <c r="A132" s="1"/>
      <c r="B132" s="1"/>
      <c r="C132" s="1"/>
      <c r="D132" s="1"/>
      <c r="E132" s="2"/>
      <c r="F132" s="1"/>
      <c r="G132" s="2"/>
      <c r="H132" s="2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</row>
    <row r="133" spans="1:21" s="33" customFormat="1" ht="12.75" customHeight="1">
      <c r="A133" s="1"/>
      <c r="B133" s="1"/>
      <c r="C133" s="1"/>
      <c r="D133" s="1"/>
      <c r="E133" s="2"/>
      <c r="F133" s="1"/>
      <c r="G133" s="2"/>
      <c r="H133" s="2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</row>
    <row r="134" spans="1:21" s="33" customFormat="1" ht="12.75" customHeight="1">
      <c r="A134" s="1"/>
      <c r="B134" s="1"/>
      <c r="C134" s="1"/>
      <c r="D134" s="1"/>
      <c r="E134" s="2"/>
      <c r="F134" s="1"/>
      <c r="G134" s="2"/>
      <c r="H134" s="2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</row>
    <row r="135" spans="1:21" s="33" customFormat="1" ht="12.75" customHeight="1">
      <c r="A135" s="1"/>
      <c r="B135" s="1"/>
      <c r="C135" s="1"/>
      <c r="D135" s="1"/>
      <c r="E135" s="2"/>
      <c r="F135" s="1"/>
      <c r="G135" s="2"/>
      <c r="H135" s="2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s="33" customFormat="1" ht="12.75" customHeight="1">
      <c r="A136" s="1"/>
      <c r="B136" s="1"/>
      <c r="C136" s="1"/>
      <c r="D136" s="1"/>
      <c r="E136" s="2"/>
      <c r="F136" s="1"/>
      <c r="G136" s="2"/>
      <c r="H136" s="2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s="33" customFormat="1" ht="12.75" customHeight="1">
      <c r="A137" s="1"/>
      <c r="B137" s="1"/>
      <c r="C137" s="1"/>
      <c r="D137" s="1"/>
      <c r="E137" s="2"/>
      <c r="F137" s="1"/>
      <c r="G137" s="2"/>
      <c r="H137" s="2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</row>
    <row r="138" spans="1:21" s="33" customFormat="1" ht="12.75" customHeight="1">
      <c r="A138" s="1"/>
      <c r="B138" s="1"/>
      <c r="C138" s="1"/>
      <c r="D138" s="1"/>
      <c r="E138" s="2"/>
      <c r="F138" s="1"/>
      <c r="G138" s="2"/>
      <c r="H138" s="2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</row>
    <row r="139" spans="1:21" s="33" customFormat="1" ht="12.75" customHeight="1">
      <c r="A139" s="1"/>
      <c r="B139" s="1"/>
      <c r="C139" s="1"/>
      <c r="D139" s="1"/>
      <c r="E139" s="2"/>
      <c r="F139" s="1"/>
      <c r="G139" s="2"/>
      <c r="H139" s="2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</row>
    <row r="140" spans="1:21" s="33" customFormat="1" ht="12.75" customHeight="1">
      <c r="A140" s="1"/>
      <c r="B140" s="1"/>
      <c r="C140" s="1"/>
      <c r="D140" s="1"/>
      <c r="E140" s="2"/>
      <c r="F140" s="1"/>
      <c r="G140" s="2"/>
      <c r="H140" s="2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</row>
    <row r="141" spans="1:21" s="33" customFormat="1" ht="12.75" customHeight="1">
      <c r="A141" s="1"/>
      <c r="B141" s="1"/>
      <c r="C141" s="1"/>
      <c r="D141" s="1"/>
      <c r="E141" s="2"/>
      <c r="F141" s="1"/>
      <c r="G141" s="2"/>
      <c r="H141" s="2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</row>
    <row r="142" spans="1:21" s="33" customFormat="1" ht="12.75" customHeight="1">
      <c r="A142" s="1"/>
      <c r="B142" s="1"/>
      <c r="C142" s="1"/>
      <c r="D142" s="1"/>
      <c r="E142" s="2"/>
      <c r="F142" s="1"/>
      <c r="G142" s="2"/>
      <c r="H142" s="2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</row>
    <row r="143" spans="1:21" s="33" customFormat="1" ht="12.75" customHeight="1">
      <c r="A143" s="1"/>
      <c r="B143" s="1"/>
      <c r="C143" s="1"/>
      <c r="D143" s="1"/>
      <c r="E143" s="2"/>
      <c r="F143" s="1"/>
      <c r="G143" s="2"/>
      <c r="H143" s="2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</row>
    <row r="144" spans="1:21" s="33" customFormat="1" ht="12.75" customHeight="1">
      <c r="A144" s="1"/>
      <c r="B144" s="1"/>
      <c r="C144" s="1"/>
      <c r="D144" s="1"/>
      <c r="E144" s="2"/>
      <c r="F144" s="1"/>
      <c r="G144" s="2"/>
      <c r="H144" s="2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</row>
    <row r="145" spans="1:21" s="33" customFormat="1" ht="12.75" customHeight="1">
      <c r="A145" s="1"/>
      <c r="B145" s="1"/>
      <c r="C145" s="1"/>
      <c r="D145" s="1"/>
      <c r="E145" s="2"/>
      <c r="F145" s="1"/>
      <c r="G145" s="2"/>
      <c r="H145" s="2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</row>
    <row r="146" spans="1:21" s="33" customFormat="1" ht="12.75" customHeight="1">
      <c r="A146" s="1"/>
      <c r="B146" s="1"/>
      <c r="C146" s="1"/>
      <c r="D146" s="1"/>
      <c r="E146" s="2"/>
      <c r="F146" s="1"/>
      <c r="G146" s="2"/>
      <c r="H146" s="2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</row>
    <row r="147" spans="1:21" s="33" customFormat="1" ht="12.75" customHeight="1">
      <c r="A147" s="1"/>
      <c r="B147" s="1"/>
      <c r="C147" s="1"/>
      <c r="D147" s="1"/>
      <c r="E147" s="2"/>
      <c r="F147" s="1"/>
      <c r="G147" s="2"/>
      <c r="H147" s="2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</row>
    <row r="148" spans="1:21" s="33" customFormat="1" ht="12.75" customHeight="1">
      <c r="A148" s="1"/>
      <c r="B148" s="1"/>
      <c r="C148" s="1"/>
      <c r="D148" s="1"/>
      <c r="E148" s="2"/>
      <c r="F148" s="1"/>
      <c r="G148" s="2"/>
      <c r="H148" s="2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</row>
    <row r="149" spans="1:21" s="33" customFormat="1" ht="12.75" customHeight="1">
      <c r="A149" s="1"/>
      <c r="B149" s="1"/>
      <c r="C149" s="1"/>
      <c r="D149" s="1"/>
      <c r="E149" s="2"/>
      <c r="F149" s="1"/>
      <c r="G149" s="2"/>
      <c r="H149" s="2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</row>
    <row r="150" spans="1:21" s="33" customFormat="1" ht="12.75" customHeight="1">
      <c r="A150" s="1"/>
      <c r="B150" s="1"/>
      <c r="C150" s="1"/>
      <c r="D150" s="1"/>
      <c r="E150" s="2"/>
      <c r="F150" s="1"/>
      <c r="G150" s="2"/>
      <c r="H150" s="2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</row>
    <row r="151" spans="1:21" s="33" customFormat="1" ht="12.75" customHeight="1">
      <c r="A151" s="1"/>
      <c r="B151" s="1"/>
      <c r="C151" s="1"/>
      <c r="D151" s="1"/>
      <c r="E151" s="2"/>
      <c r="F151" s="1"/>
      <c r="G151" s="2"/>
      <c r="H151" s="2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</row>
    <row r="152" spans="1:21" s="33" customFormat="1" ht="12.75" customHeight="1">
      <c r="A152" s="1"/>
      <c r="B152" s="1"/>
      <c r="C152" s="1"/>
      <c r="D152" s="1"/>
      <c r="E152" s="2"/>
      <c r="F152" s="1"/>
      <c r="G152" s="2"/>
      <c r="H152" s="2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</row>
    <row r="153" spans="1:21" s="33" customFormat="1" ht="12.75" customHeight="1">
      <c r="A153" s="1"/>
      <c r="B153" s="1"/>
      <c r="C153" s="1"/>
      <c r="D153" s="1"/>
      <c r="E153" s="2"/>
      <c r="F153" s="1"/>
      <c r="G153" s="2"/>
      <c r="H153" s="2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</row>
    <row r="154" spans="1:21" s="33" customFormat="1" ht="12.75" customHeight="1">
      <c r="A154" s="1"/>
      <c r="B154" s="1"/>
      <c r="C154" s="1"/>
      <c r="D154" s="1"/>
      <c r="E154" s="2"/>
      <c r="F154" s="1"/>
      <c r="G154" s="2"/>
      <c r="H154" s="2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</row>
    <row r="155" spans="1:21" s="33" customFormat="1" ht="12.75" customHeight="1">
      <c r="A155" s="1"/>
      <c r="B155" s="1"/>
      <c r="C155" s="1"/>
      <c r="D155" s="1"/>
      <c r="E155" s="2"/>
      <c r="F155" s="1"/>
      <c r="G155" s="2"/>
      <c r="H155" s="2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</row>
    <row r="156" spans="1:21" s="33" customFormat="1" ht="12.75" customHeight="1">
      <c r="A156" s="1"/>
      <c r="B156" s="1"/>
      <c r="C156" s="1"/>
      <c r="D156" s="1"/>
      <c r="E156" s="2"/>
      <c r="F156" s="1"/>
      <c r="G156" s="2"/>
      <c r="H156" s="2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</row>
    <row r="157" spans="1:21" s="33" customFormat="1" ht="12.75" customHeight="1">
      <c r="A157" s="1"/>
      <c r="B157" s="1"/>
      <c r="C157" s="1"/>
      <c r="D157" s="1"/>
      <c r="E157" s="2"/>
      <c r="F157" s="1"/>
      <c r="G157" s="2"/>
      <c r="H157" s="2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</row>
    <row r="158" spans="1:21" s="33" customFormat="1" ht="12.75" customHeight="1">
      <c r="A158" s="1"/>
      <c r="B158" s="1"/>
      <c r="C158" s="1"/>
      <c r="D158" s="1"/>
      <c r="E158" s="2"/>
      <c r="F158" s="1"/>
      <c r="G158" s="2"/>
      <c r="H158" s="2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</row>
    <row r="159" spans="1:21" s="33" customFormat="1" ht="12.75" customHeight="1">
      <c r="A159" s="1"/>
      <c r="B159" s="1"/>
      <c r="C159" s="1"/>
      <c r="D159" s="1"/>
      <c r="E159" s="2"/>
      <c r="F159" s="1"/>
      <c r="G159" s="2"/>
      <c r="H159" s="2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</row>
    <row r="160" spans="1:21" s="33" customFormat="1" ht="12.75" customHeight="1">
      <c r="A160" s="1"/>
      <c r="B160" s="1"/>
      <c r="C160" s="1"/>
      <c r="D160" s="1"/>
      <c r="E160" s="2"/>
      <c r="F160" s="1"/>
      <c r="G160" s="2"/>
      <c r="H160" s="2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</row>
    <row r="161" spans="1:21" s="33" customFormat="1" ht="12.75" customHeight="1">
      <c r="A161" s="1"/>
      <c r="B161" s="1"/>
      <c r="C161" s="1"/>
      <c r="D161" s="1"/>
      <c r="E161" s="2"/>
      <c r="F161" s="1"/>
      <c r="G161" s="2"/>
      <c r="H161" s="2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</row>
    <row r="162" spans="1:21" s="33" customFormat="1" ht="12.75" customHeight="1">
      <c r="A162" s="1"/>
      <c r="B162" s="1"/>
      <c r="C162" s="1"/>
      <c r="D162" s="1"/>
      <c r="E162" s="2"/>
      <c r="F162" s="1"/>
      <c r="G162" s="2"/>
      <c r="H162" s="2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</row>
    <row r="163" spans="1:21" s="33" customFormat="1" ht="12.75" customHeight="1">
      <c r="A163" s="1"/>
      <c r="B163" s="1"/>
      <c r="C163" s="1"/>
      <c r="D163" s="1"/>
      <c r="E163" s="2"/>
      <c r="F163" s="1"/>
      <c r="G163" s="2"/>
      <c r="H163" s="2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</row>
    <row r="164" spans="1:21" s="33" customFormat="1" ht="12.75" customHeight="1">
      <c r="A164" s="1"/>
      <c r="B164" s="1"/>
      <c r="C164" s="1"/>
      <c r="D164" s="1"/>
      <c r="E164" s="2"/>
      <c r="F164" s="1"/>
      <c r="G164" s="2"/>
      <c r="H164" s="2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</row>
    <row r="165" spans="1:21" s="33" customFormat="1" ht="12.75" customHeight="1">
      <c r="A165" s="1"/>
      <c r="B165" s="1"/>
      <c r="C165" s="1"/>
      <c r="D165" s="1"/>
      <c r="E165" s="2"/>
      <c r="F165" s="1"/>
      <c r="G165" s="2"/>
      <c r="H165" s="2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</row>
    <row r="166" spans="1:21" s="33" customFormat="1" ht="12.75" customHeight="1">
      <c r="A166" s="1"/>
      <c r="B166" s="1"/>
      <c r="C166" s="1"/>
      <c r="D166" s="1"/>
      <c r="E166" s="2"/>
      <c r="F166" s="1"/>
      <c r="G166" s="2"/>
      <c r="H166" s="2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</row>
    <row r="167" spans="1:21" s="33" customFormat="1" ht="12.75" customHeight="1">
      <c r="A167" s="1"/>
      <c r="B167" s="1"/>
      <c r="C167" s="1"/>
      <c r="D167" s="1"/>
      <c r="E167" s="2"/>
      <c r="F167" s="1"/>
      <c r="G167" s="2"/>
      <c r="H167" s="2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</row>
    <row r="168" spans="1:21" s="33" customFormat="1" ht="12.75" customHeight="1">
      <c r="A168" s="1"/>
      <c r="B168" s="1"/>
      <c r="C168" s="1"/>
      <c r="D168" s="1"/>
      <c r="E168" s="2"/>
      <c r="F168" s="1"/>
      <c r="G168" s="2"/>
      <c r="H168" s="2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</row>
    <row r="169" spans="1:21" s="33" customFormat="1" ht="12.75" customHeight="1">
      <c r="A169" s="1"/>
      <c r="B169" s="1"/>
      <c r="C169" s="1"/>
      <c r="D169" s="1"/>
      <c r="E169" s="2"/>
      <c r="F169" s="1"/>
      <c r="G169" s="2"/>
      <c r="H169" s="2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</row>
    <row r="170" spans="1:21" s="33" customFormat="1" ht="12.75" customHeight="1">
      <c r="A170" s="1"/>
      <c r="B170" s="1"/>
      <c r="C170" s="1"/>
      <c r="D170" s="1"/>
      <c r="E170" s="2"/>
      <c r="F170" s="1"/>
      <c r="G170" s="2"/>
      <c r="H170" s="2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</row>
    <row r="171" spans="1:21" s="33" customFormat="1" ht="12.75" customHeight="1">
      <c r="A171" s="1"/>
      <c r="B171" s="1"/>
      <c r="C171" s="1"/>
      <c r="D171" s="1"/>
      <c r="E171" s="2"/>
      <c r="F171" s="1"/>
      <c r="G171" s="2"/>
      <c r="H171" s="2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</row>
    <row r="172" spans="1:21" s="33" customFormat="1" ht="12.75" customHeight="1">
      <c r="A172" s="1"/>
      <c r="B172" s="1"/>
      <c r="C172" s="1"/>
      <c r="D172" s="1"/>
      <c r="E172" s="2"/>
      <c r="F172" s="1"/>
      <c r="G172" s="2"/>
      <c r="H172" s="2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</row>
    <row r="173" spans="1:21" s="33" customFormat="1" ht="12.75" customHeight="1">
      <c r="A173" s="1"/>
      <c r="B173" s="1"/>
      <c r="C173" s="1"/>
      <c r="D173" s="1"/>
      <c r="E173" s="2"/>
      <c r="F173" s="1"/>
      <c r="G173" s="2"/>
      <c r="H173" s="2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</row>
    <row r="174" spans="1:21" s="33" customFormat="1" ht="12.75" customHeight="1">
      <c r="A174" s="1"/>
      <c r="B174" s="1"/>
      <c r="C174" s="1"/>
      <c r="D174" s="1"/>
      <c r="E174" s="2"/>
      <c r="F174" s="1"/>
      <c r="G174" s="2"/>
      <c r="H174" s="2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</row>
    <row r="175" spans="1:21" s="33" customFormat="1" ht="12.75" customHeight="1">
      <c r="A175" s="1"/>
      <c r="B175" s="1"/>
      <c r="C175" s="1"/>
      <c r="D175" s="1"/>
      <c r="E175" s="2"/>
      <c r="F175" s="1"/>
      <c r="G175" s="2"/>
      <c r="H175" s="2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</row>
    <row r="176" spans="1:21" s="33" customFormat="1" ht="12.75" customHeight="1">
      <c r="A176" s="1"/>
      <c r="B176" s="1"/>
      <c r="C176" s="1"/>
      <c r="D176" s="1"/>
      <c r="E176" s="2"/>
      <c r="F176" s="1"/>
      <c r="G176" s="2"/>
      <c r="H176" s="2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</row>
    <row r="177" spans="1:21" s="33" customFormat="1" ht="12.75" customHeight="1">
      <c r="A177" s="1"/>
      <c r="B177" s="1"/>
      <c r="C177" s="1"/>
      <c r="D177" s="1"/>
      <c r="E177" s="2"/>
      <c r="F177" s="1"/>
      <c r="G177" s="2"/>
      <c r="H177" s="2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</row>
    <row r="178" spans="1:21" s="33" customFormat="1" ht="12.75" customHeight="1">
      <c r="A178" s="1"/>
      <c r="B178" s="1"/>
      <c r="C178" s="1"/>
      <c r="D178" s="1"/>
      <c r="E178" s="2"/>
      <c r="F178" s="1"/>
      <c r="G178" s="2"/>
      <c r="H178" s="2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</row>
    <row r="179" spans="1:21" s="33" customFormat="1" ht="12.75" customHeight="1">
      <c r="A179" s="1"/>
      <c r="B179" s="1"/>
      <c r="C179" s="1"/>
      <c r="D179" s="1"/>
      <c r="E179" s="2"/>
      <c r="F179" s="1"/>
      <c r="G179" s="2"/>
      <c r="H179" s="2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</row>
    <row r="180" spans="1:21" s="33" customFormat="1" ht="12.75" customHeight="1">
      <c r="A180" s="1"/>
      <c r="B180" s="1"/>
      <c r="C180" s="1"/>
      <c r="D180" s="1"/>
      <c r="E180" s="2"/>
      <c r="F180" s="1"/>
      <c r="G180" s="2"/>
      <c r="H180" s="2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</row>
    <row r="181" spans="1:21" s="33" customFormat="1" ht="12.75" customHeight="1">
      <c r="A181" s="1"/>
      <c r="B181" s="1"/>
      <c r="C181" s="1"/>
      <c r="D181" s="1"/>
      <c r="E181" s="2"/>
      <c r="F181" s="1"/>
      <c r="G181" s="2"/>
      <c r="H181" s="2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</row>
    <row r="182" spans="1:21" s="33" customFormat="1" ht="12.75" customHeight="1">
      <c r="A182" s="1"/>
      <c r="B182" s="1"/>
      <c r="C182" s="1"/>
      <c r="D182" s="1"/>
      <c r="E182" s="2"/>
      <c r="F182" s="1"/>
      <c r="G182" s="2"/>
      <c r="H182" s="2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</row>
    <row r="183" spans="1:21" s="33" customFormat="1" ht="12.75" customHeight="1">
      <c r="A183" s="1"/>
      <c r="B183" s="1"/>
      <c r="C183" s="1"/>
      <c r="D183" s="1"/>
      <c r="E183" s="2"/>
      <c r="F183" s="1"/>
      <c r="G183" s="2"/>
      <c r="H183" s="2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</row>
    <row r="184" spans="1:21" s="33" customFormat="1" ht="12.75" customHeight="1">
      <c r="A184" s="1"/>
      <c r="B184" s="1"/>
      <c r="C184" s="1"/>
      <c r="D184" s="1"/>
      <c r="E184" s="2"/>
      <c r="F184" s="1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s="33" customFormat="1" ht="12.75" customHeight="1">
      <c r="A185" s="1"/>
      <c r="B185" s="1"/>
      <c r="C185" s="1"/>
      <c r="D185" s="1"/>
      <c r="E185" s="2"/>
      <c r="F185" s="1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s="33" customFormat="1" ht="12.75" customHeight="1">
      <c r="A186" s="1"/>
      <c r="B186" s="1"/>
      <c r="C186" s="1"/>
      <c r="D186" s="1"/>
      <c r="E186" s="2"/>
      <c r="F186" s="1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s="33" customFormat="1" ht="12.75" customHeight="1">
      <c r="A187" s="1"/>
      <c r="B187" s="1"/>
      <c r="C187" s="1"/>
      <c r="D187" s="1"/>
      <c r="E187" s="2"/>
      <c r="F187" s="1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s="33" customFormat="1" ht="12.75" customHeight="1">
      <c r="A188" s="1"/>
      <c r="B188" s="1"/>
      <c r="C188" s="1"/>
      <c r="D188" s="1"/>
      <c r="E188" s="2"/>
      <c r="F188" s="1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s="33" customFormat="1" ht="12.75" customHeight="1">
      <c r="A189" s="1"/>
      <c r="B189" s="1"/>
      <c r="C189" s="1"/>
      <c r="D189" s="1"/>
      <c r="E189" s="2"/>
      <c r="F189" s="1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s="33" customFormat="1" ht="12.75" customHeight="1">
      <c r="A190" s="1"/>
      <c r="B190" s="1"/>
      <c r="C190" s="1"/>
      <c r="D190" s="1"/>
      <c r="E190" s="2"/>
      <c r="F190" s="1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s="33" customFormat="1" ht="12.75" customHeight="1">
      <c r="A191" s="1"/>
      <c r="B191" s="1"/>
      <c r="C191" s="1"/>
      <c r="D191" s="1"/>
      <c r="E191" s="2"/>
      <c r="F191" s="1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</sheetData>
  <mergeCells count="13">
    <mergeCell ref="J112:L112"/>
    <mergeCell ref="O3:P3"/>
    <mergeCell ref="Q3:R3"/>
    <mergeCell ref="S3:U3"/>
    <mergeCell ref="Q104:R104"/>
    <mergeCell ref="J110:L110"/>
    <mergeCell ref="J111:L111"/>
    <mergeCell ref="H3:J3"/>
    <mergeCell ref="E3:E4"/>
    <mergeCell ref="F3:F4"/>
    <mergeCell ref="K3:L3"/>
    <mergeCell ref="M3:N3"/>
    <mergeCell ref="G3:G4"/>
  </mergeCells>
  <conditionalFormatting sqref="U12:U19">
    <cfRule type="cellIs" dxfId="360" priority="99" operator="greaterThan">
      <formula>1</formula>
    </cfRule>
    <cfRule type="cellIs" dxfId="359" priority="100" operator="greaterThan">
      <formula>100</formula>
    </cfRule>
  </conditionalFormatting>
  <conditionalFormatting sqref="U11">
    <cfRule type="cellIs" dxfId="358" priority="95" operator="greaterThan">
      <formula>1</formula>
    </cfRule>
    <cfRule type="cellIs" dxfId="357" priority="96" operator="greaterThan">
      <formula>100</formula>
    </cfRule>
  </conditionalFormatting>
  <conditionalFormatting sqref="U28:U32">
    <cfRule type="cellIs" dxfId="356" priority="93" operator="greaterThan">
      <formula>1</formula>
    </cfRule>
    <cfRule type="cellIs" dxfId="355" priority="94" operator="greaterThan">
      <formula>100</formula>
    </cfRule>
  </conditionalFormatting>
  <conditionalFormatting sqref="U40:U73">
    <cfRule type="cellIs" dxfId="354" priority="89" operator="greaterThan">
      <formula>1</formula>
    </cfRule>
    <cfRule type="cellIs" dxfId="353" priority="90" operator="greaterThan">
      <formula>100</formula>
    </cfRule>
  </conditionalFormatting>
  <conditionalFormatting sqref="U35:U39">
    <cfRule type="cellIs" dxfId="352" priority="87" operator="greaterThan">
      <formula>1</formula>
    </cfRule>
    <cfRule type="cellIs" dxfId="351" priority="88" operator="greaterThan">
      <formula>100</formula>
    </cfRule>
  </conditionalFormatting>
  <conditionalFormatting sqref="U96:U101">
    <cfRule type="cellIs" dxfId="350" priority="77" operator="greaterThan">
      <formula>1</formula>
    </cfRule>
    <cfRule type="cellIs" dxfId="349" priority="78" operator="greaterThan">
      <formula>100</formula>
    </cfRule>
  </conditionalFormatting>
  <conditionalFormatting sqref="U77:U92">
    <cfRule type="cellIs" dxfId="348" priority="85" operator="greaterThan">
      <formula>1</formula>
    </cfRule>
    <cfRule type="cellIs" dxfId="347" priority="86" operator="greaterThan">
      <formula>100</formula>
    </cfRule>
  </conditionalFormatting>
  <conditionalFormatting sqref="U94">
    <cfRule type="cellIs" dxfId="346" priority="79" operator="greaterThan">
      <formula>1</formula>
    </cfRule>
    <cfRule type="cellIs" dxfId="345" priority="80" operator="greaterThan">
      <formula>100</formula>
    </cfRule>
  </conditionalFormatting>
  <conditionalFormatting sqref="U103">
    <cfRule type="cellIs" dxfId="344" priority="75" operator="greaterThan">
      <formula>1</formula>
    </cfRule>
    <cfRule type="cellIs" dxfId="343" priority="76" operator="greaterThan">
      <formula>100</formula>
    </cfRule>
  </conditionalFormatting>
  <conditionalFormatting sqref="U10">
    <cfRule type="cellIs" dxfId="342" priority="73" operator="greaterThan">
      <formula>1</formula>
    </cfRule>
    <cfRule type="cellIs" dxfId="341" priority="74" operator="greaterThan">
      <formula>100</formula>
    </cfRule>
  </conditionalFormatting>
  <conditionalFormatting sqref="U27">
    <cfRule type="cellIs" dxfId="340" priority="71" operator="greaterThan">
      <formula>1</formula>
    </cfRule>
    <cfRule type="cellIs" dxfId="339" priority="72" operator="greaterThan">
      <formula>100</formula>
    </cfRule>
  </conditionalFormatting>
  <conditionalFormatting sqref="U34">
    <cfRule type="cellIs" dxfId="338" priority="69" operator="greaterThan">
      <formula>1</formula>
    </cfRule>
    <cfRule type="cellIs" dxfId="337" priority="70" operator="greaterThan">
      <formula>100</formula>
    </cfRule>
  </conditionalFormatting>
  <conditionalFormatting sqref="U76">
    <cfRule type="cellIs" dxfId="336" priority="67" operator="greaterThan">
      <formula>1</formula>
    </cfRule>
    <cfRule type="cellIs" dxfId="335" priority="68" operator="greaterThan">
      <formula>100</formula>
    </cfRule>
  </conditionalFormatting>
  <conditionalFormatting sqref="U93">
    <cfRule type="cellIs" dxfId="334" priority="65" operator="greaterThan">
      <formula>1</formula>
    </cfRule>
    <cfRule type="cellIs" dxfId="333" priority="66" operator="greaterThan">
      <formula>100</formula>
    </cfRule>
  </conditionalFormatting>
  <conditionalFormatting sqref="U95">
    <cfRule type="cellIs" dxfId="332" priority="63" operator="greaterThan">
      <formula>1</formula>
    </cfRule>
    <cfRule type="cellIs" dxfId="331" priority="64" operator="greaterThan">
      <formula>100</formula>
    </cfRule>
  </conditionalFormatting>
  <conditionalFormatting sqref="S103 S5:U6 S10:T19 S27:T32 S34:T73 S76:T101">
    <cfRule type="cellIs" dxfId="330" priority="62" operator="equal">
      <formula>0</formula>
    </cfRule>
  </conditionalFormatting>
  <conditionalFormatting sqref="S10">
    <cfRule type="cellIs" priority="61" operator="equal">
      <formula>0</formula>
    </cfRule>
  </conditionalFormatting>
  <conditionalFormatting sqref="S10 S27 S34 S76 S93 S95 S5">
    <cfRule type="cellIs" dxfId="329" priority="60" operator="equal">
      <formula>0</formula>
    </cfRule>
  </conditionalFormatting>
  <conditionalFormatting sqref="T5">
    <cfRule type="cellIs" dxfId="328" priority="58" operator="equal">
      <formula>0</formula>
    </cfRule>
  </conditionalFormatting>
  <conditionalFormatting sqref="U5">
    <cfRule type="cellIs" dxfId="327" priority="56" operator="equal">
      <formula>0</formula>
    </cfRule>
  </conditionalFormatting>
  <conditionalFormatting sqref="T10">
    <cfRule type="cellIs" priority="54" operator="equal">
      <formula>0</formula>
    </cfRule>
  </conditionalFormatting>
  <conditionalFormatting sqref="T10">
    <cfRule type="cellIs" dxfId="326" priority="53" operator="equal">
      <formula>0</formula>
    </cfRule>
  </conditionalFormatting>
  <conditionalFormatting sqref="T27">
    <cfRule type="cellIs" dxfId="325" priority="51" operator="equal">
      <formula>0</formula>
    </cfRule>
  </conditionalFormatting>
  <conditionalFormatting sqref="T34">
    <cfRule type="cellIs" dxfId="324" priority="49" operator="equal">
      <formula>0</formula>
    </cfRule>
  </conditionalFormatting>
  <conditionalFormatting sqref="T76">
    <cfRule type="cellIs" dxfId="323" priority="47" operator="equal">
      <formula>0</formula>
    </cfRule>
  </conditionalFormatting>
  <conditionalFormatting sqref="T93">
    <cfRule type="cellIs" dxfId="322" priority="45" operator="equal">
      <formula>0</formula>
    </cfRule>
  </conditionalFormatting>
  <conditionalFormatting sqref="T95">
    <cfRule type="cellIs" dxfId="321" priority="43" operator="equal">
      <formula>0</formula>
    </cfRule>
  </conditionalFormatting>
  <conditionalFormatting sqref="S103">
    <cfRule type="cellIs" dxfId="320" priority="42" operator="equal">
      <formula>0</formula>
    </cfRule>
  </conditionalFormatting>
  <conditionalFormatting sqref="U25">
    <cfRule type="cellIs" dxfId="319" priority="40" operator="greaterThan">
      <formula>1</formula>
    </cfRule>
    <cfRule type="cellIs" dxfId="318" priority="41" operator="greaterThan">
      <formula>100</formula>
    </cfRule>
  </conditionalFormatting>
  <conditionalFormatting sqref="U21:U24">
    <cfRule type="cellIs" dxfId="317" priority="38" operator="greaterThan">
      <formula>1</formula>
    </cfRule>
    <cfRule type="cellIs" dxfId="316" priority="39" operator="greaterThan">
      <formula>100</formula>
    </cfRule>
  </conditionalFormatting>
  <conditionalFormatting sqref="S21:T25">
    <cfRule type="cellIs" dxfId="315" priority="37" operator="equal">
      <formula>0</formula>
    </cfRule>
  </conditionalFormatting>
  <conditionalFormatting sqref="U26">
    <cfRule type="cellIs" dxfId="314" priority="35" operator="greaterThan">
      <formula>1</formula>
    </cfRule>
    <cfRule type="cellIs" dxfId="313" priority="36" operator="greaterThan">
      <formula>100</formula>
    </cfRule>
  </conditionalFormatting>
  <conditionalFormatting sqref="S26:T26">
    <cfRule type="cellIs" dxfId="312" priority="34" operator="equal">
      <formula>0</formula>
    </cfRule>
  </conditionalFormatting>
  <conditionalFormatting sqref="S74:T74">
    <cfRule type="cellIs" dxfId="311" priority="4" operator="equal">
      <formula>0</formula>
    </cfRule>
  </conditionalFormatting>
  <conditionalFormatting sqref="U20">
    <cfRule type="cellIs" dxfId="310" priority="32" operator="greaterThan">
      <formula>1</formula>
    </cfRule>
    <cfRule type="cellIs" dxfId="309" priority="33" operator="greaterThan">
      <formula>100</formula>
    </cfRule>
  </conditionalFormatting>
  <conditionalFormatting sqref="S20:T20">
    <cfRule type="cellIs" dxfId="308" priority="31" operator="equal">
      <formula>0</formula>
    </cfRule>
  </conditionalFormatting>
  <conditionalFormatting sqref="U7:U8">
    <cfRule type="cellIs" dxfId="307" priority="29" operator="greaterThan">
      <formula>1</formula>
    </cfRule>
    <cfRule type="cellIs" dxfId="306" priority="30" operator="greaterThan">
      <formula>100</formula>
    </cfRule>
  </conditionalFormatting>
  <conditionalFormatting sqref="S7:T8">
    <cfRule type="cellIs" dxfId="305" priority="28" operator="equal">
      <formula>0</formula>
    </cfRule>
  </conditionalFormatting>
  <conditionalFormatting sqref="U9">
    <cfRule type="cellIs" dxfId="304" priority="26" operator="greaterThan">
      <formula>1</formula>
    </cfRule>
    <cfRule type="cellIs" dxfId="303" priority="27" operator="greaterThan">
      <formula>100</formula>
    </cfRule>
  </conditionalFormatting>
  <conditionalFormatting sqref="S9:T9">
    <cfRule type="cellIs" dxfId="302" priority="25" operator="equal">
      <formula>0</formula>
    </cfRule>
  </conditionalFormatting>
  <conditionalFormatting sqref="U33">
    <cfRule type="cellIs" dxfId="301" priority="23" operator="greaterThan">
      <formula>1</formula>
    </cfRule>
    <cfRule type="cellIs" dxfId="300" priority="24" operator="greaterThan">
      <formula>100</formula>
    </cfRule>
  </conditionalFormatting>
  <conditionalFormatting sqref="S33:T33">
    <cfRule type="cellIs" dxfId="299" priority="22" operator="equal">
      <formula>0</formula>
    </cfRule>
  </conditionalFormatting>
  <conditionalFormatting sqref="U74">
    <cfRule type="cellIs" dxfId="298" priority="5" operator="greaterThan">
      <formula>1</formula>
    </cfRule>
    <cfRule type="cellIs" dxfId="297" priority="6" operator="greaterThan">
      <formula>100</formula>
    </cfRule>
  </conditionalFormatting>
  <conditionalFormatting sqref="U75">
    <cfRule type="cellIs" dxfId="296" priority="8" operator="greaterThan">
      <formula>1</formula>
    </cfRule>
    <cfRule type="cellIs" dxfId="295" priority="9" operator="greaterThan">
      <formula>100</formula>
    </cfRule>
  </conditionalFormatting>
  <conditionalFormatting sqref="S75:T75">
    <cfRule type="cellIs" dxfId="294" priority="7" operator="equal">
      <formula>0</formula>
    </cfRule>
  </conditionalFormatting>
  <printOptions horizontalCentered="1"/>
  <pageMargins left="0.19685039370078741" right="0.19685039370078741" top="0.78740157480314965" bottom="0.59055118110236227" header="0.51181102362204722" footer="0.39370078740157483"/>
  <pageSetup scale="62" fitToHeight="4" orientation="landscape" horizontalDpi="4294967295" verticalDpi="4294967295" r:id="rId1"/>
  <headerFooter alignWithMargins="0">
    <oddFooter>&amp;R&amp;P de &amp;N</oddFooter>
  </headerFooter>
  <rowBreaks count="1" manualBreakCount="1">
    <brk id="60" min="4" max="1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5">
    <pageSetUpPr fitToPage="1"/>
  </sheetPr>
  <dimension ref="A1:AJ233"/>
  <sheetViews>
    <sheetView showGridLines="0" tabSelected="1" view="pageBreakPreview" topLeftCell="K1" zoomScaleNormal="85" zoomScaleSheetLayoutView="100" workbookViewId="0">
      <selection activeCell="P107" sqref="P107"/>
    </sheetView>
  </sheetViews>
  <sheetFormatPr baseColWidth="10" defaultColWidth="12.7109375" defaultRowHeight="12.75"/>
  <cols>
    <col min="1" max="1" width="7.85546875" style="1" hidden="1" customWidth="1"/>
    <col min="2" max="2" width="2.140625" style="1" hidden="1" customWidth="1"/>
    <col min="3" max="3" width="7.85546875" style="1" hidden="1" customWidth="1"/>
    <col min="4" max="4" width="41" style="1" hidden="1" customWidth="1"/>
    <col min="5" max="5" width="4" style="2" bestFit="1" customWidth="1"/>
    <col min="6" max="6" width="41.7109375" style="1" customWidth="1"/>
    <col min="7" max="7" width="8.140625" style="2" customWidth="1"/>
    <col min="8" max="8" width="10.42578125" style="2" customWidth="1"/>
    <col min="9" max="9" width="10.7109375" style="2" customWidth="1"/>
    <col min="10" max="10" width="13.5703125" style="1" bestFit="1" customWidth="1"/>
    <col min="11" max="11" width="10.7109375" style="1" customWidth="1"/>
    <col min="12" max="12" width="7.5703125" style="1" bestFit="1" customWidth="1"/>
    <col min="13" max="13" width="13.28515625" style="1" bestFit="1" customWidth="1"/>
    <col min="14" max="20" width="10.7109375" style="1" customWidth="1"/>
    <col min="21" max="21" width="13.5703125" style="1" bestFit="1" customWidth="1"/>
    <col min="22" max="23" width="6.7109375" style="1" customWidth="1"/>
    <col min="24" max="24" width="7.7109375" style="1" customWidth="1"/>
    <col min="25" max="25" width="12.7109375" style="1"/>
    <col min="26" max="26" width="6.28515625" style="33" customWidth="1"/>
    <col min="27" max="16384" width="12.7109375" style="1"/>
  </cols>
  <sheetData>
    <row r="1" spans="1:36">
      <c r="F1" s="880"/>
      <c r="J1" s="516">
        <f>+I114</f>
        <v>108397839.64</v>
      </c>
      <c r="K1" s="516"/>
      <c r="L1" s="516"/>
      <c r="M1" s="516"/>
      <c r="O1" s="516">
        <f>+N114</f>
        <v>4270358.2499999991</v>
      </c>
      <c r="Q1" s="516">
        <f>+P114</f>
        <v>1766556.24</v>
      </c>
      <c r="S1" s="516">
        <f>+R114</f>
        <v>6036914.4900000012</v>
      </c>
      <c r="U1" s="516">
        <f>+T114</f>
        <v>100594086.18000001</v>
      </c>
    </row>
    <row r="2" spans="1:36" ht="15" customHeight="1">
      <c r="E2" s="206"/>
      <c r="F2" s="845"/>
      <c r="G2" s="1830" t="s">
        <v>74</v>
      </c>
      <c r="H2" s="1831"/>
      <c r="I2" s="1831"/>
      <c r="J2" s="1831"/>
      <c r="K2" s="1831"/>
      <c r="L2" s="1831"/>
      <c r="M2" s="1831"/>
      <c r="N2" s="1831"/>
      <c r="O2" s="1831"/>
      <c r="P2" s="1831"/>
      <c r="Q2" s="1831"/>
      <c r="R2" s="1831"/>
      <c r="S2" s="1832"/>
      <c r="T2" s="1833"/>
      <c r="U2" s="1834"/>
      <c r="V2" s="1834"/>
      <c r="W2" s="1834"/>
      <c r="X2" s="1835"/>
      <c r="Y2" s="225"/>
    </row>
    <row r="3" spans="1:36" ht="15" customHeight="1">
      <c r="E3" s="716"/>
      <c r="F3" s="846"/>
      <c r="G3" s="1836" t="str">
        <f>+Datos!C24</f>
        <v>SEPTIEMBRE 2021</v>
      </c>
      <c r="H3" s="1837"/>
      <c r="I3" s="1838"/>
      <c r="J3" s="1838"/>
      <c r="K3" s="1838"/>
      <c r="L3" s="1838"/>
      <c r="M3" s="1838"/>
      <c r="N3" s="1838"/>
      <c r="O3" s="1838"/>
      <c r="P3" s="1838"/>
      <c r="Q3" s="1838"/>
      <c r="R3" s="1838"/>
      <c r="S3" s="1839"/>
      <c r="T3" s="717"/>
      <c r="U3" s="225"/>
      <c r="V3" s="225"/>
      <c r="W3" s="225"/>
      <c r="X3" s="718"/>
      <c r="Y3" s="225"/>
    </row>
    <row r="4" spans="1:36" ht="15" customHeight="1">
      <c r="E4" s="32"/>
      <c r="F4" s="1008" t="s">
        <v>7</v>
      </c>
      <c r="G4" s="1840" t="str">
        <f>+Certificado!C3</f>
        <v>PROYECTO: CONSTRUCCION Y REHABILITACION TRAMO CARRETERO
VILLA MONTES - LA VERTIENTE - PALO MARCADO</v>
      </c>
      <c r="H4" s="1841"/>
      <c r="I4" s="1841"/>
      <c r="J4" s="1841"/>
      <c r="K4" s="1841"/>
      <c r="L4" s="1841"/>
      <c r="M4" s="1841"/>
      <c r="N4" s="1841"/>
      <c r="O4" s="1841"/>
      <c r="P4" s="1841"/>
      <c r="Q4" s="1841"/>
      <c r="R4" s="1841"/>
      <c r="S4" s="1842"/>
      <c r="T4" s="709"/>
      <c r="V4" s="711" t="s">
        <v>77</v>
      </c>
      <c r="W4" s="314"/>
      <c r="X4" s="710"/>
      <c r="Y4" s="517"/>
      <c r="AC4" s="765">
        <v>24000000</v>
      </c>
    </row>
    <row r="5" spans="1:36" ht="15" customHeight="1">
      <c r="E5" s="416"/>
      <c r="F5" s="417"/>
      <c r="G5" s="1843" t="s">
        <v>13</v>
      </c>
      <c r="H5" s="1844"/>
      <c r="I5" s="1844"/>
      <c r="J5" s="1844"/>
      <c r="K5" s="1844"/>
      <c r="L5" s="1844"/>
      <c r="M5" s="1844"/>
      <c r="N5" s="1844"/>
      <c r="O5" s="1844"/>
      <c r="P5" s="1844"/>
      <c r="Q5" s="1844"/>
      <c r="R5" s="1844"/>
      <c r="S5" s="1845"/>
      <c r="T5" s="706"/>
      <c r="U5" s="707"/>
      <c r="V5" s="707"/>
      <c r="W5" s="707"/>
      <c r="X5" s="708"/>
      <c r="Y5" s="766"/>
      <c r="AC5" s="516">
        <v>4803996.12</v>
      </c>
    </row>
    <row r="6" spans="1:36" ht="12" customHeight="1">
      <c r="E6" s="310"/>
      <c r="F6" s="422"/>
      <c r="G6" s="423"/>
      <c r="H6" s="423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2"/>
      <c r="U6" s="312"/>
      <c r="V6" s="312"/>
      <c r="W6" s="312"/>
      <c r="X6" s="313"/>
      <c r="Y6" s="517"/>
      <c r="AC6" s="516">
        <v>17607665.399999999</v>
      </c>
    </row>
    <row r="7" spans="1:36" s="31" customFormat="1" ht="15" customHeight="1">
      <c r="E7" s="1848" t="s">
        <v>1</v>
      </c>
      <c r="F7" s="1849" t="s">
        <v>380</v>
      </c>
      <c r="G7" s="1850" t="s">
        <v>193</v>
      </c>
      <c r="H7" s="1852" t="s">
        <v>457</v>
      </c>
      <c r="I7" s="1853"/>
      <c r="J7" s="1854"/>
      <c r="K7" s="1852" t="s">
        <v>458</v>
      </c>
      <c r="L7" s="1853"/>
      <c r="M7" s="1854"/>
      <c r="N7" s="1846" t="s">
        <v>195</v>
      </c>
      <c r="O7" s="1846"/>
      <c r="P7" s="1846" t="s">
        <v>196</v>
      </c>
      <c r="Q7" s="1846"/>
      <c r="R7" s="1846" t="s">
        <v>197</v>
      </c>
      <c r="S7" s="1846"/>
      <c r="T7" s="1846" t="s">
        <v>198</v>
      </c>
      <c r="U7" s="1846"/>
      <c r="V7" s="1847" t="s">
        <v>34</v>
      </c>
      <c r="W7" s="1847"/>
      <c r="X7" s="1847"/>
      <c r="Y7" s="518"/>
      <c r="Z7" s="34"/>
    </row>
    <row r="8" spans="1:36" s="31" customFormat="1" ht="27">
      <c r="E8" s="1848"/>
      <c r="F8" s="1849"/>
      <c r="G8" s="1851"/>
      <c r="H8" s="1452" t="s">
        <v>194</v>
      </c>
      <c r="I8" s="1453" t="s">
        <v>178</v>
      </c>
      <c r="J8" s="1453" t="s">
        <v>36</v>
      </c>
      <c r="K8" s="1453" t="s">
        <v>178</v>
      </c>
      <c r="L8" s="1453" t="s">
        <v>459</v>
      </c>
      <c r="M8" s="1453" t="s">
        <v>36</v>
      </c>
      <c r="N8" s="1454" t="s">
        <v>178</v>
      </c>
      <c r="O8" s="1455" t="s">
        <v>36</v>
      </c>
      <c r="P8" s="1454" t="s">
        <v>178</v>
      </c>
      <c r="Q8" s="1454" t="s">
        <v>36</v>
      </c>
      <c r="R8" s="1454" t="s">
        <v>178</v>
      </c>
      <c r="S8" s="1455" t="s">
        <v>36</v>
      </c>
      <c r="T8" s="1454" t="s">
        <v>178</v>
      </c>
      <c r="U8" s="1455" t="s">
        <v>36</v>
      </c>
      <c r="V8" s="876" t="s">
        <v>199</v>
      </c>
      <c r="W8" s="876" t="s">
        <v>83</v>
      </c>
      <c r="X8" s="876" t="s">
        <v>413</v>
      </c>
      <c r="Y8" s="520"/>
      <c r="Z8" s="34"/>
    </row>
    <row r="9" spans="1:36" s="1290" customFormat="1" ht="20.100000000000001" customHeight="1">
      <c r="A9" s="509"/>
      <c r="B9" s="510"/>
      <c r="C9" s="510">
        <v>0</v>
      </c>
      <c r="D9" s="511"/>
      <c r="E9" s="898" t="s">
        <v>382</v>
      </c>
      <c r="F9" s="906" t="s">
        <v>84</v>
      </c>
      <c r="G9" s="1456"/>
      <c r="H9" s="1456"/>
      <c r="I9" s="1457"/>
      <c r="J9" s="1457"/>
      <c r="K9" s="1457"/>
      <c r="L9" s="1457"/>
      <c r="M9" s="1457"/>
      <c r="N9" s="1458"/>
      <c r="O9" s="1459"/>
      <c r="P9" s="1458"/>
      <c r="Q9" s="1458"/>
      <c r="R9" s="1458"/>
      <c r="S9" s="1459"/>
      <c r="T9" s="1458"/>
      <c r="U9" s="1459"/>
      <c r="V9" s="1286"/>
      <c r="W9" s="1286"/>
      <c r="X9" s="1287"/>
      <c r="Y9" s="1288" t="s">
        <v>413</v>
      </c>
      <c r="Z9" s="1289"/>
    </row>
    <row r="10" spans="1:36" ht="20.100000000000001" customHeight="1">
      <c r="A10" s="509">
        <f>+IF(B10&gt;0,B10+C9,IF(C10&gt;C9,C10,0))</f>
        <v>0</v>
      </c>
      <c r="B10" s="510">
        <f>+IF(P10&gt;=0.01,1,0)</f>
        <v>0</v>
      </c>
      <c r="C10" s="512">
        <f>+B10+C9</f>
        <v>0</v>
      </c>
      <c r="D10" s="513" t="str">
        <f>+E9&amp;". "&amp;F9</f>
        <v>1. MOVIMIENTO DE TIERRAS</v>
      </c>
      <c r="E10" s="899">
        <v>1</v>
      </c>
      <c r="F10" s="897" t="s">
        <v>296</v>
      </c>
      <c r="G10" s="900" t="s">
        <v>236</v>
      </c>
      <c r="H10" s="928">
        <v>5442.14</v>
      </c>
      <c r="I10" s="928">
        <v>94.18</v>
      </c>
      <c r="J10" s="928">
        <f>ROUND(I10*H10,2)</f>
        <v>512540.75</v>
      </c>
      <c r="K10" s="919">
        <v>94.18</v>
      </c>
      <c r="L10" s="920" t="str">
        <f>IF(I10=K10,"-","CM 3")</f>
        <v>-</v>
      </c>
      <c r="M10" s="921">
        <f>ROUND(K10*H10,2)</f>
        <v>512540.75</v>
      </c>
      <c r="N10" s="928">
        <f>+'Cant. Ejec,'!K6</f>
        <v>72.599999999999994</v>
      </c>
      <c r="O10" s="928">
        <f>+'Cant. Ejec,'!L6</f>
        <v>395104.4</v>
      </c>
      <c r="P10" s="1460">
        <f>+'Cant. Ejec,'!M6</f>
        <v>0</v>
      </c>
      <c r="Q10" s="1461">
        <f>+ROUND(H10*P10,2)</f>
        <v>0</v>
      </c>
      <c r="R10" s="928">
        <f>N10+P10</f>
        <v>72.599999999999994</v>
      </c>
      <c r="S10" s="1461">
        <f>O10+Q10</f>
        <v>395104.4</v>
      </c>
      <c r="T10" s="928">
        <f>K10-R10</f>
        <v>21.580000000000013</v>
      </c>
      <c r="U10" s="1461">
        <f>+M10-S10</f>
        <v>117436.34999999998</v>
      </c>
      <c r="V10" s="925">
        <f>(Q10/M10)</f>
        <v>0</v>
      </c>
      <c r="W10" s="926">
        <f>(S10/M10)</f>
        <v>0.77087412074064354</v>
      </c>
      <c r="X10" s="927">
        <f>(100%-W10)</f>
        <v>0.22912587925935646</v>
      </c>
      <c r="Y10" s="519">
        <f>+R10/K10</f>
        <v>0.77086430239966008</v>
      </c>
      <c r="Z10" s="212" t="str">
        <f>IF((S10+U10)=M10,"ok","MAL")</f>
        <v>ok</v>
      </c>
      <c r="AA10" s="1">
        <v>10.6</v>
      </c>
      <c r="AB10" s="395">
        <f>+AA10-T10</f>
        <v>-10.980000000000013</v>
      </c>
    </row>
    <row r="11" spans="1:36" ht="20.100000000000001" customHeight="1">
      <c r="A11" s="509">
        <f>+IF(B11&gt;0,B11+C10,IF(C11&gt;C10,C11,0))</f>
        <v>0</v>
      </c>
      <c r="B11" s="510">
        <f t="shared" ref="B11:B71" si="0">+IF(P11&gt;=0.01,1,0)</f>
        <v>0</v>
      </c>
      <c r="C11" s="512">
        <f>+B11+C10</f>
        <v>0</v>
      </c>
      <c r="D11" s="513" t="str">
        <f>+D10</f>
        <v>1. MOVIMIENTO DE TIERRAS</v>
      </c>
      <c r="E11" s="899" t="s">
        <v>439</v>
      </c>
      <c r="F11" s="897" t="s">
        <v>440</v>
      </c>
      <c r="G11" s="901" t="s">
        <v>85</v>
      </c>
      <c r="H11" s="928">
        <v>28.92</v>
      </c>
      <c r="I11" s="928">
        <v>0</v>
      </c>
      <c r="J11" s="928">
        <f>ROUND(I11*H11,2)</f>
        <v>0</v>
      </c>
      <c r="K11" s="929">
        <v>583.88</v>
      </c>
      <c r="L11" s="920" t="str">
        <f>IF(I11=K11,"-","CM 3")</f>
        <v>CM 3</v>
      </c>
      <c r="M11" s="921">
        <f>ROUND(K11*H11,2)</f>
        <v>16885.810000000001</v>
      </c>
      <c r="N11" s="928">
        <f>+'Cant. Ejec,'!K7</f>
        <v>0</v>
      </c>
      <c r="O11" s="928">
        <f>+'Cant. Ejec,'!L7</f>
        <v>0</v>
      </c>
      <c r="P11" s="1462">
        <f>+'Cant. Ejec,'!M7</f>
        <v>0</v>
      </c>
      <c r="Q11" s="954">
        <f>+ROUND(H11*P11,2)</f>
        <v>0</v>
      </c>
      <c r="R11" s="928">
        <f t="shared" ref="R11:S12" si="1">N11+P11</f>
        <v>0</v>
      </c>
      <c r="S11" s="954">
        <f t="shared" si="1"/>
        <v>0</v>
      </c>
      <c r="T11" s="928">
        <f>K11-R11</f>
        <v>583.88</v>
      </c>
      <c r="U11" s="954">
        <f>+M11-S11</f>
        <v>16885.810000000001</v>
      </c>
      <c r="V11" s="933">
        <f>(Q11/M11)</f>
        <v>0</v>
      </c>
      <c r="W11" s="933">
        <f>(S11/M11)</f>
        <v>0</v>
      </c>
      <c r="X11" s="934">
        <f>(100%-W11)</f>
        <v>1</v>
      </c>
      <c r="Y11" s="519">
        <f t="shared" ref="Y11:Y71" si="2">+R11/K11</f>
        <v>0</v>
      </c>
      <c r="Z11" s="212" t="str">
        <f t="shared" ref="Z11:Z71" si="3">IF((S11+U11)=M11,"ok","MAL")</f>
        <v>ok</v>
      </c>
      <c r="AB11" s="395"/>
    </row>
    <row r="12" spans="1:36" ht="20.100000000000001" customHeight="1">
      <c r="A12" s="509">
        <f>+IF(B12&gt;0,B12+C11,IF(C12&gt;C11,C12,0))</f>
        <v>0</v>
      </c>
      <c r="B12" s="510">
        <f t="shared" si="0"/>
        <v>0</v>
      </c>
      <c r="C12" s="512">
        <f>+B12+C11</f>
        <v>0</v>
      </c>
      <c r="D12" s="513" t="str">
        <f>+D11</f>
        <v>1. MOVIMIENTO DE TIERRAS</v>
      </c>
      <c r="E12" s="899" t="s">
        <v>441</v>
      </c>
      <c r="F12" s="897" t="s">
        <v>442</v>
      </c>
      <c r="G12" s="901" t="s">
        <v>85</v>
      </c>
      <c r="H12" s="928">
        <v>49.94</v>
      </c>
      <c r="I12" s="928">
        <v>0</v>
      </c>
      <c r="J12" s="928">
        <f>ROUND(I12*H12,2)</f>
        <v>0</v>
      </c>
      <c r="K12" s="929">
        <v>2284.02</v>
      </c>
      <c r="L12" s="920" t="str">
        <f>IF(I12=K12,"-","CM 3")</f>
        <v>CM 3</v>
      </c>
      <c r="M12" s="921">
        <f>ROUND(K12*H12,2)</f>
        <v>114063.96</v>
      </c>
      <c r="N12" s="928">
        <f>+'Cant. Ejec,'!K8</f>
        <v>0</v>
      </c>
      <c r="O12" s="928">
        <f>+'Cant. Ejec,'!L8</f>
        <v>0</v>
      </c>
      <c r="P12" s="1462">
        <f>+'Cant. Ejec,'!M8</f>
        <v>0</v>
      </c>
      <c r="Q12" s="954">
        <f>+ROUND(H12*P12,2)</f>
        <v>0</v>
      </c>
      <c r="R12" s="928">
        <f t="shared" si="1"/>
        <v>0</v>
      </c>
      <c r="S12" s="954">
        <f t="shared" si="1"/>
        <v>0</v>
      </c>
      <c r="T12" s="928">
        <f>K12-R12</f>
        <v>2284.02</v>
      </c>
      <c r="U12" s="954">
        <f>+M12-S12</f>
        <v>114063.96</v>
      </c>
      <c r="V12" s="933">
        <f>(Q12/M12)</f>
        <v>0</v>
      </c>
      <c r="W12" s="933">
        <f>(S12/M12)</f>
        <v>0</v>
      </c>
      <c r="X12" s="934">
        <f>(100%-W12)</f>
        <v>1</v>
      </c>
      <c r="Y12" s="519">
        <f t="shared" si="2"/>
        <v>0</v>
      </c>
      <c r="Z12" s="212" t="str">
        <f t="shared" si="3"/>
        <v>ok</v>
      </c>
      <c r="AA12" s="1274">
        <f>+K12/12</f>
        <v>190.33500000000001</v>
      </c>
      <c r="AB12" s="395"/>
    </row>
    <row r="13" spans="1:36" ht="20.100000000000001" customHeight="1">
      <c r="A13" s="509">
        <f t="shared" ref="A13:A73" si="4">+IF(B13&gt;0,B13+C12,IF(C13&gt;C12,C13,0))</f>
        <v>0</v>
      </c>
      <c r="B13" s="510">
        <f t="shared" si="0"/>
        <v>0</v>
      </c>
      <c r="C13" s="512">
        <f t="shared" ref="C13:C73" si="5">+B13+C12</f>
        <v>0</v>
      </c>
      <c r="D13" s="513" t="str">
        <f>+D12</f>
        <v>1. MOVIMIENTO DE TIERRAS</v>
      </c>
      <c r="E13" s="899" t="s">
        <v>443</v>
      </c>
      <c r="F13" s="897" t="s">
        <v>592</v>
      </c>
      <c r="G13" s="902" t="s">
        <v>444</v>
      </c>
      <c r="H13" s="928">
        <v>2.72</v>
      </c>
      <c r="I13" s="928">
        <v>0</v>
      </c>
      <c r="J13" s="928">
        <f>ROUND(I13*H13,2)</f>
        <v>0</v>
      </c>
      <c r="K13" s="935">
        <v>25488.04</v>
      </c>
      <c r="L13" s="920" t="str">
        <f>IF(I13=K13,"-","CM 3")</f>
        <v>CM 3</v>
      </c>
      <c r="M13" s="936">
        <f>ROUND(K13*H13,2)</f>
        <v>69327.47</v>
      </c>
      <c r="N13" s="928">
        <f>+'Cant. Ejec,'!K9</f>
        <v>0</v>
      </c>
      <c r="O13" s="928">
        <f>+'Cant. Ejec,'!L9</f>
        <v>0</v>
      </c>
      <c r="P13" s="1462">
        <f>+'Cant. Ejec,'!M9</f>
        <v>0</v>
      </c>
      <c r="Q13" s="954">
        <f>+ROUND(H13*P13,2)</f>
        <v>0</v>
      </c>
      <c r="R13" s="928">
        <f>N13+P13</f>
        <v>0</v>
      </c>
      <c r="S13" s="954">
        <f>O13+Q13</f>
        <v>0</v>
      </c>
      <c r="T13" s="928">
        <f>K13-R13</f>
        <v>25488.04</v>
      </c>
      <c r="U13" s="954">
        <f>+M13-S13</f>
        <v>69327.47</v>
      </c>
      <c r="V13" s="937">
        <f>(Q13/M13)</f>
        <v>0</v>
      </c>
      <c r="W13" s="937">
        <f>(S13/M13)</f>
        <v>0</v>
      </c>
      <c r="X13" s="938">
        <f>(100%-W13)</f>
        <v>1</v>
      </c>
      <c r="Y13" s="519">
        <f t="shared" si="2"/>
        <v>0</v>
      </c>
      <c r="Z13" s="212" t="str">
        <f t="shared" si="3"/>
        <v>ok</v>
      </c>
      <c r="AA13" s="1">
        <f>+AA12/8</f>
        <v>23.791875000000001</v>
      </c>
      <c r="AB13" s="395"/>
    </row>
    <row r="14" spans="1:36" ht="20.100000000000001" customHeight="1">
      <c r="A14" s="509">
        <f t="shared" si="4"/>
        <v>0</v>
      </c>
      <c r="B14" s="510">
        <f t="shared" si="0"/>
        <v>0</v>
      </c>
      <c r="C14" s="512">
        <f t="shared" si="5"/>
        <v>0</v>
      </c>
      <c r="D14" s="513" t="str">
        <f>+D13</f>
        <v>1. MOVIMIENTO DE TIERRAS</v>
      </c>
      <c r="E14" s="915"/>
      <c r="F14" s="1463" t="s">
        <v>237</v>
      </c>
      <c r="G14" s="1464"/>
      <c r="H14" s="1465"/>
      <c r="I14" s="1466"/>
      <c r="J14" s="1467">
        <f>SUM(J10)</f>
        <v>512540.75</v>
      </c>
      <c r="K14" s="1468"/>
      <c r="L14" s="1468"/>
      <c r="M14" s="1467">
        <f>SUM(M10:M13)</f>
        <v>712817.99</v>
      </c>
      <c r="N14" s="1469"/>
      <c r="O14" s="1467">
        <f>SUM(O10:O13)</f>
        <v>395104.4</v>
      </c>
      <c r="P14" s="1470"/>
      <c r="Q14" s="1467">
        <f>SUM(Q10:Q13)</f>
        <v>0</v>
      </c>
      <c r="R14" s="1469"/>
      <c r="S14" s="1467">
        <f>SUM(S10:S13)</f>
        <v>395104.4</v>
      </c>
      <c r="T14" s="1470"/>
      <c r="U14" s="1467">
        <f>SUM(U10:U13)</f>
        <v>317713.58999999997</v>
      </c>
      <c r="V14" s="945">
        <f>(Q14/M14)</f>
        <v>0</v>
      </c>
      <c r="W14" s="946">
        <f>(S14/M14)</f>
        <v>0.5542851128097932</v>
      </c>
      <c r="X14" s="947">
        <f>(U14/M14)</f>
        <v>0.4457148871902068</v>
      </c>
      <c r="Y14" s="519"/>
      <c r="Z14" s="212"/>
      <c r="AB14" s="395"/>
      <c r="AH14" s="1">
        <v>5</v>
      </c>
      <c r="AI14" s="1">
        <v>5</v>
      </c>
      <c r="AJ14" s="1">
        <v>5</v>
      </c>
    </row>
    <row r="15" spans="1:36" ht="20.100000000000001" customHeight="1">
      <c r="A15" s="509">
        <f t="shared" si="4"/>
        <v>0</v>
      </c>
      <c r="B15" s="510">
        <f t="shared" si="0"/>
        <v>0</v>
      </c>
      <c r="C15" s="512">
        <f t="shared" si="5"/>
        <v>0</v>
      </c>
      <c r="D15" s="513"/>
      <c r="E15" s="898" t="s">
        <v>383</v>
      </c>
      <c r="F15" s="906" t="s">
        <v>308</v>
      </c>
      <c r="G15" s="907"/>
      <c r="H15" s="907"/>
      <c r="I15" s="948"/>
      <c r="J15" s="948"/>
      <c r="K15" s="949"/>
      <c r="L15" s="949"/>
      <c r="M15" s="949"/>
      <c r="N15" s="1471"/>
      <c r="O15" s="1471"/>
      <c r="P15" s="1471"/>
      <c r="Q15" s="1471"/>
      <c r="R15" s="1471"/>
      <c r="S15" s="1471"/>
      <c r="T15" s="1471"/>
      <c r="U15" s="1471"/>
      <c r="V15" s="951"/>
      <c r="W15" s="951"/>
      <c r="X15" s="952"/>
      <c r="Y15" s="519"/>
      <c r="Z15" s="212"/>
      <c r="AB15" s="395"/>
      <c r="AH15" s="1">
        <v>7.5</v>
      </c>
      <c r="AI15" s="1">
        <v>7.5</v>
      </c>
      <c r="AJ15" s="1">
        <v>7.5</v>
      </c>
    </row>
    <row r="16" spans="1:36" ht="20.100000000000001" customHeight="1">
      <c r="A16" s="509">
        <f t="shared" si="4"/>
        <v>0</v>
      </c>
      <c r="B16" s="510">
        <f t="shared" si="0"/>
        <v>0</v>
      </c>
      <c r="C16" s="512">
        <f t="shared" si="5"/>
        <v>0</v>
      </c>
      <c r="D16" s="513" t="str">
        <f>+E15&amp;". "&amp;F15</f>
        <v>2. PAVIMENTACION</v>
      </c>
      <c r="E16" s="899">
        <v>2</v>
      </c>
      <c r="F16" s="897" t="s">
        <v>297</v>
      </c>
      <c r="G16" s="900" t="s">
        <v>86</v>
      </c>
      <c r="H16" s="928">
        <v>1.46</v>
      </c>
      <c r="I16" s="928">
        <v>266002</v>
      </c>
      <c r="J16" s="928">
        <f t="shared" ref="J16:J31" si="6">ROUND(I16*H16,2)</f>
        <v>388362.92</v>
      </c>
      <c r="K16" s="919">
        <v>266002</v>
      </c>
      <c r="L16" s="920" t="str">
        <f t="shared" ref="L16:L31" si="7">IF(I16=K16,"-","CM 3")</f>
        <v>-</v>
      </c>
      <c r="M16" s="953">
        <f t="shared" ref="M16:M31" si="8">ROUND(K16*H16,2)</f>
        <v>388362.92</v>
      </c>
      <c r="N16" s="928">
        <f>+'Cant. Ejec,'!K11</f>
        <v>0</v>
      </c>
      <c r="O16" s="928">
        <f>+'Cant. Ejec,'!L11</f>
        <v>0</v>
      </c>
      <c r="P16" s="1460">
        <f>+'Cant. Ejec,'!M11</f>
        <v>0</v>
      </c>
      <c r="Q16" s="1461">
        <f t="shared" ref="Q16:Q31" si="9">+ROUND(H16*P16,2)</f>
        <v>0</v>
      </c>
      <c r="R16" s="928">
        <f>N16+P16</f>
        <v>0</v>
      </c>
      <c r="S16" s="1461">
        <f>O16+Q16</f>
        <v>0</v>
      </c>
      <c r="T16" s="928">
        <f>K16-R16</f>
        <v>266002</v>
      </c>
      <c r="U16" s="1461">
        <f>+M16-S16</f>
        <v>388362.92</v>
      </c>
      <c r="V16" s="933">
        <f>(Q16/M16)</f>
        <v>0</v>
      </c>
      <c r="W16" s="933">
        <f>(S16/M16)</f>
        <v>0</v>
      </c>
      <c r="X16" s="934">
        <f>(100%-W16)</f>
        <v>1</v>
      </c>
      <c r="Y16" s="519">
        <f t="shared" si="2"/>
        <v>0</v>
      </c>
      <c r="Z16" s="212" t="str">
        <f t="shared" si="3"/>
        <v>ok</v>
      </c>
      <c r="AB16" s="395"/>
      <c r="AH16" s="1">
        <v>5</v>
      </c>
      <c r="AI16" s="1">
        <v>2.5</v>
      </c>
      <c r="AJ16" s="1">
        <v>10</v>
      </c>
    </row>
    <row r="17" spans="1:36" ht="20.100000000000001" customHeight="1">
      <c r="A17" s="509">
        <f t="shared" si="4"/>
        <v>0</v>
      </c>
      <c r="B17" s="510">
        <f t="shared" si="0"/>
        <v>0</v>
      </c>
      <c r="C17" s="512">
        <f t="shared" si="5"/>
        <v>0</v>
      </c>
      <c r="D17" s="513" t="str">
        <f t="shared" ref="D17:D29" si="10">+D16</f>
        <v>2. PAVIMENTACION</v>
      </c>
      <c r="E17" s="899">
        <v>3</v>
      </c>
      <c r="F17" s="897" t="s">
        <v>298</v>
      </c>
      <c r="G17" s="901" t="s">
        <v>85</v>
      </c>
      <c r="H17" s="928">
        <v>96.9</v>
      </c>
      <c r="I17" s="928">
        <v>34368.400000000001</v>
      </c>
      <c r="J17" s="928">
        <f t="shared" si="6"/>
        <v>3330297.96</v>
      </c>
      <c r="K17" s="929">
        <v>0</v>
      </c>
      <c r="L17" s="920" t="str">
        <f t="shared" si="7"/>
        <v>CM 3</v>
      </c>
      <c r="M17" s="921">
        <f t="shared" si="8"/>
        <v>0</v>
      </c>
      <c r="N17" s="928">
        <f>+'Cant. Ejec,'!K12</f>
        <v>0</v>
      </c>
      <c r="O17" s="928">
        <f>+'Cant. Ejec,'!L12</f>
        <v>0</v>
      </c>
      <c r="P17" s="1462">
        <f>+'Cant. Ejec,'!M12</f>
        <v>0</v>
      </c>
      <c r="Q17" s="954">
        <f t="shared" si="9"/>
        <v>0</v>
      </c>
      <c r="R17" s="928">
        <f t="shared" ref="R17:S31" si="11">N17+P17</f>
        <v>0</v>
      </c>
      <c r="S17" s="954">
        <f t="shared" si="11"/>
        <v>0</v>
      </c>
      <c r="T17" s="928">
        <f t="shared" ref="T17:T31" si="12">K17-R17</f>
        <v>0</v>
      </c>
      <c r="U17" s="954">
        <f t="shared" ref="U17:U31" si="13">+M17-S17</f>
        <v>0</v>
      </c>
      <c r="V17" s="955">
        <v>0</v>
      </c>
      <c r="W17" s="955">
        <v>0</v>
      </c>
      <c r="X17" s="956">
        <f t="shared" ref="X17:X31" si="14">(100%-W17)</f>
        <v>1</v>
      </c>
      <c r="Y17" s="519"/>
      <c r="Z17" s="212" t="str">
        <f t="shared" si="3"/>
        <v>ok</v>
      </c>
      <c r="AB17" s="395"/>
      <c r="AH17" s="1">
        <v>5</v>
      </c>
      <c r="AI17" s="1">
        <v>5</v>
      </c>
      <c r="AJ17" s="1">
        <v>7.5</v>
      </c>
    </row>
    <row r="18" spans="1:36" ht="20.100000000000001" customHeight="1">
      <c r="A18" s="509">
        <f t="shared" si="4"/>
        <v>0</v>
      </c>
      <c r="B18" s="510">
        <f t="shared" si="0"/>
        <v>0</v>
      </c>
      <c r="C18" s="512">
        <f t="shared" si="5"/>
        <v>0</v>
      </c>
      <c r="D18" s="513" t="str">
        <f t="shared" si="10"/>
        <v>2. PAVIMENTACION</v>
      </c>
      <c r="E18" s="899">
        <v>4</v>
      </c>
      <c r="F18" s="897" t="s">
        <v>299</v>
      </c>
      <c r="G18" s="901" t="s">
        <v>85</v>
      </c>
      <c r="H18" s="928">
        <v>96.9</v>
      </c>
      <c r="I18" s="928">
        <v>18832</v>
      </c>
      <c r="J18" s="928">
        <f t="shared" si="6"/>
        <v>1824820.8</v>
      </c>
      <c r="K18" s="929">
        <v>0</v>
      </c>
      <c r="L18" s="920" t="str">
        <f t="shared" si="7"/>
        <v>CM 3</v>
      </c>
      <c r="M18" s="921">
        <f t="shared" si="8"/>
        <v>0</v>
      </c>
      <c r="N18" s="928">
        <f>+'Cant. Ejec,'!K13</f>
        <v>0</v>
      </c>
      <c r="O18" s="928">
        <f>+'Cant. Ejec,'!L13</f>
        <v>0</v>
      </c>
      <c r="P18" s="1462">
        <f>+'Cant. Ejec,'!M13</f>
        <v>0</v>
      </c>
      <c r="Q18" s="954">
        <f t="shared" si="9"/>
        <v>0</v>
      </c>
      <c r="R18" s="928">
        <f t="shared" si="11"/>
        <v>0</v>
      </c>
      <c r="S18" s="954">
        <f t="shared" si="11"/>
        <v>0</v>
      </c>
      <c r="T18" s="928">
        <f t="shared" si="12"/>
        <v>0</v>
      </c>
      <c r="U18" s="954">
        <f t="shared" si="13"/>
        <v>0</v>
      </c>
      <c r="V18" s="955">
        <v>0</v>
      </c>
      <c r="W18" s="955">
        <v>0</v>
      </c>
      <c r="X18" s="956">
        <f t="shared" si="14"/>
        <v>1</v>
      </c>
      <c r="Y18" s="519"/>
      <c r="Z18" s="212" t="str">
        <f t="shared" si="3"/>
        <v>ok</v>
      </c>
      <c r="AB18" s="395"/>
      <c r="AH18" s="1">
        <v>7.5</v>
      </c>
      <c r="AI18" s="1">
        <v>5</v>
      </c>
      <c r="AJ18" s="1">
        <v>7.5</v>
      </c>
    </row>
    <row r="19" spans="1:36" ht="20.100000000000001" customHeight="1">
      <c r="A19" s="509">
        <f t="shared" si="4"/>
        <v>0</v>
      </c>
      <c r="B19" s="510">
        <f t="shared" si="0"/>
        <v>0</v>
      </c>
      <c r="C19" s="512">
        <f t="shared" si="5"/>
        <v>0</v>
      </c>
      <c r="D19" s="513" t="str">
        <f t="shared" si="10"/>
        <v>2. PAVIMENTACION</v>
      </c>
      <c r="E19" s="899">
        <v>5</v>
      </c>
      <c r="F19" s="897" t="s">
        <v>300</v>
      </c>
      <c r="G19" s="901" t="s">
        <v>422</v>
      </c>
      <c r="H19" s="928">
        <v>3.74</v>
      </c>
      <c r="I19" s="928">
        <v>439169.3</v>
      </c>
      <c r="J19" s="928">
        <f t="shared" si="6"/>
        <v>1642493.18</v>
      </c>
      <c r="K19" s="929">
        <v>439169.3</v>
      </c>
      <c r="L19" s="920" t="str">
        <f t="shared" si="7"/>
        <v>-</v>
      </c>
      <c r="M19" s="921">
        <f t="shared" si="8"/>
        <v>1642493.18</v>
      </c>
      <c r="N19" s="928">
        <f>+'Cant. Ejec,'!K14</f>
        <v>346422.9</v>
      </c>
      <c r="O19" s="928">
        <f>+'Cant. Ejec,'!L14</f>
        <v>1295621.6499999999</v>
      </c>
      <c r="P19" s="1462">
        <f>+'Cant. Ejec,'!M14</f>
        <v>0</v>
      </c>
      <c r="Q19" s="954">
        <f t="shared" si="9"/>
        <v>0</v>
      </c>
      <c r="R19" s="928">
        <f t="shared" si="11"/>
        <v>346422.9</v>
      </c>
      <c r="S19" s="954">
        <f t="shared" si="11"/>
        <v>1295621.6499999999</v>
      </c>
      <c r="T19" s="928">
        <f t="shared" si="12"/>
        <v>92746.399999999965</v>
      </c>
      <c r="U19" s="954">
        <f t="shared" si="13"/>
        <v>346871.53</v>
      </c>
      <c r="V19" s="955">
        <f t="shared" ref="V19:V31" si="15">(Q19/M19)</f>
        <v>0</v>
      </c>
      <c r="W19" s="955">
        <f t="shared" ref="W19:W31" si="16">(S19/M19)</f>
        <v>0.78881402113340893</v>
      </c>
      <c r="X19" s="956">
        <f t="shared" si="14"/>
        <v>0.21118597886659107</v>
      </c>
      <c r="Y19" s="519">
        <f t="shared" si="2"/>
        <v>0.78881401773757875</v>
      </c>
      <c r="Z19" s="212" t="str">
        <f t="shared" si="3"/>
        <v>ok</v>
      </c>
      <c r="AB19" s="395"/>
      <c r="AH19" s="1">
        <v>7.5</v>
      </c>
      <c r="AI19" s="1">
        <v>7.5</v>
      </c>
      <c r="AJ19" s="1">
        <v>7.5</v>
      </c>
    </row>
    <row r="20" spans="1:36" ht="27">
      <c r="A20" s="509">
        <f t="shared" si="4"/>
        <v>0</v>
      </c>
      <c r="B20" s="510">
        <f t="shared" si="0"/>
        <v>0</v>
      </c>
      <c r="C20" s="512">
        <f t="shared" si="5"/>
        <v>0</v>
      </c>
      <c r="D20" s="513" t="str">
        <f t="shared" si="10"/>
        <v>2. PAVIMENTACION</v>
      </c>
      <c r="E20" s="899">
        <v>6</v>
      </c>
      <c r="F20" s="897" t="s">
        <v>301</v>
      </c>
      <c r="G20" s="901" t="s">
        <v>85</v>
      </c>
      <c r="H20" s="928">
        <v>191.25</v>
      </c>
      <c r="I20" s="928">
        <v>41713.949999999997</v>
      </c>
      <c r="J20" s="928">
        <f t="shared" si="6"/>
        <v>7977792.9400000004</v>
      </c>
      <c r="K20" s="929">
        <v>53551.299999999996</v>
      </c>
      <c r="L20" s="920" t="str">
        <f t="shared" si="7"/>
        <v>CM 3</v>
      </c>
      <c r="M20" s="921">
        <f t="shared" si="8"/>
        <v>10241686.130000001</v>
      </c>
      <c r="N20" s="928">
        <f>+'Cant. Ejec,'!K15</f>
        <v>0</v>
      </c>
      <c r="O20" s="928">
        <f>+'Cant. Ejec,'!L15</f>
        <v>0</v>
      </c>
      <c r="P20" s="1462">
        <f>+'Cant. Ejec,'!M15</f>
        <v>0</v>
      </c>
      <c r="Q20" s="954">
        <f t="shared" si="9"/>
        <v>0</v>
      </c>
      <c r="R20" s="928">
        <f t="shared" si="11"/>
        <v>0</v>
      </c>
      <c r="S20" s="954">
        <f t="shared" si="11"/>
        <v>0</v>
      </c>
      <c r="T20" s="928">
        <f t="shared" si="12"/>
        <v>53551.299999999996</v>
      </c>
      <c r="U20" s="954">
        <f t="shared" si="13"/>
        <v>10241686.130000001</v>
      </c>
      <c r="V20" s="955">
        <f t="shared" si="15"/>
        <v>0</v>
      </c>
      <c r="W20" s="955">
        <f t="shared" si="16"/>
        <v>0</v>
      </c>
      <c r="X20" s="956">
        <f t="shared" si="14"/>
        <v>1</v>
      </c>
      <c r="Y20" s="519">
        <f t="shared" si="2"/>
        <v>0</v>
      </c>
      <c r="Z20" s="212" t="str">
        <f t="shared" si="3"/>
        <v>ok</v>
      </c>
      <c r="AB20" s="395"/>
      <c r="AH20" s="1">
        <v>7.5</v>
      </c>
      <c r="AI20" s="1">
        <v>7.5</v>
      </c>
      <c r="AJ20" s="1">
        <v>7.5</v>
      </c>
    </row>
    <row r="21" spans="1:36" ht="27">
      <c r="A21" s="509">
        <f t="shared" si="4"/>
        <v>0</v>
      </c>
      <c r="B21" s="510">
        <f t="shared" si="0"/>
        <v>0</v>
      </c>
      <c r="C21" s="512">
        <f t="shared" si="5"/>
        <v>0</v>
      </c>
      <c r="D21" s="513" t="str">
        <f t="shared" si="10"/>
        <v>2. PAVIMENTACION</v>
      </c>
      <c r="E21" s="899">
        <v>7</v>
      </c>
      <c r="F21" s="897" t="s">
        <v>302</v>
      </c>
      <c r="G21" s="901" t="s">
        <v>85</v>
      </c>
      <c r="H21" s="928">
        <v>594.04999999999995</v>
      </c>
      <c r="I21" s="928">
        <v>17411.04</v>
      </c>
      <c r="J21" s="928">
        <f t="shared" si="6"/>
        <v>10343028.310000001</v>
      </c>
      <c r="K21" s="929">
        <v>13021.47</v>
      </c>
      <c r="L21" s="920" t="str">
        <f t="shared" si="7"/>
        <v>CM 3</v>
      </c>
      <c r="M21" s="921">
        <f t="shared" si="8"/>
        <v>7735404.25</v>
      </c>
      <c r="N21" s="928">
        <f>+'Cant. Ejec,'!K16</f>
        <v>0</v>
      </c>
      <c r="O21" s="928">
        <f>+'Cant. Ejec,'!L16</f>
        <v>0</v>
      </c>
      <c r="P21" s="1462">
        <f>+'Cant. Ejec,'!M16</f>
        <v>0</v>
      </c>
      <c r="Q21" s="954">
        <f t="shared" si="9"/>
        <v>0</v>
      </c>
      <c r="R21" s="928">
        <f t="shared" si="11"/>
        <v>0</v>
      </c>
      <c r="S21" s="954">
        <f t="shared" si="11"/>
        <v>0</v>
      </c>
      <c r="T21" s="928">
        <f t="shared" si="12"/>
        <v>13021.47</v>
      </c>
      <c r="U21" s="954">
        <f t="shared" si="13"/>
        <v>7735404.25</v>
      </c>
      <c r="V21" s="955">
        <f t="shared" si="15"/>
        <v>0</v>
      </c>
      <c r="W21" s="955">
        <f t="shared" si="16"/>
        <v>0</v>
      </c>
      <c r="X21" s="956">
        <f t="shared" si="14"/>
        <v>1</v>
      </c>
      <c r="Y21" s="519">
        <f t="shared" si="2"/>
        <v>0</v>
      </c>
      <c r="Z21" s="212" t="str">
        <f t="shared" si="3"/>
        <v>ok</v>
      </c>
      <c r="AB21" s="395"/>
      <c r="AH21" s="1">
        <v>5</v>
      </c>
      <c r="AI21" s="1">
        <v>7.5</v>
      </c>
      <c r="AJ21" s="1">
        <v>7.5</v>
      </c>
    </row>
    <row r="22" spans="1:36" ht="20.100000000000001" customHeight="1">
      <c r="A22" s="509">
        <f t="shared" si="4"/>
        <v>0</v>
      </c>
      <c r="B22" s="510">
        <f t="shared" si="0"/>
        <v>0</v>
      </c>
      <c r="C22" s="512">
        <f t="shared" si="5"/>
        <v>0</v>
      </c>
      <c r="D22" s="513" t="str">
        <f t="shared" si="10"/>
        <v>2. PAVIMENTACION</v>
      </c>
      <c r="E22" s="899">
        <v>8</v>
      </c>
      <c r="F22" s="897" t="s">
        <v>303</v>
      </c>
      <c r="G22" s="901" t="s">
        <v>23</v>
      </c>
      <c r="H22" s="928">
        <v>12.04</v>
      </c>
      <c r="I22" s="928">
        <v>399003</v>
      </c>
      <c r="J22" s="928">
        <f t="shared" si="6"/>
        <v>4803996.12</v>
      </c>
      <c r="K22" s="929">
        <v>399003</v>
      </c>
      <c r="L22" s="920" t="str">
        <f t="shared" si="7"/>
        <v>-</v>
      </c>
      <c r="M22" s="921">
        <f t="shared" si="8"/>
        <v>4803996.12</v>
      </c>
      <c r="N22" s="928">
        <f>+'Cant. Ejec,'!K17</f>
        <v>0</v>
      </c>
      <c r="O22" s="928">
        <f>+'Cant. Ejec,'!L17</f>
        <v>0</v>
      </c>
      <c r="P22" s="1462">
        <f>+'Cant. Ejec,'!M17</f>
        <v>0</v>
      </c>
      <c r="Q22" s="954">
        <f t="shared" si="9"/>
        <v>0</v>
      </c>
      <c r="R22" s="928">
        <f t="shared" si="11"/>
        <v>0</v>
      </c>
      <c r="S22" s="954">
        <f t="shared" si="11"/>
        <v>0</v>
      </c>
      <c r="T22" s="928">
        <f t="shared" si="12"/>
        <v>399003</v>
      </c>
      <c r="U22" s="954">
        <f t="shared" si="13"/>
        <v>4803996.12</v>
      </c>
      <c r="V22" s="955">
        <f t="shared" si="15"/>
        <v>0</v>
      </c>
      <c r="W22" s="955">
        <f t="shared" si="16"/>
        <v>0</v>
      </c>
      <c r="X22" s="956">
        <f t="shared" si="14"/>
        <v>1</v>
      </c>
      <c r="Y22" s="519">
        <f t="shared" si="2"/>
        <v>0</v>
      </c>
      <c r="Z22" s="212" t="str">
        <f t="shared" si="3"/>
        <v>ok</v>
      </c>
      <c r="AA22" s="1">
        <v>23</v>
      </c>
      <c r="AB22" s="395">
        <f>SUM(Z22:AA22)</f>
        <v>23</v>
      </c>
      <c r="AH22" s="1">
        <v>7.5</v>
      </c>
      <c r="AI22" s="1">
        <v>2.5</v>
      </c>
      <c r="AJ22" s="1">
        <v>5</v>
      </c>
    </row>
    <row r="23" spans="1:36" ht="27">
      <c r="A23" s="509">
        <f t="shared" si="4"/>
        <v>0</v>
      </c>
      <c r="B23" s="510">
        <f t="shared" si="0"/>
        <v>0</v>
      </c>
      <c r="C23" s="512">
        <f t="shared" si="5"/>
        <v>0</v>
      </c>
      <c r="D23" s="513" t="str">
        <f t="shared" si="10"/>
        <v>2. PAVIMENTACION</v>
      </c>
      <c r="E23" s="899">
        <v>9</v>
      </c>
      <c r="F23" s="897" t="s">
        <v>304</v>
      </c>
      <c r="G23" s="901" t="s">
        <v>305</v>
      </c>
      <c r="H23" s="928">
        <v>9167.4599999999991</v>
      </c>
      <c r="I23" s="928">
        <v>2437.5500000000002</v>
      </c>
      <c r="J23" s="928">
        <f t="shared" si="6"/>
        <v>22346142.120000001</v>
      </c>
      <c r="K23" s="929">
        <v>1920.67</v>
      </c>
      <c r="L23" s="920" t="str">
        <f t="shared" si="7"/>
        <v>CM 3</v>
      </c>
      <c r="M23" s="921">
        <f t="shared" si="8"/>
        <v>17607665.399999999</v>
      </c>
      <c r="N23" s="928">
        <f>+'Cant. Ejec,'!K18</f>
        <v>0</v>
      </c>
      <c r="O23" s="928">
        <f>+'Cant. Ejec,'!L18</f>
        <v>0</v>
      </c>
      <c r="P23" s="1462">
        <f>+'Cant. Ejec,'!M18</f>
        <v>0</v>
      </c>
      <c r="Q23" s="954">
        <f t="shared" si="9"/>
        <v>0</v>
      </c>
      <c r="R23" s="928">
        <f t="shared" si="11"/>
        <v>0</v>
      </c>
      <c r="S23" s="954">
        <f t="shared" si="11"/>
        <v>0</v>
      </c>
      <c r="T23" s="928">
        <f t="shared" si="12"/>
        <v>1920.67</v>
      </c>
      <c r="U23" s="954">
        <f t="shared" si="13"/>
        <v>17607665.399999999</v>
      </c>
      <c r="V23" s="955">
        <f t="shared" si="15"/>
        <v>0</v>
      </c>
      <c r="W23" s="955">
        <f t="shared" si="16"/>
        <v>0</v>
      </c>
      <c r="X23" s="956">
        <f t="shared" si="14"/>
        <v>1</v>
      </c>
      <c r="Y23" s="519">
        <f t="shared" si="2"/>
        <v>0</v>
      </c>
      <c r="Z23" s="212" t="str">
        <f t="shared" si="3"/>
        <v>ok</v>
      </c>
      <c r="AB23" s="395">
        <f>SUM(Q23:AA23)</f>
        <v>17609587.07</v>
      </c>
      <c r="AH23" s="1">
        <v>7.5</v>
      </c>
      <c r="AI23" s="1">
        <v>5</v>
      </c>
      <c r="AJ23" s="1">
        <v>5</v>
      </c>
    </row>
    <row r="24" spans="1:36" ht="20.100000000000001" customHeight="1">
      <c r="A24" s="509">
        <f t="shared" si="4"/>
        <v>0</v>
      </c>
      <c r="B24" s="510">
        <f t="shared" si="0"/>
        <v>0</v>
      </c>
      <c r="C24" s="512">
        <f t="shared" si="5"/>
        <v>0</v>
      </c>
      <c r="D24" s="513" t="str">
        <f t="shared" si="10"/>
        <v>2. PAVIMENTACION</v>
      </c>
      <c r="E24" s="899">
        <v>10</v>
      </c>
      <c r="F24" s="897" t="s">
        <v>306</v>
      </c>
      <c r="G24" s="901" t="s">
        <v>422</v>
      </c>
      <c r="H24" s="928">
        <v>2.72</v>
      </c>
      <c r="I24" s="928">
        <v>510143.47</v>
      </c>
      <c r="J24" s="928">
        <f t="shared" si="6"/>
        <v>1387590.24</v>
      </c>
      <c r="K24" s="929">
        <v>381529.09</v>
      </c>
      <c r="L24" s="920" t="str">
        <f t="shared" si="7"/>
        <v>CM 3</v>
      </c>
      <c r="M24" s="921">
        <f t="shared" si="8"/>
        <v>1037759.12</v>
      </c>
      <c r="N24" s="928">
        <f>+'Cant. Ejec,'!K19</f>
        <v>0</v>
      </c>
      <c r="O24" s="928">
        <f>+'Cant. Ejec,'!L19</f>
        <v>0</v>
      </c>
      <c r="P24" s="1462">
        <f>+'Cant. Ejec,'!M19</f>
        <v>0</v>
      </c>
      <c r="Q24" s="954">
        <f t="shared" si="9"/>
        <v>0</v>
      </c>
      <c r="R24" s="928">
        <f t="shared" si="11"/>
        <v>0</v>
      </c>
      <c r="S24" s="954">
        <f t="shared" si="11"/>
        <v>0</v>
      </c>
      <c r="T24" s="928">
        <f t="shared" si="12"/>
        <v>381529.09</v>
      </c>
      <c r="U24" s="954">
        <f t="shared" si="13"/>
        <v>1037759.12</v>
      </c>
      <c r="V24" s="955">
        <f t="shared" si="15"/>
        <v>0</v>
      </c>
      <c r="W24" s="955">
        <f t="shared" si="16"/>
        <v>0</v>
      </c>
      <c r="X24" s="956">
        <f t="shared" si="14"/>
        <v>1</v>
      </c>
      <c r="Y24" s="519">
        <f t="shared" si="2"/>
        <v>0</v>
      </c>
      <c r="Z24" s="212" t="str">
        <f t="shared" si="3"/>
        <v>ok</v>
      </c>
      <c r="AB24" s="395"/>
      <c r="AH24" s="31">
        <f>SUM(AH14:AH23)</f>
        <v>65</v>
      </c>
      <c r="AI24" s="31">
        <f>SUM(AI14:AI23)</f>
        <v>55</v>
      </c>
      <c r="AJ24" s="31">
        <f>SUM(AJ14:AJ23)</f>
        <v>70</v>
      </c>
    </row>
    <row r="25" spans="1:36" ht="20.100000000000001" customHeight="1">
      <c r="A25" s="509">
        <f t="shared" si="4"/>
        <v>0</v>
      </c>
      <c r="B25" s="510">
        <f t="shared" si="0"/>
        <v>0</v>
      </c>
      <c r="C25" s="512">
        <f t="shared" si="5"/>
        <v>0</v>
      </c>
      <c r="D25" s="513" t="str">
        <f t="shared" si="10"/>
        <v>2. PAVIMENTACION</v>
      </c>
      <c r="E25" s="899">
        <v>11</v>
      </c>
      <c r="F25" s="897" t="s">
        <v>307</v>
      </c>
      <c r="G25" s="901" t="s">
        <v>422</v>
      </c>
      <c r="H25" s="928">
        <v>2.72</v>
      </c>
      <c r="I25" s="928">
        <v>1222218.74</v>
      </c>
      <c r="J25" s="928">
        <f t="shared" si="6"/>
        <v>3324434.97</v>
      </c>
      <c r="K25" s="929">
        <v>1569052.7600000002</v>
      </c>
      <c r="L25" s="920" t="str">
        <f t="shared" si="7"/>
        <v>CM 3</v>
      </c>
      <c r="M25" s="921">
        <f t="shared" si="8"/>
        <v>4267823.51</v>
      </c>
      <c r="N25" s="928">
        <f>+'Cant. Ejec,'!K20</f>
        <v>0</v>
      </c>
      <c r="O25" s="928">
        <f>+'Cant. Ejec,'!L20</f>
        <v>0</v>
      </c>
      <c r="P25" s="1462">
        <f>+'Cant. Ejec,'!M20</f>
        <v>0</v>
      </c>
      <c r="Q25" s="954">
        <f t="shared" si="9"/>
        <v>0</v>
      </c>
      <c r="R25" s="928">
        <f t="shared" si="11"/>
        <v>0</v>
      </c>
      <c r="S25" s="954">
        <f t="shared" si="11"/>
        <v>0</v>
      </c>
      <c r="T25" s="928">
        <f t="shared" si="12"/>
        <v>1569052.7600000002</v>
      </c>
      <c r="U25" s="954">
        <f t="shared" si="13"/>
        <v>4267823.51</v>
      </c>
      <c r="V25" s="957">
        <f t="shared" si="15"/>
        <v>0</v>
      </c>
      <c r="W25" s="958">
        <f t="shared" si="16"/>
        <v>0</v>
      </c>
      <c r="X25" s="959">
        <f t="shared" si="14"/>
        <v>1</v>
      </c>
      <c r="Y25" s="519">
        <f t="shared" si="2"/>
        <v>0</v>
      </c>
      <c r="Z25" s="212" t="str">
        <f t="shared" si="3"/>
        <v>ok</v>
      </c>
      <c r="AB25" s="395"/>
    </row>
    <row r="26" spans="1:36" s="1350" customFormat="1" ht="20.100000000000001" customHeight="1">
      <c r="A26" s="1344">
        <f t="shared" si="4"/>
        <v>1</v>
      </c>
      <c r="B26" s="1345">
        <f t="shared" si="0"/>
        <v>1</v>
      </c>
      <c r="C26" s="1346">
        <f t="shared" si="5"/>
        <v>1</v>
      </c>
      <c r="D26" s="1347" t="str">
        <f t="shared" si="10"/>
        <v>2. PAVIMENTACION</v>
      </c>
      <c r="E26" s="899" t="s">
        <v>445</v>
      </c>
      <c r="F26" s="908" t="s">
        <v>446</v>
      </c>
      <c r="G26" s="909" t="s">
        <v>85</v>
      </c>
      <c r="H26" s="928">
        <v>13.94</v>
      </c>
      <c r="I26" s="928">
        <v>0</v>
      </c>
      <c r="J26" s="928">
        <f t="shared" si="6"/>
        <v>0</v>
      </c>
      <c r="K26" s="929">
        <v>50718</v>
      </c>
      <c r="L26" s="920" t="str">
        <f t="shared" si="7"/>
        <v>CM 3</v>
      </c>
      <c r="M26" s="921">
        <f t="shared" si="8"/>
        <v>707008.92</v>
      </c>
      <c r="N26" s="960">
        <f>+'Cant. Ejec,'!K21</f>
        <v>16677.5</v>
      </c>
      <c r="O26" s="960">
        <f>+'Cant. Ejec,'!L21</f>
        <v>232484.35</v>
      </c>
      <c r="P26" s="1462">
        <f>+'Cant. Ejec,'!M21</f>
        <v>13098</v>
      </c>
      <c r="Q26" s="974">
        <f t="shared" si="9"/>
        <v>182586.12</v>
      </c>
      <c r="R26" s="928">
        <f t="shared" si="11"/>
        <v>29775.5</v>
      </c>
      <c r="S26" s="954">
        <f t="shared" si="11"/>
        <v>415070.47</v>
      </c>
      <c r="T26" s="928">
        <f t="shared" si="12"/>
        <v>20942.5</v>
      </c>
      <c r="U26" s="954">
        <f t="shared" si="13"/>
        <v>291938.45000000007</v>
      </c>
      <c r="V26" s="957">
        <f t="shared" si="15"/>
        <v>0.25825150834023419</v>
      </c>
      <c r="W26" s="958">
        <f t="shared" si="16"/>
        <v>0.58707953783666544</v>
      </c>
      <c r="X26" s="959">
        <f t="shared" si="14"/>
        <v>0.41292046216333456</v>
      </c>
      <c r="Y26" s="1348">
        <f t="shared" si="2"/>
        <v>0.58707953783666544</v>
      </c>
      <c r="Z26" s="1349" t="str">
        <f t="shared" si="3"/>
        <v>ok</v>
      </c>
      <c r="AA26" s="1350">
        <f>18000/12</f>
        <v>1500</v>
      </c>
      <c r="AB26" s="1351">
        <f>+AA26/8</f>
        <v>187.5</v>
      </c>
    </row>
    <row r="27" spans="1:36" s="1350" customFormat="1" ht="20.100000000000001" customHeight="1">
      <c r="A27" s="1344">
        <f t="shared" si="4"/>
        <v>2</v>
      </c>
      <c r="B27" s="1345">
        <f t="shared" si="0"/>
        <v>1</v>
      </c>
      <c r="C27" s="1346">
        <f t="shared" si="5"/>
        <v>2</v>
      </c>
      <c r="D27" s="1347" t="str">
        <f t="shared" si="10"/>
        <v>2. PAVIMENTACION</v>
      </c>
      <c r="E27" s="899" t="s">
        <v>447</v>
      </c>
      <c r="F27" s="908" t="s">
        <v>448</v>
      </c>
      <c r="G27" s="909" t="s">
        <v>85</v>
      </c>
      <c r="H27" s="928">
        <v>13.94</v>
      </c>
      <c r="I27" s="928">
        <v>0</v>
      </c>
      <c r="J27" s="928">
        <f t="shared" si="6"/>
        <v>0</v>
      </c>
      <c r="K27" s="929">
        <v>5984</v>
      </c>
      <c r="L27" s="920" t="str">
        <f t="shared" si="7"/>
        <v>CM 3</v>
      </c>
      <c r="M27" s="921">
        <f t="shared" si="8"/>
        <v>83416.960000000006</v>
      </c>
      <c r="N27" s="960">
        <f>+'Cant. Ejec,'!K22</f>
        <v>1600</v>
      </c>
      <c r="O27" s="960">
        <f>+'Cant. Ejec,'!L22</f>
        <v>22304</v>
      </c>
      <c r="P27" s="1462">
        <f>+'Cant. Ejec,'!M22</f>
        <v>80</v>
      </c>
      <c r="Q27" s="974">
        <f t="shared" si="9"/>
        <v>1115.2</v>
      </c>
      <c r="R27" s="928">
        <f t="shared" si="11"/>
        <v>1680</v>
      </c>
      <c r="S27" s="954">
        <f t="shared" si="11"/>
        <v>23419.200000000001</v>
      </c>
      <c r="T27" s="928">
        <f t="shared" si="12"/>
        <v>4304</v>
      </c>
      <c r="U27" s="954">
        <f t="shared" si="13"/>
        <v>59997.760000000009</v>
      </c>
      <c r="V27" s="955">
        <f t="shared" si="15"/>
        <v>1.3368983957219251E-2</v>
      </c>
      <c r="W27" s="955">
        <f t="shared" si="16"/>
        <v>0.28074866310160429</v>
      </c>
      <c r="X27" s="956">
        <f t="shared" si="14"/>
        <v>0.71925133689839571</v>
      </c>
      <c r="Y27" s="1348">
        <f t="shared" si="2"/>
        <v>0.28074866310160429</v>
      </c>
      <c r="Z27" s="1349" t="str">
        <f t="shared" si="3"/>
        <v>ok</v>
      </c>
      <c r="AA27" s="1352">
        <f>+T27</f>
        <v>4304</v>
      </c>
      <c r="AB27" s="1351">
        <f>+AA27/12</f>
        <v>358.66666666666669</v>
      </c>
      <c r="AC27" s="1350">
        <f>+AB27/8</f>
        <v>44.833333333333336</v>
      </c>
    </row>
    <row r="28" spans="1:36" s="1350" customFormat="1" ht="27" customHeight="1">
      <c r="A28" s="1344">
        <f t="shared" si="4"/>
        <v>3</v>
      </c>
      <c r="B28" s="1345">
        <f t="shared" si="0"/>
        <v>1</v>
      </c>
      <c r="C28" s="1346">
        <f t="shared" si="5"/>
        <v>3</v>
      </c>
      <c r="D28" s="1347" t="str">
        <f t="shared" si="10"/>
        <v>2. PAVIMENTACION</v>
      </c>
      <c r="E28" s="899" t="s">
        <v>449</v>
      </c>
      <c r="F28" s="908" t="s">
        <v>593</v>
      </c>
      <c r="G28" s="909" t="s">
        <v>85</v>
      </c>
      <c r="H28" s="928">
        <v>127.8</v>
      </c>
      <c r="I28" s="928">
        <v>0</v>
      </c>
      <c r="J28" s="928">
        <f t="shared" si="6"/>
        <v>0</v>
      </c>
      <c r="K28" s="929">
        <v>7047.74</v>
      </c>
      <c r="L28" s="920" t="str">
        <f t="shared" si="7"/>
        <v>CM 3</v>
      </c>
      <c r="M28" s="921">
        <f t="shared" si="8"/>
        <v>900701.17</v>
      </c>
      <c r="N28" s="960">
        <f>+'Cant. Ejec,'!K23</f>
        <v>1600</v>
      </c>
      <c r="O28" s="960">
        <f>+'Cant. Ejec,'!L23</f>
        <v>204480</v>
      </c>
      <c r="P28" s="1462">
        <f>+'Cant. Ejec,'!M23</f>
        <v>80</v>
      </c>
      <c r="Q28" s="974">
        <f t="shared" si="9"/>
        <v>10224</v>
      </c>
      <c r="R28" s="928">
        <f t="shared" si="11"/>
        <v>1680</v>
      </c>
      <c r="S28" s="954">
        <f t="shared" si="11"/>
        <v>214704</v>
      </c>
      <c r="T28" s="928">
        <f t="shared" si="12"/>
        <v>5367.74</v>
      </c>
      <c r="U28" s="954">
        <f t="shared" si="13"/>
        <v>685997.17</v>
      </c>
      <c r="V28" s="955">
        <f t="shared" si="15"/>
        <v>1.1351156566167222E-2</v>
      </c>
      <c r="W28" s="955">
        <f t="shared" si="16"/>
        <v>0.23837428788951168</v>
      </c>
      <c r="X28" s="956">
        <f t="shared" si="14"/>
        <v>0.76162571211048835</v>
      </c>
      <c r="Y28" s="1348">
        <f t="shared" si="2"/>
        <v>0.23837428736020341</v>
      </c>
      <c r="Z28" s="1349" t="str">
        <f t="shared" si="3"/>
        <v>ok</v>
      </c>
      <c r="AA28" s="1352">
        <f>+T28</f>
        <v>5367.74</v>
      </c>
      <c r="AB28" s="1351">
        <f>+AA28/12</f>
        <v>447.31166666666667</v>
      </c>
      <c r="AC28" s="1350">
        <f>+AB28/8</f>
        <v>55.913958333333333</v>
      </c>
      <c r="AD28" s="1353"/>
      <c r="AE28" s="1350">
        <v>24</v>
      </c>
      <c r="AH28" s="1353"/>
      <c r="AI28" s="1353"/>
    </row>
    <row r="29" spans="1:36" s="1350" customFormat="1" ht="20.100000000000001" customHeight="1">
      <c r="A29" s="1344">
        <f t="shared" si="4"/>
        <v>4</v>
      </c>
      <c r="B29" s="1345">
        <f t="shared" si="0"/>
        <v>1</v>
      </c>
      <c r="C29" s="1346">
        <f t="shared" si="5"/>
        <v>4</v>
      </c>
      <c r="D29" s="1347" t="str">
        <f t="shared" si="10"/>
        <v>2. PAVIMENTACION</v>
      </c>
      <c r="E29" s="899" t="s">
        <v>450</v>
      </c>
      <c r="F29" s="908" t="s">
        <v>451</v>
      </c>
      <c r="G29" s="909" t="s">
        <v>85</v>
      </c>
      <c r="H29" s="928">
        <v>83.8</v>
      </c>
      <c r="I29" s="928">
        <v>0</v>
      </c>
      <c r="J29" s="928">
        <f t="shared" si="6"/>
        <v>0</v>
      </c>
      <c r="K29" s="929">
        <v>63040</v>
      </c>
      <c r="L29" s="920" t="str">
        <f t="shared" si="7"/>
        <v>CM 3</v>
      </c>
      <c r="M29" s="921">
        <f t="shared" si="8"/>
        <v>5282752</v>
      </c>
      <c r="N29" s="960">
        <f>+'Cant. Ejec,'!K24</f>
        <v>23680</v>
      </c>
      <c r="O29" s="960">
        <f>+'Cant. Ejec,'!L24</f>
        <v>1984384</v>
      </c>
      <c r="P29" s="1462">
        <f>+'Cant. Ejec,'!M24</f>
        <v>17200</v>
      </c>
      <c r="Q29" s="974">
        <f t="shared" si="9"/>
        <v>1441360</v>
      </c>
      <c r="R29" s="928">
        <f t="shared" si="11"/>
        <v>40880</v>
      </c>
      <c r="S29" s="954">
        <f t="shared" si="11"/>
        <v>3425744</v>
      </c>
      <c r="T29" s="928">
        <f t="shared" si="12"/>
        <v>22160</v>
      </c>
      <c r="U29" s="954">
        <f t="shared" si="13"/>
        <v>1857008</v>
      </c>
      <c r="V29" s="955">
        <f t="shared" si="15"/>
        <v>0.27284263959390864</v>
      </c>
      <c r="W29" s="955">
        <f t="shared" si="16"/>
        <v>0.64847715736040612</v>
      </c>
      <c r="X29" s="956">
        <f t="shared" si="14"/>
        <v>0.35152284263959388</v>
      </c>
      <c r="Y29" s="1348">
        <f t="shared" si="2"/>
        <v>0.64847715736040612</v>
      </c>
      <c r="Z29" s="1349" t="str">
        <f t="shared" si="3"/>
        <v>ok</v>
      </c>
      <c r="AB29" s="1351"/>
      <c r="AE29" s="1350">
        <v>187</v>
      </c>
    </row>
    <row r="30" spans="1:36" s="1350" customFormat="1" ht="27" customHeight="1">
      <c r="A30" s="1344">
        <f>+IF(B30&gt;0,B30+C29,IF(C30&gt;C29,C30,0))</f>
        <v>0</v>
      </c>
      <c r="B30" s="1345">
        <f t="shared" si="0"/>
        <v>0</v>
      </c>
      <c r="C30" s="1346">
        <f>+B30+C29</f>
        <v>4</v>
      </c>
      <c r="D30" s="1347" t="str">
        <f>+D29</f>
        <v>2. PAVIMENTACION</v>
      </c>
      <c r="E30" s="899" t="s">
        <v>452</v>
      </c>
      <c r="F30" s="908" t="s">
        <v>594</v>
      </c>
      <c r="G30" s="909" t="s">
        <v>444</v>
      </c>
      <c r="H30" s="928">
        <v>3.74</v>
      </c>
      <c r="I30" s="928">
        <v>0</v>
      </c>
      <c r="J30" s="928">
        <f t="shared" si="6"/>
        <v>0</v>
      </c>
      <c r="K30" s="929">
        <v>32761.170000000002</v>
      </c>
      <c r="L30" s="920" t="str">
        <f t="shared" si="7"/>
        <v>CM 3</v>
      </c>
      <c r="M30" s="921">
        <f t="shared" si="8"/>
        <v>122526.78</v>
      </c>
      <c r="N30" s="960">
        <f>+'Cant. Ejec,'!K25</f>
        <v>1335.68</v>
      </c>
      <c r="O30" s="960">
        <f>+'Cant. Ejec,'!L25</f>
        <v>4995.4399999999996</v>
      </c>
      <c r="P30" s="1462">
        <f>+'Cant. Ejec,'!M25</f>
        <v>0</v>
      </c>
      <c r="Q30" s="974">
        <f t="shared" si="9"/>
        <v>0</v>
      </c>
      <c r="R30" s="928">
        <f t="shared" si="11"/>
        <v>1335.68</v>
      </c>
      <c r="S30" s="954">
        <f t="shared" si="11"/>
        <v>4995.4399999999996</v>
      </c>
      <c r="T30" s="928">
        <f t="shared" si="12"/>
        <v>31425.49</v>
      </c>
      <c r="U30" s="954">
        <f t="shared" si="13"/>
        <v>117531.34</v>
      </c>
      <c r="V30" s="955">
        <f t="shared" si="15"/>
        <v>0</v>
      </c>
      <c r="W30" s="955">
        <f t="shared" si="16"/>
        <v>4.0770189178235154E-2</v>
      </c>
      <c r="X30" s="956">
        <f t="shared" si="14"/>
        <v>0.95922981082176484</v>
      </c>
      <c r="Y30" s="1348">
        <f t="shared" si="2"/>
        <v>4.0770216692505183E-2</v>
      </c>
      <c r="Z30" s="1349" t="str">
        <f t="shared" si="3"/>
        <v>ok</v>
      </c>
      <c r="AB30" s="1351"/>
      <c r="AE30" s="1350">
        <v>45</v>
      </c>
    </row>
    <row r="31" spans="1:36" s="1350" customFormat="1" ht="27" customHeight="1">
      <c r="A31" s="1344">
        <f>+IF(B31&gt;0,B31+C30,IF(C31&gt;C30,C31,0))</f>
        <v>5</v>
      </c>
      <c r="B31" s="1345">
        <f t="shared" si="0"/>
        <v>1</v>
      </c>
      <c r="C31" s="1346">
        <f>+B31+C30</f>
        <v>5</v>
      </c>
      <c r="D31" s="1347" t="str">
        <f>+D30</f>
        <v>2. PAVIMENTACION</v>
      </c>
      <c r="E31" s="899" t="s">
        <v>453</v>
      </c>
      <c r="F31" s="908" t="s">
        <v>595</v>
      </c>
      <c r="G31" s="910" t="s">
        <v>444</v>
      </c>
      <c r="H31" s="928">
        <v>2.72</v>
      </c>
      <c r="I31" s="928">
        <v>0</v>
      </c>
      <c r="J31" s="928">
        <f t="shared" si="6"/>
        <v>0</v>
      </c>
      <c r="K31" s="935">
        <v>45616</v>
      </c>
      <c r="L31" s="920" t="str">
        <f t="shared" si="7"/>
        <v>CM 3</v>
      </c>
      <c r="M31" s="936">
        <f t="shared" si="8"/>
        <v>124075.52</v>
      </c>
      <c r="N31" s="960">
        <f>+'Cant. Ejec,'!K26</f>
        <v>1335.68</v>
      </c>
      <c r="O31" s="960">
        <f>+'Cant. Ejec,'!L26</f>
        <v>3633.05</v>
      </c>
      <c r="P31" s="1462">
        <f>+'Cant. Ejec,'!M26</f>
        <v>914.08</v>
      </c>
      <c r="Q31" s="1005">
        <f t="shared" si="9"/>
        <v>2486.3000000000002</v>
      </c>
      <c r="R31" s="928">
        <f t="shared" si="11"/>
        <v>2249.7600000000002</v>
      </c>
      <c r="S31" s="954">
        <f t="shared" si="11"/>
        <v>6119.35</v>
      </c>
      <c r="T31" s="928">
        <f t="shared" si="12"/>
        <v>43366.239999999998</v>
      </c>
      <c r="U31" s="954">
        <f t="shared" si="13"/>
        <v>117956.17</v>
      </c>
      <c r="V31" s="1354">
        <f t="shared" si="15"/>
        <v>2.0038602296407866E-2</v>
      </c>
      <c r="W31" s="1354">
        <f t="shared" si="16"/>
        <v>4.9319559571460996E-2</v>
      </c>
      <c r="X31" s="1355">
        <f t="shared" si="14"/>
        <v>0.95068044042853905</v>
      </c>
      <c r="Y31" s="1348">
        <f t="shared" si="2"/>
        <v>4.9319537004559807E-2</v>
      </c>
      <c r="Z31" s="1349" t="str">
        <f t="shared" si="3"/>
        <v>ok</v>
      </c>
      <c r="AB31" s="1351"/>
      <c r="AE31" s="1350">
        <v>56</v>
      </c>
    </row>
    <row r="32" spans="1:36" ht="18" customHeight="1">
      <c r="A32" s="509">
        <f t="shared" si="4"/>
        <v>0</v>
      </c>
      <c r="B32" s="510">
        <f t="shared" si="0"/>
        <v>0</v>
      </c>
      <c r="C32" s="512">
        <f t="shared" si="5"/>
        <v>5</v>
      </c>
      <c r="D32" s="513"/>
      <c r="E32" s="915"/>
      <c r="F32" s="1463" t="s">
        <v>237</v>
      </c>
      <c r="G32" s="1464"/>
      <c r="H32" s="1465"/>
      <c r="I32" s="1466"/>
      <c r="J32" s="1467">
        <f>SUM(J16:J25)</f>
        <v>57368959.560000002</v>
      </c>
      <c r="K32" s="1468"/>
      <c r="L32" s="1468"/>
      <c r="M32" s="1468">
        <f>SUM(M16:M31)</f>
        <v>54945671.980000004</v>
      </c>
      <c r="N32" s="1469"/>
      <c r="O32" s="1467">
        <f>SUM(O16:O31)</f>
        <v>3747902.4899999998</v>
      </c>
      <c r="P32" s="1470"/>
      <c r="Q32" s="1467">
        <f>SUM(Q16:Q31)</f>
        <v>1637771.62</v>
      </c>
      <c r="R32" s="1469"/>
      <c r="S32" s="1467">
        <f>SUM(S16:S31)</f>
        <v>5385674.1100000003</v>
      </c>
      <c r="T32" s="1470"/>
      <c r="U32" s="1467">
        <f>SUM(U16:U31)</f>
        <v>49559997.869999997</v>
      </c>
      <c r="V32" s="945">
        <f>(Q32/M32)</f>
        <v>2.9807108749095691E-2</v>
      </c>
      <c r="W32" s="946">
        <f>(S32/M32)</f>
        <v>9.8018168054444091E-2</v>
      </c>
      <c r="X32" s="947">
        <f>(U32/M32)</f>
        <v>0.90198183194555581</v>
      </c>
      <c r="Y32" s="519"/>
      <c r="Z32" s="212"/>
      <c r="AB32" s="395"/>
      <c r="AE32" s="1">
        <f>SUM(AE28:AE31)</f>
        <v>312</v>
      </c>
    </row>
    <row r="33" spans="1:28" ht="18" customHeight="1">
      <c r="A33" s="509">
        <f t="shared" si="4"/>
        <v>0</v>
      </c>
      <c r="B33" s="510">
        <f t="shared" si="0"/>
        <v>0</v>
      </c>
      <c r="C33" s="512">
        <f t="shared" si="5"/>
        <v>5</v>
      </c>
      <c r="D33" s="513"/>
      <c r="E33" s="898" t="s">
        <v>381</v>
      </c>
      <c r="F33" s="906" t="s">
        <v>309</v>
      </c>
      <c r="G33" s="907"/>
      <c r="H33" s="907"/>
      <c r="I33" s="948"/>
      <c r="J33" s="948"/>
      <c r="K33" s="949"/>
      <c r="L33" s="949"/>
      <c r="M33" s="949"/>
      <c r="N33" s="1471"/>
      <c r="O33" s="1471"/>
      <c r="P33" s="1471"/>
      <c r="Q33" s="1471"/>
      <c r="R33" s="1471"/>
      <c r="S33" s="1471"/>
      <c r="T33" s="1471"/>
      <c r="U33" s="1471"/>
      <c r="V33" s="951"/>
      <c r="W33" s="951"/>
      <c r="X33" s="952"/>
      <c r="Y33" s="519"/>
      <c r="Z33" s="212"/>
      <c r="AB33" s="395"/>
    </row>
    <row r="34" spans="1:28" ht="20.100000000000001" customHeight="1">
      <c r="A34" s="509">
        <f t="shared" si="4"/>
        <v>0</v>
      </c>
      <c r="B34" s="510">
        <f t="shared" si="0"/>
        <v>0</v>
      </c>
      <c r="C34" s="512">
        <f t="shared" si="5"/>
        <v>5</v>
      </c>
      <c r="D34" s="513" t="str">
        <f>+E33&amp;". "&amp;F33</f>
        <v>3. REHABILITACION Y MANTENIMIENTO</v>
      </c>
      <c r="E34" s="899">
        <v>12</v>
      </c>
      <c r="F34" s="897" t="s">
        <v>310</v>
      </c>
      <c r="G34" s="900" t="s">
        <v>88</v>
      </c>
      <c r="H34" s="963">
        <v>18.399999999999999</v>
      </c>
      <c r="I34" s="964">
        <v>61360</v>
      </c>
      <c r="J34" s="921">
        <f>ROUND(I34*H34,2)</f>
        <v>1129024</v>
      </c>
      <c r="K34" s="919">
        <v>61360</v>
      </c>
      <c r="L34" s="1472" t="str">
        <f t="shared" ref="L34:L39" si="17">IF(I34=K34,"-","CM 3")</f>
        <v>-</v>
      </c>
      <c r="M34" s="953">
        <f t="shared" ref="M34:M39" si="18">ROUND(K34*H34,2)</f>
        <v>1129024</v>
      </c>
      <c r="N34" s="928">
        <f>+'Cant. Ejec,'!K28</f>
        <v>0</v>
      </c>
      <c r="O34" s="928">
        <f>+'Cant. Ejec,'!L28</f>
        <v>0</v>
      </c>
      <c r="P34" s="1462">
        <f>+'Cant. Ejec,'!M28</f>
        <v>0</v>
      </c>
      <c r="Q34" s="954">
        <f t="shared" ref="Q34:Q39" si="19">+ROUND(H34*P34,2)</f>
        <v>0</v>
      </c>
      <c r="R34" s="928">
        <f>N34+P34</f>
        <v>0</v>
      </c>
      <c r="S34" s="954">
        <f>O34+Q34</f>
        <v>0</v>
      </c>
      <c r="T34" s="928">
        <f>K34-R34</f>
        <v>61360</v>
      </c>
      <c r="U34" s="954">
        <f>+M34-S34</f>
        <v>1129024</v>
      </c>
      <c r="V34" s="933">
        <f>(Q34/M34)</f>
        <v>0</v>
      </c>
      <c r="W34" s="933">
        <f>(S34/M34)</f>
        <v>0</v>
      </c>
      <c r="X34" s="934">
        <f t="shared" ref="X34:X39" si="20">(100%-W34)</f>
        <v>1</v>
      </c>
      <c r="Y34" s="519">
        <f t="shared" si="2"/>
        <v>0</v>
      </c>
      <c r="Z34" s="212" t="str">
        <f t="shared" si="3"/>
        <v>ok</v>
      </c>
      <c r="AB34" s="395"/>
    </row>
    <row r="35" spans="1:28" ht="20.100000000000001" customHeight="1">
      <c r="A35" s="509">
        <f t="shared" si="4"/>
        <v>0</v>
      </c>
      <c r="B35" s="510">
        <f t="shared" si="0"/>
        <v>0</v>
      </c>
      <c r="C35" s="512">
        <f t="shared" si="5"/>
        <v>5</v>
      </c>
      <c r="D35" s="513" t="str">
        <f t="shared" ref="D35:D39" si="21">+D34</f>
        <v>3. REHABILITACION Y MANTENIMIENTO</v>
      </c>
      <c r="E35" s="899">
        <v>13</v>
      </c>
      <c r="F35" s="897" t="s">
        <v>311</v>
      </c>
      <c r="G35" s="901" t="s">
        <v>86</v>
      </c>
      <c r="H35" s="960">
        <v>129.19</v>
      </c>
      <c r="I35" s="964">
        <v>9907</v>
      </c>
      <c r="J35" s="921">
        <f t="shared" ref="J35:J38" si="22">ROUND(I35*H35,2)</f>
        <v>1279885.33</v>
      </c>
      <c r="K35" s="929">
        <v>9907</v>
      </c>
      <c r="L35" s="1473" t="str">
        <f t="shared" si="17"/>
        <v>-</v>
      </c>
      <c r="M35" s="921">
        <f t="shared" si="18"/>
        <v>1279885.33</v>
      </c>
      <c r="N35" s="928">
        <f>+'Cant. Ejec,'!K29</f>
        <v>0</v>
      </c>
      <c r="O35" s="928">
        <f>+'Cant. Ejec,'!L29</f>
        <v>0</v>
      </c>
      <c r="P35" s="1462">
        <f>+'Cant. Ejec,'!M29</f>
        <v>0</v>
      </c>
      <c r="Q35" s="954">
        <f t="shared" si="19"/>
        <v>0</v>
      </c>
      <c r="R35" s="928">
        <f t="shared" ref="R35:S39" si="23">N35+P35</f>
        <v>0</v>
      </c>
      <c r="S35" s="954">
        <f t="shared" si="23"/>
        <v>0</v>
      </c>
      <c r="T35" s="928">
        <f t="shared" ref="T35:T39" si="24">K35-R35</f>
        <v>9907</v>
      </c>
      <c r="U35" s="954">
        <f t="shared" ref="U35:U39" si="25">+M35-S35</f>
        <v>1279885.33</v>
      </c>
      <c r="V35" s="955">
        <f t="shared" ref="V35:V39" si="26">(Q35/M35)</f>
        <v>0</v>
      </c>
      <c r="W35" s="955">
        <f t="shared" ref="W35:W39" si="27">(S35/M35)</f>
        <v>0</v>
      </c>
      <c r="X35" s="956">
        <f t="shared" si="20"/>
        <v>1</v>
      </c>
      <c r="Y35" s="519">
        <f t="shared" si="2"/>
        <v>0</v>
      </c>
      <c r="Z35" s="212" t="str">
        <f t="shared" si="3"/>
        <v>ok</v>
      </c>
      <c r="AB35" s="395"/>
    </row>
    <row r="36" spans="1:28" ht="27" customHeight="1">
      <c r="A36" s="509">
        <f t="shared" si="4"/>
        <v>0</v>
      </c>
      <c r="B36" s="510">
        <f t="shared" si="0"/>
        <v>0</v>
      </c>
      <c r="C36" s="512">
        <f t="shared" si="5"/>
        <v>5</v>
      </c>
      <c r="D36" s="513" t="str">
        <f t="shared" si="21"/>
        <v>3. REHABILITACION Y MANTENIMIENTO</v>
      </c>
      <c r="E36" s="899">
        <v>14</v>
      </c>
      <c r="F36" s="908" t="s">
        <v>559</v>
      </c>
      <c r="G36" s="909" t="s">
        <v>305</v>
      </c>
      <c r="H36" s="960">
        <v>8520.98</v>
      </c>
      <c r="I36" s="967">
        <v>6.14</v>
      </c>
      <c r="J36" s="921">
        <f t="shared" si="22"/>
        <v>52318.82</v>
      </c>
      <c r="K36" s="929">
        <v>6.14</v>
      </c>
      <c r="L36" s="1473" t="str">
        <f t="shared" si="17"/>
        <v>-</v>
      </c>
      <c r="M36" s="921">
        <f t="shared" si="18"/>
        <v>52318.82</v>
      </c>
      <c r="N36" s="928">
        <f>+'Cant. Ejec,'!K30</f>
        <v>0</v>
      </c>
      <c r="O36" s="928">
        <f>+'Cant. Ejec,'!L30</f>
        <v>0</v>
      </c>
      <c r="P36" s="1462">
        <f>+'Cant. Ejec,'!M30</f>
        <v>0</v>
      </c>
      <c r="Q36" s="954">
        <f t="shared" si="19"/>
        <v>0</v>
      </c>
      <c r="R36" s="928">
        <f t="shared" si="23"/>
        <v>0</v>
      </c>
      <c r="S36" s="954">
        <f t="shared" si="23"/>
        <v>0</v>
      </c>
      <c r="T36" s="928">
        <f t="shared" si="24"/>
        <v>6.14</v>
      </c>
      <c r="U36" s="954">
        <f t="shared" si="25"/>
        <v>52318.82</v>
      </c>
      <c r="V36" s="955">
        <f t="shared" si="26"/>
        <v>0</v>
      </c>
      <c r="W36" s="955">
        <f t="shared" si="27"/>
        <v>0</v>
      </c>
      <c r="X36" s="956">
        <f t="shared" si="20"/>
        <v>1</v>
      </c>
      <c r="Y36" s="519">
        <f t="shared" si="2"/>
        <v>0</v>
      </c>
      <c r="Z36" s="212" t="str">
        <f t="shared" si="3"/>
        <v>ok</v>
      </c>
      <c r="AA36" s="1">
        <v>109039.37000000001</v>
      </c>
      <c r="AB36" s="395">
        <f t="shared" ref="AB36:AB95" si="28">+AA36-T36</f>
        <v>109033.23000000001</v>
      </c>
    </row>
    <row r="37" spans="1:28" ht="27">
      <c r="A37" s="509">
        <f t="shared" si="4"/>
        <v>0</v>
      </c>
      <c r="B37" s="510">
        <f t="shared" si="0"/>
        <v>0</v>
      </c>
      <c r="C37" s="512">
        <f t="shared" si="5"/>
        <v>5</v>
      </c>
      <c r="D37" s="513" t="str">
        <f t="shared" si="21"/>
        <v>3. REHABILITACION Y MANTENIMIENTO</v>
      </c>
      <c r="E37" s="899">
        <v>15</v>
      </c>
      <c r="F37" s="908" t="s">
        <v>313</v>
      </c>
      <c r="G37" s="909" t="s">
        <v>305</v>
      </c>
      <c r="H37" s="960">
        <v>8520.98</v>
      </c>
      <c r="I37" s="967">
        <v>69.349999999999994</v>
      </c>
      <c r="J37" s="921">
        <f t="shared" si="22"/>
        <v>590929.96</v>
      </c>
      <c r="K37" s="929">
        <v>69.349999999999994</v>
      </c>
      <c r="L37" s="1473" t="str">
        <f t="shared" si="17"/>
        <v>-</v>
      </c>
      <c r="M37" s="921">
        <f t="shared" si="18"/>
        <v>590929.96</v>
      </c>
      <c r="N37" s="928">
        <f>+'Cant. Ejec,'!K31</f>
        <v>0</v>
      </c>
      <c r="O37" s="928">
        <f>+'Cant. Ejec,'!L31</f>
        <v>0</v>
      </c>
      <c r="P37" s="1462">
        <f>+'Cant. Ejec,'!M31</f>
        <v>0</v>
      </c>
      <c r="Q37" s="954">
        <f t="shared" si="19"/>
        <v>0</v>
      </c>
      <c r="R37" s="928">
        <f t="shared" si="23"/>
        <v>0</v>
      </c>
      <c r="S37" s="954">
        <f t="shared" si="23"/>
        <v>0</v>
      </c>
      <c r="T37" s="928">
        <f t="shared" si="24"/>
        <v>69.349999999999994</v>
      </c>
      <c r="U37" s="954">
        <f t="shared" si="25"/>
        <v>590929.96</v>
      </c>
      <c r="V37" s="955">
        <f t="shared" si="26"/>
        <v>0</v>
      </c>
      <c r="W37" s="955">
        <f t="shared" si="27"/>
        <v>0</v>
      </c>
      <c r="X37" s="956">
        <f t="shared" si="20"/>
        <v>1</v>
      </c>
      <c r="Y37" s="519">
        <f t="shared" si="2"/>
        <v>0</v>
      </c>
      <c r="Z37" s="212" t="str">
        <f t="shared" si="3"/>
        <v>ok</v>
      </c>
      <c r="AA37" s="1">
        <v>7944.42</v>
      </c>
      <c r="AB37" s="395">
        <f t="shared" si="28"/>
        <v>7875.07</v>
      </c>
    </row>
    <row r="38" spans="1:28" ht="20.100000000000001" customHeight="1">
      <c r="A38" s="509">
        <f t="shared" si="4"/>
        <v>0</v>
      </c>
      <c r="B38" s="510">
        <f t="shared" si="0"/>
        <v>0</v>
      </c>
      <c r="C38" s="512">
        <f t="shared" si="5"/>
        <v>5</v>
      </c>
      <c r="D38" s="513" t="str">
        <f t="shared" si="21"/>
        <v>3. REHABILITACION Y MANTENIMIENTO</v>
      </c>
      <c r="E38" s="899">
        <v>16</v>
      </c>
      <c r="F38" s="908" t="s">
        <v>314</v>
      </c>
      <c r="G38" s="909" t="s">
        <v>86</v>
      </c>
      <c r="H38" s="960">
        <v>65.069999999999993</v>
      </c>
      <c r="I38" s="967">
        <v>180894</v>
      </c>
      <c r="J38" s="921">
        <f t="shared" si="22"/>
        <v>11770772.58</v>
      </c>
      <c r="K38" s="929">
        <v>180894</v>
      </c>
      <c r="L38" s="1473" t="str">
        <f t="shared" si="17"/>
        <v>-</v>
      </c>
      <c r="M38" s="921">
        <f t="shared" si="18"/>
        <v>11770772.58</v>
      </c>
      <c r="N38" s="928">
        <f>+'Cant. Ejec,'!K32</f>
        <v>0</v>
      </c>
      <c r="O38" s="928">
        <f>+'Cant. Ejec,'!L32</f>
        <v>0</v>
      </c>
      <c r="P38" s="1462">
        <f>+'Cant. Ejec,'!M32</f>
        <v>0</v>
      </c>
      <c r="Q38" s="954">
        <f t="shared" si="19"/>
        <v>0</v>
      </c>
      <c r="R38" s="928">
        <f t="shared" si="23"/>
        <v>0</v>
      </c>
      <c r="S38" s="954">
        <f t="shared" si="23"/>
        <v>0</v>
      </c>
      <c r="T38" s="928">
        <f t="shared" si="24"/>
        <v>180894</v>
      </c>
      <c r="U38" s="954">
        <f t="shared" si="25"/>
        <v>11770772.58</v>
      </c>
      <c r="V38" s="955">
        <f t="shared" si="26"/>
        <v>0</v>
      </c>
      <c r="W38" s="955">
        <f t="shared" si="27"/>
        <v>0</v>
      </c>
      <c r="X38" s="956">
        <f t="shared" si="20"/>
        <v>1</v>
      </c>
      <c r="Y38" s="519">
        <f t="shared" si="2"/>
        <v>0</v>
      </c>
      <c r="Z38" s="212" t="str">
        <f t="shared" si="3"/>
        <v>ok</v>
      </c>
      <c r="AA38" s="1">
        <v>90669.700000000012</v>
      </c>
      <c r="AB38" s="395">
        <f t="shared" si="28"/>
        <v>-90224.299999999988</v>
      </c>
    </row>
    <row r="39" spans="1:28" ht="20.100000000000001" customHeight="1">
      <c r="A39" s="509">
        <f t="shared" si="4"/>
        <v>0</v>
      </c>
      <c r="B39" s="510">
        <f t="shared" si="0"/>
        <v>0</v>
      </c>
      <c r="C39" s="512">
        <f t="shared" si="5"/>
        <v>5</v>
      </c>
      <c r="D39" s="513" t="str">
        <f t="shared" si="21"/>
        <v>3. REHABILITACION Y MANTENIMIENTO</v>
      </c>
      <c r="E39" s="911">
        <v>17</v>
      </c>
      <c r="F39" s="912" t="s">
        <v>315</v>
      </c>
      <c r="G39" s="913" t="s">
        <v>86</v>
      </c>
      <c r="H39" s="968">
        <v>36.15</v>
      </c>
      <c r="I39" s="967">
        <v>99120</v>
      </c>
      <c r="J39" s="921">
        <f>ROUND(I39*H39,2)</f>
        <v>3583188</v>
      </c>
      <c r="K39" s="969">
        <v>99120</v>
      </c>
      <c r="L39" s="1473" t="str">
        <f t="shared" si="17"/>
        <v>-</v>
      </c>
      <c r="M39" s="970">
        <f t="shared" si="18"/>
        <v>3583188</v>
      </c>
      <c r="N39" s="928">
        <f>+'Cant. Ejec,'!K33</f>
        <v>0</v>
      </c>
      <c r="O39" s="928">
        <f>+'Cant. Ejec,'!L33</f>
        <v>0</v>
      </c>
      <c r="P39" s="1462">
        <f>+'Cant. Ejec,'!M33</f>
        <v>0</v>
      </c>
      <c r="Q39" s="954">
        <f t="shared" si="19"/>
        <v>0</v>
      </c>
      <c r="R39" s="928">
        <f t="shared" si="23"/>
        <v>0</v>
      </c>
      <c r="S39" s="954">
        <f t="shared" si="23"/>
        <v>0</v>
      </c>
      <c r="T39" s="928">
        <f t="shared" si="24"/>
        <v>99120</v>
      </c>
      <c r="U39" s="954">
        <f t="shared" si="25"/>
        <v>3583188</v>
      </c>
      <c r="V39" s="955">
        <f t="shared" si="26"/>
        <v>0</v>
      </c>
      <c r="W39" s="955">
        <f t="shared" si="27"/>
        <v>0</v>
      </c>
      <c r="X39" s="956">
        <f t="shared" si="20"/>
        <v>1</v>
      </c>
      <c r="Y39" s="519">
        <f t="shared" si="2"/>
        <v>0</v>
      </c>
      <c r="Z39" s="212" t="str">
        <f t="shared" si="3"/>
        <v>ok</v>
      </c>
      <c r="AA39" s="1">
        <v>614495.43000000005</v>
      </c>
      <c r="AB39" s="395">
        <f t="shared" si="28"/>
        <v>515375.43000000005</v>
      </c>
    </row>
    <row r="40" spans="1:28" ht="18" customHeight="1">
      <c r="A40" s="509">
        <f t="shared" ref="A40:A41" si="29">+IF(B40&gt;0,B40+C39,IF(C40&gt;C39,C40,0))</f>
        <v>0</v>
      </c>
      <c r="B40" s="510">
        <f t="shared" ref="B40:B41" si="30">+IF(P40&gt;=0.01,1,0)</f>
        <v>0</v>
      </c>
      <c r="C40" s="512">
        <f t="shared" ref="C40:C41" si="31">+B40+C39</f>
        <v>5</v>
      </c>
      <c r="D40" s="513"/>
      <c r="E40" s="915"/>
      <c r="F40" s="1463" t="s">
        <v>237</v>
      </c>
      <c r="G40" s="1464"/>
      <c r="H40" s="1465"/>
      <c r="I40" s="1466"/>
      <c r="J40" s="1467">
        <f>SUM(J34:J39)</f>
        <v>18406118.689999998</v>
      </c>
      <c r="K40" s="1468"/>
      <c r="L40" s="1468"/>
      <c r="M40" s="1467">
        <f>SUM(M34:M39)</f>
        <v>18406118.689999998</v>
      </c>
      <c r="N40" s="1469"/>
      <c r="O40" s="1467">
        <f>SUM(O34:O39)</f>
        <v>0</v>
      </c>
      <c r="P40" s="1470"/>
      <c r="Q40" s="1467">
        <f>SUM(Q34:Q39)</f>
        <v>0</v>
      </c>
      <c r="R40" s="1469"/>
      <c r="S40" s="1467">
        <f>SUM(S34:S39)</f>
        <v>0</v>
      </c>
      <c r="T40" s="1470"/>
      <c r="U40" s="1467">
        <f>SUM(U34:U39)</f>
        <v>18406118.689999998</v>
      </c>
      <c r="V40" s="945">
        <f>(Q40/M40)</f>
        <v>0</v>
      </c>
      <c r="W40" s="946">
        <f>(S40/M40)</f>
        <v>0</v>
      </c>
      <c r="X40" s="947">
        <f>(U40/M40)</f>
        <v>1</v>
      </c>
      <c r="Y40" s="519"/>
      <c r="Z40" s="212"/>
      <c r="AA40" s="1">
        <v>38577</v>
      </c>
      <c r="AB40" s="395">
        <f t="shared" si="28"/>
        <v>38577</v>
      </c>
    </row>
    <row r="41" spans="1:28" s="31" customFormat="1" ht="18" customHeight="1">
      <c r="A41" s="509">
        <f t="shared" si="29"/>
        <v>0</v>
      </c>
      <c r="B41" s="510">
        <f t="shared" si="30"/>
        <v>0</v>
      </c>
      <c r="C41" s="512">
        <f t="shared" si="31"/>
        <v>5</v>
      </c>
      <c r="D41" s="513"/>
      <c r="E41" s="898">
        <v>4</v>
      </c>
      <c r="F41" s="906" t="s">
        <v>87</v>
      </c>
      <c r="G41" s="907"/>
      <c r="H41" s="907"/>
      <c r="I41" s="948"/>
      <c r="J41" s="948"/>
      <c r="K41" s="949"/>
      <c r="L41" s="949"/>
      <c r="M41" s="949"/>
      <c r="N41" s="1471"/>
      <c r="O41" s="1471"/>
      <c r="P41" s="1471"/>
      <c r="Q41" s="1471"/>
      <c r="R41" s="1471"/>
      <c r="S41" s="1471"/>
      <c r="T41" s="1471"/>
      <c r="U41" s="1471"/>
      <c r="V41" s="951"/>
      <c r="W41" s="951"/>
      <c r="X41" s="952"/>
      <c r="Y41" s="519"/>
      <c r="Z41" s="212"/>
      <c r="AB41" s="424">
        <f>+AA41-T14</f>
        <v>0</v>
      </c>
    </row>
    <row r="42" spans="1:28" ht="20.100000000000001" customHeight="1">
      <c r="A42" s="509">
        <f t="shared" si="4"/>
        <v>0</v>
      </c>
      <c r="B42" s="510">
        <f t="shared" si="0"/>
        <v>0</v>
      </c>
      <c r="C42" s="512">
        <f t="shared" si="5"/>
        <v>5</v>
      </c>
      <c r="D42" s="513" t="str">
        <f>+E41&amp;". "&amp;F41</f>
        <v>4. OBRAS DE DRENAJE</v>
      </c>
      <c r="E42" s="899">
        <v>18</v>
      </c>
      <c r="F42" s="897" t="s">
        <v>316</v>
      </c>
      <c r="G42" s="900" t="s">
        <v>236</v>
      </c>
      <c r="H42" s="963">
        <v>5170.03</v>
      </c>
      <c r="I42" s="971">
        <v>5</v>
      </c>
      <c r="J42" s="953">
        <f t="shared" ref="J42:J100" si="32">ROUND(I42*H42,2)</f>
        <v>25850.15</v>
      </c>
      <c r="K42" s="919">
        <v>5</v>
      </c>
      <c r="L42" s="1472" t="str">
        <f t="shared" ref="L42:L82" si="33">IF(I42=K42,"-","CM 3")</f>
        <v>-</v>
      </c>
      <c r="M42" s="953">
        <f t="shared" ref="M42:M82" si="34">ROUND(K42*H42,2)</f>
        <v>25850.15</v>
      </c>
      <c r="N42" s="928">
        <f>+'Cant. Ejec,'!K35</f>
        <v>0</v>
      </c>
      <c r="O42" s="928">
        <f>+'Cant. Ejec,'!L35</f>
        <v>0</v>
      </c>
      <c r="P42" s="1462">
        <f>+'Cant. Ejec,'!M35</f>
        <v>0</v>
      </c>
      <c r="Q42" s="1461">
        <f t="shared" ref="Q42:Q82" si="35">+ROUND(H42*P42,2)</f>
        <v>0</v>
      </c>
      <c r="R42" s="928">
        <f>N42+P42</f>
        <v>0</v>
      </c>
      <c r="S42" s="954">
        <f>O42+Q42</f>
        <v>0</v>
      </c>
      <c r="T42" s="928">
        <f>K42-R42</f>
        <v>5</v>
      </c>
      <c r="U42" s="954">
        <f>+M42-S42</f>
        <v>25850.15</v>
      </c>
      <c r="V42" s="933">
        <f>(Q42/M42)</f>
        <v>0</v>
      </c>
      <c r="W42" s="933">
        <f>(S42/M42)</f>
        <v>0</v>
      </c>
      <c r="X42" s="934">
        <f t="shared" ref="X42:X82" si="36">(100%-W42)</f>
        <v>1</v>
      </c>
      <c r="Y42" s="519">
        <f t="shared" si="2"/>
        <v>0</v>
      </c>
      <c r="Z42" s="212" t="str">
        <f t="shared" si="3"/>
        <v>ok</v>
      </c>
      <c r="AB42" s="395">
        <f>+AA42-T15</f>
        <v>0</v>
      </c>
    </row>
    <row r="43" spans="1:28" ht="27">
      <c r="A43" s="509">
        <f t="shared" si="4"/>
        <v>0</v>
      </c>
      <c r="B43" s="510">
        <f t="shared" si="0"/>
        <v>0</v>
      </c>
      <c r="C43" s="512">
        <f t="shared" si="5"/>
        <v>5</v>
      </c>
      <c r="D43" s="513" t="str">
        <f>+D42</f>
        <v>4. OBRAS DE DRENAJE</v>
      </c>
      <c r="E43" s="899">
        <v>19</v>
      </c>
      <c r="F43" s="897" t="s">
        <v>317</v>
      </c>
      <c r="G43" s="909" t="s">
        <v>85</v>
      </c>
      <c r="H43" s="960">
        <v>34.61</v>
      </c>
      <c r="I43" s="967">
        <v>15078</v>
      </c>
      <c r="J43" s="921">
        <f t="shared" si="32"/>
        <v>521849.58</v>
      </c>
      <c r="K43" s="929">
        <v>15078</v>
      </c>
      <c r="L43" s="1473" t="str">
        <f t="shared" si="33"/>
        <v>-</v>
      </c>
      <c r="M43" s="921">
        <f t="shared" si="34"/>
        <v>521849.58</v>
      </c>
      <c r="N43" s="928">
        <f>+'Cant. Ejec,'!K36</f>
        <v>0</v>
      </c>
      <c r="O43" s="928">
        <f>+'Cant. Ejec,'!L36</f>
        <v>0</v>
      </c>
      <c r="P43" s="1462">
        <f>+'Cant. Ejec,'!M36</f>
        <v>0</v>
      </c>
      <c r="Q43" s="954">
        <f t="shared" si="35"/>
        <v>0</v>
      </c>
      <c r="R43" s="928">
        <f t="shared" ref="R43:S82" si="37">N43+P43</f>
        <v>0</v>
      </c>
      <c r="S43" s="954">
        <f t="shared" si="37"/>
        <v>0</v>
      </c>
      <c r="T43" s="928">
        <f t="shared" ref="T43:T82" si="38">K43-R43</f>
        <v>15078</v>
      </c>
      <c r="U43" s="954">
        <f t="shared" ref="U43:U82" si="39">+M43-S43</f>
        <v>521849.58</v>
      </c>
      <c r="V43" s="955">
        <f t="shared" ref="V43:V82" si="40">(Q43/M43)</f>
        <v>0</v>
      </c>
      <c r="W43" s="955">
        <f t="shared" ref="W43:W82" si="41">(S43/M43)</f>
        <v>0</v>
      </c>
      <c r="X43" s="956">
        <f t="shared" si="36"/>
        <v>1</v>
      </c>
      <c r="Y43" s="519">
        <f t="shared" si="2"/>
        <v>0</v>
      </c>
      <c r="Z43" s="212" t="str">
        <f t="shared" si="3"/>
        <v>ok</v>
      </c>
      <c r="AA43" s="1">
        <v>66957</v>
      </c>
      <c r="AB43" s="395">
        <f t="shared" si="28"/>
        <v>51879</v>
      </c>
    </row>
    <row r="44" spans="1:28" ht="20.100000000000001" customHeight="1">
      <c r="A44" s="509">
        <f t="shared" si="4"/>
        <v>0</v>
      </c>
      <c r="B44" s="510">
        <f t="shared" si="0"/>
        <v>0</v>
      </c>
      <c r="C44" s="512">
        <f t="shared" si="5"/>
        <v>5</v>
      </c>
      <c r="D44" s="513" t="str">
        <f t="shared" ref="D44:D82" si="42">+D43</f>
        <v>4. OBRAS DE DRENAJE</v>
      </c>
      <c r="E44" s="899">
        <v>20</v>
      </c>
      <c r="F44" s="908" t="s">
        <v>318</v>
      </c>
      <c r="G44" s="909" t="s">
        <v>85</v>
      </c>
      <c r="H44" s="960">
        <v>72.510000000000005</v>
      </c>
      <c r="I44" s="967">
        <v>4958</v>
      </c>
      <c r="J44" s="921">
        <f t="shared" si="32"/>
        <v>359504.58</v>
      </c>
      <c r="K44" s="929">
        <v>4958</v>
      </c>
      <c r="L44" s="1473" t="str">
        <f t="shared" si="33"/>
        <v>-</v>
      </c>
      <c r="M44" s="921">
        <f t="shared" si="34"/>
        <v>359504.58</v>
      </c>
      <c r="N44" s="928">
        <f>+'Cant. Ejec,'!K37</f>
        <v>0</v>
      </c>
      <c r="O44" s="928">
        <f>+'Cant. Ejec,'!L37</f>
        <v>0</v>
      </c>
      <c r="P44" s="1462">
        <f>+'Cant. Ejec,'!M37</f>
        <v>0</v>
      </c>
      <c r="Q44" s="954">
        <f t="shared" si="35"/>
        <v>0</v>
      </c>
      <c r="R44" s="928">
        <f t="shared" si="37"/>
        <v>0</v>
      </c>
      <c r="S44" s="954">
        <f t="shared" si="37"/>
        <v>0</v>
      </c>
      <c r="T44" s="928">
        <f t="shared" si="38"/>
        <v>4958</v>
      </c>
      <c r="U44" s="954">
        <f t="shared" si="39"/>
        <v>359504.58</v>
      </c>
      <c r="V44" s="955">
        <f t="shared" si="40"/>
        <v>0</v>
      </c>
      <c r="W44" s="955">
        <f t="shared" si="41"/>
        <v>0</v>
      </c>
      <c r="X44" s="956">
        <f t="shared" si="36"/>
        <v>1</v>
      </c>
      <c r="Y44" s="519">
        <f t="shared" si="2"/>
        <v>0</v>
      </c>
      <c r="Z44" s="212" t="str">
        <f t="shared" si="3"/>
        <v>ok</v>
      </c>
      <c r="AA44" s="1">
        <v>31321.13</v>
      </c>
      <c r="AB44" s="395">
        <f t="shared" si="28"/>
        <v>26363.13</v>
      </c>
    </row>
    <row r="45" spans="1:28" ht="27">
      <c r="A45" s="509">
        <f t="shared" si="4"/>
        <v>0</v>
      </c>
      <c r="B45" s="510">
        <f t="shared" si="0"/>
        <v>0</v>
      </c>
      <c r="C45" s="512">
        <f t="shared" si="5"/>
        <v>5</v>
      </c>
      <c r="D45" s="513" t="str">
        <f t="shared" si="42"/>
        <v>4. OBRAS DE DRENAJE</v>
      </c>
      <c r="E45" s="999">
        <v>21</v>
      </c>
      <c r="F45" s="1000" t="s">
        <v>319</v>
      </c>
      <c r="G45" s="910" t="s">
        <v>85</v>
      </c>
      <c r="H45" s="1001">
        <v>2112.84</v>
      </c>
      <c r="I45" s="1002">
        <v>1786</v>
      </c>
      <c r="J45" s="936">
        <f t="shared" si="32"/>
        <v>3773532.24</v>
      </c>
      <c r="K45" s="935">
        <v>1786</v>
      </c>
      <c r="L45" s="1474" t="str">
        <f t="shared" si="33"/>
        <v>-</v>
      </c>
      <c r="M45" s="936">
        <f t="shared" si="34"/>
        <v>3773532.24</v>
      </c>
      <c r="N45" s="1003">
        <f>+'Cant. Ejec,'!K38</f>
        <v>0</v>
      </c>
      <c r="O45" s="1003">
        <f>+'Cant. Ejec,'!L38</f>
        <v>0</v>
      </c>
      <c r="P45" s="1475">
        <f>+'Cant. Ejec,'!M38</f>
        <v>0</v>
      </c>
      <c r="Q45" s="1005">
        <f t="shared" si="35"/>
        <v>0</v>
      </c>
      <c r="R45" s="1003">
        <f t="shared" si="37"/>
        <v>0</v>
      </c>
      <c r="S45" s="1005">
        <f t="shared" si="37"/>
        <v>0</v>
      </c>
      <c r="T45" s="1003">
        <f t="shared" si="38"/>
        <v>1786</v>
      </c>
      <c r="U45" s="1005">
        <f t="shared" si="39"/>
        <v>3773532.24</v>
      </c>
      <c r="V45" s="1006">
        <f t="shared" si="40"/>
        <v>0</v>
      </c>
      <c r="W45" s="1006">
        <f t="shared" si="41"/>
        <v>0</v>
      </c>
      <c r="X45" s="1007">
        <f t="shared" si="36"/>
        <v>1</v>
      </c>
      <c r="Y45" s="519">
        <f t="shared" si="2"/>
        <v>0</v>
      </c>
      <c r="Z45" s="212" t="str">
        <f t="shared" si="3"/>
        <v>ok</v>
      </c>
      <c r="AA45" s="1">
        <v>7612</v>
      </c>
      <c r="AB45" s="395">
        <f t="shared" si="28"/>
        <v>5826</v>
      </c>
    </row>
    <row r="46" spans="1:28" ht="18.95" customHeight="1">
      <c r="A46" s="509">
        <f t="shared" si="4"/>
        <v>0</v>
      </c>
      <c r="B46" s="510">
        <f t="shared" si="0"/>
        <v>0</v>
      </c>
      <c r="C46" s="512">
        <f t="shared" si="5"/>
        <v>5</v>
      </c>
      <c r="D46" s="513" t="str">
        <f t="shared" si="42"/>
        <v>4. OBRAS DE DRENAJE</v>
      </c>
      <c r="E46" s="914">
        <v>22</v>
      </c>
      <c r="F46" s="897" t="s">
        <v>320</v>
      </c>
      <c r="G46" s="901" t="s">
        <v>90</v>
      </c>
      <c r="H46" s="975">
        <v>17.21</v>
      </c>
      <c r="I46" s="964">
        <v>224933</v>
      </c>
      <c r="J46" s="976">
        <f t="shared" si="32"/>
        <v>3871096.93</v>
      </c>
      <c r="K46" s="977">
        <v>224933</v>
      </c>
      <c r="L46" s="1476" t="str">
        <f t="shared" si="33"/>
        <v>-</v>
      </c>
      <c r="M46" s="976">
        <f t="shared" si="34"/>
        <v>3871096.93</v>
      </c>
      <c r="N46" s="928">
        <f>+'Cant. Ejec,'!K39</f>
        <v>0</v>
      </c>
      <c r="O46" s="928">
        <f>+'Cant. Ejec,'!L39</f>
        <v>0</v>
      </c>
      <c r="P46" s="1462">
        <f>+'Cant. Ejec,'!M39</f>
        <v>0</v>
      </c>
      <c r="Q46" s="954">
        <f t="shared" si="35"/>
        <v>0</v>
      </c>
      <c r="R46" s="928">
        <f t="shared" si="37"/>
        <v>0</v>
      </c>
      <c r="S46" s="954">
        <f t="shared" si="37"/>
        <v>0</v>
      </c>
      <c r="T46" s="928">
        <f t="shared" si="38"/>
        <v>224933</v>
      </c>
      <c r="U46" s="954">
        <f t="shared" si="39"/>
        <v>3871096.93</v>
      </c>
      <c r="V46" s="955">
        <f t="shared" si="40"/>
        <v>0</v>
      </c>
      <c r="W46" s="955">
        <f t="shared" si="41"/>
        <v>0</v>
      </c>
      <c r="X46" s="956">
        <f t="shared" si="36"/>
        <v>1</v>
      </c>
      <c r="Y46" s="519">
        <f t="shared" si="2"/>
        <v>0</v>
      </c>
      <c r="Z46" s="212" t="str">
        <f t="shared" si="3"/>
        <v>ok</v>
      </c>
      <c r="AA46" s="1">
        <v>164595.1</v>
      </c>
      <c r="AB46" s="395">
        <f t="shared" si="28"/>
        <v>-60337.899999999994</v>
      </c>
    </row>
    <row r="47" spans="1:28" ht="27">
      <c r="A47" s="509">
        <f t="shared" si="4"/>
        <v>0</v>
      </c>
      <c r="B47" s="510">
        <f t="shared" si="0"/>
        <v>0</v>
      </c>
      <c r="C47" s="512">
        <f t="shared" si="5"/>
        <v>5</v>
      </c>
      <c r="D47" s="513" t="str">
        <f t="shared" si="42"/>
        <v>4. OBRAS DE DRENAJE</v>
      </c>
      <c r="E47" s="899">
        <v>23</v>
      </c>
      <c r="F47" s="908" t="s">
        <v>321</v>
      </c>
      <c r="G47" s="909" t="s">
        <v>85</v>
      </c>
      <c r="H47" s="960">
        <v>1634.17</v>
      </c>
      <c r="I47" s="967">
        <v>20</v>
      </c>
      <c r="J47" s="921">
        <f t="shared" si="32"/>
        <v>32683.4</v>
      </c>
      <c r="K47" s="929">
        <v>20</v>
      </c>
      <c r="L47" s="1473" t="str">
        <f t="shared" si="33"/>
        <v>-</v>
      </c>
      <c r="M47" s="921">
        <f t="shared" si="34"/>
        <v>32683.4</v>
      </c>
      <c r="N47" s="928">
        <f>+'Cant. Ejec,'!K40</f>
        <v>0</v>
      </c>
      <c r="O47" s="928">
        <f>+'Cant. Ejec,'!L40</f>
        <v>0</v>
      </c>
      <c r="P47" s="1462">
        <f>+'Cant. Ejec,'!M40</f>
        <v>0</v>
      </c>
      <c r="Q47" s="954">
        <f t="shared" si="35"/>
        <v>0</v>
      </c>
      <c r="R47" s="928">
        <f t="shared" si="37"/>
        <v>0</v>
      </c>
      <c r="S47" s="954">
        <f t="shared" si="37"/>
        <v>0</v>
      </c>
      <c r="T47" s="928">
        <f t="shared" si="38"/>
        <v>20</v>
      </c>
      <c r="U47" s="954">
        <f t="shared" si="39"/>
        <v>32683.4</v>
      </c>
      <c r="V47" s="955">
        <f t="shared" si="40"/>
        <v>0</v>
      </c>
      <c r="W47" s="955">
        <f t="shared" si="41"/>
        <v>0</v>
      </c>
      <c r="X47" s="956">
        <f t="shared" si="36"/>
        <v>1</v>
      </c>
      <c r="Y47" s="519">
        <f t="shared" si="2"/>
        <v>0</v>
      </c>
      <c r="Z47" s="212" t="str">
        <f t="shared" si="3"/>
        <v>ok</v>
      </c>
      <c r="AA47" s="1">
        <v>164595.1</v>
      </c>
      <c r="AB47" s="395">
        <f t="shared" si="28"/>
        <v>164575.1</v>
      </c>
    </row>
    <row r="48" spans="1:28" ht="18.95" customHeight="1">
      <c r="A48" s="509">
        <f t="shared" si="4"/>
        <v>0</v>
      </c>
      <c r="B48" s="510">
        <f t="shared" si="0"/>
        <v>0</v>
      </c>
      <c r="C48" s="512">
        <f t="shared" si="5"/>
        <v>5</v>
      </c>
      <c r="D48" s="513" t="str">
        <f t="shared" si="42"/>
        <v>4. OBRAS DE DRENAJE</v>
      </c>
      <c r="E48" s="899">
        <v>24</v>
      </c>
      <c r="F48" s="908" t="s">
        <v>322</v>
      </c>
      <c r="G48" s="909" t="s">
        <v>85</v>
      </c>
      <c r="H48" s="960">
        <v>1729.01</v>
      </c>
      <c r="I48" s="967">
        <v>116</v>
      </c>
      <c r="J48" s="921">
        <f t="shared" si="32"/>
        <v>200565.16</v>
      </c>
      <c r="K48" s="929">
        <v>116</v>
      </c>
      <c r="L48" s="1473" t="str">
        <f t="shared" si="33"/>
        <v>-</v>
      </c>
      <c r="M48" s="921">
        <f t="shared" si="34"/>
        <v>200565.16</v>
      </c>
      <c r="N48" s="928">
        <f>+'Cant. Ejec,'!K41</f>
        <v>0</v>
      </c>
      <c r="O48" s="928">
        <f>+'Cant. Ejec,'!L41</f>
        <v>0</v>
      </c>
      <c r="P48" s="1462">
        <f>+'Cant. Ejec,'!M41</f>
        <v>0</v>
      </c>
      <c r="Q48" s="954">
        <f t="shared" si="35"/>
        <v>0</v>
      </c>
      <c r="R48" s="928">
        <f t="shared" si="37"/>
        <v>0</v>
      </c>
      <c r="S48" s="954">
        <f t="shared" si="37"/>
        <v>0</v>
      </c>
      <c r="T48" s="928">
        <f t="shared" si="38"/>
        <v>116</v>
      </c>
      <c r="U48" s="954">
        <f t="shared" si="39"/>
        <v>200565.16</v>
      </c>
      <c r="V48" s="955">
        <f t="shared" si="40"/>
        <v>0</v>
      </c>
      <c r="W48" s="955">
        <f t="shared" si="41"/>
        <v>0</v>
      </c>
      <c r="X48" s="956">
        <f t="shared" si="36"/>
        <v>1</v>
      </c>
      <c r="Y48" s="519">
        <f t="shared" si="2"/>
        <v>0</v>
      </c>
      <c r="Z48" s="212" t="str">
        <f t="shared" si="3"/>
        <v>ok</v>
      </c>
      <c r="AA48" s="1">
        <v>6090</v>
      </c>
      <c r="AB48" s="395">
        <f t="shared" si="28"/>
        <v>5974</v>
      </c>
    </row>
    <row r="49" spans="1:28" ht="18.95" customHeight="1">
      <c r="A49" s="509">
        <f t="shared" si="4"/>
        <v>0</v>
      </c>
      <c r="B49" s="510">
        <f t="shared" si="0"/>
        <v>0</v>
      </c>
      <c r="C49" s="512">
        <f t="shared" si="5"/>
        <v>5</v>
      </c>
      <c r="D49" s="513" t="str">
        <f t="shared" si="42"/>
        <v>4. OBRAS DE DRENAJE</v>
      </c>
      <c r="E49" s="899">
        <v>25</v>
      </c>
      <c r="F49" s="908" t="s">
        <v>323</v>
      </c>
      <c r="G49" s="909" t="s">
        <v>88</v>
      </c>
      <c r="H49" s="960">
        <v>2244.69</v>
      </c>
      <c r="I49" s="967">
        <v>63</v>
      </c>
      <c r="J49" s="921">
        <f t="shared" si="32"/>
        <v>141415.47</v>
      </c>
      <c r="K49" s="929">
        <v>63</v>
      </c>
      <c r="L49" s="1473" t="str">
        <f t="shared" si="33"/>
        <v>-</v>
      </c>
      <c r="M49" s="921">
        <f t="shared" si="34"/>
        <v>141415.47</v>
      </c>
      <c r="N49" s="928">
        <f>+'Cant. Ejec,'!K42</f>
        <v>0</v>
      </c>
      <c r="O49" s="928">
        <f>+'Cant. Ejec,'!L42</f>
        <v>0</v>
      </c>
      <c r="P49" s="1462">
        <f>+'Cant. Ejec,'!M42</f>
        <v>0</v>
      </c>
      <c r="Q49" s="954">
        <f t="shared" si="35"/>
        <v>0</v>
      </c>
      <c r="R49" s="928">
        <f t="shared" si="37"/>
        <v>0</v>
      </c>
      <c r="S49" s="954">
        <f t="shared" si="37"/>
        <v>0</v>
      </c>
      <c r="T49" s="928">
        <f t="shared" si="38"/>
        <v>63</v>
      </c>
      <c r="U49" s="954">
        <f t="shared" si="39"/>
        <v>141415.47</v>
      </c>
      <c r="V49" s="955">
        <f t="shared" si="40"/>
        <v>0</v>
      </c>
      <c r="W49" s="955">
        <f t="shared" si="41"/>
        <v>0</v>
      </c>
      <c r="X49" s="956">
        <f t="shared" si="36"/>
        <v>1</v>
      </c>
      <c r="Y49" s="519">
        <f t="shared" si="2"/>
        <v>0</v>
      </c>
      <c r="Z49" s="212" t="str">
        <f t="shared" si="3"/>
        <v>ok</v>
      </c>
      <c r="AA49" s="1">
        <v>181054.6</v>
      </c>
      <c r="AB49" s="395">
        <f t="shared" si="28"/>
        <v>180991.6</v>
      </c>
    </row>
    <row r="50" spans="1:28" ht="27">
      <c r="A50" s="509">
        <f t="shared" si="4"/>
        <v>0</v>
      </c>
      <c r="B50" s="510">
        <f t="shared" si="0"/>
        <v>0</v>
      </c>
      <c r="C50" s="512">
        <f t="shared" si="5"/>
        <v>5</v>
      </c>
      <c r="D50" s="513" t="str">
        <f t="shared" si="42"/>
        <v>4. OBRAS DE DRENAJE</v>
      </c>
      <c r="E50" s="899">
        <v>26</v>
      </c>
      <c r="F50" s="908" t="s">
        <v>324</v>
      </c>
      <c r="G50" s="909" t="s">
        <v>85</v>
      </c>
      <c r="H50" s="960">
        <v>1393.68</v>
      </c>
      <c r="I50" s="967">
        <v>52</v>
      </c>
      <c r="J50" s="921">
        <f t="shared" si="32"/>
        <v>72471.360000000001</v>
      </c>
      <c r="K50" s="929">
        <v>170.39</v>
      </c>
      <c r="L50" s="1473" t="str">
        <f t="shared" si="33"/>
        <v>CM 3</v>
      </c>
      <c r="M50" s="921">
        <f t="shared" si="34"/>
        <v>237469.14</v>
      </c>
      <c r="N50" s="928">
        <f>+'Cant. Ejec,'!K43</f>
        <v>0</v>
      </c>
      <c r="O50" s="928">
        <f>+'Cant. Ejec,'!L43</f>
        <v>0</v>
      </c>
      <c r="P50" s="1462">
        <f>+'Cant. Ejec,'!M43</f>
        <v>0</v>
      </c>
      <c r="Q50" s="954">
        <f t="shared" si="35"/>
        <v>0</v>
      </c>
      <c r="R50" s="928">
        <f t="shared" si="37"/>
        <v>0</v>
      </c>
      <c r="S50" s="954">
        <f t="shared" si="37"/>
        <v>0</v>
      </c>
      <c r="T50" s="928">
        <f t="shared" si="38"/>
        <v>170.39</v>
      </c>
      <c r="U50" s="954">
        <f t="shared" si="39"/>
        <v>237469.14</v>
      </c>
      <c r="V50" s="955">
        <f t="shared" si="40"/>
        <v>0</v>
      </c>
      <c r="W50" s="955">
        <f t="shared" si="41"/>
        <v>0</v>
      </c>
      <c r="X50" s="956">
        <f t="shared" si="36"/>
        <v>1</v>
      </c>
      <c r="Y50" s="519">
        <f t="shared" si="2"/>
        <v>0</v>
      </c>
      <c r="Z50" s="212" t="str">
        <f t="shared" si="3"/>
        <v>ok</v>
      </c>
      <c r="AA50" s="1">
        <v>65838.05</v>
      </c>
      <c r="AB50" s="395">
        <f t="shared" si="28"/>
        <v>65667.66</v>
      </c>
    </row>
    <row r="51" spans="1:28" ht="27">
      <c r="A51" s="509">
        <f t="shared" si="4"/>
        <v>0</v>
      </c>
      <c r="B51" s="510">
        <f t="shared" si="0"/>
        <v>0</v>
      </c>
      <c r="C51" s="512">
        <f t="shared" si="5"/>
        <v>5</v>
      </c>
      <c r="D51" s="513" t="str">
        <f t="shared" si="42"/>
        <v>4. OBRAS DE DRENAJE</v>
      </c>
      <c r="E51" s="899">
        <v>27</v>
      </c>
      <c r="F51" s="908" t="s">
        <v>325</v>
      </c>
      <c r="G51" s="909" t="s">
        <v>85</v>
      </c>
      <c r="H51" s="960">
        <v>1483.78</v>
      </c>
      <c r="I51" s="967">
        <v>959</v>
      </c>
      <c r="J51" s="921">
        <f t="shared" si="32"/>
        <v>1422945.02</v>
      </c>
      <c r="K51" s="929">
        <v>959</v>
      </c>
      <c r="L51" s="1473" t="str">
        <f t="shared" si="33"/>
        <v>-</v>
      </c>
      <c r="M51" s="921">
        <f t="shared" si="34"/>
        <v>1422945.02</v>
      </c>
      <c r="N51" s="928">
        <f>+'Cant. Ejec,'!K44</f>
        <v>0</v>
      </c>
      <c r="O51" s="928">
        <f>+'Cant. Ejec,'!L44</f>
        <v>0</v>
      </c>
      <c r="P51" s="1462">
        <f>+'Cant. Ejec,'!M44</f>
        <v>0</v>
      </c>
      <c r="Q51" s="954">
        <f t="shared" si="35"/>
        <v>0</v>
      </c>
      <c r="R51" s="928">
        <f t="shared" si="37"/>
        <v>0</v>
      </c>
      <c r="S51" s="954">
        <f t="shared" si="37"/>
        <v>0</v>
      </c>
      <c r="T51" s="928">
        <f t="shared" si="38"/>
        <v>959</v>
      </c>
      <c r="U51" s="954">
        <f t="shared" si="39"/>
        <v>1422945.02</v>
      </c>
      <c r="V51" s="955">
        <f t="shared" si="40"/>
        <v>0</v>
      </c>
      <c r="W51" s="955">
        <f t="shared" si="41"/>
        <v>0</v>
      </c>
      <c r="X51" s="956">
        <f t="shared" si="36"/>
        <v>1</v>
      </c>
      <c r="Y51" s="519">
        <f t="shared" si="2"/>
        <v>0</v>
      </c>
      <c r="Z51" s="212" t="str">
        <f t="shared" si="3"/>
        <v>ok</v>
      </c>
      <c r="AB51" s="395">
        <f t="shared" si="28"/>
        <v>-959</v>
      </c>
    </row>
    <row r="52" spans="1:28" ht="27">
      <c r="A52" s="509">
        <f t="shared" si="4"/>
        <v>0</v>
      </c>
      <c r="B52" s="510">
        <f t="shared" si="0"/>
        <v>0</v>
      </c>
      <c r="C52" s="512">
        <f t="shared" si="5"/>
        <v>5</v>
      </c>
      <c r="D52" s="513" t="str">
        <f t="shared" si="42"/>
        <v>4. OBRAS DE DRENAJE</v>
      </c>
      <c r="E52" s="899">
        <v>28</v>
      </c>
      <c r="F52" s="908" t="s">
        <v>326</v>
      </c>
      <c r="G52" s="909" t="s">
        <v>85</v>
      </c>
      <c r="H52" s="960">
        <v>1483.78</v>
      </c>
      <c r="I52" s="967">
        <v>1578</v>
      </c>
      <c r="J52" s="921">
        <f t="shared" si="32"/>
        <v>2341404.84</v>
      </c>
      <c r="K52" s="929">
        <v>1578</v>
      </c>
      <c r="L52" s="1473" t="str">
        <f t="shared" si="33"/>
        <v>-</v>
      </c>
      <c r="M52" s="921">
        <f t="shared" si="34"/>
        <v>2341404.84</v>
      </c>
      <c r="N52" s="928">
        <f>+'Cant. Ejec,'!K45</f>
        <v>0</v>
      </c>
      <c r="O52" s="928">
        <f>+'Cant. Ejec,'!L45</f>
        <v>0</v>
      </c>
      <c r="P52" s="1462">
        <f>+'Cant. Ejec,'!M45</f>
        <v>0</v>
      </c>
      <c r="Q52" s="954">
        <f t="shared" si="35"/>
        <v>0</v>
      </c>
      <c r="R52" s="928">
        <f t="shared" si="37"/>
        <v>0</v>
      </c>
      <c r="S52" s="954">
        <f t="shared" si="37"/>
        <v>0</v>
      </c>
      <c r="T52" s="928">
        <f t="shared" si="38"/>
        <v>1578</v>
      </c>
      <c r="U52" s="954">
        <f t="shared" si="39"/>
        <v>2341404.84</v>
      </c>
      <c r="V52" s="955">
        <f t="shared" si="40"/>
        <v>0</v>
      </c>
      <c r="W52" s="955">
        <f t="shared" si="41"/>
        <v>0</v>
      </c>
      <c r="X52" s="956">
        <f t="shared" si="36"/>
        <v>1</v>
      </c>
      <c r="Y52" s="519">
        <f t="shared" si="2"/>
        <v>0</v>
      </c>
      <c r="Z52" s="212" t="str">
        <f t="shared" si="3"/>
        <v>ok</v>
      </c>
      <c r="AB52" s="395">
        <f t="shared" si="28"/>
        <v>-1578</v>
      </c>
    </row>
    <row r="53" spans="1:28" ht="27">
      <c r="A53" s="509">
        <f t="shared" si="4"/>
        <v>0</v>
      </c>
      <c r="B53" s="510">
        <f t="shared" si="0"/>
        <v>0</v>
      </c>
      <c r="C53" s="512">
        <f t="shared" si="5"/>
        <v>5</v>
      </c>
      <c r="D53" s="513" t="str">
        <f t="shared" si="42"/>
        <v>4. OBRAS DE DRENAJE</v>
      </c>
      <c r="E53" s="899">
        <v>29</v>
      </c>
      <c r="F53" s="908" t="s">
        <v>327</v>
      </c>
      <c r="G53" s="909" t="s">
        <v>85</v>
      </c>
      <c r="H53" s="960">
        <v>1483.78</v>
      </c>
      <c r="I53" s="967">
        <v>182</v>
      </c>
      <c r="J53" s="921">
        <f t="shared" si="32"/>
        <v>270047.96000000002</v>
      </c>
      <c r="K53" s="929">
        <v>182</v>
      </c>
      <c r="L53" s="1473" t="str">
        <f t="shared" si="33"/>
        <v>-</v>
      </c>
      <c r="M53" s="921">
        <f t="shared" si="34"/>
        <v>270047.96000000002</v>
      </c>
      <c r="N53" s="928">
        <f>+'Cant. Ejec,'!K46</f>
        <v>0</v>
      </c>
      <c r="O53" s="928">
        <f>+'Cant. Ejec,'!L46</f>
        <v>0</v>
      </c>
      <c r="P53" s="1462">
        <f>+'Cant. Ejec,'!M46</f>
        <v>0</v>
      </c>
      <c r="Q53" s="954">
        <f t="shared" si="35"/>
        <v>0</v>
      </c>
      <c r="R53" s="928">
        <f t="shared" si="37"/>
        <v>0</v>
      </c>
      <c r="S53" s="954">
        <f t="shared" si="37"/>
        <v>0</v>
      </c>
      <c r="T53" s="928">
        <f t="shared" si="38"/>
        <v>182</v>
      </c>
      <c r="U53" s="954">
        <f t="shared" si="39"/>
        <v>270047.96000000002</v>
      </c>
      <c r="V53" s="955">
        <f t="shared" si="40"/>
        <v>0</v>
      </c>
      <c r="W53" s="955">
        <f t="shared" si="41"/>
        <v>0</v>
      </c>
      <c r="X53" s="956">
        <f t="shared" si="36"/>
        <v>1</v>
      </c>
      <c r="Y53" s="519">
        <f t="shared" si="2"/>
        <v>0</v>
      </c>
      <c r="Z53" s="212" t="str">
        <f t="shared" si="3"/>
        <v>ok</v>
      </c>
      <c r="AA53" s="1">
        <v>0</v>
      </c>
      <c r="AB53" s="395">
        <f t="shared" si="28"/>
        <v>-182</v>
      </c>
    </row>
    <row r="54" spans="1:28" ht="27">
      <c r="A54" s="509">
        <f t="shared" si="4"/>
        <v>0</v>
      </c>
      <c r="B54" s="510">
        <f t="shared" si="0"/>
        <v>0</v>
      </c>
      <c r="C54" s="512">
        <f t="shared" si="5"/>
        <v>5</v>
      </c>
      <c r="D54" s="513" t="str">
        <f t="shared" si="42"/>
        <v>4. OBRAS DE DRENAJE</v>
      </c>
      <c r="E54" s="899">
        <v>30</v>
      </c>
      <c r="F54" s="908" t="s">
        <v>328</v>
      </c>
      <c r="G54" s="909" t="s">
        <v>85</v>
      </c>
      <c r="H54" s="960">
        <v>1483.78</v>
      </c>
      <c r="I54" s="967">
        <v>324</v>
      </c>
      <c r="J54" s="921">
        <f t="shared" si="32"/>
        <v>480744.72</v>
      </c>
      <c r="K54" s="929">
        <v>324</v>
      </c>
      <c r="L54" s="1473" t="str">
        <f t="shared" si="33"/>
        <v>-</v>
      </c>
      <c r="M54" s="921">
        <f t="shared" si="34"/>
        <v>480744.72</v>
      </c>
      <c r="N54" s="928">
        <f>+'Cant. Ejec,'!K47</f>
        <v>0</v>
      </c>
      <c r="O54" s="928">
        <f>+'Cant. Ejec,'!L47</f>
        <v>0</v>
      </c>
      <c r="P54" s="1462">
        <f>+'Cant. Ejec,'!M47</f>
        <v>0</v>
      </c>
      <c r="Q54" s="954">
        <f t="shared" si="35"/>
        <v>0</v>
      </c>
      <c r="R54" s="928">
        <f t="shared" si="37"/>
        <v>0</v>
      </c>
      <c r="S54" s="954">
        <f t="shared" si="37"/>
        <v>0</v>
      </c>
      <c r="T54" s="928">
        <f t="shared" si="38"/>
        <v>324</v>
      </c>
      <c r="U54" s="954">
        <f t="shared" si="39"/>
        <v>480744.72</v>
      </c>
      <c r="V54" s="955">
        <f t="shared" si="40"/>
        <v>0</v>
      </c>
      <c r="W54" s="955">
        <f t="shared" si="41"/>
        <v>0</v>
      </c>
      <c r="X54" s="956">
        <f t="shared" si="36"/>
        <v>1</v>
      </c>
      <c r="Y54" s="519">
        <f t="shared" si="2"/>
        <v>0</v>
      </c>
      <c r="Z54" s="212" t="str">
        <f t="shared" si="3"/>
        <v>ok</v>
      </c>
      <c r="AA54" s="1">
        <v>235</v>
      </c>
      <c r="AB54" s="395">
        <f t="shared" si="28"/>
        <v>-89</v>
      </c>
    </row>
    <row r="55" spans="1:28" ht="18.95" customHeight="1">
      <c r="A55" s="509">
        <f t="shared" si="4"/>
        <v>0</v>
      </c>
      <c r="B55" s="510">
        <f t="shared" si="0"/>
        <v>0</v>
      </c>
      <c r="C55" s="512">
        <f t="shared" si="5"/>
        <v>5</v>
      </c>
      <c r="D55" s="513" t="str">
        <f t="shared" si="42"/>
        <v>4. OBRAS DE DRENAJE</v>
      </c>
      <c r="E55" s="899">
        <v>31</v>
      </c>
      <c r="F55" s="908" t="s">
        <v>329</v>
      </c>
      <c r="G55" s="909" t="s">
        <v>85</v>
      </c>
      <c r="H55" s="960">
        <v>1483.78</v>
      </c>
      <c r="I55" s="967">
        <v>915</v>
      </c>
      <c r="J55" s="921">
        <f t="shared" si="32"/>
        <v>1357658.7</v>
      </c>
      <c r="K55" s="929">
        <v>915</v>
      </c>
      <c r="L55" s="1473" t="str">
        <f t="shared" si="33"/>
        <v>-</v>
      </c>
      <c r="M55" s="921">
        <f t="shared" si="34"/>
        <v>1357658.7</v>
      </c>
      <c r="N55" s="928">
        <f>+'Cant. Ejec,'!K48</f>
        <v>0</v>
      </c>
      <c r="O55" s="928">
        <f>+'Cant. Ejec,'!L48</f>
        <v>0</v>
      </c>
      <c r="P55" s="1462">
        <f>+'Cant. Ejec,'!M48</f>
        <v>0</v>
      </c>
      <c r="Q55" s="954">
        <f t="shared" si="35"/>
        <v>0</v>
      </c>
      <c r="R55" s="928">
        <f t="shared" si="37"/>
        <v>0</v>
      </c>
      <c r="S55" s="954">
        <f t="shared" si="37"/>
        <v>0</v>
      </c>
      <c r="T55" s="928">
        <f t="shared" si="38"/>
        <v>915</v>
      </c>
      <c r="U55" s="954">
        <f t="shared" si="39"/>
        <v>1357658.7</v>
      </c>
      <c r="V55" s="955">
        <f t="shared" si="40"/>
        <v>0</v>
      </c>
      <c r="W55" s="955">
        <f t="shared" si="41"/>
        <v>0</v>
      </c>
      <c r="X55" s="956">
        <f t="shared" si="36"/>
        <v>1</v>
      </c>
      <c r="Y55" s="519">
        <f t="shared" si="2"/>
        <v>0</v>
      </c>
      <c r="Z55" s="212" t="str">
        <f t="shared" si="3"/>
        <v>ok</v>
      </c>
      <c r="AA55" s="1">
        <v>470</v>
      </c>
      <c r="AB55" s="395">
        <f t="shared" si="28"/>
        <v>-445</v>
      </c>
    </row>
    <row r="56" spans="1:28" ht="18.95" customHeight="1">
      <c r="A56" s="509">
        <f t="shared" si="4"/>
        <v>0</v>
      </c>
      <c r="B56" s="510">
        <f t="shared" si="0"/>
        <v>0</v>
      </c>
      <c r="C56" s="512">
        <f t="shared" si="5"/>
        <v>5</v>
      </c>
      <c r="D56" s="513" t="str">
        <f t="shared" si="42"/>
        <v>4. OBRAS DE DRENAJE</v>
      </c>
      <c r="E56" s="899">
        <v>32</v>
      </c>
      <c r="F56" s="908" t="s">
        <v>330</v>
      </c>
      <c r="G56" s="909" t="s">
        <v>85</v>
      </c>
      <c r="H56" s="960">
        <v>1483.78</v>
      </c>
      <c r="I56" s="967">
        <v>173</v>
      </c>
      <c r="J56" s="921">
        <f t="shared" si="32"/>
        <v>256693.94</v>
      </c>
      <c r="K56" s="929">
        <v>173</v>
      </c>
      <c r="L56" s="1473" t="str">
        <f t="shared" si="33"/>
        <v>-</v>
      </c>
      <c r="M56" s="921">
        <f t="shared" si="34"/>
        <v>256693.94</v>
      </c>
      <c r="N56" s="928">
        <f>+'Cant. Ejec,'!K49</f>
        <v>0</v>
      </c>
      <c r="O56" s="928">
        <f>+'Cant. Ejec,'!L49</f>
        <v>0</v>
      </c>
      <c r="P56" s="1462">
        <f>+'Cant. Ejec,'!M49</f>
        <v>0</v>
      </c>
      <c r="Q56" s="954">
        <f t="shared" si="35"/>
        <v>0</v>
      </c>
      <c r="R56" s="928">
        <f t="shared" si="37"/>
        <v>0</v>
      </c>
      <c r="S56" s="954">
        <f t="shared" si="37"/>
        <v>0</v>
      </c>
      <c r="T56" s="928">
        <f t="shared" si="38"/>
        <v>173</v>
      </c>
      <c r="U56" s="954">
        <f t="shared" si="39"/>
        <v>256693.94</v>
      </c>
      <c r="V56" s="955">
        <f t="shared" si="40"/>
        <v>0</v>
      </c>
      <c r="W56" s="955">
        <f t="shared" si="41"/>
        <v>0</v>
      </c>
      <c r="X56" s="956">
        <f t="shared" si="36"/>
        <v>1</v>
      </c>
      <c r="Y56" s="519">
        <f t="shared" si="2"/>
        <v>0</v>
      </c>
      <c r="Z56" s="212" t="str">
        <f t="shared" si="3"/>
        <v>ok</v>
      </c>
      <c r="AB56" s="395"/>
    </row>
    <row r="57" spans="1:28" ht="18.95" customHeight="1">
      <c r="A57" s="509">
        <f t="shared" si="4"/>
        <v>0</v>
      </c>
      <c r="B57" s="510">
        <f t="shared" si="0"/>
        <v>0</v>
      </c>
      <c r="C57" s="512">
        <f t="shared" si="5"/>
        <v>5</v>
      </c>
      <c r="D57" s="513" t="str">
        <f t="shared" si="42"/>
        <v>4. OBRAS DE DRENAJE</v>
      </c>
      <c r="E57" s="899">
        <v>33</v>
      </c>
      <c r="F57" s="908" t="s">
        <v>331</v>
      </c>
      <c r="G57" s="909" t="s">
        <v>88</v>
      </c>
      <c r="H57" s="960">
        <v>298.16000000000003</v>
      </c>
      <c r="I57" s="967">
        <v>1320</v>
      </c>
      <c r="J57" s="921">
        <f t="shared" si="32"/>
        <v>393571.2</v>
      </c>
      <c r="K57" s="929">
        <v>1320</v>
      </c>
      <c r="L57" s="1473" t="str">
        <f t="shared" si="33"/>
        <v>-</v>
      </c>
      <c r="M57" s="921">
        <f t="shared" si="34"/>
        <v>393571.2</v>
      </c>
      <c r="N57" s="928">
        <f>+'Cant. Ejec,'!K50</f>
        <v>0</v>
      </c>
      <c r="O57" s="928">
        <f>+'Cant. Ejec,'!L50</f>
        <v>0</v>
      </c>
      <c r="P57" s="1462">
        <f>+'Cant. Ejec,'!M50</f>
        <v>0</v>
      </c>
      <c r="Q57" s="954">
        <f t="shared" si="35"/>
        <v>0</v>
      </c>
      <c r="R57" s="928">
        <f t="shared" si="37"/>
        <v>0</v>
      </c>
      <c r="S57" s="954">
        <f t="shared" si="37"/>
        <v>0</v>
      </c>
      <c r="T57" s="928">
        <f t="shared" si="38"/>
        <v>1320</v>
      </c>
      <c r="U57" s="954">
        <f t="shared" si="39"/>
        <v>393571.2</v>
      </c>
      <c r="V57" s="955">
        <f t="shared" si="40"/>
        <v>0</v>
      </c>
      <c r="W57" s="955">
        <f t="shared" si="41"/>
        <v>0</v>
      </c>
      <c r="X57" s="956">
        <f t="shared" si="36"/>
        <v>1</v>
      </c>
      <c r="Y57" s="519">
        <f t="shared" si="2"/>
        <v>0</v>
      </c>
      <c r="Z57" s="212" t="str">
        <f t="shared" si="3"/>
        <v>ok</v>
      </c>
      <c r="AA57" s="1">
        <v>639</v>
      </c>
      <c r="AB57" s="395">
        <f t="shared" si="28"/>
        <v>-681</v>
      </c>
    </row>
    <row r="58" spans="1:28" ht="27">
      <c r="A58" s="509">
        <f t="shared" si="4"/>
        <v>0</v>
      </c>
      <c r="B58" s="510">
        <f t="shared" si="0"/>
        <v>0</v>
      </c>
      <c r="C58" s="512">
        <f t="shared" si="5"/>
        <v>5</v>
      </c>
      <c r="D58" s="513" t="str">
        <f t="shared" si="42"/>
        <v>4. OBRAS DE DRENAJE</v>
      </c>
      <c r="E58" s="899">
        <v>34</v>
      </c>
      <c r="F58" s="908" t="s">
        <v>332</v>
      </c>
      <c r="G58" s="909" t="s">
        <v>88</v>
      </c>
      <c r="H58" s="960">
        <v>1943.4</v>
      </c>
      <c r="I58" s="967">
        <v>14</v>
      </c>
      <c r="J58" s="921">
        <f t="shared" si="32"/>
        <v>27207.599999999999</v>
      </c>
      <c r="K58" s="929">
        <v>14</v>
      </c>
      <c r="L58" s="1473" t="str">
        <f t="shared" si="33"/>
        <v>-</v>
      </c>
      <c r="M58" s="921">
        <f t="shared" si="34"/>
        <v>27207.599999999999</v>
      </c>
      <c r="N58" s="928">
        <f>+'Cant. Ejec,'!K51</f>
        <v>0</v>
      </c>
      <c r="O58" s="928">
        <f>+'Cant. Ejec,'!L51</f>
        <v>0</v>
      </c>
      <c r="P58" s="1462">
        <f>+'Cant. Ejec,'!M51</f>
        <v>0</v>
      </c>
      <c r="Q58" s="954">
        <f t="shared" si="35"/>
        <v>0</v>
      </c>
      <c r="R58" s="928">
        <f t="shared" si="37"/>
        <v>0</v>
      </c>
      <c r="S58" s="954">
        <f t="shared" si="37"/>
        <v>0</v>
      </c>
      <c r="T58" s="928">
        <f t="shared" si="38"/>
        <v>14</v>
      </c>
      <c r="U58" s="954">
        <f t="shared" si="39"/>
        <v>27207.599999999999</v>
      </c>
      <c r="V58" s="955">
        <f t="shared" si="40"/>
        <v>0</v>
      </c>
      <c r="W58" s="955">
        <f t="shared" si="41"/>
        <v>0</v>
      </c>
      <c r="X58" s="956">
        <f t="shared" si="36"/>
        <v>1</v>
      </c>
      <c r="Y58" s="519">
        <f t="shared" si="2"/>
        <v>0</v>
      </c>
      <c r="Z58" s="212" t="str">
        <f t="shared" si="3"/>
        <v>ok</v>
      </c>
      <c r="AA58" s="1">
        <v>67223.95</v>
      </c>
      <c r="AB58" s="395">
        <f t="shared" si="28"/>
        <v>67209.95</v>
      </c>
    </row>
    <row r="59" spans="1:28" ht="18.95" customHeight="1">
      <c r="A59" s="509">
        <f t="shared" si="4"/>
        <v>0</v>
      </c>
      <c r="B59" s="510">
        <f t="shared" si="0"/>
        <v>0</v>
      </c>
      <c r="C59" s="512">
        <f t="shared" si="5"/>
        <v>5</v>
      </c>
      <c r="D59" s="513" t="str">
        <f t="shared" si="42"/>
        <v>4. OBRAS DE DRENAJE</v>
      </c>
      <c r="E59" s="899">
        <v>35</v>
      </c>
      <c r="F59" s="908" t="s">
        <v>333</v>
      </c>
      <c r="G59" s="909" t="s">
        <v>85</v>
      </c>
      <c r="H59" s="960">
        <v>34.61</v>
      </c>
      <c r="I59" s="967">
        <v>8800</v>
      </c>
      <c r="J59" s="921">
        <f t="shared" si="32"/>
        <v>304568</v>
      </c>
      <c r="K59" s="929">
        <v>8800</v>
      </c>
      <c r="L59" s="1473" t="str">
        <f t="shared" si="33"/>
        <v>-</v>
      </c>
      <c r="M59" s="921">
        <f t="shared" si="34"/>
        <v>304568</v>
      </c>
      <c r="N59" s="928">
        <f>+'Cant. Ejec,'!K52</f>
        <v>0</v>
      </c>
      <c r="O59" s="928">
        <f>+'Cant. Ejec,'!L52</f>
        <v>0</v>
      </c>
      <c r="P59" s="1462">
        <f>+'Cant. Ejec,'!M52</f>
        <v>0</v>
      </c>
      <c r="Q59" s="954">
        <f t="shared" si="35"/>
        <v>0</v>
      </c>
      <c r="R59" s="928">
        <f t="shared" si="37"/>
        <v>0</v>
      </c>
      <c r="S59" s="954">
        <f t="shared" si="37"/>
        <v>0</v>
      </c>
      <c r="T59" s="928">
        <f t="shared" si="38"/>
        <v>8800</v>
      </c>
      <c r="U59" s="954">
        <f t="shared" si="39"/>
        <v>304568</v>
      </c>
      <c r="V59" s="955">
        <f t="shared" si="40"/>
        <v>0</v>
      </c>
      <c r="W59" s="955">
        <f t="shared" si="41"/>
        <v>0</v>
      </c>
      <c r="X59" s="956">
        <f t="shared" si="36"/>
        <v>1</v>
      </c>
      <c r="Y59" s="519">
        <f t="shared" si="2"/>
        <v>0</v>
      </c>
      <c r="Z59" s="212" t="str">
        <f t="shared" si="3"/>
        <v>ok</v>
      </c>
      <c r="AA59" s="1">
        <v>766.59</v>
      </c>
      <c r="AB59" s="395">
        <f t="shared" si="28"/>
        <v>-8033.41</v>
      </c>
    </row>
    <row r="60" spans="1:28" ht="18.95" customHeight="1">
      <c r="A60" s="509">
        <f t="shared" si="4"/>
        <v>0</v>
      </c>
      <c r="B60" s="510">
        <f t="shared" si="0"/>
        <v>0</v>
      </c>
      <c r="C60" s="512">
        <f t="shared" si="5"/>
        <v>5</v>
      </c>
      <c r="D60" s="513" t="str">
        <f t="shared" si="42"/>
        <v>4. OBRAS DE DRENAJE</v>
      </c>
      <c r="E60" s="899">
        <v>36</v>
      </c>
      <c r="F60" s="908" t="s">
        <v>334</v>
      </c>
      <c r="G60" s="909" t="s">
        <v>86</v>
      </c>
      <c r="H60" s="960">
        <v>106.62</v>
      </c>
      <c r="I60" s="967">
        <v>1200</v>
      </c>
      <c r="J60" s="921">
        <f t="shared" si="32"/>
        <v>127944</v>
      </c>
      <c r="K60" s="929">
        <v>1200</v>
      </c>
      <c r="L60" s="1473" t="str">
        <f t="shared" si="33"/>
        <v>-</v>
      </c>
      <c r="M60" s="921">
        <f t="shared" si="34"/>
        <v>127944</v>
      </c>
      <c r="N60" s="928">
        <f>+'Cant. Ejec,'!K53</f>
        <v>0</v>
      </c>
      <c r="O60" s="928">
        <f>+'Cant. Ejec,'!L53</f>
        <v>0</v>
      </c>
      <c r="P60" s="1462">
        <f>+'Cant. Ejec,'!M53</f>
        <v>0</v>
      </c>
      <c r="Q60" s="954">
        <f t="shared" si="35"/>
        <v>0</v>
      </c>
      <c r="R60" s="928">
        <f t="shared" si="37"/>
        <v>0</v>
      </c>
      <c r="S60" s="954">
        <f t="shared" si="37"/>
        <v>0</v>
      </c>
      <c r="T60" s="928">
        <f t="shared" si="38"/>
        <v>1200</v>
      </c>
      <c r="U60" s="954">
        <f t="shared" si="39"/>
        <v>127944</v>
      </c>
      <c r="V60" s="955">
        <f t="shared" si="40"/>
        <v>0</v>
      </c>
      <c r="W60" s="955">
        <f t="shared" si="41"/>
        <v>0</v>
      </c>
      <c r="X60" s="956">
        <f t="shared" si="36"/>
        <v>1</v>
      </c>
      <c r="Y60" s="519">
        <f t="shared" si="2"/>
        <v>0</v>
      </c>
      <c r="Z60" s="212" t="str">
        <f t="shared" si="3"/>
        <v>ok</v>
      </c>
      <c r="AA60" s="1">
        <v>130.56</v>
      </c>
      <c r="AB60" s="395">
        <f t="shared" si="28"/>
        <v>-1069.44</v>
      </c>
    </row>
    <row r="61" spans="1:28" ht="18.95" customHeight="1">
      <c r="A61" s="509">
        <f t="shared" si="4"/>
        <v>0</v>
      </c>
      <c r="B61" s="510">
        <f t="shared" si="0"/>
        <v>0</v>
      </c>
      <c r="C61" s="512">
        <f t="shared" si="5"/>
        <v>5</v>
      </c>
      <c r="D61" s="513" t="str">
        <f t="shared" si="42"/>
        <v>4. OBRAS DE DRENAJE</v>
      </c>
      <c r="E61" s="899">
        <v>37</v>
      </c>
      <c r="F61" s="908" t="s">
        <v>335</v>
      </c>
      <c r="G61" s="909" t="s">
        <v>85</v>
      </c>
      <c r="H61" s="960">
        <v>761.21</v>
      </c>
      <c r="I61" s="967">
        <v>44</v>
      </c>
      <c r="J61" s="921">
        <f t="shared" si="32"/>
        <v>33493.24</v>
      </c>
      <c r="K61" s="929">
        <v>44</v>
      </c>
      <c r="L61" s="1473" t="str">
        <f t="shared" si="33"/>
        <v>-</v>
      </c>
      <c r="M61" s="921">
        <f t="shared" si="34"/>
        <v>33493.24</v>
      </c>
      <c r="N61" s="928">
        <f>+'Cant. Ejec,'!K54</f>
        <v>0</v>
      </c>
      <c r="O61" s="928">
        <f>+'Cant. Ejec,'!L54</f>
        <v>0</v>
      </c>
      <c r="P61" s="1462">
        <f>+'Cant. Ejec,'!M54</f>
        <v>0</v>
      </c>
      <c r="Q61" s="954">
        <f t="shared" si="35"/>
        <v>0</v>
      </c>
      <c r="R61" s="928">
        <f t="shared" si="37"/>
        <v>0</v>
      </c>
      <c r="S61" s="954">
        <f t="shared" si="37"/>
        <v>0</v>
      </c>
      <c r="T61" s="928">
        <f t="shared" si="38"/>
        <v>44</v>
      </c>
      <c r="U61" s="954">
        <f t="shared" si="39"/>
        <v>33493.24</v>
      </c>
      <c r="V61" s="955">
        <f t="shared" si="40"/>
        <v>0</v>
      </c>
      <c r="W61" s="955">
        <f t="shared" si="41"/>
        <v>0</v>
      </c>
      <c r="X61" s="956">
        <f t="shared" si="36"/>
        <v>1</v>
      </c>
      <c r="Y61" s="519">
        <f t="shared" si="2"/>
        <v>0</v>
      </c>
      <c r="Z61" s="212" t="str">
        <f t="shared" si="3"/>
        <v>ok</v>
      </c>
      <c r="AA61" s="1">
        <v>6503.2</v>
      </c>
      <c r="AB61" s="395">
        <f t="shared" si="28"/>
        <v>6459.2</v>
      </c>
    </row>
    <row r="62" spans="1:28" ht="27">
      <c r="A62" s="509">
        <f t="shared" si="4"/>
        <v>0</v>
      </c>
      <c r="B62" s="510">
        <f t="shared" si="0"/>
        <v>0</v>
      </c>
      <c r="C62" s="512">
        <f t="shared" si="5"/>
        <v>5</v>
      </c>
      <c r="D62" s="513" t="str">
        <f t="shared" si="42"/>
        <v>4. OBRAS DE DRENAJE</v>
      </c>
      <c r="E62" s="899">
        <v>38</v>
      </c>
      <c r="F62" s="908" t="s">
        <v>336</v>
      </c>
      <c r="G62" s="909" t="s">
        <v>85</v>
      </c>
      <c r="H62" s="960">
        <v>941.82</v>
      </c>
      <c r="I62" s="967">
        <v>8</v>
      </c>
      <c r="J62" s="921">
        <f t="shared" si="32"/>
        <v>7534.56</v>
      </c>
      <c r="K62" s="929">
        <v>8</v>
      </c>
      <c r="L62" s="1473" t="str">
        <f t="shared" si="33"/>
        <v>-</v>
      </c>
      <c r="M62" s="921">
        <f t="shared" si="34"/>
        <v>7534.56</v>
      </c>
      <c r="N62" s="928">
        <f>+'Cant. Ejec,'!K55</f>
        <v>0</v>
      </c>
      <c r="O62" s="928">
        <f>+'Cant. Ejec,'!L55</f>
        <v>0</v>
      </c>
      <c r="P62" s="1462">
        <f>+'Cant. Ejec,'!M55</f>
        <v>0</v>
      </c>
      <c r="Q62" s="954">
        <f t="shared" si="35"/>
        <v>0</v>
      </c>
      <c r="R62" s="928">
        <f t="shared" si="37"/>
        <v>0</v>
      </c>
      <c r="S62" s="954">
        <f t="shared" si="37"/>
        <v>0</v>
      </c>
      <c r="T62" s="928">
        <f t="shared" si="38"/>
        <v>8</v>
      </c>
      <c r="U62" s="954">
        <f t="shared" si="39"/>
        <v>7534.56</v>
      </c>
      <c r="V62" s="955">
        <f t="shared" si="40"/>
        <v>0</v>
      </c>
      <c r="W62" s="955">
        <f t="shared" si="41"/>
        <v>0</v>
      </c>
      <c r="X62" s="956">
        <f t="shared" si="36"/>
        <v>1</v>
      </c>
      <c r="Y62" s="519">
        <f t="shared" si="2"/>
        <v>0</v>
      </c>
      <c r="Z62" s="212" t="str">
        <f t="shared" si="3"/>
        <v>ok</v>
      </c>
      <c r="AA62" s="1">
        <v>460</v>
      </c>
      <c r="AB62" s="395">
        <f t="shared" si="28"/>
        <v>452</v>
      </c>
    </row>
    <row r="63" spans="1:28" ht="18.95" customHeight="1">
      <c r="A63" s="509">
        <f t="shared" si="4"/>
        <v>0</v>
      </c>
      <c r="B63" s="510">
        <f t="shared" si="0"/>
        <v>0</v>
      </c>
      <c r="C63" s="512">
        <f t="shared" si="5"/>
        <v>5</v>
      </c>
      <c r="D63" s="513" t="str">
        <f t="shared" si="42"/>
        <v>4. OBRAS DE DRENAJE</v>
      </c>
      <c r="E63" s="899">
        <v>39</v>
      </c>
      <c r="F63" s="908" t="s">
        <v>337</v>
      </c>
      <c r="G63" s="909" t="s">
        <v>85</v>
      </c>
      <c r="H63" s="960">
        <v>110.15</v>
      </c>
      <c r="I63" s="967">
        <v>4</v>
      </c>
      <c r="J63" s="921">
        <f t="shared" si="32"/>
        <v>440.6</v>
      </c>
      <c r="K63" s="929">
        <v>4</v>
      </c>
      <c r="L63" s="1473" t="str">
        <f t="shared" si="33"/>
        <v>-</v>
      </c>
      <c r="M63" s="921">
        <f t="shared" si="34"/>
        <v>440.6</v>
      </c>
      <c r="N63" s="928">
        <f>+'Cant. Ejec,'!K56</f>
        <v>0</v>
      </c>
      <c r="O63" s="928">
        <f>+'Cant. Ejec,'!L56</f>
        <v>0</v>
      </c>
      <c r="P63" s="1462">
        <f>+'Cant. Ejec,'!M56</f>
        <v>0</v>
      </c>
      <c r="Q63" s="954">
        <f t="shared" si="35"/>
        <v>0</v>
      </c>
      <c r="R63" s="928">
        <f t="shared" si="37"/>
        <v>0</v>
      </c>
      <c r="S63" s="954">
        <f t="shared" si="37"/>
        <v>0</v>
      </c>
      <c r="T63" s="928">
        <f t="shared" si="38"/>
        <v>4</v>
      </c>
      <c r="U63" s="954">
        <f t="shared" si="39"/>
        <v>440.6</v>
      </c>
      <c r="V63" s="955">
        <f t="shared" si="40"/>
        <v>0</v>
      </c>
      <c r="W63" s="955">
        <f t="shared" si="41"/>
        <v>0</v>
      </c>
      <c r="X63" s="956">
        <f t="shared" si="36"/>
        <v>1</v>
      </c>
      <c r="Y63" s="519">
        <f t="shared" si="2"/>
        <v>0</v>
      </c>
      <c r="Z63" s="212" t="str">
        <f t="shared" si="3"/>
        <v>ok</v>
      </c>
      <c r="AA63" s="1">
        <v>356</v>
      </c>
      <c r="AB63" s="395">
        <f t="shared" si="28"/>
        <v>352</v>
      </c>
    </row>
    <row r="64" spans="1:28" ht="18.95" customHeight="1">
      <c r="A64" s="509">
        <f t="shared" si="4"/>
        <v>0</v>
      </c>
      <c r="B64" s="510">
        <f t="shared" si="0"/>
        <v>0</v>
      </c>
      <c r="C64" s="512">
        <f t="shared" si="5"/>
        <v>5</v>
      </c>
      <c r="D64" s="513" t="str">
        <f t="shared" si="42"/>
        <v>4. OBRAS DE DRENAJE</v>
      </c>
      <c r="E64" s="899">
        <v>40</v>
      </c>
      <c r="F64" s="908" t="s">
        <v>338</v>
      </c>
      <c r="G64" s="909" t="s">
        <v>86</v>
      </c>
      <c r="H64" s="960">
        <v>107.87</v>
      </c>
      <c r="I64" s="967">
        <v>4</v>
      </c>
      <c r="J64" s="921">
        <f t="shared" si="32"/>
        <v>431.48</v>
      </c>
      <c r="K64" s="929">
        <v>226.87</v>
      </c>
      <c r="L64" s="1473" t="str">
        <f t="shared" si="33"/>
        <v>CM 3</v>
      </c>
      <c r="M64" s="921">
        <f t="shared" si="34"/>
        <v>24472.47</v>
      </c>
      <c r="N64" s="972">
        <f>+'Cant. Ejec,'!K57</f>
        <v>0</v>
      </c>
      <c r="O64" s="972">
        <f>+'Cant. Ejec,'!L57</f>
        <v>0</v>
      </c>
      <c r="P64" s="1477">
        <f>+'Cant. Ejec,'!M57</f>
        <v>0</v>
      </c>
      <c r="Q64" s="974">
        <f t="shared" si="35"/>
        <v>0</v>
      </c>
      <c r="R64" s="972">
        <f t="shared" si="37"/>
        <v>0</v>
      </c>
      <c r="S64" s="974">
        <f t="shared" si="37"/>
        <v>0</v>
      </c>
      <c r="T64" s="972">
        <f t="shared" si="38"/>
        <v>226.87</v>
      </c>
      <c r="U64" s="974">
        <f t="shared" si="39"/>
        <v>24472.47</v>
      </c>
      <c r="V64" s="958">
        <f t="shared" si="40"/>
        <v>0</v>
      </c>
      <c r="W64" s="958">
        <f t="shared" si="41"/>
        <v>0</v>
      </c>
      <c r="X64" s="959">
        <f t="shared" si="36"/>
        <v>1</v>
      </c>
      <c r="Y64" s="519">
        <f t="shared" si="2"/>
        <v>0</v>
      </c>
      <c r="Z64" s="212" t="str">
        <f t="shared" si="3"/>
        <v>ok</v>
      </c>
      <c r="AA64" s="1">
        <v>4013.73</v>
      </c>
      <c r="AB64" s="395">
        <f t="shared" si="28"/>
        <v>3786.86</v>
      </c>
    </row>
    <row r="65" spans="1:28" ht="18.95" customHeight="1">
      <c r="A65" s="509">
        <f t="shared" si="4"/>
        <v>0</v>
      </c>
      <c r="B65" s="510">
        <f t="shared" si="0"/>
        <v>0</v>
      </c>
      <c r="C65" s="512">
        <f t="shared" si="5"/>
        <v>5</v>
      </c>
      <c r="D65" s="513" t="str">
        <f t="shared" si="42"/>
        <v>4. OBRAS DE DRENAJE</v>
      </c>
      <c r="E65" s="899">
        <v>41</v>
      </c>
      <c r="F65" s="908" t="s">
        <v>334</v>
      </c>
      <c r="G65" s="909" t="s">
        <v>86</v>
      </c>
      <c r="H65" s="960">
        <v>127.01</v>
      </c>
      <c r="I65" s="967">
        <v>132</v>
      </c>
      <c r="J65" s="921">
        <f t="shared" si="32"/>
        <v>16765.32</v>
      </c>
      <c r="K65" s="929">
        <v>132</v>
      </c>
      <c r="L65" s="1473" t="str">
        <f t="shared" si="33"/>
        <v>-</v>
      </c>
      <c r="M65" s="921">
        <f t="shared" si="34"/>
        <v>16765.32</v>
      </c>
      <c r="N65" s="972">
        <f>+'Cant. Ejec,'!K58</f>
        <v>0</v>
      </c>
      <c r="O65" s="972">
        <f>+'Cant. Ejec,'!L58</f>
        <v>0</v>
      </c>
      <c r="P65" s="1477">
        <f>+'Cant. Ejec,'!M58</f>
        <v>0</v>
      </c>
      <c r="Q65" s="974">
        <f t="shared" si="35"/>
        <v>0</v>
      </c>
      <c r="R65" s="972">
        <f t="shared" si="37"/>
        <v>0</v>
      </c>
      <c r="S65" s="974">
        <f t="shared" si="37"/>
        <v>0</v>
      </c>
      <c r="T65" s="972">
        <f t="shared" si="38"/>
        <v>132</v>
      </c>
      <c r="U65" s="974">
        <f t="shared" si="39"/>
        <v>16765.32</v>
      </c>
      <c r="V65" s="958">
        <f t="shared" si="40"/>
        <v>0</v>
      </c>
      <c r="W65" s="958">
        <f t="shared" si="41"/>
        <v>0</v>
      </c>
      <c r="X65" s="959">
        <f t="shared" si="36"/>
        <v>1</v>
      </c>
      <c r="Y65" s="519">
        <f t="shared" si="2"/>
        <v>0</v>
      </c>
      <c r="Z65" s="212" t="str">
        <f t="shared" si="3"/>
        <v>ok</v>
      </c>
      <c r="AA65" s="1">
        <v>50</v>
      </c>
      <c r="AB65" s="395">
        <f t="shared" si="28"/>
        <v>-82</v>
      </c>
    </row>
    <row r="66" spans="1:28" ht="18.95" customHeight="1">
      <c r="A66" s="509">
        <f t="shared" si="4"/>
        <v>0</v>
      </c>
      <c r="B66" s="510">
        <f t="shared" si="0"/>
        <v>0</v>
      </c>
      <c r="C66" s="512">
        <f t="shared" si="5"/>
        <v>5</v>
      </c>
      <c r="D66" s="513" t="str">
        <f t="shared" si="42"/>
        <v>4. OBRAS DE DRENAJE</v>
      </c>
      <c r="E66" s="899">
        <v>42</v>
      </c>
      <c r="F66" s="908" t="s">
        <v>339</v>
      </c>
      <c r="G66" s="909" t="s">
        <v>86</v>
      </c>
      <c r="H66" s="960">
        <v>174.55</v>
      </c>
      <c r="I66" s="967">
        <v>27</v>
      </c>
      <c r="J66" s="921">
        <f t="shared" si="32"/>
        <v>4712.8500000000004</v>
      </c>
      <c r="K66" s="929">
        <v>27</v>
      </c>
      <c r="L66" s="1473" t="str">
        <f t="shared" si="33"/>
        <v>-</v>
      </c>
      <c r="M66" s="921">
        <f t="shared" si="34"/>
        <v>4712.8500000000004</v>
      </c>
      <c r="N66" s="928">
        <f>+'Cant. Ejec,'!K59</f>
        <v>0</v>
      </c>
      <c r="O66" s="928">
        <f>+'Cant. Ejec,'!L59</f>
        <v>0</v>
      </c>
      <c r="P66" s="1462">
        <f>+'Cant. Ejec,'!M59</f>
        <v>0</v>
      </c>
      <c r="Q66" s="954">
        <f t="shared" si="35"/>
        <v>0</v>
      </c>
      <c r="R66" s="928">
        <f t="shared" si="37"/>
        <v>0</v>
      </c>
      <c r="S66" s="954">
        <f t="shared" si="37"/>
        <v>0</v>
      </c>
      <c r="T66" s="928">
        <f t="shared" si="38"/>
        <v>27</v>
      </c>
      <c r="U66" s="954">
        <f t="shared" si="39"/>
        <v>4712.8500000000004</v>
      </c>
      <c r="V66" s="955">
        <f t="shared" si="40"/>
        <v>0</v>
      </c>
      <c r="W66" s="955">
        <f t="shared" si="41"/>
        <v>0</v>
      </c>
      <c r="X66" s="956">
        <f t="shared" si="36"/>
        <v>1</v>
      </c>
      <c r="Y66" s="519">
        <f t="shared" si="2"/>
        <v>0</v>
      </c>
      <c r="Z66" s="212" t="str">
        <f t="shared" si="3"/>
        <v>ok</v>
      </c>
      <c r="AA66" s="1">
        <v>1091.2</v>
      </c>
      <c r="AB66" s="395">
        <f t="shared" si="28"/>
        <v>1064.2</v>
      </c>
    </row>
    <row r="67" spans="1:28" ht="18.95" customHeight="1">
      <c r="A67" s="509">
        <f t="shared" si="4"/>
        <v>0</v>
      </c>
      <c r="B67" s="510">
        <f t="shared" si="0"/>
        <v>0</v>
      </c>
      <c r="C67" s="512">
        <f t="shared" si="5"/>
        <v>5</v>
      </c>
      <c r="D67" s="513" t="str">
        <f t="shared" si="42"/>
        <v>4. OBRAS DE DRENAJE</v>
      </c>
      <c r="E67" s="899">
        <v>43</v>
      </c>
      <c r="F67" s="908" t="s">
        <v>340</v>
      </c>
      <c r="G67" s="909" t="s">
        <v>85</v>
      </c>
      <c r="H67" s="960">
        <v>72.510000000000005</v>
      </c>
      <c r="I67" s="967">
        <v>66</v>
      </c>
      <c r="J67" s="921">
        <f t="shared" si="32"/>
        <v>4785.66</v>
      </c>
      <c r="K67" s="929">
        <v>66</v>
      </c>
      <c r="L67" s="1473" t="str">
        <f t="shared" si="33"/>
        <v>-</v>
      </c>
      <c r="M67" s="921">
        <f t="shared" si="34"/>
        <v>4785.66</v>
      </c>
      <c r="N67" s="972">
        <f>+'Cant. Ejec,'!K60</f>
        <v>0</v>
      </c>
      <c r="O67" s="972">
        <f>+'Cant. Ejec,'!L60</f>
        <v>0</v>
      </c>
      <c r="P67" s="1462">
        <f>+'Cant. Ejec,'!M60</f>
        <v>0</v>
      </c>
      <c r="Q67" s="974">
        <f t="shared" si="35"/>
        <v>0</v>
      </c>
      <c r="R67" s="972">
        <f t="shared" si="37"/>
        <v>0</v>
      </c>
      <c r="S67" s="974">
        <f t="shared" si="37"/>
        <v>0</v>
      </c>
      <c r="T67" s="972">
        <f t="shared" si="38"/>
        <v>66</v>
      </c>
      <c r="U67" s="974">
        <f t="shared" si="39"/>
        <v>4785.66</v>
      </c>
      <c r="V67" s="958">
        <f t="shared" si="40"/>
        <v>0</v>
      </c>
      <c r="W67" s="958">
        <f t="shared" si="41"/>
        <v>0</v>
      </c>
      <c r="X67" s="959">
        <f t="shared" si="36"/>
        <v>1</v>
      </c>
      <c r="Y67" s="519">
        <f t="shared" si="2"/>
        <v>0</v>
      </c>
      <c r="Z67" s="212" t="str">
        <f t="shared" si="3"/>
        <v>ok</v>
      </c>
      <c r="AA67" s="1">
        <v>284.8</v>
      </c>
      <c r="AB67" s="395">
        <f t="shared" si="28"/>
        <v>218.8</v>
      </c>
    </row>
    <row r="68" spans="1:28" ht="18.95" customHeight="1">
      <c r="A68" s="509">
        <f t="shared" si="4"/>
        <v>0</v>
      </c>
      <c r="B68" s="510">
        <f t="shared" si="0"/>
        <v>0</v>
      </c>
      <c r="C68" s="512">
        <f t="shared" si="5"/>
        <v>5</v>
      </c>
      <c r="D68" s="513" t="str">
        <f t="shared" si="42"/>
        <v>4. OBRAS DE DRENAJE</v>
      </c>
      <c r="E68" s="914">
        <v>44</v>
      </c>
      <c r="F68" s="897" t="s">
        <v>341</v>
      </c>
      <c r="G68" s="901" t="s">
        <v>86</v>
      </c>
      <c r="H68" s="975">
        <v>33.590000000000003</v>
      </c>
      <c r="I68" s="964">
        <v>4400</v>
      </c>
      <c r="J68" s="976">
        <f t="shared" si="32"/>
        <v>147796</v>
      </c>
      <c r="K68" s="977">
        <v>4400</v>
      </c>
      <c r="L68" s="1476" t="str">
        <f t="shared" si="33"/>
        <v>-</v>
      </c>
      <c r="M68" s="976">
        <f t="shared" si="34"/>
        <v>147796</v>
      </c>
      <c r="N68" s="928">
        <f>+'Cant. Ejec,'!K61</f>
        <v>0</v>
      </c>
      <c r="O68" s="928">
        <f>+'Cant. Ejec,'!L61</f>
        <v>0</v>
      </c>
      <c r="P68" s="1462">
        <f>+'Cant. Ejec,'!M61</f>
        <v>0</v>
      </c>
      <c r="Q68" s="954">
        <f t="shared" si="35"/>
        <v>0</v>
      </c>
      <c r="R68" s="928">
        <f t="shared" si="37"/>
        <v>0</v>
      </c>
      <c r="S68" s="954">
        <f t="shared" si="37"/>
        <v>0</v>
      </c>
      <c r="T68" s="928">
        <f t="shared" si="38"/>
        <v>4400</v>
      </c>
      <c r="U68" s="954">
        <f t="shared" si="39"/>
        <v>147796</v>
      </c>
      <c r="V68" s="955">
        <f t="shared" si="40"/>
        <v>0</v>
      </c>
      <c r="W68" s="955">
        <f t="shared" si="41"/>
        <v>0</v>
      </c>
      <c r="X68" s="956">
        <f t="shared" si="36"/>
        <v>1</v>
      </c>
      <c r="Y68" s="519">
        <f t="shared" si="2"/>
        <v>0</v>
      </c>
      <c r="Z68" s="212" t="str">
        <f t="shared" si="3"/>
        <v>ok</v>
      </c>
      <c r="AA68" s="1">
        <v>446.6</v>
      </c>
      <c r="AB68" s="395">
        <f t="shared" si="28"/>
        <v>-3953.4</v>
      </c>
    </row>
    <row r="69" spans="1:28" ht="18.95" customHeight="1">
      <c r="A69" s="509">
        <f t="shared" si="4"/>
        <v>0</v>
      </c>
      <c r="B69" s="510">
        <f t="shared" si="0"/>
        <v>0</v>
      </c>
      <c r="C69" s="512">
        <f t="shared" si="5"/>
        <v>5</v>
      </c>
      <c r="D69" s="513" t="str">
        <f t="shared" si="42"/>
        <v>4. OBRAS DE DRENAJE</v>
      </c>
      <c r="E69" s="899">
        <v>45</v>
      </c>
      <c r="F69" s="908" t="s">
        <v>342</v>
      </c>
      <c r="G69" s="909" t="s">
        <v>86</v>
      </c>
      <c r="H69" s="960">
        <v>33.82</v>
      </c>
      <c r="I69" s="967">
        <v>6072</v>
      </c>
      <c r="J69" s="921">
        <f t="shared" si="32"/>
        <v>205355.04</v>
      </c>
      <c r="K69" s="929">
        <v>6072</v>
      </c>
      <c r="L69" s="1473" t="str">
        <f t="shared" si="33"/>
        <v>-</v>
      </c>
      <c r="M69" s="921">
        <f t="shared" si="34"/>
        <v>205355.04</v>
      </c>
      <c r="N69" s="928">
        <f>+'Cant. Ejec,'!K62</f>
        <v>0</v>
      </c>
      <c r="O69" s="928">
        <f>+'Cant. Ejec,'!L62</f>
        <v>0</v>
      </c>
      <c r="P69" s="1462">
        <f>+'Cant. Ejec,'!M62</f>
        <v>0</v>
      </c>
      <c r="Q69" s="954">
        <f t="shared" si="35"/>
        <v>0</v>
      </c>
      <c r="R69" s="928">
        <f t="shared" si="37"/>
        <v>0</v>
      </c>
      <c r="S69" s="954">
        <f t="shared" si="37"/>
        <v>0</v>
      </c>
      <c r="T69" s="928">
        <f t="shared" si="38"/>
        <v>6072</v>
      </c>
      <c r="U69" s="954">
        <f t="shared" si="39"/>
        <v>205355.04</v>
      </c>
      <c r="V69" s="955">
        <f t="shared" si="40"/>
        <v>0</v>
      </c>
      <c r="W69" s="955">
        <f t="shared" si="41"/>
        <v>0</v>
      </c>
      <c r="X69" s="956">
        <f t="shared" si="36"/>
        <v>1</v>
      </c>
      <c r="Y69" s="519">
        <f t="shared" si="2"/>
        <v>0</v>
      </c>
      <c r="Z69" s="212" t="str">
        <f t="shared" si="3"/>
        <v>ok</v>
      </c>
      <c r="AA69" s="1">
        <v>426.92</v>
      </c>
      <c r="AB69" s="395">
        <f t="shared" si="28"/>
        <v>-5645.08</v>
      </c>
    </row>
    <row r="70" spans="1:28" ht="18.95" customHeight="1">
      <c r="A70" s="509">
        <f t="shared" si="4"/>
        <v>0</v>
      </c>
      <c r="B70" s="510">
        <f t="shared" si="0"/>
        <v>0</v>
      </c>
      <c r="C70" s="512">
        <f t="shared" si="5"/>
        <v>5</v>
      </c>
      <c r="D70" s="513" t="str">
        <f t="shared" si="42"/>
        <v>4. OBRAS DE DRENAJE</v>
      </c>
      <c r="E70" s="899">
        <v>46</v>
      </c>
      <c r="F70" s="908" t="s">
        <v>343</v>
      </c>
      <c r="G70" s="909" t="s">
        <v>86</v>
      </c>
      <c r="H70" s="960">
        <v>18.82</v>
      </c>
      <c r="I70" s="967">
        <v>2200</v>
      </c>
      <c r="J70" s="921">
        <f t="shared" si="32"/>
        <v>41404</v>
      </c>
      <c r="K70" s="929">
        <v>2200</v>
      </c>
      <c r="L70" s="1473" t="str">
        <f t="shared" si="33"/>
        <v>-</v>
      </c>
      <c r="M70" s="921">
        <f t="shared" si="34"/>
        <v>41404</v>
      </c>
      <c r="N70" s="928">
        <f>+'Cant. Ejec,'!K63</f>
        <v>0</v>
      </c>
      <c r="O70" s="928">
        <f>+'Cant. Ejec,'!L63</f>
        <v>0</v>
      </c>
      <c r="P70" s="1462">
        <f>+'Cant. Ejec,'!M63</f>
        <v>0</v>
      </c>
      <c r="Q70" s="954">
        <f t="shared" si="35"/>
        <v>0</v>
      </c>
      <c r="R70" s="928">
        <f t="shared" si="37"/>
        <v>0</v>
      </c>
      <c r="S70" s="954">
        <f t="shared" si="37"/>
        <v>0</v>
      </c>
      <c r="T70" s="928">
        <f t="shared" si="38"/>
        <v>2200</v>
      </c>
      <c r="U70" s="954">
        <f t="shared" si="39"/>
        <v>41404</v>
      </c>
      <c r="V70" s="955">
        <f t="shared" si="40"/>
        <v>0</v>
      </c>
      <c r="W70" s="955">
        <f t="shared" si="41"/>
        <v>0</v>
      </c>
      <c r="X70" s="956">
        <f t="shared" si="36"/>
        <v>1</v>
      </c>
      <c r="Y70" s="519">
        <f t="shared" si="2"/>
        <v>0</v>
      </c>
      <c r="Z70" s="212" t="str">
        <f t="shared" si="3"/>
        <v>ok</v>
      </c>
      <c r="AA70" s="1">
        <v>23.016500000000001</v>
      </c>
      <c r="AB70" s="395">
        <f t="shared" si="28"/>
        <v>-2176.9834999999998</v>
      </c>
    </row>
    <row r="71" spans="1:28" ht="18.95" customHeight="1">
      <c r="A71" s="509">
        <f t="shared" si="4"/>
        <v>0</v>
      </c>
      <c r="B71" s="510">
        <f t="shared" si="0"/>
        <v>0</v>
      </c>
      <c r="C71" s="512">
        <f t="shared" si="5"/>
        <v>5</v>
      </c>
      <c r="D71" s="513" t="str">
        <f t="shared" si="42"/>
        <v>4. OBRAS DE DRENAJE</v>
      </c>
      <c r="E71" s="899">
        <v>47</v>
      </c>
      <c r="F71" s="908" t="s">
        <v>344</v>
      </c>
      <c r="G71" s="909" t="s">
        <v>85</v>
      </c>
      <c r="H71" s="960">
        <v>85.23</v>
      </c>
      <c r="I71" s="967">
        <v>44</v>
      </c>
      <c r="J71" s="921">
        <f t="shared" si="32"/>
        <v>3750.12</v>
      </c>
      <c r="K71" s="929">
        <v>44</v>
      </c>
      <c r="L71" s="1473" t="str">
        <f t="shared" si="33"/>
        <v>-</v>
      </c>
      <c r="M71" s="921">
        <f t="shared" si="34"/>
        <v>3750.12</v>
      </c>
      <c r="N71" s="928">
        <f>+'Cant. Ejec,'!K64</f>
        <v>0</v>
      </c>
      <c r="O71" s="928">
        <f>+'Cant. Ejec,'!L64</f>
        <v>0</v>
      </c>
      <c r="P71" s="1462">
        <f>+'Cant. Ejec,'!M64</f>
        <v>0</v>
      </c>
      <c r="Q71" s="954">
        <f t="shared" si="35"/>
        <v>0</v>
      </c>
      <c r="R71" s="928">
        <f t="shared" si="37"/>
        <v>0</v>
      </c>
      <c r="S71" s="954">
        <f t="shared" si="37"/>
        <v>0</v>
      </c>
      <c r="T71" s="928">
        <f t="shared" si="38"/>
        <v>44</v>
      </c>
      <c r="U71" s="954">
        <f t="shared" si="39"/>
        <v>3750.12</v>
      </c>
      <c r="V71" s="955">
        <f t="shared" si="40"/>
        <v>0</v>
      </c>
      <c r="W71" s="955">
        <f t="shared" si="41"/>
        <v>0</v>
      </c>
      <c r="X71" s="956">
        <f t="shared" si="36"/>
        <v>1</v>
      </c>
      <c r="Y71" s="519">
        <f t="shared" si="2"/>
        <v>0</v>
      </c>
      <c r="Z71" s="212" t="str">
        <f t="shared" si="3"/>
        <v>ok</v>
      </c>
      <c r="AB71" s="395">
        <f t="shared" si="28"/>
        <v>-44</v>
      </c>
    </row>
    <row r="72" spans="1:28" ht="18.95" customHeight="1">
      <c r="A72" s="509">
        <f t="shared" si="4"/>
        <v>0</v>
      </c>
      <c r="B72" s="510">
        <f t="shared" ref="B72:B111" si="43">+IF(P72&gt;=0.01,1,0)</f>
        <v>0</v>
      </c>
      <c r="C72" s="512">
        <f t="shared" si="5"/>
        <v>5</v>
      </c>
      <c r="D72" s="513" t="str">
        <f t="shared" si="42"/>
        <v>4. OBRAS DE DRENAJE</v>
      </c>
      <c r="E72" s="899">
        <v>48</v>
      </c>
      <c r="F72" s="908" t="s">
        <v>345</v>
      </c>
      <c r="G72" s="909" t="s">
        <v>88</v>
      </c>
      <c r="H72" s="960">
        <v>130.9</v>
      </c>
      <c r="I72" s="967">
        <v>55</v>
      </c>
      <c r="J72" s="921">
        <f t="shared" si="32"/>
        <v>7199.5</v>
      </c>
      <c r="K72" s="929">
        <v>55</v>
      </c>
      <c r="L72" s="1473" t="str">
        <f t="shared" si="33"/>
        <v>-</v>
      </c>
      <c r="M72" s="921">
        <f t="shared" si="34"/>
        <v>7199.5</v>
      </c>
      <c r="N72" s="928">
        <f>+'Cant. Ejec,'!K65</f>
        <v>0</v>
      </c>
      <c r="O72" s="928">
        <f>+'Cant. Ejec,'!L65</f>
        <v>0</v>
      </c>
      <c r="P72" s="1462">
        <f>+'Cant. Ejec,'!M65</f>
        <v>0</v>
      </c>
      <c r="Q72" s="954">
        <f t="shared" si="35"/>
        <v>0</v>
      </c>
      <c r="R72" s="928">
        <f t="shared" si="37"/>
        <v>0</v>
      </c>
      <c r="S72" s="954">
        <f t="shared" si="37"/>
        <v>0</v>
      </c>
      <c r="T72" s="928">
        <f t="shared" si="38"/>
        <v>55</v>
      </c>
      <c r="U72" s="954">
        <f t="shared" si="39"/>
        <v>7199.5</v>
      </c>
      <c r="V72" s="955">
        <f t="shared" si="40"/>
        <v>0</v>
      </c>
      <c r="W72" s="955">
        <f t="shared" si="41"/>
        <v>0</v>
      </c>
      <c r="X72" s="956">
        <f t="shared" si="36"/>
        <v>1</v>
      </c>
      <c r="Y72" s="519">
        <f t="shared" ref="Y72:Y111" si="44">+R72/K72</f>
        <v>0</v>
      </c>
      <c r="Z72" s="212" t="str">
        <f t="shared" ref="Z72:Z111" si="45">IF((S72+U72)=M72,"ok","MAL")</f>
        <v>ok</v>
      </c>
      <c r="AB72" s="395">
        <f t="shared" si="28"/>
        <v>-55</v>
      </c>
    </row>
    <row r="73" spans="1:28" s="12" customFormat="1" ht="18.95" customHeight="1">
      <c r="A73" s="509">
        <f t="shared" si="4"/>
        <v>0</v>
      </c>
      <c r="B73" s="510">
        <f t="shared" si="43"/>
        <v>0</v>
      </c>
      <c r="C73" s="512">
        <f t="shared" si="5"/>
        <v>5</v>
      </c>
      <c r="D73" s="513" t="str">
        <f t="shared" si="42"/>
        <v>4. OBRAS DE DRENAJE</v>
      </c>
      <c r="E73" s="899">
        <v>49</v>
      </c>
      <c r="F73" s="908" t="s">
        <v>346</v>
      </c>
      <c r="G73" s="909" t="s">
        <v>85</v>
      </c>
      <c r="H73" s="960">
        <v>104.01</v>
      </c>
      <c r="I73" s="967">
        <v>66</v>
      </c>
      <c r="J73" s="921">
        <f t="shared" si="32"/>
        <v>6864.66</v>
      </c>
      <c r="K73" s="929">
        <v>66</v>
      </c>
      <c r="L73" s="1473" t="str">
        <f t="shared" si="33"/>
        <v>-</v>
      </c>
      <c r="M73" s="921">
        <f t="shared" si="34"/>
        <v>6864.66</v>
      </c>
      <c r="N73" s="928">
        <f>+'Cant. Ejec,'!K66</f>
        <v>0</v>
      </c>
      <c r="O73" s="928">
        <f>+'Cant. Ejec,'!L66</f>
        <v>0</v>
      </c>
      <c r="P73" s="1462">
        <f>+'Cant. Ejec,'!M66</f>
        <v>0</v>
      </c>
      <c r="Q73" s="954">
        <f t="shared" si="35"/>
        <v>0</v>
      </c>
      <c r="R73" s="928">
        <f t="shared" si="37"/>
        <v>0</v>
      </c>
      <c r="S73" s="954">
        <f t="shared" si="37"/>
        <v>0</v>
      </c>
      <c r="T73" s="928">
        <f t="shared" si="38"/>
        <v>66</v>
      </c>
      <c r="U73" s="954">
        <f t="shared" si="39"/>
        <v>6864.66</v>
      </c>
      <c r="V73" s="955">
        <f t="shared" si="40"/>
        <v>0</v>
      </c>
      <c r="W73" s="955">
        <f t="shared" si="41"/>
        <v>0</v>
      </c>
      <c r="X73" s="956">
        <f t="shared" si="36"/>
        <v>1</v>
      </c>
      <c r="Y73" s="519">
        <f t="shared" si="44"/>
        <v>0</v>
      </c>
      <c r="Z73" s="212" t="str">
        <f t="shared" si="45"/>
        <v>ok</v>
      </c>
      <c r="AA73" s="12">
        <v>2315</v>
      </c>
      <c r="AB73" s="426">
        <f t="shared" si="28"/>
        <v>2249</v>
      </c>
    </row>
    <row r="74" spans="1:28" s="12" customFormat="1" ht="18.95" customHeight="1">
      <c r="A74" s="509">
        <f t="shared" ref="A74:A111" si="46">+IF(B74&gt;0,B74+C73,IF(C74&gt;C73,C74,0))</f>
        <v>0</v>
      </c>
      <c r="B74" s="510">
        <f t="shared" si="43"/>
        <v>0</v>
      </c>
      <c r="C74" s="512">
        <f t="shared" ref="C74:C111" si="47">+B74+C73</f>
        <v>5</v>
      </c>
      <c r="D74" s="513" t="str">
        <f t="shared" si="42"/>
        <v>4. OBRAS DE DRENAJE</v>
      </c>
      <c r="E74" s="899">
        <v>50</v>
      </c>
      <c r="F74" s="908" t="s">
        <v>347</v>
      </c>
      <c r="G74" s="909" t="s">
        <v>85</v>
      </c>
      <c r="H74" s="960">
        <v>286.33</v>
      </c>
      <c r="I74" s="967">
        <v>11</v>
      </c>
      <c r="J74" s="921">
        <f t="shared" si="32"/>
        <v>3149.63</v>
      </c>
      <c r="K74" s="929">
        <v>11</v>
      </c>
      <c r="L74" s="1473" t="str">
        <f t="shared" si="33"/>
        <v>-</v>
      </c>
      <c r="M74" s="921">
        <f t="shared" si="34"/>
        <v>3149.63</v>
      </c>
      <c r="N74" s="928">
        <f>+'Cant. Ejec,'!K67</f>
        <v>0</v>
      </c>
      <c r="O74" s="928">
        <f>+'Cant. Ejec,'!L67</f>
        <v>0</v>
      </c>
      <c r="P74" s="1462">
        <f>+'Cant. Ejec,'!M67</f>
        <v>0</v>
      </c>
      <c r="Q74" s="954">
        <f t="shared" si="35"/>
        <v>0</v>
      </c>
      <c r="R74" s="928">
        <f t="shared" si="37"/>
        <v>0</v>
      </c>
      <c r="S74" s="954">
        <f t="shared" si="37"/>
        <v>0</v>
      </c>
      <c r="T74" s="928">
        <f t="shared" si="38"/>
        <v>11</v>
      </c>
      <c r="U74" s="954">
        <f t="shared" si="39"/>
        <v>3149.63</v>
      </c>
      <c r="V74" s="955">
        <f t="shared" si="40"/>
        <v>0</v>
      </c>
      <c r="W74" s="955">
        <f t="shared" si="41"/>
        <v>0</v>
      </c>
      <c r="X74" s="956">
        <f t="shared" si="36"/>
        <v>1</v>
      </c>
      <c r="Y74" s="519">
        <f t="shared" si="44"/>
        <v>0</v>
      </c>
      <c r="Z74" s="212" t="str">
        <f t="shared" si="45"/>
        <v>ok</v>
      </c>
      <c r="AA74" s="12">
        <v>2422.52</v>
      </c>
      <c r="AB74" s="426">
        <f t="shared" si="28"/>
        <v>2411.52</v>
      </c>
    </row>
    <row r="75" spans="1:28" s="12" customFormat="1" ht="18.95" customHeight="1">
      <c r="A75" s="509">
        <f t="shared" si="46"/>
        <v>0</v>
      </c>
      <c r="B75" s="510">
        <f t="shared" si="43"/>
        <v>0</v>
      </c>
      <c r="C75" s="512">
        <f t="shared" si="47"/>
        <v>5</v>
      </c>
      <c r="D75" s="513" t="str">
        <f t="shared" si="42"/>
        <v>4. OBRAS DE DRENAJE</v>
      </c>
      <c r="E75" s="899">
        <v>51</v>
      </c>
      <c r="F75" s="908" t="s">
        <v>348</v>
      </c>
      <c r="G75" s="909" t="s">
        <v>85</v>
      </c>
      <c r="H75" s="960">
        <v>120.83</v>
      </c>
      <c r="I75" s="967">
        <v>11</v>
      </c>
      <c r="J75" s="921">
        <f t="shared" si="32"/>
        <v>1329.13</v>
      </c>
      <c r="K75" s="929">
        <v>11</v>
      </c>
      <c r="L75" s="1473" t="str">
        <f t="shared" si="33"/>
        <v>-</v>
      </c>
      <c r="M75" s="921">
        <f t="shared" si="34"/>
        <v>1329.13</v>
      </c>
      <c r="N75" s="928">
        <f>+'Cant. Ejec,'!K68</f>
        <v>0</v>
      </c>
      <c r="O75" s="928">
        <f>+'Cant. Ejec,'!L68</f>
        <v>0</v>
      </c>
      <c r="P75" s="1462">
        <f>+'Cant. Ejec,'!M68</f>
        <v>0</v>
      </c>
      <c r="Q75" s="954">
        <f t="shared" si="35"/>
        <v>0</v>
      </c>
      <c r="R75" s="928">
        <f t="shared" si="37"/>
        <v>0</v>
      </c>
      <c r="S75" s="954">
        <f t="shared" si="37"/>
        <v>0</v>
      </c>
      <c r="T75" s="928">
        <f t="shared" si="38"/>
        <v>11</v>
      </c>
      <c r="U75" s="954">
        <f t="shared" si="39"/>
        <v>1329.13</v>
      </c>
      <c r="V75" s="955">
        <f t="shared" si="40"/>
        <v>0</v>
      </c>
      <c r="W75" s="955">
        <f t="shared" si="41"/>
        <v>0</v>
      </c>
      <c r="X75" s="956">
        <f t="shared" si="36"/>
        <v>1</v>
      </c>
      <c r="Y75" s="519">
        <f t="shared" si="44"/>
        <v>0</v>
      </c>
      <c r="Z75" s="212" t="str">
        <f t="shared" si="45"/>
        <v>ok</v>
      </c>
      <c r="AB75" s="426"/>
    </row>
    <row r="76" spans="1:28" s="12" customFormat="1" ht="27">
      <c r="A76" s="509">
        <f t="shared" si="46"/>
        <v>0</v>
      </c>
      <c r="B76" s="510">
        <f t="shared" si="43"/>
        <v>0</v>
      </c>
      <c r="C76" s="512">
        <f t="shared" si="47"/>
        <v>5</v>
      </c>
      <c r="D76" s="513" t="str">
        <f t="shared" si="42"/>
        <v>4. OBRAS DE DRENAJE</v>
      </c>
      <c r="E76" s="899">
        <v>52</v>
      </c>
      <c r="F76" s="908" t="s">
        <v>349</v>
      </c>
      <c r="G76" s="909" t="s">
        <v>85</v>
      </c>
      <c r="H76" s="960">
        <v>104.01</v>
      </c>
      <c r="I76" s="967">
        <v>11</v>
      </c>
      <c r="J76" s="921">
        <f t="shared" si="32"/>
        <v>1144.1099999999999</v>
      </c>
      <c r="K76" s="929">
        <v>11</v>
      </c>
      <c r="L76" s="1473" t="str">
        <f t="shared" si="33"/>
        <v>-</v>
      </c>
      <c r="M76" s="921">
        <f t="shared" si="34"/>
        <v>1144.1099999999999</v>
      </c>
      <c r="N76" s="928">
        <f>+'Cant. Ejec,'!K69</f>
        <v>0</v>
      </c>
      <c r="O76" s="928">
        <f>+'Cant. Ejec,'!L69</f>
        <v>0</v>
      </c>
      <c r="P76" s="1462">
        <f>+'Cant. Ejec,'!M69</f>
        <v>0</v>
      </c>
      <c r="Q76" s="954">
        <f t="shared" si="35"/>
        <v>0</v>
      </c>
      <c r="R76" s="928">
        <f t="shared" si="37"/>
        <v>0</v>
      </c>
      <c r="S76" s="954">
        <f t="shared" si="37"/>
        <v>0</v>
      </c>
      <c r="T76" s="928">
        <f t="shared" si="38"/>
        <v>11</v>
      </c>
      <c r="U76" s="954">
        <f t="shared" si="39"/>
        <v>1144.1099999999999</v>
      </c>
      <c r="V76" s="955">
        <f t="shared" si="40"/>
        <v>0</v>
      </c>
      <c r="W76" s="955">
        <f t="shared" si="41"/>
        <v>0</v>
      </c>
      <c r="X76" s="956">
        <f t="shared" si="36"/>
        <v>1</v>
      </c>
      <c r="Y76" s="519">
        <f t="shared" si="44"/>
        <v>0</v>
      </c>
      <c r="Z76" s="212" t="str">
        <f t="shared" si="45"/>
        <v>ok</v>
      </c>
      <c r="AB76" s="426"/>
    </row>
    <row r="77" spans="1:28" s="12" customFormat="1" ht="18.95" customHeight="1">
      <c r="A77" s="509">
        <f t="shared" si="46"/>
        <v>0</v>
      </c>
      <c r="B77" s="510">
        <f t="shared" si="43"/>
        <v>0</v>
      </c>
      <c r="C77" s="512">
        <f t="shared" si="47"/>
        <v>5</v>
      </c>
      <c r="D77" s="513" t="str">
        <f t="shared" si="42"/>
        <v>4. OBRAS DE DRENAJE</v>
      </c>
      <c r="E77" s="899">
        <v>53</v>
      </c>
      <c r="F77" s="908" t="s">
        <v>350</v>
      </c>
      <c r="G77" s="909" t="s">
        <v>85</v>
      </c>
      <c r="H77" s="960">
        <v>104.01</v>
      </c>
      <c r="I77" s="967">
        <v>11</v>
      </c>
      <c r="J77" s="921">
        <f t="shared" si="32"/>
        <v>1144.1099999999999</v>
      </c>
      <c r="K77" s="929">
        <v>11</v>
      </c>
      <c r="L77" s="1473" t="str">
        <f t="shared" si="33"/>
        <v>-</v>
      </c>
      <c r="M77" s="921">
        <f t="shared" si="34"/>
        <v>1144.1099999999999</v>
      </c>
      <c r="N77" s="928">
        <f>+'Cant. Ejec,'!K70</f>
        <v>0</v>
      </c>
      <c r="O77" s="928">
        <f>+'Cant. Ejec,'!L70</f>
        <v>0</v>
      </c>
      <c r="P77" s="1462">
        <f>+'Cant. Ejec,'!M70</f>
        <v>0</v>
      </c>
      <c r="Q77" s="954">
        <f t="shared" si="35"/>
        <v>0</v>
      </c>
      <c r="R77" s="928">
        <f t="shared" si="37"/>
        <v>0</v>
      </c>
      <c r="S77" s="954">
        <f t="shared" si="37"/>
        <v>0</v>
      </c>
      <c r="T77" s="928">
        <f t="shared" si="38"/>
        <v>11</v>
      </c>
      <c r="U77" s="954">
        <f t="shared" si="39"/>
        <v>1144.1099999999999</v>
      </c>
      <c r="V77" s="955">
        <f t="shared" si="40"/>
        <v>0</v>
      </c>
      <c r="W77" s="955">
        <f t="shared" si="41"/>
        <v>0</v>
      </c>
      <c r="X77" s="956">
        <f t="shared" si="36"/>
        <v>1</v>
      </c>
      <c r="Y77" s="519">
        <f t="shared" si="44"/>
        <v>0</v>
      </c>
      <c r="Z77" s="212" t="str">
        <f t="shared" si="45"/>
        <v>ok</v>
      </c>
      <c r="AB77" s="426"/>
    </row>
    <row r="78" spans="1:28" s="12" customFormat="1" ht="18.95" customHeight="1">
      <c r="A78" s="509">
        <f t="shared" si="46"/>
        <v>0</v>
      </c>
      <c r="B78" s="510">
        <f t="shared" si="43"/>
        <v>0</v>
      </c>
      <c r="C78" s="512">
        <f t="shared" si="47"/>
        <v>5</v>
      </c>
      <c r="D78" s="513" t="str">
        <f t="shared" si="42"/>
        <v>4. OBRAS DE DRENAJE</v>
      </c>
      <c r="E78" s="899">
        <v>54</v>
      </c>
      <c r="F78" s="908" t="s">
        <v>351</v>
      </c>
      <c r="G78" s="909" t="s">
        <v>86</v>
      </c>
      <c r="H78" s="960">
        <v>7.53</v>
      </c>
      <c r="I78" s="967">
        <v>1600</v>
      </c>
      <c r="J78" s="921">
        <f t="shared" si="32"/>
        <v>12048</v>
      </c>
      <c r="K78" s="929">
        <v>1600</v>
      </c>
      <c r="L78" s="1473" t="str">
        <f t="shared" si="33"/>
        <v>-</v>
      </c>
      <c r="M78" s="921">
        <f t="shared" si="34"/>
        <v>12048</v>
      </c>
      <c r="N78" s="928">
        <f>+'Cant. Ejec,'!K71</f>
        <v>0</v>
      </c>
      <c r="O78" s="928">
        <f>+'Cant. Ejec,'!L71</f>
        <v>0</v>
      </c>
      <c r="P78" s="1462">
        <f>+'Cant. Ejec,'!M71</f>
        <v>0</v>
      </c>
      <c r="Q78" s="954">
        <f t="shared" si="35"/>
        <v>0</v>
      </c>
      <c r="R78" s="928">
        <f t="shared" si="37"/>
        <v>0</v>
      </c>
      <c r="S78" s="954">
        <f t="shared" si="37"/>
        <v>0</v>
      </c>
      <c r="T78" s="928">
        <f t="shared" si="38"/>
        <v>1600</v>
      </c>
      <c r="U78" s="954">
        <f t="shared" si="39"/>
        <v>12048</v>
      </c>
      <c r="V78" s="955">
        <f t="shared" si="40"/>
        <v>0</v>
      </c>
      <c r="W78" s="955">
        <f t="shared" si="41"/>
        <v>0</v>
      </c>
      <c r="X78" s="956">
        <f t="shared" si="36"/>
        <v>1</v>
      </c>
      <c r="Y78" s="519">
        <f t="shared" si="44"/>
        <v>0</v>
      </c>
      <c r="Z78" s="212" t="str">
        <f t="shared" si="45"/>
        <v>ok</v>
      </c>
      <c r="AB78" s="426"/>
    </row>
    <row r="79" spans="1:28" s="12" customFormat="1" ht="27">
      <c r="A79" s="509">
        <f t="shared" si="46"/>
        <v>0</v>
      </c>
      <c r="B79" s="510">
        <f t="shared" si="43"/>
        <v>0</v>
      </c>
      <c r="C79" s="512">
        <f t="shared" si="47"/>
        <v>5</v>
      </c>
      <c r="D79" s="513" t="str">
        <f t="shared" si="42"/>
        <v>4. OBRAS DE DRENAJE</v>
      </c>
      <c r="E79" s="899">
        <v>55</v>
      </c>
      <c r="F79" s="908" t="s">
        <v>352</v>
      </c>
      <c r="G79" s="909" t="s">
        <v>88</v>
      </c>
      <c r="H79" s="960">
        <v>104.01</v>
      </c>
      <c r="I79" s="967">
        <v>17</v>
      </c>
      <c r="J79" s="921">
        <f t="shared" si="32"/>
        <v>1768.17</v>
      </c>
      <c r="K79" s="929">
        <v>17</v>
      </c>
      <c r="L79" s="1473" t="str">
        <f t="shared" si="33"/>
        <v>-</v>
      </c>
      <c r="M79" s="921">
        <f t="shared" si="34"/>
        <v>1768.17</v>
      </c>
      <c r="N79" s="928">
        <f>+'Cant. Ejec,'!K72</f>
        <v>0</v>
      </c>
      <c r="O79" s="928">
        <f>+'Cant. Ejec,'!L72</f>
        <v>0</v>
      </c>
      <c r="P79" s="1462">
        <f>+'Cant. Ejec,'!M72</f>
        <v>0</v>
      </c>
      <c r="Q79" s="954">
        <f t="shared" si="35"/>
        <v>0</v>
      </c>
      <c r="R79" s="928">
        <f t="shared" si="37"/>
        <v>0</v>
      </c>
      <c r="S79" s="954">
        <f t="shared" si="37"/>
        <v>0</v>
      </c>
      <c r="T79" s="928">
        <f t="shared" si="38"/>
        <v>17</v>
      </c>
      <c r="U79" s="954">
        <f t="shared" si="39"/>
        <v>1768.17</v>
      </c>
      <c r="V79" s="955">
        <f t="shared" si="40"/>
        <v>0</v>
      </c>
      <c r="W79" s="955">
        <f t="shared" si="41"/>
        <v>0</v>
      </c>
      <c r="X79" s="956">
        <f t="shared" si="36"/>
        <v>1</v>
      </c>
      <c r="Y79" s="519">
        <f t="shared" si="44"/>
        <v>0</v>
      </c>
      <c r="Z79" s="212" t="str">
        <f t="shared" si="45"/>
        <v>ok</v>
      </c>
      <c r="AB79" s="426"/>
    </row>
    <row r="80" spans="1:28" s="12" customFormat="1" ht="27">
      <c r="A80" s="509">
        <f t="shared" si="46"/>
        <v>0</v>
      </c>
      <c r="B80" s="510">
        <f t="shared" si="43"/>
        <v>0</v>
      </c>
      <c r="C80" s="512">
        <f t="shared" si="47"/>
        <v>5</v>
      </c>
      <c r="D80" s="513" t="str">
        <f t="shared" si="42"/>
        <v>4. OBRAS DE DRENAJE</v>
      </c>
      <c r="E80" s="899">
        <v>56</v>
      </c>
      <c r="F80" s="908" t="s">
        <v>353</v>
      </c>
      <c r="G80" s="909" t="s">
        <v>88</v>
      </c>
      <c r="H80" s="960">
        <v>26.74</v>
      </c>
      <c r="I80" s="967">
        <v>8250</v>
      </c>
      <c r="J80" s="921">
        <f t="shared" si="32"/>
        <v>220605</v>
      </c>
      <c r="K80" s="929">
        <v>8250</v>
      </c>
      <c r="L80" s="1473" t="str">
        <f t="shared" si="33"/>
        <v>-</v>
      </c>
      <c r="M80" s="921">
        <f t="shared" si="34"/>
        <v>220605</v>
      </c>
      <c r="N80" s="928">
        <f>+'Cant. Ejec,'!K73</f>
        <v>0</v>
      </c>
      <c r="O80" s="928">
        <f>+'Cant. Ejec,'!L73</f>
        <v>0</v>
      </c>
      <c r="P80" s="1462">
        <f>+'Cant. Ejec,'!M73</f>
        <v>0</v>
      </c>
      <c r="Q80" s="954">
        <f t="shared" si="35"/>
        <v>0</v>
      </c>
      <c r="R80" s="928">
        <f t="shared" si="37"/>
        <v>0</v>
      </c>
      <c r="S80" s="954">
        <f t="shared" si="37"/>
        <v>0</v>
      </c>
      <c r="T80" s="928">
        <f t="shared" si="38"/>
        <v>8250</v>
      </c>
      <c r="U80" s="954">
        <f t="shared" si="39"/>
        <v>220605</v>
      </c>
      <c r="V80" s="955">
        <f t="shared" si="40"/>
        <v>0</v>
      </c>
      <c r="W80" s="955">
        <f t="shared" si="41"/>
        <v>0</v>
      </c>
      <c r="X80" s="956">
        <f t="shared" si="36"/>
        <v>1</v>
      </c>
      <c r="Y80" s="519">
        <f t="shared" si="44"/>
        <v>0</v>
      </c>
      <c r="Z80" s="212" t="str">
        <f t="shared" si="45"/>
        <v>ok</v>
      </c>
      <c r="AB80" s="426"/>
    </row>
    <row r="81" spans="1:29" s="12" customFormat="1" ht="18.95" customHeight="1">
      <c r="A81" s="509">
        <f t="shared" si="46"/>
        <v>0</v>
      </c>
      <c r="B81" s="510">
        <f t="shared" si="43"/>
        <v>0</v>
      </c>
      <c r="C81" s="512">
        <f t="shared" si="47"/>
        <v>5</v>
      </c>
      <c r="D81" s="513" t="str">
        <f t="shared" si="42"/>
        <v>4. OBRAS DE DRENAJE</v>
      </c>
      <c r="E81" s="911">
        <v>57</v>
      </c>
      <c r="F81" s="912" t="s">
        <v>354</v>
      </c>
      <c r="G81" s="913" t="s">
        <v>422</v>
      </c>
      <c r="H81" s="968">
        <v>2.72</v>
      </c>
      <c r="I81" s="987">
        <v>27500</v>
      </c>
      <c r="J81" s="970">
        <f t="shared" si="32"/>
        <v>74800</v>
      </c>
      <c r="K81" s="969">
        <v>27500</v>
      </c>
      <c r="L81" s="1478" t="str">
        <f t="shared" si="33"/>
        <v>-</v>
      </c>
      <c r="M81" s="970">
        <f t="shared" si="34"/>
        <v>74800</v>
      </c>
      <c r="N81" s="1245">
        <f>+'Cant. Ejec,'!K74</f>
        <v>0</v>
      </c>
      <c r="O81" s="1245">
        <f>+'Cant. Ejec,'!L74</f>
        <v>0</v>
      </c>
      <c r="P81" s="1479">
        <f>+'Cant. Ejec,'!M74</f>
        <v>0</v>
      </c>
      <c r="Q81" s="1247">
        <f t="shared" si="35"/>
        <v>0</v>
      </c>
      <c r="R81" s="1245">
        <f t="shared" si="37"/>
        <v>0</v>
      </c>
      <c r="S81" s="1247">
        <f t="shared" si="37"/>
        <v>0</v>
      </c>
      <c r="T81" s="1245">
        <f t="shared" si="38"/>
        <v>27500</v>
      </c>
      <c r="U81" s="1247">
        <f t="shared" si="39"/>
        <v>74800</v>
      </c>
      <c r="V81" s="1248">
        <f t="shared" si="40"/>
        <v>0</v>
      </c>
      <c r="W81" s="1248">
        <f t="shared" si="41"/>
        <v>0</v>
      </c>
      <c r="X81" s="1249">
        <f t="shared" si="36"/>
        <v>1</v>
      </c>
      <c r="Y81" s="519">
        <f t="shared" si="44"/>
        <v>0</v>
      </c>
      <c r="Z81" s="212" t="str">
        <f t="shared" si="45"/>
        <v>ok</v>
      </c>
      <c r="AB81" s="426"/>
    </row>
    <row r="82" spans="1:29" s="12" customFormat="1" ht="18.95" customHeight="1">
      <c r="A82" s="509">
        <f>+IF(B82&gt;0,B82+C81,IF(C82&gt;C81,C82,0))</f>
        <v>6</v>
      </c>
      <c r="B82" s="510">
        <f t="shared" si="43"/>
        <v>1</v>
      </c>
      <c r="C82" s="512">
        <f t="shared" si="47"/>
        <v>6</v>
      </c>
      <c r="D82" s="513" t="str">
        <f t="shared" si="42"/>
        <v>4. OBRAS DE DRENAJE</v>
      </c>
      <c r="E82" s="999" t="s">
        <v>454</v>
      </c>
      <c r="F82" s="1000" t="s">
        <v>455</v>
      </c>
      <c r="G82" s="910" t="s">
        <v>88</v>
      </c>
      <c r="H82" s="1001">
        <v>19.98</v>
      </c>
      <c r="I82" s="1003">
        <v>0</v>
      </c>
      <c r="J82" s="1003">
        <f t="shared" si="32"/>
        <v>0</v>
      </c>
      <c r="K82" s="935">
        <v>13370</v>
      </c>
      <c r="L82" s="1474" t="str">
        <f t="shared" si="33"/>
        <v>CM 3</v>
      </c>
      <c r="M82" s="936">
        <f t="shared" si="34"/>
        <v>267132.59999999998</v>
      </c>
      <c r="N82" s="1245">
        <f>+'Cant. Ejec,'!K75</f>
        <v>650</v>
      </c>
      <c r="O82" s="1245">
        <f>+'Cant. Ejec,'!L75</f>
        <v>12987</v>
      </c>
      <c r="P82" s="1475">
        <f>+'Cant. Ejec,'!M75</f>
        <v>4015</v>
      </c>
      <c r="Q82" s="1005">
        <f t="shared" si="35"/>
        <v>80219.7</v>
      </c>
      <c r="R82" s="1003">
        <f t="shared" si="37"/>
        <v>4665</v>
      </c>
      <c r="S82" s="1005">
        <f t="shared" si="37"/>
        <v>93206.7</v>
      </c>
      <c r="T82" s="1003">
        <f t="shared" si="38"/>
        <v>8705</v>
      </c>
      <c r="U82" s="1005">
        <f t="shared" si="39"/>
        <v>173925.89999999997</v>
      </c>
      <c r="V82" s="1006">
        <f t="shared" si="40"/>
        <v>0.30029917726252808</v>
      </c>
      <c r="W82" s="1006">
        <f t="shared" si="41"/>
        <v>0.34891548242333587</v>
      </c>
      <c r="X82" s="1007">
        <f t="shared" si="36"/>
        <v>0.65108451757666419</v>
      </c>
      <c r="Y82" s="519">
        <f t="shared" si="44"/>
        <v>0.34891548242333581</v>
      </c>
      <c r="Z82" s="212" t="str">
        <f t="shared" si="45"/>
        <v>ok</v>
      </c>
      <c r="AA82" s="1"/>
      <c r="AB82" s="395"/>
      <c r="AC82" s="1"/>
    </row>
    <row r="83" spans="1:29" s="12" customFormat="1" ht="18" customHeight="1">
      <c r="A83" s="509">
        <f>+IF(B83&gt;0,B83+C82,IF(C83&gt;C82,C83,0))</f>
        <v>0</v>
      </c>
      <c r="B83" s="510">
        <f t="shared" si="43"/>
        <v>0</v>
      </c>
      <c r="C83" s="512">
        <f>+B83+C82</f>
        <v>6</v>
      </c>
      <c r="D83" s="513"/>
      <c r="E83" s="915"/>
      <c r="F83" s="1463" t="s">
        <v>237</v>
      </c>
      <c r="G83" s="1464"/>
      <c r="H83" s="1468"/>
      <c r="I83" s="1466"/>
      <c r="J83" s="1467">
        <f>SUM(J42:J82)</f>
        <v>16778276.030000001</v>
      </c>
      <c r="K83" s="1468"/>
      <c r="L83" s="1468"/>
      <c r="M83" s="1467">
        <f>SUM(M42:M82)</f>
        <v>17234447.400000002</v>
      </c>
      <c r="N83" s="1469"/>
      <c r="O83" s="1467">
        <f>SUM(O42:O82)</f>
        <v>12987</v>
      </c>
      <c r="P83" s="1470"/>
      <c r="Q83" s="1467">
        <f>SUM(Q42:Q82)</f>
        <v>80219.7</v>
      </c>
      <c r="R83" s="1469"/>
      <c r="S83" s="1467">
        <f>SUM(S42:S82)</f>
        <v>93206.7</v>
      </c>
      <c r="T83" s="1470"/>
      <c r="U83" s="1467">
        <f>SUM(U42:U82)</f>
        <v>17141240.699999999</v>
      </c>
      <c r="V83" s="945">
        <f>(Q83/M83)</f>
        <v>4.6546139912788838E-3</v>
      </c>
      <c r="W83" s="946">
        <f>(S83/M83)</f>
        <v>5.4081629562430867E-3</v>
      </c>
      <c r="X83" s="947">
        <f>(U83/M83)</f>
        <v>0.99459183704375675</v>
      </c>
      <c r="Y83" s="519"/>
      <c r="Z83" s="212"/>
      <c r="AB83" s="426"/>
    </row>
    <row r="84" spans="1:29" s="12" customFormat="1" ht="18" customHeight="1">
      <c r="A84" s="509">
        <f t="shared" si="46"/>
        <v>0</v>
      </c>
      <c r="B84" s="510">
        <f t="shared" si="43"/>
        <v>0</v>
      </c>
      <c r="C84" s="512">
        <f t="shared" si="47"/>
        <v>6</v>
      </c>
      <c r="D84" s="513"/>
      <c r="E84" s="915">
        <v>5</v>
      </c>
      <c r="F84" s="916" t="s">
        <v>355</v>
      </c>
      <c r="G84" s="917"/>
      <c r="H84" s="983"/>
      <c r="I84" s="983"/>
      <c r="J84" s="983"/>
      <c r="K84" s="983"/>
      <c r="L84" s="1480"/>
      <c r="M84" s="983"/>
      <c r="N84" s="1471"/>
      <c r="O84" s="1471">
        <f t="shared" ref="O84" si="48">+ROUND(N84*H84,2)</f>
        <v>0</v>
      </c>
      <c r="P84" s="1471"/>
      <c r="Q84" s="1471"/>
      <c r="R84" s="1471"/>
      <c r="S84" s="1471"/>
      <c r="T84" s="1471"/>
      <c r="U84" s="1471"/>
      <c r="V84" s="950"/>
      <c r="W84" s="950"/>
      <c r="X84" s="985"/>
      <c r="Y84" s="519"/>
      <c r="Z84" s="212"/>
      <c r="AB84" s="426"/>
    </row>
    <row r="85" spans="1:29" ht="20.100000000000001" customHeight="1">
      <c r="A85" s="509">
        <f t="shared" si="46"/>
        <v>0</v>
      </c>
      <c r="B85" s="510">
        <f t="shared" si="43"/>
        <v>0</v>
      </c>
      <c r="C85" s="512">
        <f t="shared" si="47"/>
        <v>6</v>
      </c>
      <c r="D85" s="513" t="str">
        <f>+E84&amp;". "&amp;F84</f>
        <v>5. SEÑALIZACION Y SEGURIDAD VIAL</v>
      </c>
      <c r="E85" s="899">
        <v>58</v>
      </c>
      <c r="F85" s="908" t="s">
        <v>356</v>
      </c>
      <c r="G85" s="900" t="s">
        <v>88</v>
      </c>
      <c r="H85" s="963">
        <v>659.99</v>
      </c>
      <c r="I85" s="971">
        <v>14232</v>
      </c>
      <c r="J85" s="921">
        <f t="shared" si="32"/>
        <v>9392977.6799999997</v>
      </c>
      <c r="K85" s="919">
        <v>14232</v>
      </c>
      <c r="L85" s="986" t="str">
        <f t="shared" ref="L85:L100" si="49">IF(I85=K85,"-","CM 3")</f>
        <v>-</v>
      </c>
      <c r="M85" s="953">
        <f t="shared" ref="M85:M100" si="50">ROUND(K85*H85,2)</f>
        <v>9392977.6799999997</v>
      </c>
      <c r="N85" s="963">
        <f>+'Cant. Ejec,'!K77</f>
        <v>0</v>
      </c>
      <c r="O85" s="963">
        <f>+'Cant. Ejec,'!L77</f>
        <v>0</v>
      </c>
      <c r="P85" s="1462">
        <f>+'Cant. Ejec,'!M77</f>
        <v>0</v>
      </c>
      <c r="Q85" s="1461">
        <f t="shared" ref="Q85:Q100" si="51">+ROUND(H85*P85,2)</f>
        <v>0</v>
      </c>
      <c r="R85" s="928">
        <f>N85+P85</f>
        <v>0</v>
      </c>
      <c r="S85" s="1461">
        <f>O85+Q85</f>
        <v>0</v>
      </c>
      <c r="T85" s="928">
        <f>K85-R85</f>
        <v>14232</v>
      </c>
      <c r="U85" s="954">
        <f>+M85-S85</f>
        <v>9392977.6799999997</v>
      </c>
      <c r="V85" s="933">
        <f>(Q85/M85)</f>
        <v>0</v>
      </c>
      <c r="W85" s="933">
        <f>(S85/M85)</f>
        <v>0</v>
      </c>
      <c r="X85" s="934">
        <f t="shared" ref="X85:X100" si="52">(100%-W85)</f>
        <v>1</v>
      </c>
      <c r="Y85" s="519">
        <f t="shared" si="44"/>
        <v>0</v>
      </c>
      <c r="Z85" s="212" t="str">
        <f t="shared" si="45"/>
        <v>ok</v>
      </c>
      <c r="AB85" s="395">
        <f>+AA85-T85</f>
        <v>-14232</v>
      </c>
    </row>
    <row r="86" spans="1:29" ht="20.100000000000001" customHeight="1">
      <c r="A86" s="509">
        <f t="shared" si="46"/>
        <v>0</v>
      </c>
      <c r="B86" s="510">
        <f t="shared" si="43"/>
        <v>0</v>
      </c>
      <c r="C86" s="512">
        <f t="shared" si="47"/>
        <v>6</v>
      </c>
      <c r="D86" s="513" t="str">
        <f>+D85</f>
        <v>5. SEÑALIZACION Y SEGURIDAD VIAL</v>
      </c>
      <c r="E86" s="911">
        <v>59</v>
      </c>
      <c r="F86" s="912" t="s">
        <v>238</v>
      </c>
      <c r="G86" s="913" t="s">
        <v>88</v>
      </c>
      <c r="H86" s="960">
        <v>8.27</v>
      </c>
      <c r="I86" s="987">
        <v>31500</v>
      </c>
      <c r="J86" s="921">
        <f t="shared" si="32"/>
        <v>260505</v>
      </c>
      <c r="K86" s="929">
        <v>31500</v>
      </c>
      <c r="L86" s="920" t="str">
        <f t="shared" si="49"/>
        <v>-</v>
      </c>
      <c r="M86" s="921">
        <f t="shared" si="50"/>
        <v>260505</v>
      </c>
      <c r="N86" s="968">
        <f>+'Cant. Ejec,'!K78</f>
        <v>0</v>
      </c>
      <c r="O86" s="968">
        <f>+'Cant. Ejec,'!L78</f>
        <v>0</v>
      </c>
      <c r="P86" s="1462">
        <f>+'Cant. Ejec,'!M78</f>
        <v>0</v>
      </c>
      <c r="Q86" s="974">
        <f t="shared" si="51"/>
        <v>0</v>
      </c>
      <c r="R86" s="928">
        <f t="shared" ref="R86:S100" si="53">N86+P86</f>
        <v>0</v>
      </c>
      <c r="S86" s="954">
        <f t="shared" si="53"/>
        <v>0</v>
      </c>
      <c r="T86" s="928">
        <f t="shared" ref="T86:T100" si="54">K86-R86</f>
        <v>31500</v>
      </c>
      <c r="U86" s="954">
        <f t="shared" ref="U86:U100" si="55">+M86-S86</f>
        <v>260505</v>
      </c>
      <c r="V86" s="933">
        <f t="shared" ref="V86:V100" si="56">(Q86/M86)</f>
        <v>0</v>
      </c>
      <c r="W86" s="933">
        <f t="shared" ref="W86:W100" si="57">(S86/M86)</f>
        <v>0</v>
      </c>
      <c r="X86" s="934">
        <f t="shared" si="52"/>
        <v>1</v>
      </c>
      <c r="Y86" s="519">
        <f t="shared" si="44"/>
        <v>0</v>
      </c>
      <c r="Z86" s="212" t="str">
        <f t="shared" si="45"/>
        <v>ok</v>
      </c>
      <c r="AA86" s="1">
        <v>350.7</v>
      </c>
      <c r="AB86" s="395">
        <f t="shared" si="28"/>
        <v>-31149.3</v>
      </c>
    </row>
    <row r="87" spans="1:29" ht="20.100000000000001" customHeight="1">
      <c r="A87" s="509">
        <f t="shared" si="46"/>
        <v>0</v>
      </c>
      <c r="B87" s="510">
        <f t="shared" si="43"/>
        <v>0</v>
      </c>
      <c r="C87" s="512">
        <f t="shared" si="47"/>
        <v>6</v>
      </c>
      <c r="D87" s="513" t="str">
        <f t="shared" ref="D87:D100" si="58">+D86</f>
        <v>5. SEÑALIZACION Y SEGURIDAD VIAL</v>
      </c>
      <c r="E87" s="899">
        <v>60</v>
      </c>
      <c r="F87" s="908" t="s">
        <v>357</v>
      </c>
      <c r="G87" s="909" t="s">
        <v>88</v>
      </c>
      <c r="H87" s="960">
        <v>10.4</v>
      </c>
      <c r="I87" s="967">
        <v>90000</v>
      </c>
      <c r="J87" s="921">
        <f t="shared" si="32"/>
        <v>936000</v>
      </c>
      <c r="K87" s="929">
        <v>90000</v>
      </c>
      <c r="L87" s="920" t="str">
        <f t="shared" si="49"/>
        <v>-</v>
      </c>
      <c r="M87" s="921">
        <f t="shared" si="50"/>
        <v>936000</v>
      </c>
      <c r="N87" s="960">
        <f>+'Cant. Ejec,'!K79</f>
        <v>0</v>
      </c>
      <c r="O87" s="960">
        <f>+'Cant. Ejec,'!L79</f>
        <v>0</v>
      </c>
      <c r="P87" s="1462">
        <f>+'Cant. Ejec,'!M79</f>
        <v>0</v>
      </c>
      <c r="Q87" s="974">
        <f t="shared" si="51"/>
        <v>0</v>
      </c>
      <c r="R87" s="928">
        <f t="shared" si="53"/>
        <v>0</v>
      </c>
      <c r="S87" s="954">
        <f t="shared" si="53"/>
        <v>0</v>
      </c>
      <c r="T87" s="928">
        <f t="shared" si="54"/>
        <v>90000</v>
      </c>
      <c r="U87" s="954">
        <f t="shared" si="55"/>
        <v>936000</v>
      </c>
      <c r="V87" s="933">
        <f t="shared" si="56"/>
        <v>0</v>
      </c>
      <c r="W87" s="933">
        <f t="shared" si="57"/>
        <v>0</v>
      </c>
      <c r="X87" s="934">
        <f t="shared" si="52"/>
        <v>1</v>
      </c>
      <c r="Y87" s="519">
        <f t="shared" si="44"/>
        <v>0</v>
      </c>
      <c r="Z87" s="212" t="str">
        <f t="shared" si="45"/>
        <v>ok</v>
      </c>
      <c r="AA87" s="1">
        <v>68445.63</v>
      </c>
      <c r="AB87" s="395">
        <f t="shared" si="28"/>
        <v>-21554.369999999995</v>
      </c>
    </row>
    <row r="88" spans="1:29" ht="20.100000000000001" customHeight="1">
      <c r="A88" s="509">
        <f t="shared" si="46"/>
        <v>0</v>
      </c>
      <c r="B88" s="510">
        <f t="shared" si="43"/>
        <v>0</v>
      </c>
      <c r="C88" s="512">
        <f t="shared" si="47"/>
        <v>6</v>
      </c>
      <c r="D88" s="513" t="str">
        <f t="shared" si="58"/>
        <v>5. SEÑALIZACION Y SEGURIDAD VIAL</v>
      </c>
      <c r="E88" s="899">
        <v>61</v>
      </c>
      <c r="F88" s="908" t="s">
        <v>358</v>
      </c>
      <c r="G88" s="909" t="s">
        <v>86</v>
      </c>
      <c r="H88" s="960">
        <v>72.150000000000006</v>
      </c>
      <c r="I88" s="967">
        <v>250</v>
      </c>
      <c r="J88" s="921">
        <f t="shared" si="32"/>
        <v>18037.5</v>
      </c>
      <c r="K88" s="929">
        <v>250</v>
      </c>
      <c r="L88" s="920" t="str">
        <f t="shared" si="49"/>
        <v>-</v>
      </c>
      <c r="M88" s="921">
        <f t="shared" si="50"/>
        <v>18037.5</v>
      </c>
      <c r="N88" s="960">
        <f>+'Cant. Ejec,'!K80</f>
        <v>0</v>
      </c>
      <c r="O88" s="960">
        <f>+'Cant. Ejec,'!L80</f>
        <v>0</v>
      </c>
      <c r="P88" s="1462">
        <f>+'Cant. Ejec,'!M80</f>
        <v>0</v>
      </c>
      <c r="Q88" s="974">
        <f t="shared" si="51"/>
        <v>0</v>
      </c>
      <c r="R88" s="928">
        <f t="shared" si="53"/>
        <v>0</v>
      </c>
      <c r="S88" s="954">
        <f t="shared" si="53"/>
        <v>0</v>
      </c>
      <c r="T88" s="928">
        <f t="shared" si="54"/>
        <v>250</v>
      </c>
      <c r="U88" s="954">
        <f t="shared" si="55"/>
        <v>18037.5</v>
      </c>
      <c r="V88" s="933">
        <f t="shared" si="56"/>
        <v>0</v>
      </c>
      <c r="W88" s="933">
        <f t="shared" si="57"/>
        <v>0</v>
      </c>
      <c r="X88" s="934">
        <f t="shared" si="52"/>
        <v>1</v>
      </c>
      <c r="Y88" s="519">
        <f t="shared" si="44"/>
        <v>0</v>
      </c>
      <c r="Z88" s="212" t="str">
        <f t="shared" si="45"/>
        <v>ok</v>
      </c>
      <c r="AA88" s="1">
        <v>123</v>
      </c>
      <c r="AB88" s="395">
        <f t="shared" si="28"/>
        <v>-127</v>
      </c>
    </row>
    <row r="89" spans="1:29" ht="20.100000000000001" customHeight="1">
      <c r="A89" s="509">
        <f t="shared" si="46"/>
        <v>0</v>
      </c>
      <c r="B89" s="510">
        <f t="shared" si="43"/>
        <v>0</v>
      </c>
      <c r="C89" s="512">
        <f t="shared" si="47"/>
        <v>6</v>
      </c>
      <c r="D89" s="513" t="str">
        <f t="shared" si="58"/>
        <v>5. SEÑALIZACION Y SEGURIDAD VIAL</v>
      </c>
      <c r="E89" s="899">
        <v>62</v>
      </c>
      <c r="F89" s="908" t="s">
        <v>359</v>
      </c>
      <c r="G89" s="909" t="s">
        <v>360</v>
      </c>
      <c r="H89" s="960">
        <v>1283.31</v>
      </c>
      <c r="I89" s="967">
        <v>180</v>
      </c>
      <c r="J89" s="921">
        <f t="shared" si="32"/>
        <v>230995.8</v>
      </c>
      <c r="K89" s="929">
        <v>180</v>
      </c>
      <c r="L89" s="920" t="str">
        <f t="shared" si="49"/>
        <v>-</v>
      </c>
      <c r="M89" s="921">
        <f t="shared" si="50"/>
        <v>230995.8</v>
      </c>
      <c r="N89" s="960">
        <f>+'Cant. Ejec,'!K81</f>
        <v>0</v>
      </c>
      <c r="O89" s="960">
        <f>+'Cant. Ejec,'!L81</f>
        <v>0</v>
      </c>
      <c r="P89" s="1462">
        <f>+'Cant. Ejec,'!M81</f>
        <v>0</v>
      </c>
      <c r="Q89" s="974">
        <f t="shared" si="51"/>
        <v>0</v>
      </c>
      <c r="R89" s="928">
        <f t="shared" si="53"/>
        <v>0</v>
      </c>
      <c r="S89" s="954">
        <f t="shared" si="53"/>
        <v>0</v>
      </c>
      <c r="T89" s="928">
        <f t="shared" si="54"/>
        <v>180</v>
      </c>
      <c r="U89" s="954">
        <f t="shared" si="55"/>
        <v>230995.8</v>
      </c>
      <c r="V89" s="933">
        <f t="shared" si="56"/>
        <v>0</v>
      </c>
      <c r="W89" s="933">
        <f t="shared" si="57"/>
        <v>0</v>
      </c>
      <c r="X89" s="934">
        <f t="shared" si="52"/>
        <v>1</v>
      </c>
      <c r="Y89" s="519">
        <f t="shared" si="44"/>
        <v>0</v>
      </c>
      <c r="Z89" s="212" t="str">
        <f t="shared" si="45"/>
        <v>ok</v>
      </c>
      <c r="AB89" s="395"/>
    </row>
    <row r="90" spans="1:29" ht="20.100000000000001" customHeight="1">
      <c r="A90" s="509">
        <f t="shared" si="46"/>
        <v>0</v>
      </c>
      <c r="B90" s="510">
        <f t="shared" si="43"/>
        <v>0</v>
      </c>
      <c r="C90" s="512">
        <f t="shared" si="47"/>
        <v>6</v>
      </c>
      <c r="D90" s="513" t="str">
        <f t="shared" si="58"/>
        <v>5. SEÑALIZACION Y SEGURIDAD VIAL</v>
      </c>
      <c r="E90" s="899">
        <v>63</v>
      </c>
      <c r="F90" s="908" t="s">
        <v>361</v>
      </c>
      <c r="G90" s="909" t="s">
        <v>360</v>
      </c>
      <c r="H90" s="960">
        <v>1283.31</v>
      </c>
      <c r="I90" s="967">
        <v>30</v>
      </c>
      <c r="J90" s="921">
        <f t="shared" si="32"/>
        <v>38499.300000000003</v>
      </c>
      <c r="K90" s="929">
        <v>30</v>
      </c>
      <c r="L90" s="920" t="str">
        <f t="shared" si="49"/>
        <v>-</v>
      </c>
      <c r="M90" s="921">
        <f t="shared" si="50"/>
        <v>38499.300000000003</v>
      </c>
      <c r="N90" s="960">
        <f>+'Cant. Ejec,'!K82</f>
        <v>0</v>
      </c>
      <c r="O90" s="960">
        <f>+'Cant. Ejec,'!L82</f>
        <v>0</v>
      </c>
      <c r="P90" s="1462">
        <f>+'Cant. Ejec,'!M82</f>
        <v>0</v>
      </c>
      <c r="Q90" s="974">
        <f t="shared" si="51"/>
        <v>0</v>
      </c>
      <c r="R90" s="928">
        <f t="shared" si="53"/>
        <v>0</v>
      </c>
      <c r="S90" s="954">
        <f t="shared" si="53"/>
        <v>0</v>
      </c>
      <c r="T90" s="928">
        <f t="shared" si="54"/>
        <v>30</v>
      </c>
      <c r="U90" s="954">
        <f t="shared" si="55"/>
        <v>38499.300000000003</v>
      </c>
      <c r="V90" s="933">
        <f t="shared" si="56"/>
        <v>0</v>
      </c>
      <c r="W90" s="933">
        <f t="shared" si="57"/>
        <v>0</v>
      </c>
      <c r="X90" s="934">
        <f t="shared" si="52"/>
        <v>1</v>
      </c>
      <c r="Y90" s="519">
        <f t="shared" si="44"/>
        <v>0</v>
      </c>
      <c r="Z90" s="212" t="str">
        <f t="shared" si="45"/>
        <v>ok</v>
      </c>
      <c r="AB90" s="395"/>
    </row>
    <row r="91" spans="1:29" ht="20.100000000000001" customHeight="1">
      <c r="A91" s="509">
        <f t="shared" si="46"/>
        <v>0</v>
      </c>
      <c r="B91" s="510">
        <f t="shared" si="43"/>
        <v>0</v>
      </c>
      <c r="C91" s="512">
        <f t="shared" si="47"/>
        <v>6</v>
      </c>
      <c r="D91" s="513" t="str">
        <f t="shared" si="58"/>
        <v>5. SEÑALIZACION Y SEGURIDAD VIAL</v>
      </c>
      <c r="E91" s="899">
        <v>64</v>
      </c>
      <c r="F91" s="908" t="s">
        <v>362</v>
      </c>
      <c r="G91" s="909" t="s">
        <v>360</v>
      </c>
      <c r="H91" s="960">
        <v>1839.02</v>
      </c>
      <c r="I91" s="967">
        <v>30</v>
      </c>
      <c r="J91" s="921">
        <f t="shared" si="32"/>
        <v>55170.6</v>
      </c>
      <c r="K91" s="929">
        <v>30</v>
      </c>
      <c r="L91" s="920" t="str">
        <f t="shared" si="49"/>
        <v>-</v>
      </c>
      <c r="M91" s="921">
        <f t="shared" si="50"/>
        <v>55170.6</v>
      </c>
      <c r="N91" s="960">
        <f>+'Cant. Ejec,'!K83</f>
        <v>0</v>
      </c>
      <c r="O91" s="960">
        <f>+'Cant. Ejec,'!L83</f>
        <v>0</v>
      </c>
      <c r="P91" s="1462">
        <f>+'Cant. Ejec,'!M83</f>
        <v>0</v>
      </c>
      <c r="Q91" s="974">
        <f t="shared" si="51"/>
        <v>0</v>
      </c>
      <c r="R91" s="928">
        <f t="shared" si="53"/>
        <v>0</v>
      </c>
      <c r="S91" s="954">
        <f t="shared" si="53"/>
        <v>0</v>
      </c>
      <c r="T91" s="928">
        <f t="shared" si="54"/>
        <v>30</v>
      </c>
      <c r="U91" s="954">
        <f t="shared" si="55"/>
        <v>55170.6</v>
      </c>
      <c r="V91" s="933">
        <f t="shared" si="56"/>
        <v>0</v>
      </c>
      <c r="W91" s="933">
        <f t="shared" si="57"/>
        <v>0</v>
      </c>
      <c r="X91" s="934">
        <f t="shared" si="52"/>
        <v>1</v>
      </c>
      <c r="Y91" s="519">
        <f t="shared" si="44"/>
        <v>0</v>
      </c>
      <c r="Z91" s="212" t="str">
        <f t="shared" si="45"/>
        <v>ok</v>
      </c>
      <c r="AA91" s="1">
        <v>98</v>
      </c>
      <c r="AB91" s="395">
        <f t="shared" si="28"/>
        <v>68</v>
      </c>
    </row>
    <row r="92" spans="1:29" ht="20.100000000000001" customHeight="1">
      <c r="A92" s="509">
        <f t="shared" si="46"/>
        <v>0</v>
      </c>
      <c r="B92" s="510">
        <f t="shared" si="43"/>
        <v>0</v>
      </c>
      <c r="C92" s="512">
        <f t="shared" si="47"/>
        <v>6</v>
      </c>
      <c r="D92" s="513" t="str">
        <f t="shared" si="58"/>
        <v>5. SEÑALIZACION Y SEGURIDAD VIAL</v>
      </c>
      <c r="E92" s="899">
        <v>65</v>
      </c>
      <c r="F92" s="908" t="s">
        <v>363</v>
      </c>
      <c r="G92" s="909" t="s">
        <v>360</v>
      </c>
      <c r="H92" s="960">
        <v>1542.64</v>
      </c>
      <c r="I92" s="967">
        <v>65</v>
      </c>
      <c r="J92" s="921">
        <f t="shared" si="32"/>
        <v>100271.6</v>
      </c>
      <c r="K92" s="929">
        <v>65</v>
      </c>
      <c r="L92" s="920" t="str">
        <f t="shared" si="49"/>
        <v>-</v>
      </c>
      <c r="M92" s="921">
        <f t="shared" si="50"/>
        <v>100271.6</v>
      </c>
      <c r="N92" s="960">
        <f>+'Cant. Ejec,'!K84</f>
        <v>0</v>
      </c>
      <c r="O92" s="960">
        <f>+'Cant. Ejec,'!L84</f>
        <v>0</v>
      </c>
      <c r="P92" s="1462">
        <f>+'Cant. Ejec,'!M84</f>
        <v>0</v>
      </c>
      <c r="Q92" s="974">
        <f t="shared" si="51"/>
        <v>0</v>
      </c>
      <c r="R92" s="928">
        <f t="shared" si="53"/>
        <v>0</v>
      </c>
      <c r="S92" s="954">
        <f t="shared" si="53"/>
        <v>0</v>
      </c>
      <c r="T92" s="928">
        <f t="shared" si="54"/>
        <v>65</v>
      </c>
      <c r="U92" s="954">
        <f t="shared" si="55"/>
        <v>100271.6</v>
      </c>
      <c r="V92" s="933">
        <f t="shared" si="56"/>
        <v>0</v>
      </c>
      <c r="W92" s="933">
        <f t="shared" si="57"/>
        <v>0</v>
      </c>
      <c r="X92" s="934">
        <f t="shared" si="52"/>
        <v>1</v>
      </c>
      <c r="Y92" s="519">
        <f t="shared" si="44"/>
        <v>0</v>
      </c>
      <c r="Z92" s="212" t="str">
        <f t="shared" si="45"/>
        <v>ok</v>
      </c>
      <c r="AA92" s="1">
        <v>30</v>
      </c>
      <c r="AB92" s="395">
        <f t="shared" si="28"/>
        <v>-35</v>
      </c>
    </row>
    <row r="93" spans="1:29" ht="20.100000000000001" customHeight="1">
      <c r="A93" s="509">
        <f t="shared" si="46"/>
        <v>0</v>
      </c>
      <c r="B93" s="510">
        <f t="shared" si="43"/>
        <v>0</v>
      </c>
      <c r="C93" s="512">
        <f t="shared" si="47"/>
        <v>6</v>
      </c>
      <c r="D93" s="513" t="str">
        <f t="shared" si="58"/>
        <v>5. SEÑALIZACION Y SEGURIDAD VIAL</v>
      </c>
      <c r="E93" s="899">
        <v>66</v>
      </c>
      <c r="F93" s="908" t="s">
        <v>364</v>
      </c>
      <c r="G93" s="909" t="s">
        <v>360</v>
      </c>
      <c r="H93" s="960">
        <v>4225.3900000000003</v>
      </c>
      <c r="I93" s="967">
        <v>2</v>
      </c>
      <c r="J93" s="921">
        <f t="shared" si="32"/>
        <v>8450.7800000000007</v>
      </c>
      <c r="K93" s="929">
        <v>2</v>
      </c>
      <c r="L93" s="920" t="str">
        <f t="shared" si="49"/>
        <v>-</v>
      </c>
      <c r="M93" s="921">
        <f t="shared" si="50"/>
        <v>8450.7800000000007</v>
      </c>
      <c r="N93" s="960">
        <f>+'Cant. Ejec,'!K85</f>
        <v>0</v>
      </c>
      <c r="O93" s="960">
        <f>+'Cant. Ejec,'!L85</f>
        <v>0</v>
      </c>
      <c r="P93" s="1462">
        <f>+'Cant. Ejec,'!M85</f>
        <v>0</v>
      </c>
      <c r="Q93" s="974">
        <f t="shared" si="51"/>
        <v>0</v>
      </c>
      <c r="R93" s="928">
        <f t="shared" si="53"/>
        <v>0</v>
      </c>
      <c r="S93" s="954">
        <f t="shared" si="53"/>
        <v>0</v>
      </c>
      <c r="T93" s="928">
        <f t="shared" si="54"/>
        <v>2</v>
      </c>
      <c r="U93" s="954">
        <f t="shared" si="55"/>
        <v>8450.7800000000007</v>
      </c>
      <c r="V93" s="933">
        <f t="shared" si="56"/>
        <v>0</v>
      </c>
      <c r="W93" s="933">
        <f t="shared" si="57"/>
        <v>0</v>
      </c>
      <c r="X93" s="934">
        <f t="shared" si="52"/>
        <v>1</v>
      </c>
      <c r="Y93" s="519">
        <f t="shared" si="44"/>
        <v>0</v>
      </c>
      <c r="Z93" s="212" t="str">
        <f t="shared" si="45"/>
        <v>ok</v>
      </c>
      <c r="AB93" s="395">
        <f t="shared" si="28"/>
        <v>-2</v>
      </c>
    </row>
    <row r="94" spans="1:29" ht="20.100000000000001" customHeight="1">
      <c r="A94" s="509">
        <f t="shared" si="46"/>
        <v>0</v>
      </c>
      <c r="B94" s="510">
        <f t="shared" si="43"/>
        <v>0</v>
      </c>
      <c r="C94" s="512">
        <f t="shared" si="47"/>
        <v>6</v>
      </c>
      <c r="D94" s="513" t="str">
        <f t="shared" si="58"/>
        <v>5. SEÑALIZACION Y SEGURIDAD VIAL</v>
      </c>
      <c r="E94" s="899">
        <v>67</v>
      </c>
      <c r="F94" s="908" t="s">
        <v>365</v>
      </c>
      <c r="G94" s="909" t="s">
        <v>360</v>
      </c>
      <c r="H94" s="960">
        <v>3521.48</v>
      </c>
      <c r="I94" s="967">
        <v>6</v>
      </c>
      <c r="J94" s="921">
        <f t="shared" si="32"/>
        <v>21128.880000000001</v>
      </c>
      <c r="K94" s="929">
        <v>6</v>
      </c>
      <c r="L94" s="920" t="str">
        <f t="shared" si="49"/>
        <v>-</v>
      </c>
      <c r="M94" s="921">
        <f t="shared" si="50"/>
        <v>21128.880000000001</v>
      </c>
      <c r="N94" s="960">
        <f>+'Cant. Ejec,'!K86</f>
        <v>0</v>
      </c>
      <c r="O94" s="960">
        <f>+'Cant. Ejec,'!L86</f>
        <v>0</v>
      </c>
      <c r="P94" s="1462">
        <f>+'Cant. Ejec,'!M86</f>
        <v>0</v>
      </c>
      <c r="Q94" s="974">
        <f t="shared" si="51"/>
        <v>0</v>
      </c>
      <c r="R94" s="928">
        <f t="shared" si="53"/>
        <v>0</v>
      </c>
      <c r="S94" s="954">
        <f t="shared" si="53"/>
        <v>0</v>
      </c>
      <c r="T94" s="928">
        <f t="shared" si="54"/>
        <v>6</v>
      </c>
      <c r="U94" s="954">
        <f t="shared" si="55"/>
        <v>21128.880000000001</v>
      </c>
      <c r="V94" s="933">
        <f t="shared" si="56"/>
        <v>0</v>
      </c>
      <c r="W94" s="933">
        <f t="shared" si="57"/>
        <v>0</v>
      </c>
      <c r="X94" s="934">
        <f t="shared" si="52"/>
        <v>1</v>
      </c>
      <c r="Y94" s="519">
        <f t="shared" si="44"/>
        <v>0</v>
      </c>
      <c r="Z94" s="212" t="str">
        <f t="shared" si="45"/>
        <v>ok</v>
      </c>
      <c r="AB94" s="395">
        <f t="shared" si="28"/>
        <v>-6</v>
      </c>
    </row>
    <row r="95" spans="1:29" ht="20.100000000000001" customHeight="1">
      <c r="A95" s="509">
        <f t="shared" si="46"/>
        <v>0</v>
      </c>
      <c r="B95" s="510">
        <f t="shared" si="43"/>
        <v>0</v>
      </c>
      <c r="C95" s="512">
        <f t="shared" si="47"/>
        <v>6</v>
      </c>
      <c r="D95" s="513" t="str">
        <f t="shared" si="58"/>
        <v>5. SEÑALIZACION Y SEGURIDAD VIAL</v>
      </c>
      <c r="E95" s="899">
        <v>68</v>
      </c>
      <c r="F95" s="908" t="s">
        <v>366</v>
      </c>
      <c r="G95" s="909" t="s">
        <v>360</v>
      </c>
      <c r="H95" s="960">
        <v>5040.4399999999996</v>
      </c>
      <c r="I95" s="967">
        <v>4</v>
      </c>
      <c r="J95" s="921">
        <f t="shared" si="32"/>
        <v>20161.759999999998</v>
      </c>
      <c r="K95" s="929">
        <v>4</v>
      </c>
      <c r="L95" s="920" t="str">
        <f t="shared" si="49"/>
        <v>-</v>
      </c>
      <c r="M95" s="921">
        <f t="shared" si="50"/>
        <v>20161.759999999998</v>
      </c>
      <c r="N95" s="960">
        <f>+'Cant. Ejec,'!K87</f>
        <v>0</v>
      </c>
      <c r="O95" s="960">
        <f>+'Cant. Ejec,'!L87</f>
        <v>0</v>
      </c>
      <c r="P95" s="1462">
        <f>+'Cant. Ejec,'!M87</f>
        <v>0</v>
      </c>
      <c r="Q95" s="974">
        <f>+ROUND(H95*P95,2)</f>
        <v>0</v>
      </c>
      <c r="R95" s="928">
        <f t="shared" si="53"/>
        <v>0</v>
      </c>
      <c r="S95" s="954">
        <f t="shared" si="53"/>
        <v>0</v>
      </c>
      <c r="T95" s="928">
        <f t="shared" si="54"/>
        <v>4</v>
      </c>
      <c r="U95" s="954">
        <f t="shared" si="55"/>
        <v>20161.759999999998</v>
      </c>
      <c r="V95" s="933">
        <f t="shared" si="56"/>
        <v>0</v>
      </c>
      <c r="W95" s="933">
        <f t="shared" si="57"/>
        <v>0</v>
      </c>
      <c r="X95" s="934">
        <f t="shared" si="52"/>
        <v>1</v>
      </c>
      <c r="Y95" s="519">
        <f t="shared" si="44"/>
        <v>0</v>
      </c>
      <c r="Z95" s="212" t="str">
        <f t="shared" si="45"/>
        <v>ok</v>
      </c>
      <c r="AA95" s="1">
        <v>12495</v>
      </c>
      <c r="AB95" s="395">
        <f t="shared" si="28"/>
        <v>12491</v>
      </c>
    </row>
    <row r="96" spans="1:29" ht="20.100000000000001" customHeight="1">
      <c r="A96" s="509">
        <f t="shared" si="46"/>
        <v>0</v>
      </c>
      <c r="B96" s="510">
        <f t="shared" si="43"/>
        <v>0</v>
      </c>
      <c r="C96" s="512">
        <f t="shared" si="47"/>
        <v>6</v>
      </c>
      <c r="D96" s="513" t="str">
        <f t="shared" si="58"/>
        <v>5. SEÑALIZACION Y SEGURIDAD VIAL</v>
      </c>
      <c r="E96" s="899">
        <v>69</v>
      </c>
      <c r="F96" s="908" t="s">
        <v>367</v>
      </c>
      <c r="G96" s="909" t="s">
        <v>360</v>
      </c>
      <c r="H96" s="960">
        <v>5892.53</v>
      </c>
      <c r="I96" s="967">
        <v>1</v>
      </c>
      <c r="J96" s="921">
        <f t="shared" si="32"/>
        <v>5892.53</v>
      </c>
      <c r="K96" s="929">
        <v>1</v>
      </c>
      <c r="L96" s="920" t="str">
        <f t="shared" si="49"/>
        <v>-</v>
      </c>
      <c r="M96" s="921">
        <f t="shared" si="50"/>
        <v>5892.53</v>
      </c>
      <c r="N96" s="960">
        <f>+'Cant. Ejec,'!K88</f>
        <v>0</v>
      </c>
      <c r="O96" s="960">
        <f>+'Cant. Ejec,'!L88</f>
        <v>0</v>
      </c>
      <c r="P96" s="1462">
        <f>+'Cant. Ejec,'!M88</f>
        <v>0</v>
      </c>
      <c r="Q96" s="974">
        <f t="shared" si="51"/>
        <v>0</v>
      </c>
      <c r="R96" s="928">
        <f t="shared" si="53"/>
        <v>0</v>
      </c>
      <c r="S96" s="954">
        <f t="shared" si="53"/>
        <v>0</v>
      </c>
      <c r="T96" s="928">
        <f t="shared" si="54"/>
        <v>1</v>
      </c>
      <c r="U96" s="954">
        <f t="shared" si="55"/>
        <v>5892.53</v>
      </c>
      <c r="V96" s="933">
        <f t="shared" si="56"/>
        <v>0</v>
      </c>
      <c r="W96" s="933">
        <f t="shared" si="57"/>
        <v>0</v>
      </c>
      <c r="X96" s="934">
        <f t="shared" si="52"/>
        <v>1</v>
      </c>
      <c r="Y96" s="519">
        <f t="shared" si="44"/>
        <v>0</v>
      </c>
      <c r="Z96" s="212" t="str">
        <f t="shared" si="45"/>
        <v>ok</v>
      </c>
      <c r="AA96" s="1">
        <v>7064.4</v>
      </c>
      <c r="AB96" s="395">
        <f t="shared" ref="AB96:AB101" si="59">+AA96-T96</f>
        <v>7063.4</v>
      </c>
    </row>
    <row r="97" spans="1:28" ht="20.100000000000001" customHeight="1">
      <c r="A97" s="509">
        <f t="shared" si="46"/>
        <v>0</v>
      </c>
      <c r="B97" s="510">
        <f t="shared" si="43"/>
        <v>0</v>
      </c>
      <c r="C97" s="512">
        <f t="shared" si="47"/>
        <v>6</v>
      </c>
      <c r="D97" s="513" t="str">
        <f t="shared" si="58"/>
        <v>5. SEÑALIZACION Y SEGURIDAD VIAL</v>
      </c>
      <c r="E97" s="899">
        <v>70</v>
      </c>
      <c r="F97" s="908" t="s">
        <v>368</v>
      </c>
      <c r="G97" s="909" t="s">
        <v>360</v>
      </c>
      <c r="H97" s="960">
        <v>5216.41</v>
      </c>
      <c r="I97" s="967">
        <v>8</v>
      </c>
      <c r="J97" s="921">
        <f t="shared" si="32"/>
        <v>41731.279999999999</v>
      </c>
      <c r="K97" s="929">
        <v>8</v>
      </c>
      <c r="L97" s="920" t="str">
        <f t="shared" si="49"/>
        <v>-</v>
      </c>
      <c r="M97" s="921">
        <f t="shared" si="50"/>
        <v>41731.279999999999</v>
      </c>
      <c r="N97" s="960">
        <f>+'Cant. Ejec,'!K89</f>
        <v>0</v>
      </c>
      <c r="O97" s="960">
        <f>+'Cant. Ejec,'!L89</f>
        <v>0</v>
      </c>
      <c r="P97" s="1462">
        <f>+'Cant. Ejec,'!M89</f>
        <v>0</v>
      </c>
      <c r="Q97" s="974">
        <f t="shared" si="51"/>
        <v>0</v>
      </c>
      <c r="R97" s="928">
        <f t="shared" si="53"/>
        <v>0</v>
      </c>
      <c r="S97" s="954">
        <f t="shared" si="53"/>
        <v>0</v>
      </c>
      <c r="T97" s="928">
        <f t="shared" si="54"/>
        <v>8</v>
      </c>
      <c r="U97" s="954">
        <f t="shared" si="55"/>
        <v>41731.279999999999</v>
      </c>
      <c r="V97" s="933">
        <f t="shared" si="56"/>
        <v>0</v>
      </c>
      <c r="W97" s="933">
        <f t="shared" si="57"/>
        <v>0</v>
      </c>
      <c r="X97" s="934">
        <f t="shared" si="52"/>
        <v>1</v>
      </c>
      <c r="Y97" s="519">
        <f t="shared" si="44"/>
        <v>0</v>
      </c>
      <c r="Z97" s="212" t="str">
        <f t="shared" si="45"/>
        <v>ok</v>
      </c>
      <c r="AB97" s="395">
        <f t="shared" si="59"/>
        <v>-8</v>
      </c>
    </row>
    <row r="98" spans="1:28" ht="20.100000000000001" customHeight="1">
      <c r="A98" s="509">
        <f t="shared" si="46"/>
        <v>0</v>
      </c>
      <c r="B98" s="510">
        <f t="shared" si="43"/>
        <v>0</v>
      </c>
      <c r="C98" s="512">
        <f t="shared" si="47"/>
        <v>6</v>
      </c>
      <c r="D98" s="513" t="str">
        <f t="shared" si="58"/>
        <v>5. SEÑALIZACION Y SEGURIDAD VIAL</v>
      </c>
      <c r="E98" s="899">
        <v>71</v>
      </c>
      <c r="F98" s="908" t="s">
        <v>369</v>
      </c>
      <c r="G98" s="909" t="s">
        <v>360</v>
      </c>
      <c r="H98" s="960">
        <v>2141.4499999999998</v>
      </c>
      <c r="I98" s="967">
        <v>22</v>
      </c>
      <c r="J98" s="921">
        <f t="shared" si="32"/>
        <v>47111.9</v>
      </c>
      <c r="K98" s="929">
        <v>22</v>
      </c>
      <c r="L98" s="920" t="str">
        <f t="shared" si="49"/>
        <v>-</v>
      </c>
      <c r="M98" s="921">
        <f t="shared" si="50"/>
        <v>47111.9</v>
      </c>
      <c r="N98" s="960">
        <f>+'Cant. Ejec,'!K90</f>
        <v>0</v>
      </c>
      <c r="O98" s="960">
        <f>+'Cant. Ejec,'!L90</f>
        <v>0</v>
      </c>
      <c r="P98" s="1462">
        <f>+'Cant. Ejec,'!M90</f>
        <v>0</v>
      </c>
      <c r="Q98" s="974">
        <f t="shared" si="51"/>
        <v>0</v>
      </c>
      <c r="R98" s="928">
        <f t="shared" si="53"/>
        <v>0</v>
      </c>
      <c r="S98" s="954">
        <f t="shared" si="53"/>
        <v>0</v>
      </c>
      <c r="T98" s="928">
        <f t="shared" si="54"/>
        <v>22</v>
      </c>
      <c r="U98" s="954">
        <f t="shared" si="55"/>
        <v>47111.9</v>
      </c>
      <c r="V98" s="933">
        <f t="shared" si="56"/>
        <v>0</v>
      </c>
      <c r="W98" s="933">
        <f t="shared" si="57"/>
        <v>0</v>
      </c>
      <c r="X98" s="934">
        <f t="shared" si="52"/>
        <v>1</v>
      </c>
      <c r="Y98" s="519">
        <f t="shared" si="44"/>
        <v>0</v>
      </c>
      <c r="Z98" s="212" t="str">
        <f t="shared" si="45"/>
        <v>ok</v>
      </c>
      <c r="AB98" s="395">
        <f t="shared" si="59"/>
        <v>-22</v>
      </c>
    </row>
    <row r="99" spans="1:28" ht="20.100000000000001" customHeight="1">
      <c r="A99" s="509">
        <f t="shared" si="46"/>
        <v>0</v>
      </c>
      <c r="B99" s="510">
        <f t="shared" si="43"/>
        <v>0</v>
      </c>
      <c r="C99" s="512">
        <f t="shared" si="47"/>
        <v>6</v>
      </c>
      <c r="D99" s="513" t="str">
        <f t="shared" si="58"/>
        <v>5. SEÑALIZACION Y SEGURIDAD VIAL</v>
      </c>
      <c r="E99" s="899">
        <v>72</v>
      </c>
      <c r="F99" s="908" t="s">
        <v>370</v>
      </c>
      <c r="G99" s="909" t="s">
        <v>360</v>
      </c>
      <c r="H99" s="960">
        <v>52.22</v>
      </c>
      <c r="I99" s="967">
        <v>16875</v>
      </c>
      <c r="J99" s="921">
        <f t="shared" si="32"/>
        <v>881212.5</v>
      </c>
      <c r="K99" s="929">
        <v>16875</v>
      </c>
      <c r="L99" s="920" t="str">
        <f t="shared" si="49"/>
        <v>-</v>
      </c>
      <c r="M99" s="921">
        <f t="shared" si="50"/>
        <v>881212.5</v>
      </c>
      <c r="N99" s="960">
        <f>+'Cant. Ejec,'!K91</f>
        <v>0</v>
      </c>
      <c r="O99" s="960">
        <f>+'Cant. Ejec,'!L91</f>
        <v>0</v>
      </c>
      <c r="P99" s="1462">
        <f>+'Cant. Ejec,'!M91</f>
        <v>0</v>
      </c>
      <c r="Q99" s="974">
        <f t="shared" si="51"/>
        <v>0</v>
      </c>
      <c r="R99" s="928">
        <f t="shared" si="53"/>
        <v>0</v>
      </c>
      <c r="S99" s="954">
        <f t="shared" si="53"/>
        <v>0</v>
      </c>
      <c r="T99" s="928">
        <f t="shared" si="54"/>
        <v>16875</v>
      </c>
      <c r="U99" s="954">
        <f t="shared" si="55"/>
        <v>881212.5</v>
      </c>
      <c r="V99" s="933">
        <f t="shared" si="56"/>
        <v>0</v>
      </c>
      <c r="W99" s="933">
        <f t="shared" si="57"/>
        <v>0</v>
      </c>
      <c r="X99" s="934">
        <f t="shared" si="52"/>
        <v>1</v>
      </c>
      <c r="Y99" s="519">
        <f t="shared" si="44"/>
        <v>0</v>
      </c>
      <c r="Z99" s="212" t="str">
        <f t="shared" si="45"/>
        <v>ok</v>
      </c>
      <c r="AA99" s="1">
        <v>69.53</v>
      </c>
      <c r="AB99" s="395">
        <f t="shared" si="59"/>
        <v>-16805.47</v>
      </c>
    </row>
    <row r="100" spans="1:28" ht="20.100000000000001" customHeight="1">
      <c r="A100" s="509">
        <f t="shared" si="46"/>
        <v>0</v>
      </c>
      <c r="B100" s="510">
        <f t="shared" si="43"/>
        <v>0</v>
      </c>
      <c r="C100" s="512">
        <f t="shared" si="47"/>
        <v>6</v>
      </c>
      <c r="D100" s="513" t="str">
        <f t="shared" si="58"/>
        <v>5. SEÑALIZACION Y SEGURIDAD VIAL</v>
      </c>
      <c r="E100" s="899">
        <v>73</v>
      </c>
      <c r="F100" s="908" t="s">
        <v>371</v>
      </c>
      <c r="G100" s="910" t="s">
        <v>89</v>
      </c>
      <c r="H100" s="979">
        <v>56.7</v>
      </c>
      <c r="I100" s="967">
        <v>109</v>
      </c>
      <c r="J100" s="921">
        <f t="shared" si="32"/>
        <v>6180.3</v>
      </c>
      <c r="K100" s="980">
        <v>109</v>
      </c>
      <c r="L100" s="920" t="str">
        <f t="shared" si="49"/>
        <v>-</v>
      </c>
      <c r="M100" s="982">
        <f t="shared" si="50"/>
        <v>6180.3</v>
      </c>
      <c r="N100" s="960">
        <f>+'Cant. Ejec,'!K92</f>
        <v>0</v>
      </c>
      <c r="O100" s="960">
        <f>+'Cant. Ejec,'!L92</f>
        <v>0</v>
      </c>
      <c r="P100" s="1462">
        <f>+'Cant. Ejec,'!M92</f>
        <v>0</v>
      </c>
      <c r="Q100" s="1005">
        <f t="shared" si="51"/>
        <v>0</v>
      </c>
      <c r="R100" s="928">
        <f t="shared" si="53"/>
        <v>0</v>
      </c>
      <c r="S100" s="954">
        <f t="shared" si="53"/>
        <v>0</v>
      </c>
      <c r="T100" s="928">
        <f t="shared" si="54"/>
        <v>109</v>
      </c>
      <c r="U100" s="954">
        <f t="shared" si="55"/>
        <v>6180.3</v>
      </c>
      <c r="V100" s="937">
        <f t="shared" si="56"/>
        <v>0</v>
      </c>
      <c r="W100" s="937">
        <f t="shared" si="57"/>
        <v>0</v>
      </c>
      <c r="X100" s="938">
        <f t="shared" si="52"/>
        <v>1</v>
      </c>
      <c r="Y100" s="519">
        <f t="shared" si="44"/>
        <v>0</v>
      </c>
      <c r="Z100" s="212" t="str">
        <f t="shared" si="45"/>
        <v>ok</v>
      </c>
      <c r="AA100" s="1">
        <v>296433.56999999995</v>
      </c>
      <c r="AB100" s="395">
        <f t="shared" si="59"/>
        <v>296324.56999999995</v>
      </c>
    </row>
    <row r="101" spans="1:28" ht="18" customHeight="1">
      <c r="A101" s="509">
        <f t="shared" si="46"/>
        <v>0</v>
      </c>
      <c r="B101" s="510">
        <f t="shared" si="43"/>
        <v>0</v>
      </c>
      <c r="C101" s="512">
        <f t="shared" si="47"/>
        <v>6</v>
      </c>
      <c r="D101" s="513"/>
      <c r="E101" s="915"/>
      <c r="F101" s="1463" t="s">
        <v>237</v>
      </c>
      <c r="G101" s="1464"/>
      <c r="H101" s="1465"/>
      <c r="I101" s="1466"/>
      <c r="J101" s="1467">
        <f>SUM(J85:J100)</f>
        <v>12064327.41</v>
      </c>
      <c r="K101" s="1468"/>
      <c r="L101" s="1468"/>
      <c r="M101" s="1467">
        <f>SUM(M85:M100)</f>
        <v>12064327.41</v>
      </c>
      <c r="N101" s="1469"/>
      <c r="O101" s="1467">
        <f>SUM(O85:O100)</f>
        <v>0</v>
      </c>
      <c r="P101" s="1470"/>
      <c r="Q101" s="1467">
        <f>SUM(Q85:Q100)</f>
        <v>0</v>
      </c>
      <c r="R101" s="1469"/>
      <c r="S101" s="1467">
        <f>SUM(S85:S100)</f>
        <v>0</v>
      </c>
      <c r="T101" s="1470"/>
      <c r="U101" s="1467">
        <f>SUM(U85:U100)</f>
        <v>12064327.41</v>
      </c>
      <c r="V101" s="945">
        <f>(Q101/M101)</f>
        <v>0</v>
      </c>
      <c r="W101" s="946">
        <f>(S101/M101)</f>
        <v>0</v>
      </c>
      <c r="X101" s="947">
        <f>(U101/M101)</f>
        <v>1</v>
      </c>
      <c r="Y101" s="519"/>
      <c r="Z101" s="212"/>
      <c r="AA101" s="1">
        <v>153499.76</v>
      </c>
      <c r="AB101" s="395">
        <f t="shared" si="59"/>
        <v>153499.76</v>
      </c>
    </row>
    <row r="102" spans="1:28" ht="18" customHeight="1">
      <c r="A102" s="509">
        <f t="shared" si="46"/>
        <v>0</v>
      </c>
      <c r="B102" s="510">
        <f t="shared" si="43"/>
        <v>0</v>
      </c>
      <c r="C102" s="512">
        <f t="shared" si="47"/>
        <v>6</v>
      </c>
      <c r="D102" s="513"/>
      <c r="E102" s="915">
        <v>6</v>
      </c>
      <c r="F102" s="916" t="s">
        <v>241</v>
      </c>
      <c r="G102" s="917"/>
      <c r="H102" s="917"/>
      <c r="I102" s="983"/>
      <c r="J102" s="983"/>
      <c r="K102" s="983"/>
      <c r="L102" s="983"/>
      <c r="M102" s="983"/>
      <c r="N102" s="1471"/>
      <c r="O102" s="1471"/>
      <c r="P102" s="1471"/>
      <c r="Q102" s="1471"/>
      <c r="R102" s="1471"/>
      <c r="S102" s="1471"/>
      <c r="T102" s="1471"/>
      <c r="U102" s="1471"/>
      <c r="V102" s="950"/>
      <c r="W102" s="950"/>
      <c r="X102" s="985"/>
      <c r="Y102" s="519"/>
      <c r="Z102" s="212"/>
      <c r="AB102" s="395"/>
    </row>
    <row r="103" spans="1:28" s="1350" customFormat="1" ht="20.100000000000001" customHeight="1">
      <c r="A103" s="1344">
        <f t="shared" si="46"/>
        <v>7</v>
      </c>
      <c r="B103" s="1345">
        <f t="shared" si="43"/>
        <v>1</v>
      </c>
      <c r="C103" s="1346">
        <f t="shared" si="47"/>
        <v>7</v>
      </c>
      <c r="D103" s="1347" t="str">
        <f>+E102&amp;". "&amp;F102</f>
        <v>6. MEDIDAS DE MITIGACION AMBIENTAL</v>
      </c>
      <c r="E103" s="899">
        <v>74</v>
      </c>
      <c r="F103" s="908" t="s">
        <v>241</v>
      </c>
      <c r="G103" s="1356" t="s">
        <v>91</v>
      </c>
      <c r="H103" s="960">
        <v>1018905.14</v>
      </c>
      <c r="I103" s="967">
        <v>1</v>
      </c>
      <c r="J103" s="921">
        <f>ROUND(I103*H103,2)</f>
        <v>1018905.14</v>
      </c>
      <c r="K103" s="967">
        <v>1</v>
      </c>
      <c r="L103" s="1481" t="str">
        <f>IF(I103=K103,"-","CM 3")</f>
        <v>-</v>
      </c>
      <c r="M103" s="921">
        <f>ROUND(K103*H103,2)</f>
        <v>1018905.14</v>
      </c>
      <c r="N103" s="967">
        <f>+'Cant. Ejec,'!K94</f>
        <v>0.05</v>
      </c>
      <c r="O103" s="967">
        <f>+'Cant. Ejec,'!L94</f>
        <v>50945.259999999995</v>
      </c>
      <c r="P103" s="1462">
        <f>+'Cant. Ejec,'!M94</f>
        <v>0.03</v>
      </c>
      <c r="Q103" s="1005">
        <f t="shared" ref="Q103" si="60">+ROUND(H103*P103,2)</f>
        <v>30567.15</v>
      </c>
      <c r="R103" s="928">
        <f>N103+P103</f>
        <v>0.08</v>
      </c>
      <c r="S103" s="954">
        <f>O103+Q103</f>
        <v>81512.41</v>
      </c>
      <c r="T103" s="928">
        <f>K103-R103</f>
        <v>0.92</v>
      </c>
      <c r="U103" s="954">
        <f>+M103-S103</f>
        <v>937392.73</v>
      </c>
      <c r="V103" s="937">
        <f>(Q103/M103)</f>
        <v>2.9999995877928343E-2</v>
      </c>
      <c r="W103" s="937">
        <f>(S103/M103)</f>
        <v>7.9999998822265245E-2</v>
      </c>
      <c r="X103" s="938">
        <f>(100%-W103)</f>
        <v>0.92000000117773473</v>
      </c>
      <c r="Y103" s="1348">
        <f t="shared" si="44"/>
        <v>0.08</v>
      </c>
      <c r="Z103" s="1349" t="str">
        <f t="shared" si="45"/>
        <v>ok</v>
      </c>
      <c r="AB103" s="1351"/>
    </row>
    <row r="104" spans="1:28" ht="18" customHeight="1">
      <c r="A104" s="509">
        <f t="shared" si="46"/>
        <v>0</v>
      </c>
      <c r="B104" s="510">
        <f t="shared" si="43"/>
        <v>0</v>
      </c>
      <c r="C104" s="512">
        <f t="shared" si="47"/>
        <v>7</v>
      </c>
      <c r="D104" s="513"/>
      <c r="E104" s="915"/>
      <c r="F104" s="1463" t="s">
        <v>237</v>
      </c>
      <c r="G104" s="1464"/>
      <c r="H104" s="1465"/>
      <c r="I104" s="1466"/>
      <c r="J104" s="1467">
        <f>SUM(J103)</f>
        <v>1018905.14</v>
      </c>
      <c r="K104" s="1468"/>
      <c r="L104" s="1468"/>
      <c r="M104" s="1467">
        <f>SUM(M103)</f>
        <v>1018905.14</v>
      </c>
      <c r="N104" s="1469"/>
      <c r="O104" s="1467">
        <f>SUM(O103)</f>
        <v>50945.259999999995</v>
      </c>
      <c r="P104" s="1470"/>
      <c r="Q104" s="1467">
        <f>SUM(Q103)</f>
        <v>30567.15</v>
      </c>
      <c r="R104" s="1469"/>
      <c r="S104" s="1467">
        <f>SUM(S103)</f>
        <v>81512.41</v>
      </c>
      <c r="T104" s="1470"/>
      <c r="U104" s="1467">
        <f>SUM(U103)</f>
        <v>937392.73</v>
      </c>
      <c r="V104" s="945">
        <f>(Q104/M104)</f>
        <v>2.9999995877928343E-2</v>
      </c>
      <c r="W104" s="946">
        <f>(S104/M104)</f>
        <v>7.9999998822265245E-2</v>
      </c>
      <c r="X104" s="947">
        <f>(U104/M104)</f>
        <v>0.92000000117773473</v>
      </c>
      <c r="Y104" s="519"/>
      <c r="Z104" s="212"/>
      <c r="AB104" s="395"/>
    </row>
    <row r="105" spans="1:28" ht="18" customHeight="1">
      <c r="A105" s="509">
        <f t="shared" si="46"/>
        <v>0</v>
      </c>
      <c r="B105" s="510">
        <f t="shared" si="43"/>
        <v>0</v>
      </c>
      <c r="C105" s="512">
        <f t="shared" si="47"/>
        <v>7</v>
      </c>
      <c r="D105" s="513"/>
      <c r="E105" s="915">
        <v>7</v>
      </c>
      <c r="F105" s="916" t="s">
        <v>372</v>
      </c>
      <c r="G105" s="917"/>
      <c r="H105" s="917"/>
      <c r="I105" s="983"/>
      <c r="J105" s="983"/>
      <c r="K105" s="983"/>
      <c r="L105" s="983"/>
      <c r="M105" s="983"/>
      <c r="N105" s="1471"/>
      <c r="O105" s="1471"/>
      <c r="P105" s="1471"/>
      <c r="Q105" s="1471"/>
      <c r="R105" s="1471"/>
      <c r="S105" s="1471"/>
      <c r="T105" s="1471"/>
      <c r="U105" s="1471"/>
      <c r="V105" s="950"/>
      <c r="W105" s="950"/>
      <c r="X105" s="985"/>
      <c r="Y105" s="519"/>
      <c r="Z105" s="212"/>
      <c r="AB105" s="395"/>
    </row>
    <row r="106" spans="1:28" s="1350" customFormat="1" ht="20.100000000000001" customHeight="1">
      <c r="A106" s="1344">
        <f t="shared" si="46"/>
        <v>8</v>
      </c>
      <c r="B106" s="1345">
        <f t="shared" si="43"/>
        <v>1</v>
      </c>
      <c r="C106" s="1346">
        <f t="shared" si="47"/>
        <v>8</v>
      </c>
      <c r="D106" s="1347" t="str">
        <f>+E105&amp;". "&amp;F105</f>
        <v>7. SERVICIOS PARA EL INGENIERO</v>
      </c>
      <c r="E106" s="899">
        <v>75</v>
      </c>
      <c r="F106" s="908" t="s">
        <v>373</v>
      </c>
      <c r="G106" s="900" t="s">
        <v>239</v>
      </c>
      <c r="H106" s="963">
        <v>49.55</v>
      </c>
      <c r="I106" s="971">
        <v>11316.9</v>
      </c>
      <c r="J106" s="953">
        <f t="shared" ref="J106:J111" si="61">ROUND(I106*H106,2)</f>
        <v>560752.4</v>
      </c>
      <c r="K106" s="919">
        <v>11316.9</v>
      </c>
      <c r="L106" s="1357" t="str">
        <f>IF(I106=K106,"-","CM 3")</f>
        <v>-</v>
      </c>
      <c r="M106" s="921">
        <f t="shared" ref="M106:M111" si="62">ROUND(K106*H106,2)</f>
        <v>560752.4</v>
      </c>
      <c r="N106" s="960">
        <f>+'Cant. Ejec,'!K96</f>
        <v>446.4</v>
      </c>
      <c r="O106" s="960">
        <f>+'Cant. Ejec,'!L96</f>
        <v>22119.119999999999</v>
      </c>
      <c r="P106" s="1462">
        <f>+'Cant. Ejec,'!M96</f>
        <v>122.4</v>
      </c>
      <c r="Q106" s="1461">
        <f t="shared" ref="Q106:Q111" si="63">+ROUND(H106*P106,2)</f>
        <v>6064.92</v>
      </c>
      <c r="R106" s="928">
        <f>N106+P106</f>
        <v>568.79999999999995</v>
      </c>
      <c r="S106" s="954">
        <f>O106+Q106</f>
        <v>28184.04</v>
      </c>
      <c r="T106" s="928">
        <f>K106-R106</f>
        <v>10748.1</v>
      </c>
      <c r="U106" s="954">
        <f>+M106-S106</f>
        <v>532568.36</v>
      </c>
      <c r="V106" s="933">
        <f>(Q106/M106)</f>
        <v>1.0815682643533938E-2</v>
      </c>
      <c r="W106" s="933">
        <f>(S106/M106)</f>
        <v>5.0261113461128298E-2</v>
      </c>
      <c r="X106" s="934">
        <f t="shared" ref="X106:X111" si="64">(100%-W106)</f>
        <v>0.94973888653887173</v>
      </c>
      <c r="Y106" s="1348">
        <f t="shared" si="44"/>
        <v>5.0261113909286108E-2</v>
      </c>
      <c r="Z106" s="1349" t="str">
        <f t="shared" si="45"/>
        <v>ok</v>
      </c>
      <c r="AB106" s="1351"/>
    </row>
    <row r="107" spans="1:28" s="1350" customFormat="1" ht="20.100000000000001" customHeight="1">
      <c r="A107" s="1344">
        <f t="shared" si="46"/>
        <v>0</v>
      </c>
      <c r="B107" s="1345">
        <f t="shared" si="43"/>
        <v>0</v>
      </c>
      <c r="C107" s="1346">
        <f t="shared" si="47"/>
        <v>8</v>
      </c>
      <c r="D107" s="1347" t="str">
        <f t="shared" ref="D107:D111" si="65">+D106</f>
        <v>7. SERVICIOS PARA EL INGENIERO</v>
      </c>
      <c r="E107" s="899">
        <v>76</v>
      </c>
      <c r="F107" s="908" t="s">
        <v>374</v>
      </c>
      <c r="G107" s="909" t="s">
        <v>360</v>
      </c>
      <c r="H107" s="960">
        <v>527727.62</v>
      </c>
      <c r="I107" s="967">
        <v>1</v>
      </c>
      <c r="J107" s="921">
        <f t="shared" si="61"/>
        <v>527727.62</v>
      </c>
      <c r="K107" s="929">
        <v>1</v>
      </c>
      <c r="L107" s="988" t="str">
        <f t="shared" ref="L107:L111" si="66">IF(I107=K107,"-","CM 3")</f>
        <v>-</v>
      </c>
      <c r="M107" s="921">
        <f t="shared" si="62"/>
        <v>527727.62</v>
      </c>
      <c r="N107" s="960">
        <f>+'Cant. Ejec,'!K97</f>
        <v>0</v>
      </c>
      <c r="O107" s="960">
        <f>+'Cant. Ejec,'!L97</f>
        <v>0</v>
      </c>
      <c r="P107" s="1462">
        <f>+'Cant. Ejec,'!M97</f>
        <v>0</v>
      </c>
      <c r="Q107" s="974">
        <f t="shared" si="63"/>
        <v>0</v>
      </c>
      <c r="R107" s="928">
        <f t="shared" ref="R107:S111" si="67">N107+P107</f>
        <v>0</v>
      </c>
      <c r="S107" s="954">
        <f t="shared" si="67"/>
        <v>0</v>
      </c>
      <c r="T107" s="928">
        <f t="shared" ref="T107:T111" si="68">K107-R107</f>
        <v>1</v>
      </c>
      <c r="U107" s="954">
        <f t="shared" ref="U107:U111" si="69">+M107-S107</f>
        <v>527727.62</v>
      </c>
      <c r="V107" s="933">
        <f t="shared" ref="V107:V111" si="70">(Q107/M107)</f>
        <v>0</v>
      </c>
      <c r="W107" s="933">
        <f t="shared" ref="W107:W111" si="71">(S107/M107)</f>
        <v>0</v>
      </c>
      <c r="X107" s="934">
        <f t="shared" si="64"/>
        <v>1</v>
      </c>
      <c r="Y107" s="1348">
        <f t="shared" si="44"/>
        <v>0</v>
      </c>
      <c r="Z107" s="1349" t="str">
        <f t="shared" si="45"/>
        <v>ok</v>
      </c>
      <c r="AB107" s="1351"/>
    </row>
    <row r="108" spans="1:28" s="1350" customFormat="1" ht="20.100000000000001" customHeight="1">
      <c r="A108" s="1344">
        <f t="shared" si="46"/>
        <v>0</v>
      </c>
      <c r="B108" s="1345">
        <f t="shared" si="43"/>
        <v>0</v>
      </c>
      <c r="C108" s="1346">
        <f t="shared" si="47"/>
        <v>8</v>
      </c>
      <c r="D108" s="1347" t="str">
        <f t="shared" si="65"/>
        <v>7. SERVICIOS PARA EL INGENIERO</v>
      </c>
      <c r="E108" s="899">
        <v>77</v>
      </c>
      <c r="F108" s="908" t="s">
        <v>375</v>
      </c>
      <c r="G108" s="909" t="s">
        <v>360</v>
      </c>
      <c r="H108" s="960">
        <v>277857.94</v>
      </c>
      <c r="I108" s="967">
        <v>2</v>
      </c>
      <c r="J108" s="921">
        <f t="shared" si="61"/>
        <v>555715.88</v>
      </c>
      <c r="K108" s="929">
        <v>2</v>
      </c>
      <c r="L108" s="988" t="str">
        <f t="shared" si="66"/>
        <v>-</v>
      </c>
      <c r="M108" s="921">
        <f t="shared" si="62"/>
        <v>555715.88</v>
      </c>
      <c r="N108" s="960">
        <f>+'Cant. Ejec,'!K98</f>
        <v>0</v>
      </c>
      <c r="O108" s="960">
        <f>+'Cant. Ejec,'!L98</f>
        <v>0</v>
      </c>
      <c r="P108" s="1462">
        <f>+'Cant. Ejec,'!M98</f>
        <v>0</v>
      </c>
      <c r="Q108" s="974">
        <f t="shared" si="63"/>
        <v>0</v>
      </c>
      <c r="R108" s="928">
        <f t="shared" si="67"/>
        <v>0</v>
      </c>
      <c r="S108" s="954">
        <f t="shared" si="67"/>
        <v>0</v>
      </c>
      <c r="T108" s="928">
        <f t="shared" si="68"/>
        <v>2</v>
      </c>
      <c r="U108" s="954">
        <f t="shared" si="69"/>
        <v>555715.88</v>
      </c>
      <c r="V108" s="933">
        <f t="shared" si="70"/>
        <v>0</v>
      </c>
      <c r="W108" s="933">
        <f t="shared" si="71"/>
        <v>0</v>
      </c>
      <c r="X108" s="934">
        <f t="shared" si="64"/>
        <v>1</v>
      </c>
      <c r="Y108" s="1348">
        <f t="shared" si="44"/>
        <v>0</v>
      </c>
      <c r="Z108" s="1349" t="str">
        <f t="shared" si="45"/>
        <v>ok</v>
      </c>
      <c r="AB108" s="1351"/>
    </row>
    <row r="109" spans="1:28" s="1350" customFormat="1" ht="20.100000000000001" customHeight="1">
      <c r="A109" s="1344">
        <f t="shared" si="46"/>
        <v>9</v>
      </c>
      <c r="B109" s="1345">
        <f t="shared" si="43"/>
        <v>1</v>
      </c>
      <c r="C109" s="1346">
        <f t="shared" si="47"/>
        <v>9</v>
      </c>
      <c r="D109" s="1347" t="str">
        <f t="shared" si="65"/>
        <v>7. SERVICIOS PARA EL INGENIERO</v>
      </c>
      <c r="E109" s="899">
        <v>78</v>
      </c>
      <c r="F109" s="908" t="s">
        <v>376</v>
      </c>
      <c r="G109" s="909" t="s">
        <v>240</v>
      </c>
      <c r="H109" s="960">
        <v>1535.17</v>
      </c>
      <c r="I109" s="967">
        <v>18</v>
      </c>
      <c r="J109" s="921">
        <f t="shared" si="61"/>
        <v>27633.06</v>
      </c>
      <c r="K109" s="929">
        <v>18</v>
      </c>
      <c r="L109" s="988" t="str">
        <f t="shared" si="66"/>
        <v>-</v>
      </c>
      <c r="M109" s="921">
        <f t="shared" si="62"/>
        <v>27633.06</v>
      </c>
      <c r="N109" s="960">
        <f>+'Cant. Ejec,'!K99</f>
        <v>8</v>
      </c>
      <c r="O109" s="960">
        <f>+'Cant. Ejec,'!L99</f>
        <v>12281.36</v>
      </c>
      <c r="P109" s="1462">
        <f>+'Cant. Ejec,'!M99</f>
        <v>2</v>
      </c>
      <c r="Q109" s="974">
        <f t="shared" si="63"/>
        <v>3070.34</v>
      </c>
      <c r="R109" s="928">
        <f t="shared" si="67"/>
        <v>10</v>
      </c>
      <c r="S109" s="954">
        <f t="shared" si="67"/>
        <v>15351.7</v>
      </c>
      <c r="T109" s="928">
        <f t="shared" si="68"/>
        <v>8</v>
      </c>
      <c r="U109" s="954">
        <f t="shared" si="69"/>
        <v>12281.36</v>
      </c>
      <c r="V109" s="933">
        <f>(Q109/M109)</f>
        <v>0.1111111111111111</v>
      </c>
      <c r="W109" s="933">
        <f t="shared" si="71"/>
        <v>0.55555555555555558</v>
      </c>
      <c r="X109" s="934">
        <f t="shared" si="64"/>
        <v>0.44444444444444442</v>
      </c>
      <c r="Y109" s="1348">
        <f t="shared" si="44"/>
        <v>0.55555555555555558</v>
      </c>
      <c r="Z109" s="1349" t="str">
        <f t="shared" si="45"/>
        <v>ok</v>
      </c>
      <c r="AB109" s="1351"/>
    </row>
    <row r="110" spans="1:28" s="1350" customFormat="1" ht="20.100000000000001" customHeight="1">
      <c r="A110" s="1344">
        <f t="shared" si="46"/>
        <v>10</v>
      </c>
      <c r="B110" s="1345">
        <f t="shared" si="43"/>
        <v>1</v>
      </c>
      <c r="C110" s="1346">
        <f t="shared" si="47"/>
        <v>10</v>
      </c>
      <c r="D110" s="1347" t="str">
        <f t="shared" si="65"/>
        <v>7. SERVICIOS PARA EL INGENIERO</v>
      </c>
      <c r="E110" s="899">
        <v>79</v>
      </c>
      <c r="F110" s="908" t="s">
        <v>377</v>
      </c>
      <c r="G110" s="909" t="s">
        <v>421</v>
      </c>
      <c r="H110" s="960">
        <v>15.2</v>
      </c>
      <c r="I110" s="967">
        <v>33004.019999999997</v>
      </c>
      <c r="J110" s="921">
        <f t="shared" si="61"/>
        <v>501661.1</v>
      </c>
      <c r="K110" s="929">
        <v>33004.019999999997</v>
      </c>
      <c r="L110" s="988" t="str">
        <f t="shared" si="66"/>
        <v>-</v>
      </c>
      <c r="M110" s="921">
        <f t="shared" si="62"/>
        <v>501661.1</v>
      </c>
      <c r="N110" s="960">
        <f>+'Cant. Ejec,'!K100</f>
        <v>1909.12</v>
      </c>
      <c r="O110" s="960">
        <f>+'Cant. Ejec,'!L100</f>
        <v>29018.620000000003</v>
      </c>
      <c r="P110" s="1462">
        <f>+'Cant. Ejec,'!M100</f>
        <v>583.05999999999995</v>
      </c>
      <c r="Q110" s="974">
        <f t="shared" si="63"/>
        <v>8862.51</v>
      </c>
      <c r="R110" s="928">
        <f t="shared" si="67"/>
        <v>2492.1799999999998</v>
      </c>
      <c r="S110" s="954">
        <f t="shared" si="67"/>
        <v>37881.130000000005</v>
      </c>
      <c r="T110" s="928">
        <f t="shared" si="68"/>
        <v>30511.839999999997</v>
      </c>
      <c r="U110" s="954">
        <f t="shared" si="69"/>
        <v>463779.97</v>
      </c>
      <c r="V110" s="933">
        <f>(Q110/M110)</f>
        <v>1.7666328922055149E-2</v>
      </c>
      <c r="W110" s="933">
        <f>(S110/M110)</f>
        <v>7.5511396040075673E-2</v>
      </c>
      <c r="X110" s="934">
        <f t="shared" si="64"/>
        <v>0.92448860395992427</v>
      </c>
      <c r="Y110" s="1348">
        <f t="shared" si="44"/>
        <v>7.5511407398250283E-2</v>
      </c>
      <c r="Z110" s="1349" t="str">
        <f t="shared" si="45"/>
        <v>ok</v>
      </c>
      <c r="AB110" s="1351"/>
    </row>
    <row r="111" spans="1:28" s="1350" customFormat="1" ht="20.100000000000001" customHeight="1">
      <c r="A111" s="1344">
        <f t="shared" si="46"/>
        <v>0</v>
      </c>
      <c r="B111" s="1345">
        <f t="shared" si="43"/>
        <v>0</v>
      </c>
      <c r="C111" s="1346">
        <f t="shared" si="47"/>
        <v>10</v>
      </c>
      <c r="D111" s="1347" t="str">
        <f t="shared" si="65"/>
        <v>7. SERVICIOS PARA EL INGENIERO</v>
      </c>
      <c r="E111" s="911">
        <v>80</v>
      </c>
      <c r="F111" s="912" t="s">
        <v>378</v>
      </c>
      <c r="G111" s="913" t="s">
        <v>379</v>
      </c>
      <c r="H111" s="968">
        <v>139.30000000000001</v>
      </c>
      <c r="I111" s="987">
        <v>540</v>
      </c>
      <c r="J111" s="970">
        <f t="shared" si="61"/>
        <v>75222</v>
      </c>
      <c r="K111" s="969">
        <v>540</v>
      </c>
      <c r="L111" s="989" t="str">
        <f t="shared" si="66"/>
        <v>-</v>
      </c>
      <c r="M111" s="970">
        <f t="shared" si="62"/>
        <v>75222</v>
      </c>
      <c r="N111" s="968">
        <f>+'Cant. Ejec,'!K101</f>
        <v>0</v>
      </c>
      <c r="O111" s="968">
        <f>+'Cant. Ejec,'!L101</f>
        <v>0</v>
      </c>
      <c r="P111" s="1462">
        <f>+'Cant. Ejec,'!M101</f>
        <v>0</v>
      </c>
      <c r="Q111" s="1247">
        <f t="shared" si="63"/>
        <v>0</v>
      </c>
      <c r="R111" s="928">
        <f t="shared" si="67"/>
        <v>0</v>
      </c>
      <c r="S111" s="954">
        <f t="shared" si="67"/>
        <v>0</v>
      </c>
      <c r="T111" s="928">
        <f t="shared" si="68"/>
        <v>540</v>
      </c>
      <c r="U111" s="954">
        <f t="shared" si="69"/>
        <v>75222</v>
      </c>
      <c r="V111" s="937">
        <f t="shared" si="70"/>
        <v>0</v>
      </c>
      <c r="W111" s="937">
        <f t="shared" si="71"/>
        <v>0</v>
      </c>
      <c r="X111" s="938">
        <f t="shared" si="64"/>
        <v>1</v>
      </c>
      <c r="Y111" s="1348">
        <f t="shared" si="44"/>
        <v>0</v>
      </c>
      <c r="Z111" s="1349" t="str">
        <f t="shared" si="45"/>
        <v>ok</v>
      </c>
      <c r="AB111" s="1351"/>
    </row>
    <row r="112" spans="1:28" ht="18" customHeight="1">
      <c r="A112" s="509"/>
      <c r="B112" s="510"/>
      <c r="C112" s="512"/>
      <c r="D112" s="513"/>
      <c r="E112" s="915"/>
      <c r="F112" s="1463" t="s">
        <v>237</v>
      </c>
      <c r="G112" s="1464"/>
      <c r="H112" s="1465"/>
      <c r="I112" s="1466"/>
      <c r="J112" s="1467">
        <f>SUM(J106:J111)</f>
        <v>2248712.06</v>
      </c>
      <c r="K112" s="1468"/>
      <c r="L112" s="1468"/>
      <c r="M112" s="1467">
        <f>SUM(M106:M111)</f>
        <v>2248712.06</v>
      </c>
      <c r="N112" s="1469"/>
      <c r="O112" s="1467">
        <f>SUM(O106:O111)</f>
        <v>63419.1</v>
      </c>
      <c r="P112" s="1470"/>
      <c r="Q112" s="1467">
        <f>SUM(Q106:Q111)</f>
        <v>17997.77</v>
      </c>
      <c r="R112" s="1469"/>
      <c r="S112" s="1467">
        <f>SUM(S106:S111)</f>
        <v>81416.87000000001</v>
      </c>
      <c r="T112" s="1470"/>
      <c r="U112" s="1467">
        <f>SUM(U106:U111)</f>
        <v>2167295.19</v>
      </c>
      <c r="V112" s="945">
        <f>(Q112/M112)</f>
        <v>8.0035902862547904E-3</v>
      </c>
      <c r="W112" s="946">
        <f>(S112/M112)</f>
        <v>3.6206000513911957E-2</v>
      </c>
      <c r="X112" s="947">
        <f>(U112/M112)</f>
        <v>0.96379399948608802</v>
      </c>
      <c r="Y112" s="519"/>
      <c r="Z112" s="212"/>
      <c r="AB112" s="395"/>
    </row>
    <row r="113" spans="1:36" ht="15">
      <c r="A113" s="509"/>
      <c r="B113" s="510"/>
      <c r="C113" s="512"/>
      <c r="D113" s="513"/>
      <c r="E113" s="3"/>
      <c r="F113" s="307" t="s">
        <v>219</v>
      </c>
      <c r="G113" s="884"/>
      <c r="H113" s="885"/>
      <c r="I113" s="886"/>
      <c r="J113" s="887"/>
      <c r="K113" s="888"/>
      <c r="L113" s="888"/>
      <c r="M113" s="889"/>
      <c r="N113" s="1482"/>
      <c r="O113" s="1482"/>
      <c r="P113" s="1483"/>
      <c r="Q113" s="1482"/>
      <c r="R113" s="1483"/>
      <c r="S113" s="1484"/>
      <c r="T113" s="1485"/>
      <c r="U113" s="1482"/>
      <c r="V113" s="894"/>
      <c r="W113" s="895"/>
      <c r="X113" s="896"/>
      <c r="Y113" s="519"/>
      <c r="Z113" s="212"/>
    </row>
    <row r="114" spans="1:36" s="1358" customFormat="1" ht="18" customHeight="1">
      <c r="D114" s="1347"/>
      <c r="E114" s="1486"/>
      <c r="F114" s="1487" t="s">
        <v>6</v>
      </c>
      <c r="G114" s="1488"/>
      <c r="H114" s="1488"/>
      <c r="I114" s="1829">
        <f>+J14+J32+J40+J83+J101+J104+J112</f>
        <v>108397839.64</v>
      </c>
      <c r="J114" s="1828"/>
      <c r="K114" s="1489"/>
      <c r="L114" s="1829">
        <f>+M14+M32+M40+M83+M101+M104+M112</f>
        <v>106631000.67</v>
      </c>
      <c r="M114" s="1828"/>
      <c r="N114" s="1827">
        <f>+O14+O32+O40+O83+O101+O104+O112</f>
        <v>4270358.2499999991</v>
      </c>
      <c r="O114" s="1828"/>
      <c r="P114" s="1827">
        <f>+Q14+Q32+Q40+Q83+Q101+Q104+Q112</f>
        <v>1766556.24</v>
      </c>
      <c r="Q114" s="1828"/>
      <c r="R114" s="1827">
        <f>+S14+S32+S40+S83+S101+S104+S112</f>
        <v>6036914.4900000012</v>
      </c>
      <c r="S114" s="1828"/>
      <c r="T114" s="1827">
        <f>+U14+U32+U40+U83+U101+U104+U112</f>
        <v>100594086.18000001</v>
      </c>
      <c r="U114" s="1828"/>
      <c r="V114" s="1359">
        <f>(P114/L114)</f>
        <v>1.6567004237980579E-2</v>
      </c>
      <c r="W114" s="1360">
        <f>(R114/L114)</f>
        <v>5.6615003629975791E-2</v>
      </c>
      <c r="X114" s="1361">
        <f>(T114/L114)</f>
        <v>0.94338499637002426</v>
      </c>
      <c r="Y114" s="1348">
        <f>+R114/L114</f>
        <v>5.6615003629975791E-2</v>
      </c>
      <c r="Z114" s="1349" t="str">
        <f>IF((R114+T114)=L114,"ok","MAL")</f>
        <v>ok</v>
      </c>
    </row>
    <row r="115" spans="1:36" ht="12.75" customHeight="1">
      <c r="D115" s="513"/>
      <c r="E115" s="4"/>
      <c r="F115" s="836"/>
      <c r="G115" s="6"/>
      <c r="H115" s="6"/>
      <c r="I115" s="6"/>
      <c r="J115" s="13"/>
      <c r="K115" s="7"/>
      <c r="L115" s="7"/>
      <c r="M115" s="7"/>
      <c r="N115" s="8"/>
      <c r="O115" s="8"/>
      <c r="P115" s="9"/>
      <c r="Q115" s="8"/>
      <c r="R115" s="10"/>
      <c r="S115" s="8"/>
      <c r="T115" s="1818"/>
      <c r="U115" s="1818"/>
      <c r="V115" s="8"/>
      <c r="W115" s="8"/>
      <c r="X115" s="11"/>
      <c r="Y115" s="9"/>
      <c r="AA115" s="765">
        <v>230575.22</v>
      </c>
    </row>
    <row r="116" spans="1:36" ht="12.75" customHeight="1">
      <c r="D116" s="513"/>
      <c r="E116" s="4"/>
      <c r="F116" s="836"/>
      <c r="G116" s="6"/>
      <c r="H116" s="6"/>
      <c r="I116" s="6"/>
      <c r="J116" s="13"/>
      <c r="K116" s="7"/>
      <c r="L116" s="7"/>
      <c r="M116" s="7"/>
      <c r="N116" s="8"/>
      <c r="O116" s="8"/>
      <c r="P116" s="9"/>
      <c r="Q116" s="8"/>
      <c r="R116" s="10"/>
      <c r="S116" s="8"/>
      <c r="T116" s="1036"/>
      <c r="U116" s="1036"/>
      <c r="V116" s="8"/>
      <c r="W116" s="8"/>
      <c r="X116" s="11"/>
      <c r="Y116" s="9"/>
      <c r="AA116" s="765"/>
    </row>
    <row r="117" spans="1:36" ht="12.75" customHeight="1">
      <c r="D117" s="513"/>
      <c r="E117" s="4"/>
      <c r="F117" s="836"/>
      <c r="G117" s="6"/>
      <c r="H117" s="6"/>
      <c r="I117" s="6"/>
      <c r="J117" s="13"/>
      <c r="K117" s="7"/>
      <c r="L117" s="7"/>
      <c r="M117" s="7"/>
      <c r="N117" s="8"/>
      <c r="O117" s="8"/>
      <c r="P117" s="9"/>
      <c r="Q117" s="8"/>
      <c r="R117" s="10"/>
      <c r="S117" s="8"/>
      <c r="T117" s="1036"/>
      <c r="U117" s="1036"/>
      <c r="V117" s="8"/>
      <c r="W117" s="8"/>
      <c r="X117" s="11"/>
      <c r="Y117" s="9"/>
      <c r="AA117" s="765"/>
    </row>
    <row r="118" spans="1:36" ht="12.75" customHeight="1">
      <c r="D118" s="513"/>
      <c r="E118" s="4"/>
      <c r="F118" s="836"/>
      <c r="G118" s="6"/>
      <c r="H118" s="6"/>
      <c r="I118" s="6"/>
      <c r="J118" s="13"/>
      <c r="K118" s="7"/>
      <c r="L118" s="7"/>
      <c r="M118" s="7"/>
      <c r="N118" s="8"/>
      <c r="O118" s="8"/>
      <c r="P118" s="9"/>
      <c r="Q118" s="8"/>
      <c r="R118" s="10"/>
      <c r="S118" s="8"/>
      <c r="T118" s="1036"/>
      <c r="U118" s="1036"/>
      <c r="V118" s="8"/>
      <c r="W118" s="8"/>
      <c r="X118" s="11"/>
      <c r="Y118" s="9"/>
      <c r="AA118" s="765"/>
    </row>
    <row r="119" spans="1:36" ht="12.75" customHeight="1">
      <c r="D119" s="513"/>
      <c r="E119" s="4"/>
      <c r="F119" s="836"/>
      <c r="G119" s="6"/>
      <c r="H119" s="6"/>
      <c r="I119" s="6"/>
      <c r="J119" s="13"/>
      <c r="K119" s="7"/>
      <c r="L119" s="7"/>
      <c r="M119" s="7"/>
      <c r="N119" s="8"/>
      <c r="O119" s="8"/>
      <c r="P119" s="9"/>
      <c r="Q119" s="8"/>
      <c r="R119" s="10"/>
      <c r="S119" s="8"/>
      <c r="T119" s="1036"/>
      <c r="U119" s="1036"/>
      <c r="V119" s="8"/>
      <c r="W119" s="8"/>
      <c r="X119" s="11"/>
      <c r="Y119" s="9"/>
      <c r="AA119" s="765"/>
    </row>
    <row r="120" spans="1:36" ht="12.75" customHeight="1">
      <c r="D120" s="513"/>
      <c r="E120" s="4"/>
      <c r="F120" s="836"/>
      <c r="G120" s="6"/>
      <c r="H120" s="6"/>
      <c r="I120" s="6"/>
      <c r="J120" s="13"/>
      <c r="K120" s="7"/>
      <c r="L120" s="7"/>
      <c r="M120" s="7"/>
      <c r="N120" s="8"/>
      <c r="O120" s="8"/>
      <c r="P120" s="9"/>
      <c r="Q120" s="8"/>
      <c r="R120" s="10"/>
      <c r="S120" s="8"/>
      <c r="T120" s="1036"/>
      <c r="U120" s="1036"/>
      <c r="V120" s="8"/>
      <c r="W120" s="8"/>
      <c r="X120" s="11"/>
      <c r="Y120" s="9"/>
      <c r="AA120" s="765"/>
    </row>
    <row r="121" spans="1:36" ht="12.75" customHeight="1">
      <c r="E121" s="4"/>
      <c r="F121" s="836"/>
      <c r="G121" s="6"/>
      <c r="H121" s="6"/>
      <c r="I121" s="6"/>
      <c r="J121" s="13"/>
      <c r="K121" s="7"/>
      <c r="L121" s="7"/>
      <c r="M121" s="7"/>
      <c r="N121" s="8"/>
      <c r="O121" s="8"/>
      <c r="P121" s="9"/>
      <c r="Q121" s="8"/>
      <c r="R121" s="10"/>
      <c r="S121" s="8"/>
      <c r="T121" s="873"/>
      <c r="U121" s="873"/>
      <c r="V121" s="8"/>
      <c r="W121" s="1034"/>
      <c r="X121" s="11"/>
      <c r="Y121" s="9"/>
      <c r="AA121" s="765">
        <v>515492.2</v>
      </c>
    </row>
    <row r="122" spans="1:36" ht="12.75" customHeight="1">
      <c r="E122" s="4"/>
      <c r="F122" s="836"/>
      <c r="G122" s="6"/>
      <c r="H122" s="6"/>
      <c r="I122" s="6"/>
      <c r="J122" s="13"/>
      <c r="K122" s="7"/>
      <c r="L122" s="7"/>
      <c r="M122" s="7"/>
      <c r="N122" s="8"/>
      <c r="O122" s="8"/>
      <c r="P122" s="9"/>
      <c r="Q122" s="8"/>
      <c r="R122" s="10"/>
      <c r="S122" s="8"/>
      <c r="T122" s="873"/>
      <c r="U122" s="873"/>
      <c r="V122" s="8"/>
      <c r="W122" s="8"/>
      <c r="X122" s="11"/>
      <c r="Y122" s="9"/>
      <c r="AA122" s="765">
        <v>778326.78</v>
      </c>
    </row>
    <row r="123" spans="1:36" ht="12.75" customHeight="1">
      <c r="E123" s="4"/>
      <c r="F123" s="836"/>
      <c r="G123" s="6"/>
      <c r="H123" s="6"/>
      <c r="I123" s="6"/>
      <c r="J123" s="13"/>
      <c r="K123" s="7"/>
      <c r="L123" s="7"/>
      <c r="M123" s="7"/>
      <c r="N123" s="8"/>
      <c r="O123" s="8"/>
      <c r="P123" s="9"/>
      <c r="Q123" s="8"/>
      <c r="R123" s="10"/>
      <c r="S123" s="8"/>
      <c r="T123" s="873"/>
      <c r="U123" s="873"/>
      <c r="V123" s="8"/>
      <c r="W123" s="8"/>
      <c r="X123" s="11"/>
      <c r="Y123" s="9"/>
      <c r="AA123" s="424">
        <f>SUM(AA115:AA122)</f>
        <v>1524394.2000000002</v>
      </c>
    </row>
    <row r="124" spans="1:36" ht="12.75" customHeight="1">
      <c r="E124" s="4"/>
      <c r="F124" s="836"/>
      <c r="G124" s="6"/>
      <c r="H124" s="6"/>
      <c r="I124" s="6"/>
      <c r="J124" s="13"/>
      <c r="K124" s="7"/>
      <c r="L124" s="7"/>
      <c r="M124" s="7"/>
      <c r="N124" s="8"/>
      <c r="O124" s="8"/>
      <c r="P124" s="9"/>
      <c r="Q124" s="8"/>
      <c r="R124" s="10"/>
      <c r="S124" s="8"/>
      <c r="T124" s="873"/>
      <c r="U124" s="873"/>
      <c r="V124" s="8"/>
      <c r="W124" s="8"/>
      <c r="X124" s="11"/>
      <c r="Y124" s="9"/>
      <c r="AA124" s="424"/>
    </row>
    <row r="125" spans="1:36" ht="12.75" customHeight="1">
      <c r="E125" s="4"/>
      <c r="F125" s="836"/>
      <c r="G125" s="6"/>
      <c r="H125" s="6"/>
      <c r="I125" s="6"/>
      <c r="J125" s="13"/>
      <c r="K125" s="7"/>
      <c r="L125" s="7"/>
      <c r="M125" s="7"/>
      <c r="N125" s="8"/>
      <c r="O125" s="8"/>
      <c r="P125" s="9"/>
      <c r="Q125" s="8"/>
      <c r="R125" s="10"/>
      <c r="S125" s="8"/>
      <c r="T125" s="873"/>
      <c r="U125" s="873"/>
      <c r="V125" s="8"/>
      <c r="W125" s="8"/>
      <c r="X125" s="11"/>
      <c r="Y125" s="9"/>
      <c r="AA125" s="1">
        <v>1766556.24</v>
      </c>
    </row>
    <row r="126" spans="1:36">
      <c r="E126" s="993"/>
      <c r="F126" s="994"/>
      <c r="G126" s="995" t="str">
        <f>+Datos!B15</f>
        <v>Ing. Ernesto Vargas Amezaga</v>
      </c>
      <c r="H126" s="995"/>
      <c r="I126" s="995"/>
      <c r="J126" s="996"/>
      <c r="K126" s="1824" t="str">
        <f>+Datos!B7</f>
        <v>Ing. Pedro Alberto Barreto Gutierrez</v>
      </c>
      <c r="L126" s="1824"/>
      <c r="M126" s="1824"/>
      <c r="N126" s="1824"/>
      <c r="O126" s="1824"/>
      <c r="P126" s="1824"/>
      <c r="Q126" s="996"/>
      <c r="R126" s="996"/>
      <c r="S126" s="997"/>
      <c r="T126" s="995" t="str">
        <f>+Datos!B10</f>
        <v>Ing. Eyber Lopez Lopez</v>
      </c>
      <c r="U126" s="996"/>
      <c r="V126" s="996"/>
      <c r="W126" s="996"/>
      <c r="X126" s="998"/>
      <c r="Y126" s="14"/>
    </row>
    <row r="127" spans="1:36" s="33" customFormat="1" ht="12.75" customHeight="1">
      <c r="A127" s="1"/>
      <c r="B127" s="1"/>
      <c r="C127" s="1"/>
      <c r="D127" s="1"/>
      <c r="E127" s="32"/>
      <c r="G127" s="875" t="s">
        <v>612</v>
      </c>
      <c r="H127" s="874"/>
      <c r="I127" s="874"/>
      <c r="J127" s="583"/>
      <c r="K127" s="1825" t="str">
        <f>+Datos!B8</f>
        <v xml:space="preserve">GERENTE SUPERVISION TECNICA </v>
      </c>
      <c r="L127" s="1825"/>
      <c r="M127" s="1825"/>
      <c r="N127" s="1825"/>
      <c r="O127" s="1825"/>
      <c r="P127" s="1825"/>
      <c r="Q127" s="583"/>
      <c r="R127" s="583"/>
      <c r="S127" s="12"/>
      <c r="T127" s="875" t="str">
        <f>+Datos!B11</f>
        <v>FISCAL DE OBRA</v>
      </c>
      <c r="U127" s="14"/>
      <c r="V127" s="14"/>
      <c r="W127" s="14"/>
      <c r="X127" s="15"/>
      <c r="Y127" s="14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s="33" customFormat="1" ht="12.75" customHeight="1">
      <c r="A128" s="1"/>
      <c r="B128" s="1"/>
      <c r="C128" s="1"/>
      <c r="D128" s="1"/>
      <c r="E128" s="32"/>
      <c r="G128" s="875" t="s">
        <v>561</v>
      </c>
      <c r="H128" s="874"/>
      <c r="I128" s="874"/>
      <c r="J128" s="583"/>
      <c r="K128" s="1826" t="str">
        <f>+Datos!B9</f>
        <v>ABC - REGIONAL TARIJA</v>
      </c>
      <c r="L128" s="1826"/>
      <c r="M128" s="1826"/>
      <c r="N128" s="1826"/>
      <c r="O128" s="1826"/>
      <c r="P128" s="1826"/>
      <c r="Q128" s="583"/>
      <c r="R128" s="583"/>
      <c r="S128" s="12"/>
      <c r="T128" s="769" t="str">
        <f>+Datos!B12</f>
        <v>ABC - REGIONAL TARIJA</v>
      </c>
      <c r="U128" s="14"/>
      <c r="V128" s="14"/>
      <c r="W128" s="14"/>
      <c r="X128" s="15"/>
      <c r="Y128" s="14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s="33" customFormat="1" ht="13.5">
      <c r="A129" s="1"/>
      <c r="B129" s="1"/>
      <c r="C129" s="1"/>
      <c r="D129" s="1"/>
      <c r="E129" s="32"/>
      <c r="G129" s="875" t="s">
        <v>560</v>
      </c>
      <c r="H129" s="874"/>
      <c r="I129" s="874"/>
      <c r="J129" s="583"/>
      <c r="Q129" s="767"/>
      <c r="R129" s="767"/>
      <c r="S129" s="768"/>
      <c r="U129" s="770"/>
      <c r="V129" s="14"/>
      <c r="W129" s="14"/>
      <c r="X129" s="15"/>
      <c r="Y129" s="14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s="33" customFormat="1" ht="5.25" customHeight="1">
      <c r="A130" s="1"/>
      <c r="B130" s="1"/>
      <c r="C130" s="1"/>
      <c r="D130" s="1"/>
      <c r="E130" s="207"/>
      <c r="F130" s="771"/>
      <c r="G130" s="772"/>
      <c r="H130" s="772"/>
      <c r="I130" s="772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09"/>
      <c r="Y130" s="16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s="33" customFormat="1" ht="12.75" customHeight="1">
      <c r="A131" s="1"/>
      <c r="B131" s="1"/>
      <c r="C131" s="1"/>
      <c r="D131" s="1"/>
      <c r="E131" s="2"/>
      <c r="F131" s="1"/>
      <c r="G131" s="2"/>
      <c r="H131" s="2"/>
      <c r="I131" s="2"/>
      <c r="J131" s="16"/>
      <c r="K131" s="16"/>
      <c r="L131" s="16"/>
      <c r="M131" s="16"/>
      <c r="N131" s="16"/>
      <c r="O131" s="16"/>
      <c r="P131" s="282"/>
      <c r="Q131" s="220"/>
      <c r="R131" s="220"/>
      <c r="S131" s="283"/>
      <c r="T131" s="16"/>
      <c r="U131" s="281"/>
      <c r="V131" s="16"/>
      <c r="W131" s="16"/>
      <c r="X131" s="16"/>
      <c r="Y131" s="16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s="33" customFormat="1" ht="12.75" customHeight="1">
      <c r="A132" s="1"/>
      <c r="B132" s="1"/>
      <c r="C132" s="1"/>
      <c r="D132" s="1"/>
      <c r="E132" s="2"/>
      <c r="F132" s="1"/>
      <c r="G132" s="2"/>
      <c r="H132" s="2"/>
      <c r="I132" s="2"/>
      <c r="J132" s="16"/>
      <c r="K132" s="389"/>
      <c r="L132" s="389"/>
      <c r="M132" s="389"/>
      <c r="N132" s="16"/>
      <c r="O132" s="220"/>
      <c r="P132" s="282"/>
      <c r="Q132" s="16"/>
      <c r="R132" s="16"/>
      <c r="S132" s="16"/>
      <c r="T132" s="220"/>
      <c r="U132" s="281"/>
      <c r="V132" s="16"/>
      <c r="W132" s="16"/>
      <c r="X132" s="16"/>
      <c r="Y132" s="16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s="33" customFormat="1" ht="12.75" customHeight="1">
      <c r="A133" s="1"/>
      <c r="B133" s="1"/>
      <c r="C133" s="1"/>
      <c r="D133" s="1"/>
      <c r="E133" s="2"/>
      <c r="F133" s="1"/>
      <c r="G133" s="2"/>
      <c r="H133" s="2"/>
      <c r="I133" s="2"/>
      <c r="J133" s="16"/>
      <c r="K133" s="390"/>
      <c r="L133" s="390"/>
      <c r="M133" s="390"/>
      <c r="N133" s="16"/>
      <c r="O133" s="16"/>
      <c r="P133" s="16"/>
      <c r="Q133" s="16"/>
      <c r="R133" s="16"/>
      <c r="S133" s="283"/>
      <c r="T133" s="281"/>
      <c r="U133" s="16"/>
      <c r="V133" s="16"/>
      <c r="W133" s="16"/>
      <c r="X133" s="16"/>
      <c r="Y133" s="16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s="33" customFormat="1" ht="12.75" customHeight="1">
      <c r="A134" s="1"/>
      <c r="B134" s="1"/>
      <c r="C134" s="1"/>
      <c r="D134" s="1"/>
      <c r="E134" s="2"/>
      <c r="F134" s="1"/>
      <c r="G134" s="2"/>
      <c r="H134" s="2"/>
      <c r="I134" s="2"/>
      <c r="J134" s="16"/>
      <c r="K134" s="391"/>
      <c r="L134" s="391"/>
      <c r="M134" s="391"/>
      <c r="N134" s="16"/>
      <c r="O134" s="16"/>
      <c r="P134" s="16"/>
      <c r="Q134" s="282"/>
      <c r="R134" s="16"/>
      <c r="S134" s="16"/>
      <c r="T134" s="16"/>
      <c r="U134" s="16"/>
      <c r="V134" s="16"/>
      <c r="W134" s="16"/>
      <c r="X134" s="16"/>
      <c r="Y134" s="16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s="33" customFormat="1" ht="12.75" customHeight="1">
      <c r="A135" s="1"/>
      <c r="B135" s="1"/>
      <c r="C135" s="1"/>
      <c r="D135" s="1"/>
      <c r="E135" s="2"/>
      <c r="F135" s="1"/>
      <c r="G135" s="2"/>
      <c r="H135" s="2"/>
      <c r="I135" s="2"/>
      <c r="J135" s="16"/>
      <c r="K135" s="16"/>
      <c r="L135" s="16"/>
      <c r="M135" s="16"/>
      <c r="N135" s="16"/>
      <c r="O135" s="16"/>
      <c r="P135" s="16"/>
      <c r="Q135" s="282"/>
      <c r="R135" s="16"/>
      <c r="S135" s="282"/>
      <c r="T135" s="16"/>
      <c r="U135" s="16"/>
      <c r="V135" s="16"/>
      <c r="W135" s="16"/>
      <c r="X135" s="16"/>
      <c r="Y135" s="16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s="33" customFormat="1" ht="12.75" customHeight="1">
      <c r="A136" s="1"/>
      <c r="B136" s="1"/>
      <c r="C136" s="1"/>
      <c r="D136" s="1"/>
      <c r="E136" s="2"/>
      <c r="F136" s="1"/>
      <c r="G136" s="2"/>
      <c r="H136" s="2"/>
      <c r="I136" s="2"/>
      <c r="J136" s="16"/>
      <c r="K136" s="16"/>
      <c r="L136" s="16"/>
      <c r="M136" s="16"/>
      <c r="N136" s="16"/>
      <c r="O136" s="16"/>
      <c r="P136" s="16"/>
      <c r="Q136" s="282"/>
      <c r="R136" s="283"/>
      <c r="S136" s="390"/>
      <c r="T136" s="16"/>
      <c r="U136" s="16"/>
      <c r="V136" s="16"/>
      <c r="W136" s="16"/>
      <c r="X136" s="16"/>
      <c r="Y136" s="16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s="33" customFormat="1" ht="12.75" customHeight="1">
      <c r="A137" s="1"/>
      <c r="B137" s="1"/>
      <c r="C137" s="1"/>
      <c r="D137" s="1"/>
      <c r="E137" s="2"/>
      <c r="F137" s="1"/>
      <c r="G137" s="2"/>
      <c r="H137" s="2"/>
      <c r="I137" s="2"/>
      <c r="J137" s="16"/>
      <c r="K137" s="16"/>
      <c r="L137" s="16"/>
      <c r="M137" s="16"/>
      <c r="N137" s="16"/>
      <c r="O137" s="16"/>
      <c r="P137" s="16"/>
      <c r="Q137" s="282"/>
      <c r="R137" s="16"/>
      <c r="S137" s="16"/>
      <c r="T137" s="16"/>
      <c r="U137" s="16"/>
      <c r="V137" s="16"/>
      <c r="W137" s="16"/>
      <c r="X137" s="16"/>
      <c r="Y137" s="16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s="33" customFormat="1" ht="12.75" customHeight="1">
      <c r="A138" s="1"/>
      <c r="B138" s="1"/>
      <c r="C138" s="1"/>
      <c r="D138" s="1"/>
      <c r="E138" s="2"/>
      <c r="F138" s="1"/>
      <c r="G138" s="2"/>
      <c r="H138" s="2"/>
      <c r="I138" s="2"/>
      <c r="J138" s="16"/>
      <c r="K138" s="16"/>
      <c r="L138" s="16"/>
      <c r="M138" s="16"/>
      <c r="N138" s="16"/>
      <c r="O138" s="16"/>
      <c r="P138" s="16"/>
      <c r="Q138" s="282"/>
      <c r="R138" s="16"/>
      <c r="S138" s="282"/>
      <c r="T138" s="16"/>
      <c r="U138" s="16"/>
      <c r="V138" s="16"/>
      <c r="W138" s="16"/>
      <c r="X138" s="16"/>
      <c r="Y138" s="16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s="33" customFormat="1" ht="12.75" customHeight="1">
      <c r="A139" s="1"/>
      <c r="B139" s="1"/>
      <c r="C139" s="1"/>
      <c r="D139" s="1"/>
      <c r="E139" s="2"/>
      <c r="F139" s="1"/>
      <c r="G139" s="2"/>
      <c r="H139" s="2"/>
      <c r="I139" s="2"/>
      <c r="J139" s="16"/>
      <c r="K139" s="16"/>
      <c r="L139" s="16"/>
      <c r="M139" s="16"/>
      <c r="N139" s="16"/>
      <c r="O139" s="16"/>
      <c r="P139" s="16"/>
      <c r="Q139" s="220"/>
      <c r="R139" s="16"/>
      <c r="S139" s="16"/>
      <c r="T139" s="16"/>
      <c r="U139" s="16"/>
      <c r="V139" s="16"/>
      <c r="W139" s="16"/>
      <c r="X139" s="16"/>
      <c r="Y139" s="16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s="33" customFormat="1" ht="12.75" customHeight="1">
      <c r="A140" s="1"/>
      <c r="B140" s="1"/>
      <c r="C140" s="1"/>
      <c r="D140" s="1"/>
      <c r="E140" s="2"/>
      <c r="F140" s="1"/>
      <c r="G140" s="2"/>
      <c r="H140" s="2"/>
      <c r="I140" s="2"/>
      <c r="J140" s="16"/>
      <c r="K140" s="16"/>
      <c r="L140" s="16"/>
      <c r="M140" s="16"/>
      <c r="N140" s="16"/>
      <c r="O140" s="16"/>
      <c r="P140" s="16"/>
      <c r="Q140" s="220"/>
      <c r="R140" s="16"/>
      <c r="S140" s="16"/>
      <c r="T140" s="16"/>
      <c r="U140" s="16"/>
      <c r="V140" s="16"/>
      <c r="W140" s="16"/>
      <c r="X140" s="16"/>
      <c r="Y140" s="16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s="33" customFormat="1" ht="12.75" customHeight="1">
      <c r="A141" s="1"/>
      <c r="B141" s="1"/>
      <c r="C141" s="1"/>
      <c r="D141" s="1"/>
      <c r="E141" s="2"/>
      <c r="F141" s="1"/>
      <c r="G141" s="2"/>
      <c r="H141" s="2"/>
      <c r="I141" s="2"/>
      <c r="J141" s="16"/>
      <c r="K141" s="16"/>
      <c r="L141" s="16"/>
      <c r="M141" s="16"/>
      <c r="N141" s="16"/>
      <c r="O141" s="282"/>
      <c r="P141" s="16"/>
      <c r="Q141" s="282"/>
      <c r="R141" s="16"/>
      <c r="S141" s="16"/>
      <c r="T141" s="16"/>
      <c r="U141" s="16"/>
      <c r="V141" s="16"/>
      <c r="W141" s="16"/>
      <c r="X141" s="16"/>
      <c r="Y141" s="16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s="33" customFormat="1" ht="12.75" customHeight="1">
      <c r="A142" s="1"/>
      <c r="B142" s="1"/>
      <c r="C142" s="1"/>
      <c r="D142" s="1"/>
      <c r="E142" s="2"/>
      <c r="F142" s="1"/>
      <c r="G142" s="2"/>
      <c r="H142" s="2"/>
      <c r="I142" s="2"/>
      <c r="J142" s="16"/>
      <c r="K142" s="16"/>
      <c r="L142" s="16"/>
      <c r="M142" s="16"/>
      <c r="N142" s="16"/>
      <c r="O142" s="16"/>
      <c r="P142" s="16"/>
      <c r="Q142" s="282"/>
      <c r="R142" s="16"/>
      <c r="S142" s="16"/>
      <c r="T142" s="16"/>
      <c r="U142" s="16"/>
      <c r="V142" s="16"/>
      <c r="W142" s="16"/>
      <c r="X142" s="16"/>
      <c r="Y142" s="16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s="33" customFormat="1" ht="12.75" customHeight="1">
      <c r="A143" s="1"/>
      <c r="B143" s="1"/>
      <c r="C143" s="1"/>
      <c r="D143" s="1"/>
      <c r="E143" s="2"/>
      <c r="F143" s="1"/>
      <c r="G143" s="2"/>
      <c r="H143" s="2"/>
      <c r="I143" s="2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s="33" customFormat="1" ht="12.75" customHeight="1">
      <c r="A144" s="1"/>
      <c r="B144" s="1"/>
      <c r="C144" s="1"/>
      <c r="D144" s="1"/>
      <c r="E144" s="2"/>
      <c r="F144" s="1"/>
      <c r="G144" s="2"/>
      <c r="H144" s="2"/>
      <c r="I144" s="2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s="33" customFormat="1" ht="12.75" customHeight="1">
      <c r="A145" s="1"/>
      <c r="B145" s="1"/>
      <c r="C145" s="1"/>
      <c r="D145" s="1"/>
      <c r="E145" s="2"/>
      <c r="F145" s="1"/>
      <c r="G145" s="2"/>
      <c r="H145" s="2"/>
      <c r="I145" s="2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s="33" customFormat="1" ht="12.75" customHeight="1">
      <c r="A146" s="1"/>
      <c r="B146" s="1"/>
      <c r="C146" s="1"/>
      <c r="D146" s="1"/>
      <c r="E146" s="2"/>
      <c r="F146" s="1"/>
      <c r="G146" s="2"/>
      <c r="H146" s="2"/>
      <c r="I146" s="2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s="33" customFormat="1" ht="12.75" customHeight="1">
      <c r="A147" s="1"/>
      <c r="B147" s="1"/>
      <c r="C147" s="1"/>
      <c r="D147" s="1"/>
      <c r="E147" s="2"/>
      <c r="F147" s="1"/>
      <c r="G147" s="2"/>
      <c r="H147" s="2"/>
      <c r="I147" s="2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s="33" customFormat="1" ht="12.75" customHeight="1">
      <c r="A148" s="1"/>
      <c r="B148" s="1"/>
      <c r="C148" s="1"/>
      <c r="D148" s="1"/>
      <c r="E148" s="2"/>
      <c r="F148" s="1"/>
      <c r="G148" s="2"/>
      <c r="H148" s="2"/>
      <c r="I148" s="2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s="33" customFormat="1" ht="12.75" customHeight="1">
      <c r="A149" s="1"/>
      <c r="B149" s="1"/>
      <c r="C149" s="1"/>
      <c r="D149" s="1"/>
      <c r="E149" s="2"/>
      <c r="F149" s="1"/>
      <c r="G149" s="2"/>
      <c r="H149" s="2"/>
      <c r="I149" s="2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s="33" customFormat="1" ht="12.75" customHeight="1">
      <c r="A150" s="1"/>
      <c r="B150" s="1"/>
      <c r="C150" s="1"/>
      <c r="D150" s="1"/>
      <c r="E150" s="2"/>
      <c r="F150" s="1"/>
      <c r="G150" s="2"/>
      <c r="H150" s="2"/>
      <c r="I150" s="2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s="33" customFormat="1" ht="12.75" customHeight="1">
      <c r="A151" s="1"/>
      <c r="B151" s="1"/>
      <c r="C151" s="1"/>
      <c r="D151" s="1"/>
      <c r="E151" s="2"/>
      <c r="F151" s="1"/>
      <c r="G151" s="2"/>
      <c r="H151" s="2"/>
      <c r="I151" s="2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s="33" customFormat="1" ht="12.75" customHeight="1">
      <c r="A152" s="1"/>
      <c r="B152" s="1"/>
      <c r="C152" s="1"/>
      <c r="D152" s="1"/>
      <c r="E152" s="2"/>
      <c r="F152" s="1"/>
      <c r="G152" s="2"/>
      <c r="H152" s="2"/>
      <c r="I152" s="2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s="33" customFormat="1" ht="12.75" customHeight="1">
      <c r="A153" s="1"/>
      <c r="B153" s="1"/>
      <c r="C153" s="1"/>
      <c r="D153" s="1"/>
      <c r="E153" s="2"/>
      <c r="F153" s="1"/>
      <c r="G153" s="2"/>
      <c r="H153" s="2"/>
      <c r="I153" s="2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s="33" customFormat="1" ht="12.75" customHeight="1">
      <c r="A154" s="1"/>
      <c r="B154" s="1"/>
      <c r="C154" s="1"/>
      <c r="D154" s="1"/>
      <c r="E154" s="2"/>
      <c r="F154" s="1"/>
      <c r="G154" s="2"/>
      <c r="H154" s="2"/>
      <c r="I154" s="2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s="33" customFormat="1" ht="12.75" customHeight="1">
      <c r="A155" s="1"/>
      <c r="B155" s="1"/>
      <c r="C155" s="1"/>
      <c r="D155" s="1"/>
      <c r="E155" s="2"/>
      <c r="F155" s="1"/>
      <c r="G155" s="2"/>
      <c r="H155" s="2"/>
      <c r="I155" s="2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s="33" customFormat="1" ht="12.75" customHeight="1">
      <c r="A156" s="1"/>
      <c r="B156" s="1"/>
      <c r="C156" s="1"/>
      <c r="D156" s="1"/>
      <c r="E156" s="2"/>
      <c r="F156" s="1"/>
      <c r="G156" s="2"/>
      <c r="H156" s="2"/>
      <c r="I156" s="2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s="33" customFormat="1" ht="12.75" customHeight="1">
      <c r="A157" s="1"/>
      <c r="B157" s="1"/>
      <c r="C157" s="1"/>
      <c r="D157" s="1"/>
      <c r="E157" s="2"/>
      <c r="F157" s="1"/>
      <c r="G157" s="2"/>
      <c r="H157" s="2"/>
      <c r="I157" s="2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s="33" customFormat="1" ht="12.75" customHeight="1">
      <c r="A158" s="1"/>
      <c r="B158" s="1"/>
      <c r="C158" s="1"/>
      <c r="D158" s="1"/>
      <c r="E158" s="2"/>
      <c r="F158" s="1"/>
      <c r="G158" s="2"/>
      <c r="H158" s="2"/>
      <c r="I158" s="2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s="33" customFormat="1" ht="12.75" customHeight="1">
      <c r="A159" s="1"/>
      <c r="B159" s="1"/>
      <c r="C159" s="1"/>
      <c r="D159" s="1"/>
      <c r="E159" s="2"/>
      <c r="F159" s="1"/>
      <c r="G159" s="2"/>
      <c r="H159" s="2"/>
      <c r="I159" s="2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s="33" customFormat="1" ht="12.75" customHeight="1">
      <c r="A160" s="1"/>
      <c r="B160" s="1"/>
      <c r="C160" s="1"/>
      <c r="D160" s="1"/>
      <c r="E160" s="2"/>
      <c r="F160" s="1"/>
      <c r="G160" s="2"/>
      <c r="H160" s="2"/>
      <c r="I160" s="2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s="33" customFormat="1" ht="12.75" customHeight="1">
      <c r="A161" s="1"/>
      <c r="B161" s="1"/>
      <c r="C161" s="1"/>
      <c r="D161" s="1"/>
      <c r="E161" s="2"/>
      <c r="F161" s="1"/>
      <c r="G161" s="2"/>
      <c r="H161" s="2"/>
      <c r="I161" s="2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s="33" customFormat="1" ht="12.75" customHeight="1">
      <c r="A162" s="1"/>
      <c r="B162" s="1"/>
      <c r="C162" s="1"/>
      <c r="D162" s="1"/>
      <c r="E162" s="2"/>
      <c r="F162" s="1"/>
      <c r="G162" s="2"/>
      <c r="H162" s="2"/>
      <c r="I162" s="2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s="33" customFormat="1" ht="12.75" customHeight="1">
      <c r="A163" s="1"/>
      <c r="B163" s="1"/>
      <c r="C163" s="1"/>
      <c r="D163" s="1"/>
      <c r="E163" s="2"/>
      <c r="F163" s="1"/>
      <c r="G163" s="2"/>
      <c r="H163" s="2"/>
      <c r="I163" s="2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s="33" customFormat="1" ht="12.75" customHeight="1">
      <c r="A164" s="1"/>
      <c r="B164" s="1"/>
      <c r="C164" s="1"/>
      <c r="D164" s="1"/>
      <c r="E164" s="2"/>
      <c r="F164" s="1"/>
      <c r="G164" s="2"/>
      <c r="H164" s="2"/>
      <c r="I164" s="2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s="33" customFormat="1" ht="12.75" customHeight="1">
      <c r="A165" s="1"/>
      <c r="B165" s="1"/>
      <c r="C165" s="1"/>
      <c r="D165" s="1"/>
      <c r="E165" s="2"/>
      <c r="F165" s="1"/>
      <c r="G165" s="2"/>
      <c r="H165" s="2"/>
      <c r="I165" s="2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s="33" customFormat="1" ht="12.75" customHeight="1">
      <c r="A166" s="1"/>
      <c r="B166" s="1"/>
      <c r="C166" s="1"/>
      <c r="D166" s="1"/>
      <c r="E166" s="2"/>
      <c r="F166" s="1"/>
      <c r="G166" s="2"/>
      <c r="H166" s="2"/>
      <c r="I166" s="2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s="33" customFormat="1" ht="12.75" customHeight="1">
      <c r="A167" s="1"/>
      <c r="B167" s="1"/>
      <c r="C167" s="1"/>
      <c r="D167" s="1"/>
      <c r="E167" s="2"/>
      <c r="F167" s="1"/>
      <c r="G167" s="2"/>
      <c r="H167" s="2"/>
      <c r="I167" s="2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s="33" customFormat="1" ht="12.75" customHeight="1">
      <c r="A168" s="1"/>
      <c r="B168" s="1"/>
      <c r="C168" s="1"/>
      <c r="D168" s="1"/>
      <c r="E168" s="2"/>
      <c r="F168" s="1"/>
      <c r="G168" s="2"/>
      <c r="H168" s="2"/>
      <c r="I168" s="2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s="33" customFormat="1" ht="12.75" customHeight="1">
      <c r="A169" s="1"/>
      <c r="B169" s="1"/>
      <c r="C169" s="1"/>
      <c r="D169" s="1"/>
      <c r="E169" s="2"/>
      <c r="F169" s="1"/>
      <c r="G169" s="2"/>
      <c r="H169" s="2"/>
      <c r="I169" s="2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s="33" customFormat="1" ht="12.75" customHeight="1">
      <c r="A170" s="1"/>
      <c r="B170" s="1"/>
      <c r="C170" s="1"/>
      <c r="D170" s="1"/>
      <c r="E170" s="2"/>
      <c r="F170" s="1"/>
      <c r="G170" s="2"/>
      <c r="H170" s="2"/>
      <c r="I170" s="2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s="33" customFormat="1" ht="12.75" customHeight="1">
      <c r="A171" s="1"/>
      <c r="B171" s="1"/>
      <c r="C171" s="1"/>
      <c r="D171" s="1"/>
      <c r="E171" s="2"/>
      <c r="F171" s="1"/>
      <c r="G171" s="2"/>
      <c r="H171" s="2"/>
      <c r="I171" s="2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s="33" customFormat="1" ht="12.75" customHeight="1">
      <c r="A172" s="1"/>
      <c r="B172" s="1"/>
      <c r="C172" s="1"/>
      <c r="D172" s="1"/>
      <c r="E172" s="2"/>
      <c r="F172" s="1"/>
      <c r="G172" s="2"/>
      <c r="H172" s="2"/>
      <c r="I172" s="2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s="33" customFormat="1" ht="12.75" customHeight="1">
      <c r="A173" s="1"/>
      <c r="B173" s="1"/>
      <c r="C173" s="1"/>
      <c r="D173" s="1"/>
      <c r="E173" s="2"/>
      <c r="F173" s="1"/>
      <c r="G173" s="2"/>
      <c r="H173" s="2"/>
      <c r="I173" s="2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s="33" customFormat="1" ht="12.75" customHeight="1">
      <c r="A174" s="1"/>
      <c r="B174" s="1"/>
      <c r="C174" s="1"/>
      <c r="D174" s="1"/>
      <c r="E174" s="2"/>
      <c r="F174" s="1"/>
      <c r="G174" s="2"/>
      <c r="H174" s="2"/>
      <c r="I174" s="2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s="33" customFormat="1" ht="12.75" customHeight="1">
      <c r="A175" s="1"/>
      <c r="B175" s="1"/>
      <c r="C175" s="1"/>
      <c r="D175" s="1"/>
      <c r="E175" s="2"/>
      <c r="F175" s="1"/>
      <c r="G175" s="2"/>
      <c r="H175" s="2"/>
      <c r="I175" s="2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s="33" customFormat="1" ht="12.75" customHeight="1">
      <c r="A176" s="1"/>
      <c r="B176" s="1"/>
      <c r="C176" s="1"/>
      <c r="D176" s="1"/>
      <c r="E176" s="2"/>
      <c r="F176" s="1"/>
      <c r="G176" s="2"/>
      <c r="H176" s="2"/>
      <c r="I176" s="2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s="33" customFormat="1" ht="12.75" customHeight="1">
      <c r="A177" s="1"/>
      <c r="B177" s="1"/>
      <c r="C177" s="1"/>
      <c r="D177" s="1"/>
      <c r="E177" s="2"/>
      <c r="F177" s="1"/>
      <c r="G177" s="2"/>
      <c r="H177" s="2"/>
      <c r="I177" s="2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s="33" customFormat="1" ht="12.75" customHeight="1">
      <c r="A178" s="1"/>
      <c r="B178" s="1"/>
      <c r="C178" s="1"/>
      <c r="D178" s="1"/>
      <c r="E178" s="2"/>
      <c r="F178" s="1"/>
      <c r="G178" s="2"/>
      <c r="H178" s="2"/>
      <c r="I178" s="2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s="33" customFormat="1" ht="12.75" customHeight="1">
      <c r="A179" s="1"/>
      <c r="B179" s="1"/>
      <c r="C179" s="1"/>
      <c r="D179" s="1"/>
      <c r="E179" s="2"/>
      <c r="F179" s="1"/>
      <c r="G179" s="2"/>
      <c r="H179" s="2"/>
      <c r="I179" s="2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s="33" customFormat="1" ht="12.75" customHeight="1">
      <c r="A180" s="1"/>
      <c r="B180" s="1"/>
      <c r="C180" s="1"/>
      <c r="D180" s="1"/>
      <c r="E180" s="2"/>
      <c r="F180" s="1"/>
      <c r="G180" s="2"/>
      <c r="H180" s="2"/>
      <c r="I180" s="2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s="33" customFormat="1" ht="12.75" customHeight="1">
      <c r="A181" s="1"/>
      <c r="B181" s="1"/>
      <c r="C181" s="1"/>
      <c r="D181" s="1"/>
      <c r="E181" s="2"/>
      <c r="F181" s="1"/>
      <c r="G181" s="2"/>
      <c r="H181" s="2"/>
      <c r="I181" s="2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s="33" customFormat="1" ht="12.75" customHeight="1">
      <c r="A182" s="1"/>
      <c r="B182" s="1"/>
      <c r="C182" s="1"/>
      <c r="D182" s="1"/>
      <c r="E182" s="2"/>
      <c r="F182" s="1"/>
      <c r="G182" s="2"/>
      <c r="H182" s="2"/>
      <c r="I182" s="2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s="33" customFormat="1" ht="12.75" customHeight="1">
      <c r="A183" s="1"/>
      <c r="B183" s="1"/>
      <c r="C183" s="1"/>
      <c r="D183" s="1"/>
      <c r="E183" s="2"/>
      <c r="F183" s="1"/>
      <c r="G183" s="2"/>
      <c r="H183" s="2"/>
      <c r="I183" s="2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s="33" customFormat="1" ht="12.75" customHeight="1">
      <c r="A184" s="1"/>
      <c r="B184" s="1"/>
      <c r="C184" s="1"/>
      <c r="D184" s="1"/>
      <c r="E184" s="2"/>
      <c r="F184" s="1"/>
      <c r="G184" s="2"/>
      <c r="H184" s="2"/>
      <c r="I184" s="2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s="33" customFormat="1" ht="12.75" customHeight="1">
      <c r="A185" s="1"/>
      <c r="B185" s="1"/>
      <c r="C185" s="1"/>
      <c r="D185" s="1"/>
      <c r="E185" s="2"/>
      <c r="F185" s="1"/>
      <c r="G185" s="2"/>
      <c r="H185" s="2"/>
      <c r="I185" s="2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s="33" customFormat="1" ht="12.75" customHeight="1">
      <c r="A186" s="1"/>
      <c r="B186" s="1"/>
      <c r="C186" s="1"/>
      <c r="D186" s="1"/>
      <c r="E186" s="2"/>
      <c r="F186" s="1"/>
      <c r="G186" s="2"/>
      <c r="H186" s="2"/>
      <c r="I186" s="2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s="33" customFormat="1" ht="12.75" customHeight="1">
      <c r="A187" s="1"/>
      <c r="B187" s="1"/>
      <c r="C187" s="1"/>
      <c r="D187" s="1"/>
      <c r="E187" s="2"/>
      <c r="F187" s="1"/>
      <c r="G187" s="2"/>
      <c r="H187" s="2"/>
      <c r="I187" s="2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s="33" customFormat="1" ht="12.75" customHeight="1">
      <c r="A188" s="1"/>
      <c r="B188" s="1"/>
      <c r="C188" s="1"/>
      <c r="D188" s="1"/>
      <c r="E188" s="2"/>
      <c r="F188" s="1"/>
      <c r="G188" s="2"/>
      <c r="H188" s="2"/>
      <c r="I188" s="2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s="33" customFormat="1" ht="12.75" customHeight="1">
      <c r="A189" s="1"/>
      <c r="B189" s="1"/>
      <c r="C189" s="1"/>
      <c r="D189" s="1"/>
      <c r="E189" s="2"/>
      <c r="F189" s="1"/>
      <c r="G189" s="2"/>
      <c r="H189" s="2"/>
      <c r="I189" s="2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s="33" customFormat="1" ht="12.75" customHeight="1">
      <c r="A190" s="1"/>
      <c r="B190" s="1"/>
      <c r="C190" s="1"/>
      <c r="D190" s="1"/>
      <c r="E190" s="2"/>
      <c r="F190" s="1"/>
      <c r="G190" s="2"/>
      <c r="H190" s="2"/>
      <c r="I190" s="2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s="33" customFormat="1" ht="12.75" customHeight="1">
      <c r="A191" s="1"/>
      <c r="B191" s="1"/>
      <c r="C191" s="1"/>
      <c r="D191" s="1"/>
      <c r="E191" s="2"/>
      <c r="F191" s="1"/>
      <c r="G191" s="2"/>
      <c r="H191" s="2"/>
      <c r="I191" s="2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s="33" customFormat="1" ht="12.75" customHeight="1">
      <c r="A192" s="1"/>
      <c r="B192" s="1"/>
      <c r="C192" s="1"/>
      <c r="D192" s="1"/>
      <c r="E192" s="2"/>
      <c r="F192" s="1"/>
      <c r="G192" s="2"/>
      <c r="H192" s="2"/>
      <c r="I192" s="2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s="33" customFormat="1" ht="12.75" customHeight="1">
      <c r="A193" s="1"/>
      <c r="B193" s="1"/>
      <c r="C193" s="1"/>
      <c r="D193" s="1"/>
      <c r="E193" s="2"/>
      <c r="F193" s="1"/>
      <c r="G193" s="2"/>
      <c r="H193" s="2"/>
      <c r="I193" s="2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s="33" customFormat="1" ht="12.75" customHeight="1">
      <c r="A194" s="1"/>
      <c r="B194" s="1"/>
      <c r="C194" s="1"/>
      <c r="D194" s="1"/>
      <c r="E194" s="2"/>
      <c r="F194" s="1"/>
      <c r="G194" s="2"/>
      <c r="H194" s="2"/>
      <c r="I194" s="2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s="33" customFormat="1" ht="12.75" customHeight="1">
      <c r="A195" s="1"/>
      <c r="B195" s="1"/>
      <c r="C195" s="1"/>
      <c r="D195" s="1"/>
      <c r="E195" s="2"/>
      <c r="F195" s="1"/>
      <c r="G195" s="2"/>
      <c r="H195" s="2"/>
      <c r="I195" s="2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s="33" customFormat="1" ht="12.75" customHeight="1">
      <c r="A196" s="1"/>
      <c r="B196" s="1"/>
      <c r="C196" s="1"/>
      <c r="D196" s="1"/>
      <c r="E196" s="2"/>
      <c r="F196" s="1"/>
      <c r="G196" s="2"/>
      <c r="H196" s="2"/>
      <c r="I196" s="2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s="33" customFormat="1" ht="12.75" customHeight="1">
      <c r="A197" s="1"/>
      <c r="B197" s="1"/>
      <c r="C197" s="1"/>
      <c r="D197" s="1"/>
      <c r="E197" s="2"/>
      <c r="F197" s="1"/>
      <c r="G197" s="2"/>
      <c r="H197" s="2"/>
      <c r="I197" s="2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s="33" customFormat="1" ht="12.75" customHeight="1">
      <c r="A198" s="1"/>
      <c r="B198" s="1"/>
      <c r="C198" s="1"/>
      <c r="D198" s="1"/>
      <c r="E198" s="2"/>
      <c r="F198" s="1"/>
      <c r="G198" s="2"/>
      <c r="H198" s="2"/>
      <c r="I198" s="2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s="33" customFormat="1" ht="12.75" customHeight="1">
      <c r="A199" s="1"/>
      <c r="B199" s="1"/>
      <c r="C199" s="1"/>
      <c r="D199" s="1"/>
      <c r="E199" s="2"/>
      <c r="F199" s="1"/>
      <c r="G199" s="2"/>
      <c r="H199" s="2"/>
      <c r="I199" s="2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s="33" customFormat="1" ht="12.75" customHeight="1">
      <c r="A200" s="1"/>
      <c r="B200" s="1"/>
      <c r="C200" s="1"/>
      <c r="D200" s="1"/>
      <c r="E200" s="2"/>
      <c r="F200" s="1"/>
      <c r="G200" s="2"/>
      <c r="H200" s="2"/>
      <c r="I200" s="2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s="33" customFormat="1" ht="12.75" customHeight="1">
      <c r="A201" s="1"/>
      <c r="B201" s="1"/>
      <c r="C201" s="1"/>
      <c r="D201" s="1"/>
      <c r="E201" s="2"/>
      <c r="F201" s="1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s="33" customFormat="1" ht="12.75" customHeight="1">
      <c r="A202" s="1"/>
      <c r="B202" s="1"/>
      <c r="C202" s="1"/>
      <c r="D202" s="1"/>
      <c r="E202" s="2"/>
      <c r="F202" s="1"/>
      <c r="G202" s="2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s="33" customFormat="1" ht="12.75" customHeight="1">
      <c r="A203" s="1"/>
      <c r="B203" s="1"/>
      <c r="C203" s="1"/>
      <c r="D203" s="1"/>
      <c r="E203" s="2"/>
      <c r="F203" s="1"/>
      <c r="G203" s="2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s="33" customFormat="1" ht="12.75" customHeight="1">
      <c r="A204" s="1"/>
      <c r="B204" s="1"/>
      <c r="C204" s="1"/>
      <c r="D204" s="1"/>
      <c r="E204" s="2"/>
      <c r="F204" s="1"/>
      <c r="G204" s="2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s="33" customFormat="1" ht="12.75" customHeight="1">
      <c r="A205" s="1"/>
      <c r="B205" s="1"/>
      <c r="C205" s="1"/>
      <c r="D205" s="1"/>
      <c r="E205" s="2"/>
      <c r="F205" s="1"/>
      <c r="G205" s="2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s="33" customFormat="1" ht="12.75" customHeight="1">
      <c r="A206" s="1"/>
      <c r="B206" s="1"/>
      <c r="C206" s="1"/>
      <c r="D206" s="1"/>
      <c r="E206" s="2"/>
      <c r="F206" s="1"/>
      <c r="G206" s="2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s="33" customFormat="1" ht="12.75" customHeight="1">
      <c r="A207" s="1"/>
      <c r="B207" s="1"/>
      <c r="C207" s="1"/>
      <c r="D207" s="1"/>
      <c r="E207" s="2"/>
      <c r="F207" s="1"/>
      <c r="G207" s="2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</sheetData>
  <autoFilter ref="A9:AJ115" xr:uid="{00000000-0009-0000-0000-00000C000000}"/>
  <mergeCells count="25">
    <mergeCell ref="E7:E8"/>
    <mergeCell ref="F7:F8"/>
    <mergeCell ref="G7:G8"/>
    <mergeCell ref="H7:J7"/>
    <mergeCell ref="K7:M7"/>
    <mergeCell ref="I114:J114"/>
    <mergeCell ref="L114:M114"/>
    <mergeCell ref="T114:U114"/>
    <mergeCell ref="G2:S2"/>
    <mergeCell ref="T2:X2"/>
    <mergeCell ref="G3:S3"/>
    <mergeCell ref="G4:S4"/>
    <mergeCell ref="G5:S5"/>
    <mergeCell ref="N7:O7"/>
    <mergeCell ref="P7:Q7"/>
    <mergeCell ref="R7:S7"/>
    <mergeCell ref="T7:U7"/>
    <mergeCell ref="V7:X7"/>
    <mergeCell ref="T115:U115"/>
    <mergeCell ref="K126:P126"/>
    <mergeCell ref="K127:P127"/>
    <mergeCell ref="K128:P128"/>
    <mergeCell ref="N114:O114"/>
    <mergeCell ref="P114:Q114"/>
    <mergeCell ref="R114:S114"/>
  </mergeCells>
  <conditionalFormatting sqref="X17:X25 X84 X15 X27:X31 X82 Y8:Y114">
    <cfRule type="cellIs" dxfId="293" priority="113" operator="greaterThan">
      <formula>1</formula>
    </cfRule>
    <cfRule type="cellIs" dxfId="292" priority="114" operator="greaterThan">
      <formula>100</formula>
    </cfRule>
  </conditionalFormatting>
  <conditionalFormatting sqref="X33">
    <cfRule type="cellIs" dxfId="291" priority="111" operator="greaterThan">
      <formula>1</formula>
    </cfRule>
    <cfRule type="cellIs" dxfId="290" priority="112" operator="greaterThan">
      <formula>100</formula>
    </cfRule>
  </conditionalFormatting>
  <conditionalFormatting sqref="X16">
    <cfRule type="cellIs" dxfId="289" priority="109" operator="greaterThan">
      <formula>1</formula>
    </cfRule>
    <cfRule type="cellIs" dxfId="288" priority="110" operator="greaterThan">
      <formula>100</formula>
    </cfRule>
  </conditionalFormatting>
  <conditionalFormatting sqref="X34:X38">
    <cfRule type="cellIs" dxfId="287" priority="107" operator="greaterThan">
      <formula>1</formula>
    </cfRule>
    <cfRule type="cellIs" dxfId="286" priority="108" operator="greaterThan">
      <formula>100</formula>
    </cfRule>
  </conditionalFormatting>
  <conditionalFormatting sqref="X41">
    <cfRule type="cellIs" dxfId="285" priority="105" operator="greaterThan">
      <formula>1</formula>
    </cfRule>
    <cfRule type="cellIs" dxfId="284" priority="106" operator="greaterThan">
      <formula>100</formula>
    </cfRule>
  </conditionalFormatting>
  <conditionalFormatting sqref="X47:X81">
    <cfRule type="cellIs" dxfId="283" priority="103" operator="greaterThan">
      <formula>1</formula>
    </cfRule>
    <cfRule type="cellIs" dxfId="282" priority="104" operator="greaterThan">
      <formula>100</formula>
    </cfRule>
  </conditionalFormatting>
  <conditionalFormatting sqref="X42:X46">
    <cfRule type="cellIs" dxfId="281" priority="101" operator="greaterThan">
      <formula>1</formula>
    </cfRule>
    <cfRule type="cellIs" dxfId="280" priority="102" operator="greaterThan">
      <formula>100</formula>
    </cfRule>
  </conditionalFormatting>
  <conditionalFormatting sqref="X106:X111">
    <cfRule type="cellIs" dxfId="279" priority="91" operator="greaterThan">
      <formula>1</formula>
    </cfRule>
    <cfRule type="cellIs" dxfId="278" priority="92" operator="greaterThan">
      <formula>100</formula>
    </cfRule>
  </conditionalFormatting>
  <conditionalFormatting sqref="X85:X98 X100">
    <cfRule type="cellIs" dxfId="277" priority="99" operator="greaterThan">
      <formula>1</formula>
    </cfRule>
    <cfRule type="cellIs" dxfId="276" priority="100" operator="greaterThan">
      <formula>100</formula>
    </cfRule>
  </conditionalFormatting>
  <conditionalFormatting sqref="X102">
    <cfRule type="cellIs" dxfId="275" priority="97" operator="greaterThan">
      <formula>1</formula>
    </cfRule>
    <cfRule type="cellIs" dxfId="274" priority="98" operator="greaterThan">
      <formula>100</formula>
    </cfRule>
  </conditionalFormatting>
  <conditionalFormatting sqref="X105">
    <cfRule type="cellIs" dxfId="273" priority="95" operator="greaterThan">
      <formula>1</formula>
    </cfRule>
    <cfRule type="cellIs" dxfId="272" priority="96" operator="greaterThan">
      <formula>100</formula>
    </cfRule>
  </conditionalFormatting>
  <conditionalFormatting sqref="X103">
    <cfRule type="cellIs" dxfId="271" priority="93" operator="greaterThan">
      <formula>1</formula>
    </cfRule>
    <cfRule type="cellIs" dxfId="270" priority="94" operator="greaterThan">
      <formula>100</formula>
    </cfRule>
  </conditionalFormatting>
  <conditionalFormatting sqref="V16:V25 V34:V38 V42:V81 V103 V10 V14 V85:V98 V100 V27:W31 V82:W82 V106:V111">
    <cfRule type="cellIs" dxfId="269" priority="90" operator="equal">
      <formula>0</formula>
    </cfRule>
  </conditionalFormatting>
  <conditionalFormatting sqref="V14">
    <cfRule type="cellIs" dxfId="268" priority="89" operator="equal">
      <formula>0</formula>
    </cfRule>
  </conditionalFormatting>
  <conditionalFormatting sqref="W10 W14">
    <cfRule type="cellIs" dxfId="267" priority="88" operator="equal">
      <formula>0</formula>
    </cfRule>
  </conditionalFormatting>
  <conditionalFormatting sqref="W14">
    <cfRule type="cellIs" dxfId="266" priority="87" operator="equal">
      <formula>0</formula>
    </cfRule>
  </conditionalFormatting>
  <conditionalFormatting sqref="X10 X14">
    <cfRule type="cellIs" dxfId="265" priority="86" operator="equal">
      <formula>0</formula>
    </cfRule>
  </conditionalFormatting>
  <conditionalFormatting sqref="X14">
    <cfRule type="cellIs" dxfId="264" priority="85" operator="equal">
      <formula>0</formula>
    </cfRule>
  </conditionalFormatting>
  <conditionalFormatting sqref="W16:W25">
    <cfRule type="cellIs" dxfId="263" priority="84" operator="equal">
      <formula>0</formula>
    </cfRule>
  </conditionalFormatting>
  <conditionalFormatting sqref="W34:W38">
    <cfRule type="cellIs" dxfId="262" priority="83" operator="equal">
      <formula>0</formula>
    </cfRule>
  </conditionalFormatting>
  <conditionalFormatting sqref="W42:W81">
    <cfRule type="cellIs" dxfId="261" priority="82" operator="equal">
      <formula>0</formula>
    </cfRule>
  </conditionalFormatting>
  <conditionalFormatting sqref="W85:W98 W100">
    <cfRule type="cellIs" dxfId="260" priority="81" operator="equal">
      <formula>0</formula>
    </cfRule>
  </conditionalFormatting>
  <conditionalFormatting sqref="W103">
    <cfRule type="cellIs" dxfId="259" priority="80" operator="equal">
      <formula>0</formula>
    </cfRule>
  </conditionalFormatting>
  <conditionalFormatting sqref="W106:W111">
    <cfRule type="cellIs" dxfId="258" priority="79" operator="equal">
      <formula>0</formula>
    </cfRule>
  </conditionalFormatting>
  <conditionalFormatting sqref="X12:X13">
    <cfRule type="cellIs" dxfId="257" priority="77" operator="greaterThan">
      <formula>1</formula>
    </cfRule>
    <cfRule type="cellIs" dxfId="256" priority="78" operator="greaterThan">
      <formula>100</formula>
    </cfRule>
  </conditionalFormatting>
  <conditionalFormatting sqref="V12:V13">
    <cfRule type="cellIs" dxfId="255" priority="76" operator="equal">
      <formula>0</formula>
    </cfRule>
  </conditionalFormatting>
  <conditionalFormatting sqref="W12:W13">
    <cfRule type="cellIs" dxfId="254" priority="75" operator="equal">
      <formula>0</formula>
    </cfRule>
  </conditionalFormatting>
  <conditionalFormatting sqref="X11">
    <cfRule type="cellIs" dxfId="253" priority="69" operator="greaterThan">
      <formula>1</formula>
    </cfRule>
    <cfRule type="cellIs" dxfId="252" priority="70" operator="greaterThan">
      <formula>100</formula>
    </cfRule>
  </conditionalFormatting>
  <conditionalFormatting sqref="V11">
    <cfRule type="cellIs" dxfId="251" priority="68" operator="equal">
      <formula>0</formula>
    </cfRule>
  </conditionalFormatting>
  <conditionalFormatting sqref="W11">
    <cfRule type="cellIs" dxfId="250" priority="67" operator="equal">
      <formula>0</formula>
    </cfRule>
  </conditionalFormatting>
  <conditionalFormatting sqref="X99">
    <cfRule type="cellIs" dxfId="249" priority="7" operator="greaterThan">
      <formula>1</formula>
    </cfRule>
    <cfRule type="cellIs" dxfId="248" priority="8" operator="greaterThan">
      <formula>100</formula>
    </cfRule>
  </conditionalFormatting>
  <conditionalFormatting sqref="V99">
    <cfRule type="cellIs" dxfId="247" priority="6" operator="equal">
      <formula>0</formula>
    </cfRule>
  </conditionalFormatting>
  <conditionalFormatting sqref="W99">
    <cfRule type="cellIs" dxfId="246" priority="5" operator="equal">
      <formula>0</formula>
    </cfRule>
  </conditionalFormatting>
  <conditionalFormatting sqref="V32">
    <cfRule type="cellIs" dxfId="245" priority="58" operator="equal">
      <formula>0</formula>
    </cfRule>
  </conditionalFormatting>
  <conditionalFormatting sqref="V32">
    <cfRule type="cellIs" dxfId="244" priority="57" operator="equal">
      <formula>0</formula>
    </cfRule>
  </conditionalFormatting>
  <conditionalFormatting sqref="W32">
    <cfRule type="cellIs" dxfId="243" priority="56" operator="equal">
      <formula>0</formula>
    </cfRule>
  </conditionalFormatting>
  <conditionalFormatting sqref="W32">
    <cfRule type="cellIs" dxfId="242" priority="55" operator="equal">
      <formula>0</formula>
    </cfRule>
  </conditionalFormatting>
  <conditionalFormatting sqref="X32">
    <cfRule type="cellIs" dxfId="241" priority="54" operator="equal">
      <formula>0</formula>
    </cfRule>
  </conditionalFormatting>
  <conditionalFormatting sqref="X32">
    <cfRule type="cellIs" dxfId="240" priority="53" operator="equal">
      <formula>0</formula>
    </cfRule>
  </conditionalFormatting>
  <conditionalFormatting sqref="V40">
    <cfRule type="cellIs" dxfId="239" priority="52" operator="equal">
      <formula>0</formula>
    </cfRule>
  </conditionalFormatting>
  <conditionalFormatting sqref="V40">
    <cfRule type="cellIs" dxfId="238" priority="51" operator="equal">
      <formula>0</formula>
    </cfRule>
  </conditionalFormatting>
  <conditionalFormatting sqref="W40">
    <cfRule type="cellIs" dxfId="237" priority="50" operator="equal">
      <formula>0</formula>
    </cfRule>
  </conditionalFormatting>
  <conditionalFormatting sqref="W40">
    <cfRule type="cellIs" dxfId="236" priority="49" operator="equal">
      <formula>0</formula>
    </cfRule>
  </conditionalFormatting>
  <conditionalFormatting sqref="X40">
    <cfRule type="cellIs" dxfId="235" priority="48" operator="equal">
      <formula>0</formula>
    </cfRule>
  </conditionalFormatting>
  <conditionalFormatting sqref="X40">
    <cfRule type="cellIs" dxfId="234" priority="47" operator="equal">
      <formula>0</formula>
    </cfRule>
  </conditionalFormatting>
  <conditionalFormatting sqref="V83">
    <cfRule type="cellIs" dxfId="233" priority="46" operator="equal">
      <formula>0</formula>
    </cfRule>
  </conditionalFormatting>
  <conditionalFormatting sqref="V83">
    <cfRule type="cellIs" dxfId="232" priority="45" operator="equal">
      <formula>0</formula>
    </cfRule>
  </conditionalFormatting>
  <conditionalFormatting sqref="W83">
    <cfRule type="cellIs" dxfId="231" priority="44" operator="equal">
      <formula>0</formula>
    </cfRule>
  </conditionalFormatting>
  <conditionalFormatting sqref="W83">
    <cfRule type="cellIs" dxfId="230" priority="43" operator="equal">
      <formula>0</formula>
    </cfRule>
  </conditionalFormatting>
  <conditionalFormatting sqref="X83">
    <cfRule type="cellIs" dxfId="229" priority="42" operator="equal">
      <formula>0</formula>
    </cfRule>
  </conditionalFormatting>
  <conditionalFormatting sqref="X83">
    <cfRule type="cellIs" dxfId="228" priority="41" operator="equal">
      <formula>0</formula>
    </cfRule>
  </conditionalFormatting>
  <conditionalFormatting sqref="V101">
    <cfRule type="cellIs" dxfId="227" priority="40" operator="equal">
      <formula>0</formula>
    </cfRule>
  </conditionalFormatting>
  <conditionalFormatting sqref="V101">
    <cfRule type="cellIs" dxfId="226" priority="39" operator="equal">
      <formula>0</formula>
    </cfRule>
  </conditionalFormatting>
  <conditionalFormatting sqref="W101">
    <cfRule type="cellIs" dxfId="225" priority="38" operator="equal">
      <formula>0</formula>
    </cfRule>
  </conditionalFormatting>
  <conditionalFormatting sqref="W101">
    <cfRule type="cellIs" dxfId="224" priority="37" operator="equal">
      <formula>0</formula>
    </cfRule>
  </conditionalFormatting>
  <conditionalFormatting sqref="X101">
    <cfRule type="cellIs" dxfId="223" priority="36" operator="equal">
      <formula>0</formula>
    </cfRule>
  </conditionalFormatting>
  <conditionalFormatting sqref="X101">
    <cfRule type="cellIs" dxfId="222" priority="35" operator="equal">
      <formula>0</formula>
    </cfRule>
  </conditionalFormatting>
  <conditionalFormatting sqref="V104">
    <cfRule type="cellIs" dxfId="221" priority="34" operator="equal">
      <formula>0</formula>
    </cfRule>
  </conditionalFormatting>
  <conditionalFormatting sqref="V104">
    <cfRule type="cellIs" dxfId="220" priority="33" operator="equal">
      <formula>0</formula>
    </cfRule>
  </conditionalFormatting>
  <conditionalFormatting sqref="W104">
    <cfRule type="cellIs" dxfId="219" priority="32" operator="equal">
      <formula>0</formula>
    </cfRule>
  </conditionalFormatting>
  <conditionalFormatting sqref="W104">
    <cfRule type="cellIs" dxfId="218" priority="31" operator="equal">
      <formula>0</formula>
    </cfRule>
  </conditionalFormatting>
  <conditionalFormatting sqref="X104">
    <cfRule type="cellIs" dxfId="217" priority="30" operator="equal">
      <formula>0</formula>
    </cfRule>
  </conditionalFormatting>
  <conditionalFormatting sqref="X104">
    <cfRule type="cellIs" dxfId="216" priority="29" operator="equal">
      <formula>0</formula>
    </cfRule>
  </conditionalFormatting>
  <conditionalFormatting sqref="V112">
    <cfRule type="cellIs" dxfId="215" priority="28" operator="equal">
      <formula>0</formula>
    </cfRule>
  </conditionalFormatting>
  <conditionalFormatting sqref="V112">
    <cfRule type="cellIs" dxfId="214" priority="27" operator="equal">
      <formula>0</formula>
    </cfRule>
  </conditionalFormatting>
  <conditionalFormatting sqref="W112">
    <cfRule type="cellIs" dxfId="213" priority="26" operator="equal">
      <formula>0</formula>
    </cfRule>
  </conditionalFormatting>
  <conditionalFormatting sqref="W112">
    <cfRule type="cellIs" dxfId="212" priority="25" operator="equal">
      <formula>0</formula>
    </cfRule>
  </conditionalFormatting>
  <conditionalFormatting sqref="X112">
    <cfRule type="cellIs" dxfId="211" priority="24" operator="equal">
      <formula>0</formula>
    </cfRule>
  </conditionalFormatting>
  <conditionalFormatting sqref="X112">
    <cfRule type="cellIs" dxfId="210" priority="23" operator="equal">
      <formula>0</formula>
    </cfRule>
  </conditionalFormatting>
  <conditionalFormatting sqref="V114">
    <cfRule type="cellIs" dxfId="209" priority="22" operator="equal">
      <formula>0</formula>
    </cfRule>
  </conditionalFormatting>
  <conditionalFormatting sqref="V114">
    <cfRule type="cellIs" dxfId="208" priority="21" operator="equal">
      <formula>0</formula>
    </cfRule>
  </conditionalFormatting>
  <conditionalFormatting sqref="W114">
    <cfRule type="cellIs" dxfId="207" priority="20" operator="equal">
      <formula>0</formula>
    </cfRule>
  </conditionalFormatting>
  <conditionalFormatting sqref="W114">
    <cfRule type="cellIs" dxfId="206" priority="19" operator="equal">
      <formula>0</formula>
    </cfRule>
  </conditionalFormatting>
  <conditionalFormatting sqref="X114">
    <cfRule type="cellIs" dxfId="205" priority="18" operator="equal">
      <formula>0</formula>
    </cfRule>
  </conditionalFormatting>
  <conditionalFormatting sqref="X114">
    <cfRule type="cellIs" dxfId="204" priority="17" operator="equal">
      <formula>0</formula>
    </cfRule>
  </conditionalFormatting>
  <conditionalFormatting sqref="X39">
    <cfRule type="cellIs" dxfId="203" priority="11" operator="greaterThan">
      <formula>1</formula>
    </cfRule>
    <cfRule type="cellIs" dxfId="202" priority="12" operator="greaterThan">
      <formula>100</formula>
    </cfRule>
  </conditionalFormatting>
  <conditionalFormatting sqref="V39">
    <cfRule type="cellIs" dxfId="201" priority="10" operator="equal">
      <formula>0</formula>
    </cfRule>
  </conditionalFormatting>
  <conditionalFormatting sqref="W39">
    <cfRule type="cellIs" dxfId="200" priority="9" operator="equal">
      <formula>0</formula>
    </cfRule>
  </conditionalFormatting>
  <conditionalFormatting sqref="X26">
    <cfRule type="cellIs" dxfId="199" priority="3" operator="greaterThan">
      <formula>1</formula>
    </cfRule>
    <cfRule type="cellIs" dxfId="198" priority="4" operator="greaterThan">
      <formula>100</formula>
    </cfRule>
  </conditionalFormatting>
  <conditionalFormatting sqref="V26">
    <cfRule type="cellIs" dxfId="197" priority="2" operator="equal">
      <formula>0</formula>
    </cfRule>
  </conditionalFormatting>
  <conditionalFormatting sqref="W26">
    <cfRule type="cellIs" dxfId="196" priority="1" operator="equal">
      <formula>0</formula>
    </cfRule>
  </conditionalFormatting>
  <hyperlinks>
    <hyperlink ref="G2:S2" location="Certificado!A1" display="PLANILLA DE AVANCE DE OBRA" xr:uid="{00000000-0004-0000-0C00-000000000000}"/>
  </hyperlinks>
  <printOptions horizontalCentered="1"/>
  <pageMargins left="0.39370078740157483" right="0.39370078740157483" top="0.78740157480314965" bottom="0.39370078740157483" header="0" footer="0.19685039370078741"/>
  <pageSetup scale="57" fitToHeight="0" orientation="landscape" r:id="rId1"/>
  <headerFooter alignWithMargins="0">
    <oddFooter>&amp;C&amp;P de &amp;N</oddFooter>
  </headerFooter>
  <rowBreaks count="2" manualBreakCount="2">
    <brk id="45" max="16383" man="1"/>
    <brk id="83" max="16383" man="1"/>
  </rowBreaks>
  <ignoredErrors>
    <ignoredError sqref="L106:O111 J39:L39 J34:L34 J35:L35 J36:L36 J37:L37 J38:L38 M34:M39" unlockedFormula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6"/>
  <dimension ref="A1:Q27"/>
  <sheetViews>
    <sheetView showGridLines="0" view="pageBreakPreview" zoomScale="115" zoomScaleNormal="100" zoomScaleSheetLayoutView="115" workbookViewId="0">
      <selection activeCell="L13" sqref="L13"/>
    </sheetView>
  </sheetViews>
  <sheetFormatPr baseColWidth="10" defaultColWidth="11.42578125" defaultRowHeight="16.5"/>
  <cols>
    <col min="1" max="1" width="8.42578125" style="315" customWidth="1"/>
    <col min="2" max="2" width="22" style="315" customWidth="1"/>
    <col min="3" max="3" width="39.140625" style="315" customWidth="1"/>
    <col min="4" max="4" width="32.5703125" style="315" customWidth="1"/>
    <col min="5" max="6" width="16.5703125" style="315" customWidth="1"/>
    <col min="7" max="7" width="24.28515625" style="315" customWidth="1"/>
    <col min="8" max="12" width="11.42578125" style="315"/>
    <col min="13" max="13" width="0" style="315" hidden="1" customWidth="1"/>
    <col min="14" max="16384" width="11.42578125" style="315"/>
  </cols>
  <sheetData>
    <row r="1" spans="1:7" ht="21" customHeight="1">
      <c r="A1" s="677"/>
      <c r="B1" s="678"/>
      <c r="C1" s="677"/>
      <c r="D1" s="690"/>
      <c r="E1" s="690"/>
      <c r="F1" s="678"/>
      <c r="G1" s="680"/>
    </row>
    <row r="2" spans="1:7" ht="21" customHeight="1">
      <c r="A2" s="682"/>
      <c r="B2" s="683"/>
      <c r="C2" s="1858" t="s">
        <v>206</v>
      </c>
      <c r="D2" s="1859"/>
      <c r="E2" s="1859"/>
      <c r="F2" s="1860"/>
      <c r="G2" s="684"/>
    </row>
    <row r="3" spans="1:7" ht="21" customHeight="1">
      <c r="A3" s="367"/>
      <c r="B3" s="369"/>
      <c r="C3" s="367"/>
      <c r="D3" s="368"/>
      <c r="E3" s="368"/>
      <c r="F3" s="369"/>
      <c r="G3" s="681"/>
    </row>
    <row r="4" spans="1:7" ht="21" customHeight="1">
      <c r="A4" s="367"/>
      <c r="B4" s="369"/>
      <c r="C4" s="1864" t="str">
        <f>+Datos!B2</f>
        <v>PROYECTO: CONSTRUCCION Y REHABILITACION TRAMO CARRETERO
VILLA MONTES - LA VERTIENTE - PALO MARCADO</v>
      </c>
      <c r="D4" s="1865"/>
      <c r="E4" s="1865"/>
      <c r="F4" s="1866"/>
      <c r="G4" s="681"/>
    </row>
    <row r="5" spans="1:7" ht="21" customHeight="1">
      <c r="A5" s="1855" t="s">
        <v>7</v>
      </c>
      <c r="B5" s="1856"/>
      <c r="C5" s="370"/>
      <c r="D5" s="691"/>
      <c r="E5" s="691"/>
      <c r="F5" s="679"/>
      <c r="G5" s="685" t="s">
        <v>77</v>
      </c>
    </row>
    <row r="6" spans="1:7" ht="54.75" customHeight="1">
      <c r="A6" s="689" t="s">
        <v>200</v>
      </c>
      <c r="B6" s="689" t="s">
        <v>207</v>
      </c>
      <c r="C6" s="689" t="s">
        <v>201</v>
      </c>
      <c r="D6" s="689" t="s">
        <v>202</v>
      </c>
      <c r="E6" s="689" t="s">
        <v>208</v>
      </c>
      <c r="F6" s="689" t="s">
        <v>203</v>
      </c>
      <c r="G6" s="689" t="s">
        <v>204</v>
      </c>
    </row>
    <row r="7" spans="1:7" ht="30" customHeight="1">
      <c r="A7" s="556">
        <v>1</v>
      </c>
      <c r="B7" s="556" t="s">
        <v>205</v>
      </c>
      <c r="C7" s="688" t="s">
        <v>613</v>
      </c>
      <c r="D7" s="688" t="str">
        <f>+Datos!B15</f>
        <v>Ing. Ernesto Vargas Amezaga</v>
      </c>
      <c r="E7" s="617">
        <v>44419</v>
      </c>
      <c r="F7" s="617">
        <f>+Certificado!D20</f>
        <v>44699</v>
      </c>
      <c r="G7" s="556" t="s">
        <v>416</v>
      </c>
    </row>
    <row r="8" spans="1:7" ht="30" customHeight="1">
      <c r="A8" s="316">
        <v>2</v>
      </c>
      <c r="B8" s="316" t="s">
        <v>205</v>
      </c>
      <c r="C8" s="686" t="s">
        <v>209</v>
      </c>
      <c r="D8" s="686" t="s">
        <v>395</v>
      </c>
      <c r="E8" s="618"/>
      <c r="F8" s="316"/>
      <c r="G8" s="316"/>
    </row>
    <row r="9" spans="1:7" ht="30" customHeight="1">
      <c r="A9" s="316">
        <v>3</v>
      </c>
      <c r="B9" s="316" t="s">
        <v>205</v>
      </c>
      <c r="C9" s="686" t="s">
        <v>398</v>
      </c>
      <c r="D9" s="686" t="s">
        <v>399</v>
      </c>
      <c r="E9" s="618"/>
      <c r="F9" s="316"/>
      <c r="G9" s="316"/>
    </row>
    <row r="10" spans="1:7" ht="30" customHeight="1">
      <c r="A10" s="316">
        <v>4</v>
      </c>
      <c r="B10" s="316" t="s">
        <v>205</v>
      </c>
      <c r="C10" s="686" t="s">
        <v>397</v>
      </c>
      <c r="D10" s="1018" t="s">
        <v>564</v>
      </c>
      <c r="E10" s="1019">
        <v>44317</v>
      </c>
      <c r="F10" s="1019">
        <f>+Certificado!D20</f>
        <v>44699</v>
      </c>
      <c r="G10" s="1020" t="s">
        <v>416</v>
      </c>
    </row>
    <row r="11" spans="1:7" ht="30" customHeight="1">
      <c r="A11" s="316">
        <v>5</v>
      </c>
      <c r="B11" s="316" t="s">
        <v>205</v>
      </c>
      <c r="C11" s="686" t="s">
        <v>245</v>
      </c>
      <c r="D11" s="686" t="s">
        <v>396</v>
      </c>
      <c r="E11" s="618">
        <v>44244</v>
      </c>
      <c r="F11" s="618">
        <f>+Certificado!D20</f>
        <v>44699</v>
      </c>
      <c r="G11" s="316" t="s">
        <v>416</v>
      </c>
    </row>
    <row r="12" spans="1:7" ht="30" customHeight="1">
      <c r="A12" s="557">
        <v>6</v>
      </c>
      <c r="B12" s="557" t="s">
        <v>205</v>
      </c>
      <c r="C12" s="687" t="s">
        <v>400</v>
      </c>
      <c r="D12" s="1394" t="s">
        <v>623</v>
      </c>
      <c r="E12" s="619">
        <v>44434</v>
      </c>
      <c r="F12" s="619">
        <f>+Certificado!D20</f>
        <v>44699</v>
      </c>
      <c r="G12" s="557" t="s">
        <v>416</v>
      </c>
    </row>
    <row r="13" spans="1:7">
      <c r="A13" s="367"/>
      <c r="B13" s="368"/>
      <c r="C13" s="368"/>
      <c r="D13" s="368"/>
      <c r="E13" s="368"/>
      <c r="F13" s="368"/>
      <c r="G13" s="369"/>
    </row>
    <row r="14" spans="1:7">
      <c r="A14" s="367"/>
      <c r="B14" s="368"/>
      <c r="C14" s="368"/>
      <c r="D14" s="368"/>
      <c r="E14" s="368"/>
      <c r="F14" s="368"/>
      <c r="G14" s="369"/>
    </row>
    <row r="15" spans="1:7">
      <c r="A15" s="367"/>
      <c r="B15" s="368"/>
      <c r="C15" s="368"/>
      <c r="D15" s="368"/>
      <c r="E15" s="368"/>
      <c r="F15" s="368"/>
      <c r="G15" s="369"/>
    </row>
    <row r="16" spans="1:7">
      <c r="A16" s="367"/>
      <c r="B16" s="368"/>
      <c r="C16" s="368"/>
      <c r="D16" s="368"/>
      <c r="E16" s="368"/>
      <c r="F16" s="368"/>
      <c r="G16" s="369"/>
    </row>
    <row r="17" spans="1:17">
      <c r="A17" s="367"/>
      <c r="B17" s="368"/>
      <c r="C17" s="368"/>
      <c r="D17" s="368"/>
      <c r="E17" s="368"/>
      <c r="F17" s="368"/>
      <c r="G17" s="369"/>
    </row>
    <row r="18" spans="1:17">
      <c r="A18" s="367"/>
      <c r="B18" s="368"/>
      <c r="C18" s="368"/>
      <c r="D18" s="368"/>
      <c r="E18" s="368"/>
      <c r="F18" s="368"/>
      <c r="G18" s="369"/>
    </row>
    <row r="19" spans="1:17">
      <c r="A19" s="367"/>
      <c r="B19" s="368"/>
      <c r="C19" s="368"/>
      <c r="D19" s="368"/>
      <c r="E19" s="368"/>
      <c r="F19" s="368"/>
      <c r="G19" s="369"/>
    </row>
    <row r="20" spans="1:17">
      <c r="A20" s="367"/>
      <c r="B20" s="368"/>
      <c r="C20" s="368"/>
      <c r="D20" s="368"/>
      <c r="E20" s="368"/>
      <c r="F20" s="368"/>
      <c r="G20" s="369"/>
    </row>
    <row r="21" spans="1:17">
      <c r="A21" s="367"/>
      <c r="B21" s="368"/>
      <c r="C21" s="368"/>
      <c r="D21" s="368"/>
      <c r="E21" s="368"/>
      <c r="F21" s="368"/>
      <c r="G21" s="369"/>
    </row>
    <row r="22" spans="1:17">
      <c r="A22" s="367"/>
      <c r="B22" s="368"/>
      <c r="C22" s="368"/>
      <c r="D22" s="368"/>
      <c r="E22" s="368"/>
      <c r="F22" s="368"/>
      <c r="G22" s="369"/>
    </row>
    <row r="23" spans="1:17">
      <c r="A23" s="367"/>
      <c r="B23" s="368"/>
      <c r="C23" s="368"/>
      <c r="D23" s="368"/>
      <c r="E23" s="368"/>
      <c r="F23" s="368"/>
      <c r="G23" s="369"/>
    </row>
    <row r="24" spans="1:17">
      <c r="A24" s="367"/>
      <c r="B24" s="368"/>
      <c r="C24" s="368"/>
      <c r="D24" s="368"/>
      <c r="E24" s="368"/>
      <c r="F24" s="368"/>
      <c r="G24" s="369"/>
    </row>
    <row r="25" spans="1:17">
      <c r="A25" s="367"/>
      <c r="B25" s="1819" t="str">
        <f>+Datos!B15</f>
        <v>Ing. Ernesto Vargas Amezaga</v>
      </c>
      <c r="C25" s="1819"/>
      <c r="D25" s="1819" t="str">
        <f>+Datos!B7</f>
        <v>Ing. Pedro Alberto Barreto Gutierrez</v>
      </c>
      <c r="E25" s="1819"/>
      <c r="F25" s="1819" t="str">
        <f>+Datos!B10</f>
        <v>Ing. Eyber Lopez Lopez</v>
      </c>
      <c r="G25" s="1861"/>
      <c r="H25" s="14" t="e">
        <f>+#REF!</f>
        <v>#REF!</v>
      </c>
      <c r="J25" s="1"/>
      <c r="K25" s="14"/>
      <c r="L25" s="14"/>
      <c r="M25" s="14"/>
      <c r="N25" s="14"/>
      <c r="P25" s="14"/>
      <c r="Q25" s="14"/>
    </row>
    <row r="26" spans="1:17">
      <c r="A26" s="367"/>
      <c r="B26" s="1820" t="str">
        <f>+Datos!B16</f>
        <v>SUPERINTENDENTE DE OBRA a.i.</v>
      </c>
      <c r="C26" s="1820"/>
      <c r="D26" s="1820" t="str">
        <f>+Datos!B8</f>
        <v xml:space="preserve">GERENTE SUPERVISION TECNICA </v>
      </c>
      <c r="E26" s="1820"/>
      <c r="F26" s="1820" t="str">
        <f>+Datos!B11</f>
        <v>FISCAL DE OBRA</v>
      </c>
      <c r="G26" s="1862"/>
      <c r="H26" s="14"/>
      <c r="J26" s="1"/>
      <c r="K26" s="14"/>
      <c r="L26" s="14"/>
      <c r="M26" s="14"/>
      <c r="N26" s="14"/>
      <c r="P26" s="14"/>
      <c r="Q26" s="14"/>
    </row>
    <row r="27" spans="1:17" ht="32.25" customHeight="1">
      <c r="A27" s="370"/>
      <c r="B27" s="1857" t="str">
        <f>+Datos!B17</f>
        <v>EMPRESA ESTRATÉGICA BOLIVIANA DE CONSTRUCCIÓN
Y CONSERVACIÓN DE INFRAESTRUCTURA CIVIL (EBC)</v>
      </c>
      <c r="C27" s="1857"/>
      <c r="D27" s="1815" t="str">
        <f>+Datos!B9</f>
        <v>ABC - REGIONAL TARIJA</v>
      </c>
      <c r="E27" s="1815"/>
      <c r="F27" s="1815" t="str">
        <f>+Datos!B12</f>
        <v>ABC - REGIONAL TARIJA</v>
      </c>
      <c r="G27" s="1863"/>
      <c r="H27" s="208"/>
      <c r="J27" s="1"/>
      <c r="K27" s="208"/>
      <c r="L27" s="208"/>
      <c r="M27" s="208"/>
      <c r="N27" s="208"/>
      <c r="P27" s="208"/>
      <c r="Q27" s="208"/>
    </row>
  </sheetData>
  <mergeCells count="12">
    <mergeCell ref="C2:F2"/>
    <mergeCell ref="F25:G25"/>
    <mergeCell ref="F26:G26"/>
    <mergeCell ref="F27:G27"/>
    <mergeCell ref="C4:F4"/>
    <mergeCell ref="A5:B5"/>
    <mergeCell ref="B25:C25"/>
    <mergeCell ref="B26:C26"/>
    <mergeCell ref="B27:C27"/>
    <mergeCell ref="D25:E25"/>
    <mergeCell ref="D26:E26"/>
    <mergeCell ref="D27:E27"/>
  </mergeCells>
  <printOptions horizontalCentered="1"/>
  <pageMargins left="0.39370078740157483" right="0.39370078740157483" top="0.98425196850393704" bottom="0.39370078740157483" header="0.31496062992125984" footer="0.31496062992125984"/>
  <pageSetup scale="83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7"/>
  <dimension ref="A1:T124"/>
  <sheetViews>
    <sheetView showGridLines="0" view="pageBreakPreview" topLeftCell="D10" zoomScale="115" zoomScaleNormal="85" zoomScaleSheetLayoutView="115" workbookViewId="0">
      <selection activeCell="I22" sqref="I22"/>
    </sheetView>
  </sheetViews>
  <sheetFormatPr baseColWidth="10" defaultColWidth="11.42578125" defaultRowHeight="12.75"/>
  <cols>
    <col min="1" max="1" width="1.140625" style="74" customWidth="1"/>
    <col min="2" max="2" width="6.140625" style="74" bestFit="1" customWidth="1"/>
    <col min="3" max="3" width="11.7109375" style="74" customWidth="1"/>
    <col min="4" max="5" width="13.85546875" style="74" customWidth="1"/>
    <col min="6" max="9" width="12.85546875" style="74" customWidth="1"/>
    <col min="10" max="13" width="11.140625" style="74" customWidth="1"/>
    <col min="14" max="15" width="11.5703125" style="74" customWidth="1"/>
    <col min="16" max="17" width="12.85546875" style="74" bestFit="1" customWidth="1"/>
    <col min="18" max="18" width="13.42578125" style="74" customWidth="1"/>
    <col min="19" max="16384" width="11.42578125" style="74"/>
  </cols>
  <sheetData>
    <row r="1" spans="1:20" ht="15" customHeight="1">
      <c r="C1" s="1871"/>
      <c r="D1" s="1872"/>
      <c r="E1" s="230"/>
      <c r="F1" s="99"/>
      <c r="G1" s="226"/>
      <c r="H1" s="226"/>
      <c r="I1" s="226"/>
      <c r="J1" s="226"/>
      <c r="K1" s="226"/>
      <c r="L1" s="230"/>
      <c r="M1" s="99"/>
      <c r="N1" s="226"/>
      <c r="O1" s="230"/>
    </row>
    <row r="2" spans="1:20" ht="15" customHeight="1">
      <c r="C2" s="94"/>
      <c r="D2" s="80"/>
      <c r="E2" s="88"/>
      <c r="F2" s="1884" t="str">
        <f>+Certificado!C1</f>
        <v>CERTIFICADO DE PAGO Nº 11</v>
      </c>
      <c r="G2" s="1885"/>
      <c r="H2" s="1885"/>
      <c r="I2" s="1885"/>
      <c r="J2" s="1885"/>
      <c r="K2" s="1885"/>
      <c r="L2" s="1886"/>
      <c r="M2" s="97"/>
      <c r="N2" s="80"/>
      <c r="O2" s="98"/>
    </row>
    <row r="3" spans="1:20" ht="15" customHeight="1">
      <c r="C3" s="94"/>
      <c r="D3" s="80"/>
      <c r="E3" s="88"/>
      <c r="F3" s="1878" t="str">
        <f>+Certificado!C3</f>
        <v>PROYECTO: CONSTRUCCION Y REHABILITACION TRAMO CARRETERO
VILLA MONTES - LA VERTIENTE - PALO MARCADO</v>
      </c>
      <c r="G3" s="1879"/>
      <c r="H3" s="1879"/>
      <c r="I3" s="1879"/>
      <c r="J3" s="1879"/>
      <c r="K3" s="1879"/>
      <c r="L3" s="1880"/>
      <c r="M3" s="97"/>
      <c r="N3" s="80"/>
      <c r="O3" s="98"/>
    </row>
    <row r="4" spans="1:20" ht="15" customHeight="1">
      <c r="C4" s="95"/>
      <c r="D4" s="399"/>
      <c r="E4" s="88"/>
      <c r="F4" s="1878"/>
      <c r="G4" s="1879"/>
      <c r="H4" s="1879"/>
      <c r="I4" s="1879"/>
      <c r="J4" s="1879"/>
      <c r="K4" s="1879"/>
      <c r="L4" s="1880"/>
      <c r="M4" s="381"/>
      <c r="N4" s="396"/>
      <c r="O4" s="382"/>
    </row>
    <row r="5" spans="1:20" ht="15" customHeight="1">
      <c r="C5" s="95"/>
      <c r="D5" s="399"/>
      <c r="E5" s="88"/>
      <c r="F5" s="1698" t="s">
        <v>224</v>
      </c>
      <c r="G5" s="1699"/>
      <c r="H5" s="1699"/>
      <c r="I5" s="1699"/>
      <c r="J5" s="1699"/>
      <c r="K5" s="1699"/>
      <c r="L5" s="1700"/>
      <c r="M5" s="94"/>
      <c r="N5" s="400"/>
      <c r="O5" s="401"/>
      <c r="P5" s="805"/>
    </row>
    <row r="6" spans="1:20" ht="15" customHeight="1">
      <c r="C6" s="1881" t="s">
        <v>7</v>
      </c>
      <c r="D6" s="1882"/>
      <c r="E6" s="1883"/>
      <c r="F6" s="1895"/>
      <c r="G6" s="1896"/>
      <c r="H6" s="1896"/>
      <c r="I6" s="1896"/>
      <c r="J6" s="1896"/>
      <c r="K6" s="1896"/>
      <c r="L6" s="1897"/>
      <c r="M6" s="1881" t="s">
        <v>77</v>
      </c>
      <c r="N6" s="1882"/>
      <c r="O6" s="1883"/>
    </row>
    <row r="7" spans="1:20" ht="18" customHeight="1">
      <c r="A7" s="75"/>
      <c r="B7" s="75"/>
      <c r="C7" s="96"/>
      <c r="D7" s="1195" t="s">
        <v>582</v>
      </c>
      <c r="E7" s="1196">
        <v>108397839.64</v>
      </c>
      <c r="F7" s="1194"/>
      <c r="G7" s="1250" t="s">
        <v>583</v>
      </c>
      <c r="H7" s="1251">
        <v>106631000.67</v>
      </c>
      <c r="I7" s="385"/>
      <c r="J7" s="398"/>
      <c r="K7" s="398"/>
      <c r="L7" s="229"/>
      <c r="M7" s="229"/>
      <c r="N7" s="385"/>
      <c r="O7" s="88"/>
    </row>
    <row r="8" spans="1:20" ht="15" customHeight="1">
      <c r="B8" s="1869" t="s">
        <v>78</v>
      </c>
      <c r="C8" s="1873" t="s">
        <v>78</v>
      </c>
      <c r="D8" s="1867" t="s">
        <v>79</v>
      </c>
      <c r="E8" s="1868"/>
      <c r="F8" s="1867" t="s">
        <v>37</v>
      </c>
      <c r="G8" s="1893"/>
      <c r="H8" s="1867" t="s">
        <v>226</v>
      </c>
      <c r="I8" s="1893"/>
      <c r="J8" s="1867" t="s">
        <v>79</v>
      </c>
      <c r="K8" s="1868"/>
      <c r="L8" s="1893" t="s">
        <v>37</v>
      </c>
      <c r="M8" s="1868"/>
      <c r="N8" s="1867" t="s">
        <v>226</v>
      </c>
      <c r="O8" s="1868"/>
    </row>
    <row r="9" spans="1:20" ht="15" customHeight="1">
      <c r="B9" s="1869"/>
      <c r="C9" s="1874"/>
      <c r="D9" s="1876" t="s">
        <v>36</v>
      </c>
      <c r="E9" s="1877"/>
      <c r="F9" s="1876" t="s">
        <v>36</v>
      </c>
      <c r="G9" s="1894"/>
      <c r="H9" s="1876" t="s">
        <v>36</v>
      </c>
      <c r="I9" s="1894"/>
      <c r="J9" s="1876" t="s">
        <v>80</v>
      </c>
      <c r="K9" s="1877"/>
      <c r="L9" s="1876" t="s">
        <v>80</v>
      </c>
      <c r="M9" s="1877"/>
      <c r="N9" s="1876" t="s">
        <v>80</v>
      </c>
      <c r="O9" s="1877"/>
    </row>
    <row r="10" spans="1:20" ht="15" customHeight="1">
      <c r="B10" s="1869"/>
      <c r="C10" s="1875"/>
      <c r="D10" s="227" t="s">
        <v>81</v>
      </c>
      <c r="E10" s="228" t="s">
        <v>82</v>
      </c>
      <c r="F10" s="227" t="s">
        <v>81</v>
      </c>
      <c r="G10" s="397" t="s">
        <v>82</v>
      </c>
      <c r="H10" s="227" t="s">
        <v>81</v>
      </c>
      <c r="I10" s="397" t="s">
        <v>82</v>
      </c>
      <c r="J10" s="227" t="s">
        <v>81</v>
      </c>
      <c r="K10" s="228" t="s">
        <v>83</v>
      </c>
      <c r="L10" s="227" t="s">
        <v>81</v>
      </c>
      <c r="M10" s="228" t="s">
        <v>82</v>
      </c>
      <c r="N10" s="227" t="s">
        <v>81</v>
      </c>
      <c r="O10" s="228" t="s">
        <v>82</v>
      </c>
    </row>
    <row r="11" spans="1:20" ht="17.100000000000001" customHeight="1">
      <c r="B11" s="1204">
        <v>43726</v>
      </c>
      <c r="C11" s="558">
        <v>43726</v>
      </c>
      <c r="D11" s="1203" t="s">
        <v>394</v>
      </c>
      <c r="E11" s="563">
        <v>0</v>
      </c>
      <c r="F11" s="562">
        <v>0</v>
      </c>
      <c r="G11" s="563">
        <f>+F11</f>
        <v>0</v>
      </c>
      <c r="H11" s="562">
        <v>21679567.93</v>
      </c>
      <c r="I11" s="563">
        <f>+H11</f>
        <v>21679567.93</v>
      </c>
      <c r="J11" s="587">
        <v>0</v>
      </c>
      <c r="K11" s="588">
        <f>+J11</f>
        <v>0</v>
      </c>
      <c r="L11" s="587">
        <f>F11/E$7</f>
        <v>0</v>
      </c>
      <c r="M11" s="589">
        <v>0</v>
      </c>
      <c r="N11" s="592">
        <f t="shared" ref="N11" si="0">H11/H$7</f>
        <v>0.20331393116241681</v>
      </c>
      <c r="O11" s="589">
        <f t="shared" ref="O11:O21" si="1">+I11/$H$7</f>
        <v>0.20331393116241681</v>
      </c>
      <c r="Q11" s="675"/>
      <c r="R11" s="568"/>
      <c r="T11" s="675"/>
    </row>
    <row r="12" spans="1:20" ht="17.100000000000001" customHeight="1">
      <c r="B12" s="1204">
        <v>44075</v>
      </c>
      <c r="C12" s="559">
        <v>44075</v>
      </c>
      <c r="D12" s="564">
        <v>230575.22</v>
      </c>
      <c r="E12" s="565">
        <f t="shared" ref="E12:E27" si="2">+E11+D12</f>
        <v>230575.22</v>
      </c>
      <c r="F12" s="564">
        <f>+'Avance Financiero'!C12</f>
        <v>230575.22</v>
      </c>
      <c r="G12" s="565">
        <f t="shared" ref="G12:G18" si="3">+G11+F12</f>
        <v>230575.22</v>
      </c>
      <c r="H12" s="564">
        <f>+'Avance Financiero'!Q12</f>
        <v>168319.91</v>
      </c>
      <c r="I12" s="565">
        <f t="shared" ref="I12:I17" si="4">+I11+H12</f>
        <v>21847887.84</v>
      </c>
      <c r="J12" s="587">
        <f t="shared" ref="J12:J20" si="5">D12/H$7</f>
        <v>2.162365714953578E-3</v>
      </c>
      <c r="K12" s="588">
        <f t="shared" ref="K12:K17" si="6">+J12+K11</f>
        <v>2.162365714953578E-3</v>
      </c>
      <c r="L12" s="587">
        <f>F12/H$7</f>
        <v>2.162365714953578E-3</v>
      </c>
      <c r="M12" s="588">
        <f>+G12/$H$7</f>
        <v>2.162365714953578E-3</v>
      </c>
      <c r="N12" s="587">
        <f t="shared" ref="N12:N20" si="7">H12/H$7</f>
        <v>1.5785269662892305E-3</v>
      </c>
      <c r="O12" s="588">
        <f t="shared" si="1"/>
        <v>0.20489245812870602</v>
      </c>
      <c r="P12" s="568"/>
      <c r="Q12" s="675"/>
      <c r="R12" s="568"/>
      <c r="T12" s="675"/>
    </row>
    <row r="13" spans="1:20" ht="17.100000000000001" customHeight="1">
      <c r="B13" s="1204">
        <v>44105</v>
      </c>
      <c r="C13" s="559">
        <v>44105</v>
      </c>
      <c r="D13" s="564">
        <v>515942.2</v>
      </c>
      <c r="E13" s="565">
        <f t="shared" si="2"/>
        <v>746517.42</v>
      </c>
      <c r="F13" s="564">
        <f>+'Avance Financiero'!C13</f>
        <v>515942.19999999995</v>
      </c>
      <c r="G13" s="565">
        <f t="shared" si="3"/>
        <v>746517.41999999993</v>
      </c>
      <c r="H13" s="564">
        <f>+'Avance Financiero'!Q13</f>
        <v>376637.80999999994</v>
      </c>
      <c r="I13" s="565">
        <f t="shared" si="4"/>
        <v>22224525.649999999</v>
      </c>
      <c r="J13" s="587">
        <f t="shared" si="5"/>
        <v>4.8385759934555066E-3</v>
      </c>
      <c r="K13" s="588">
        <f t="shared" si="6"/>
        <v>7.000941708409085E-3</v>
      </c>
      <c r="L13" s="587">
        <f>F13/H$7</f>
        <v>4.8385759934555057E-3</v>
      </c>
      <c r="M13" s="588">
        <f t="shared" ref="M13:M20" si="8">+G13/$H$7</f>
        <v>7.0009417084090832E-3</v>
      </c>
      <c r="N13" s="587">
        <f t="shared" si="7"/>
        <v>3.5321605127350618E-3</v>
      </c>
      <c r="O13" s="588">
        <f t="shared" si="1"/>
        <v>0.20842461864144107</v>
      </c>
      <c r="P13" s="568"/>
      <c r="Q13" s="675"/>
      <c r="R13" s="568"/>
      <c r="T13" s="675"/>
    </row>
    <row r="14" spans="1:20" ht="17.100000000000001" customHeight="1">
      <c r="B14" s="1204">
        <v>44136</v>
      </c>
      <c r="C14" s="559">
        <v>44136</v>
      </c>
      <c r="D14" s="564">
        <v>778326.78</v>
      </c>
      <c r="E14" s="565">
        <f t="shared" si="2"/>
        <v>1524844.2000000002</v>
      </c>
      <c r="F14" s="715">
        <f>+'Avance Financiero'!C14</f>
        <v>778326.78</v>
      </c>
      <c r="G14" s="565">
        <f t="shared" si="3"/>
        <v>1524844.2</v>
      </c>
      <c r="H14" s="564">
        <f>+'Avance Financiero'!Q14</f>
        <v>568178.55000000005</v>
      </c>
      <c r="I14" s="565">
        <f t="shared" si="4"/>
        <v>22792704.199999999</v>
      </c>
      <c r="J14" s="587">
        <f t="shared" si="5"/>
        <v>7.2992542047762817E-3</v>
      </c>
      <c r="K14" s="588">
        <f t="shared" si="6"/>
        <v>1.4300195913185366E-2</v>
      </c>
      <c r="L14" s="587">
        <f t="shared" ref="L14:L20" si="9">F14/H$7</f>
        <v>7.2992542047762817E-3</v>
      </c>
      <c r="M14" s="588">
        <f t="shared" si="8"/>
        <v>1.4300195913185366E-2</v>
      </c>
      <c r="N14" s="587">
        <f t="shared" si="7"/>
        <v>5.3284555751135672E-3</v>
      </c>
      <c r="O14" s="588">
        <f t="shared" si="1"/>
        <v>0.21375307421655465</v>
      </c>
      <c r="Q14" s="675"/>
      <c r="R14" s="568"/>
      <c r="T14" s="675"/>
    </row>
    <row r="15" spans="1:20" ht="17.100000000000001" customHeight="1">
      <c r="B15" s="1204">
        <v>44228</v>
      </c>
      <c r="C15" s="806" t="s">
        <v>431</v>
      </c>
      <c r="D15" s="564">
        <v>86910.98</v>
      </c>
      <c r="E15" s="565">
        <f t="shared" si="2"/>
        <v>1611755.1800000002</v>
      </c>
      <c r="F15" s="715">
        <f>+'Avance Financiero'!C15</f>
        <v>86910.98</v>
      </c>
      <c r="G15" s="565">
        <f t="shared" si="3"/>
        <v>1611755.18</v>
      </c>
      <c r="H15" s="564">
        <f>+'Avance Financiero'!Q15</f>
        <v>63445.009999999995</v>
      </c>
      <c r="I15" s="565">
        <f t="shared" si="4"/>
        <v>22856149.210000001</v>
      </c>
      <c r="J15" s="587">
        <f t="shared" si="5"/>
        <v>8.1506296906066534E-4</v>
      </c>
      <c r="K15" s="588">
        <f t="shared" si="6"/>
        <v>1.5115258882246031E-2</v>
      </c>
      <c r="L15" s="587">
        <f t="shared" si="9"/>
        <v>8.1506296906066534E-4</v>
      </c>
      <c r="M15" s="588">
        <f t="shared" si="8"/>
        <v>1.5115258882246031E-2</v>
      </c>
      <c r="N15" s="587">
        <f t="shared" si="7"/>
        <v>5.9499591677235255E-4</v>
      </c>
      <c r="O15" s="588">
        <f t="shared" si="1"/>
        <v>0.21434807013332702</v>
      </c>
      <c r="Q15" s="675"/>
      <c r="R15" s="568"/>
      <c r="T15" s="675"/>
    </row>
    <row r="16" spans="1:20" ht="17.100000000000001" customHeight="1">
      <c r="B16" s="1204">
        <v>44256</v>
      </c>
      <c r="C16" s="559">
        <v>44256</v>
      </c>
      <c r="D16" s="564">
        <v>38094.980000000003</v>
      </c>
      <c r="E16" s="565">
        <f t="shared" si="2"/>
        <v>1649850.1600000001</v>
      </c>
      <c r="F16" s="715">
        <f>+'Avance Financiero'!C16</f>
        <v>38094.980000000003</v>
      </c>
      <c r="G16" s="565">
        <f t="shared" si="3"/>
        <v>1649850.16</v>
      </c>
      <c r="H16" s="564">
        <f>+'Avance Financiero'!Q16</f>
        <v>27809.33</v>
      </c>
      <c r="I16" s="565">
        <f t="shared" si="4"/>
        <v>22883958.539999999</v>
      </c>
      <c r="J16" s="587">
        <f t="shared" si="5"/>
        <v>3.5725989403302861E-4</v>
      </c>
      <c r="K16" s="588">
        <f t="shared" si="6"/>
        <v>1.5472518776279059E-2</v>
      </c>
      <c r="L16" s="587">
        <f t="shared" si="9"/>
        <v>3.5725989403302861E-4</v>
      </c>
      <c r="M16" s="588">
        <f t="shared" si="8"/>
        <v>1.5472518776279059E-2</v>
      </c>
      <c r="N16" s="587">
        <f t="shared" si="7"/>
        <v>2.6079967200217779E-4</v>
      </c>
      <c r="O16" s="588">
        <f t="shared" si="1"/>
        <v>0.21460886980532917</v>
      </c>
      <c r="Q16" s="675"/>
      <c r="R16" s="568"/>
      <c r="T16" s="675"/>
    </row>
    <row r="17" spans="2:20" ht="17.100000000000001" customHeight="1">
      <c r="B17" s="1204">
        <v>44287</v>
      </c>
      <c r="C17" s="559">
        <v>44287</v>
      </c>
      <c r="D17" s="564">
        <v>81632.100000000006</v>
      </c>
      <c r="E17" s="565">
        <f t="shared" si="2"/>
        <v>1731482.2600000002</v>
      </c>
      <c r="F17" s="715">
        <f>+'Avance Financiero'!C17</f>
        <v>81632.100000000006</v>
      </c>
      <c r="G17" s="565">
        <f t="shared" si="3"/>
        <v>1731482.26</v>
      </c>
      <c r="H17" s="564">
        <f>+'Avance Financiero'!Q17</f>
        <v>59591.430000000008</v>
      </c>
      <c r="I17" s="565">
        <f t="shared" si="4"/>
        <v>22943549.969999999</v>
      </c>
      <c r="J17" s="587">
        <f t="shared" si="5"/>
        <v>7.6555691578506131E-4</v>
      </c>
      <c r="K17" s="588">
        <f t="shared" si="6"/>
        <v>1.6238075692064122E-2</v>
      </c>
      <c r="L17" s="587">
        <f t="shared" si="9"/>
        <v>7.6555691578506131E-4</v>
      </c>
      <c r="M17" s="588">
        <f t="shared" si="8"/>
        <v>1.6238075692064122E-2</v>
      </c>
      <c r="N17" s="587">
        <f t="shared" si="7"/>
        <v>5.5885652038868748E-4</v>
      </c>
      <c r="O17" s="588">
        <f t="shared" si="1"/>
        <v>0.21516772632571787</v>
      </c>
      <c r="Q17" s="675"/>
      <c r="R17" s="568"/>
      <c r="T17" s="675"/>
    </row>
    <row r="18" spans="2:20" ht="17.100000000000001" customHeight="1">
      <c r="B18" s="1204">
        <v>44317</v>
      </c>
      <c r="C18" s="559">
        <v>44317</v>
      </c>
      <c r="D18" s="564">
        <v>9267.23</v>
      </c>
      <c r="E18" s="565">
        <f t="shared" si="2"/>
        <v>1740749.4900000002</v>
      </c>
      <c r="F18" s="715">
        <f>+'Avance Financiero'!C18</f>
        <v>9267.23</v>
      </c>
      <c r="G18" s="565">
        <f t="shared" si="3"/>
        <v>1740749.49</v>
      </c>
      <c r="H18" s="564">
        <f>+'Avance Financiero'!Q18</f>
        <v>6765.07</v>
      </c>
      <c r="I18" s="565">
        <f t="shared" ref="I18" si="10">+I17+H18</f>
        <v>22950315.039999999</v>
      </c>
      <c r="J18" s="587">
        <f t="shared" si="5"/>
        <v>8.690934101500259E-5</v>
      </c>
      <c r="K18" s="588">
        <f t="shared" ref="K18:K19" si="11">+J18+K17</f>
        <v>1.6324985033079126E-2</v>
      </c>
      <c r="L18" s="587">
        <f t="shared" si="9"/>
        <v>8.690934101500259E-5</v>
      </c>
      <c r="M18" s="588">
        <f t="shared" si="8"/>
        <v>1.6324985033079123E-2</v>
      </c>
      <c r="N18" s="587">
        <f t="shared" si="7"/>
        <v>6.3443744853679422E-5</v>
      </c>
      <c r="O18" s="588">
        <f t="shared" si="1"/>
        <v>0.21523117007057155</v>
      </c>
      <c r="Q18" s="675"/>
      <c r="R18" s="568"/>
      <c r="T18" s="675"/>
    </row>
    <row r="19" spans="2:20" ht="17.100000000000001" customHeight="1">
      <c r="B19" s="1204">
        <v>44348</v>
      </c>
      <c r="C19" s="559">
        <v>44348</v>
      </c>
      <c r="D19" s="564">
        <v>17878.849999999999</v>
      </c>
      <c r="E19" s="565">
        <f t="shared" si="2"/>
        <v>1758628.3400000003</v>
      </c>
      <c r="F19" s="715">
        <f>+'Avance Financiero'!C19</f>
        <v>17878.849999999999</v>
      </c>
      <c r="G19" s="565">
        <f t="shared" ref="G19" si="12">+G18+F19</f>
        <v>1758628.34</v>
      </c>
      <c r="H19" s="564">
        <f>+'Avance Financiero'!Q19</f>
        <v>13051.559999999998</v>
      </c>
      <c r="I19" s="565">
        <f t="shared" ref="I19" si="13">+I18+H19</f>
        <v>22963366.599999998</v>
      </c>
      <c r="J19" s="587">
        <f t="shared" si="5"/>
        <v>1.676702824475144E-4</v>
      </c>
      <c r="K19" s="588">
        <f t="shared" si="11"/>
        <v>1.6492655315526641E-2</v>
      </c>
      <c r="L19" s="587">
        <f t="shared" si="9"/>
        <v>1.676702824475144E-4</v>
      </c>
      <c r="M19" s="588">
        <f t="shared" si="8"/>
        <v>1.6492655315526638E-2</v>
      </c>
      <c r="N19" s="587">
        <f t="shared" si="7"/>
        <v>1.2239930149761762E-4</v>
      </c>
      <c r="O19" s="588">
        <f t="shared" si="1"/>
        <v>0.21535356937206915</v>
      </c>
      <c r="Q19" s="675"/>
      <c r="R19" s="568"/>
      <c r="T19" s="675"/>
    </row>
    <row r="20" spans="2:20" ht="17.100000000000001" customHeight="1">
      <c r="B20" s="1204">
        <v>44378</v>
      </c>
      <c r="C20" s="559">
        <v>44378</v>
      </c>
      <c r="D20" s="564">
        <v>109580.31</v>
      </c>
      <c r="E20" s="565">
        <f t="shared" si="2"/>
        <v>1868208.6500000004</v>
      </c>
      <c r="F20" s="715">
        <f>+'Avance Financiero'!C20</f>
        <v>261075.14</v>
      </c>
      <c r="G20" s="565">
        <f>+G19+F20</f>
        <v>2019703.48</v>
      </c>
      <c r="H20" s="564">
        <f>+'Avance Financiero'!Q20</f>
        <v>190584.85</v>
      </c>
      <c r="I20" s="565">
        <f>+I19+H20</f>
        <v>23153951.449999999</v>
      </c>
      <c r="J20" s="587">
        <f t="shared" si="5"/>
        <v>1.0276590232809262E-3</v>
      </c>
      <c r="K20" s="588">
        <f>+J20+K19</f>
        <v>1.7520314338807567E-2</v>
      </c>
      <c r="L20" s="587">
        <f t="shared" si="9"/>
        <v>2.4483981052374382E-3</v>
      </c>
      <c r="M20" s="588">
        <f t="shared" si="8"/>
        <v>1.8941053420764076E-2</v>
      </c>
      <c r="N20" s="587">
        <f t="shared" si="7"/>
        <v>1.7873305961914312E-3</v>
      </c>
      <c r="O20" s="588">
        <f t="shared" si="1"/>
        <v>0.21714089996826061</v>
      </c>
      <c r="P20" s="756"/>
      <c r="Q20" s="1439"/>
      <c r="R20" s="568"/>
      <c r="T20" s="675"/>
    </row>
    <row r="21" spans="2:20" ht="17.100000000000001" customHeight="1">
      <c r="B21" s="1204">
        <v>44409</v>
      </c>
      <c r="C21" s="559">
        <v>44409</v>
      </c>
      <c r="D21" s="564">
        <v>5835841.0599999996</v>
      </c>
      <c r="E21" s="565">
        <f t="shared" si="2"/>
        <v>7704049.71</v>
      </c>
      <c r="F21" s="715">
        <f>+'Avance Financiero'!C21</f>
        <v>2250654.7699999996</v>
      </c>
      <c r="G21" s="565">
        <f>+G20+F21</f>
        <v>4270358.25</v>
      </c>
      <c r="H21" s="564">
        <f>+'Avance Financiero'!Q21</f>
        <v>1642977.9899999995</v>
      </c>
      <c r="I21" s="565">
        <f>+I20+H21</f>
        <v>24796929.439999998</v>
      </c>
      <c r="J21" s="587">
        <f t="shared" ref="J21" si="14">D21/H$7</f>
        <v>5.4729309706664682E-2</v>
      </c>
      <c r="K21" s="588">
        <f t="shared" ref="K21:K23" si="15">+J21+K20</f>
        <v>7.2249624045472249E-2</v>
      </c>
      <c r="L21" s="587">
        <f t="shared" ref="L21" si="16">F21/H$7</f>
        <v>2.1106945971231122E-2</v>
      </c>
      <c r="M21" s="588">
        <f t="shared" ref="M21" si="17">+G21/$H$7</f>
        <v>4.0047999391995201E-2</v>
      </c>
      <c r="N21" s="587">
        <f>H21/H$7</f>
        <v>1.5408070633085989E-2</v>
      </c>
      <c r="O21" s="588">
        <f t="shared" si="1"/>
        <v>0.23254897060134658</v>
      </c>
      <c r="Q21" s="675"/>
      <c r="R21" s="568"/>
      <c r="S21" s="1438" t="s">
        <v>638</v>
      </c>
      <c r="T21" s="1438" t="s">
        <v>638</v>
      </c>
    </row>
    <row r="22" spans="2:20" ht="17.100000000000001" customHeight="1">
      <c r="B22" s="1204">
        <v>44440</v>
      </c>
      <c r="C22" s="1197">
        <v>44440</v>
      </c>
      <c r="D22" s="1198">
        <v>11811526.109999999</v>
      </c>
      <c r="E22" s="1199">
        <f t="shared" si="2"/>
        <v>19515575.82</v>
      </c>
      <c r="F22" s="1200">
        <f>+'Avance Financiero'!C22</f>
        <v>1766556.24</v>
      </c>
      <c r="G22" s="1199">
        <f>+G21+F22</f>
        <v>6036914.4900000002</v>
      </c>
      <c r="H22" s="1198">
        <f>+'Avance Financiero'!Q22</f>
        <v>1289586.05</v>
      </c>
      <c r="I22" s="1199">
        <f>+I21+H22</f>
        <v>26086515.489999998</v>
      </c>
      <c r="J22" s="1201">
        <f t="shared" ref="J22:J27" si="18">D22/H$7</f>
        <v>0.11077009533610334</v>
      </c>
      <c r="K22" s="1202">
        <f t="shared" si="15"/>
        <v>0.18301971938157557</v>
      </c>
      <c r="L22" s="1201">
        <f t="shared" ref="L22" si="19">F22/H$7</f>
        <v>1.6567004237980579E-2</v>
      </c>
      <c r="M22" s="1202">
        <f t="shared" ref="M22" si="20">+G22/$H$7</f>
        <v>5.6615003629975784E-2</v>
      </c>
      <c r="N22" s="1201">
        <f>H22/H$7</f>
        <v>1.2093913044959517E-2</v>
      </c>
      <c r="O22" s="1202">
        <f t="shared" ref="O22" si="21">+I22/$H$7</f>
        <v>0.2446428836463061</v>
      </c>
      <c r="Q22" s="1437">
        <f>+K22-M22</f>
        <v>0.12640471575159978</v>
      </c>
      <c r="R22" s="1436" t="s">
        <v>637</v>
      </c>
      <c r="S22" s="1435">
        <v>6348771.9500000002</v>
      </c>
      <c r="T22" s="756">
        <f>(S22-G22)/H7</f>
        <v>2.9246415961633118E-3</v>
      </c>
    </row>
    <row r="23" spans="2:20" ht="17.100000000000001" customHeight="1">
      <c r="B23" s="1204">
        <v>44470</v>
      </c>
      <c r="C23" s="559">
        <v>44470</v>
      </c>
      <c r="D23" s="564">
        <v>19546564.98</v>
      </c>
      <c r="E23" s="565">
        <f t="shared" si="2"/>
        <v>39062140.799999997</v>
      </c>
      <c r="F23" s="564"/>
      <c r="G23" s="565"/>
      <c r="H23" s="564"/>
      <c r="I23" s="565"/>
      <c r="J23" s="587">
        <f t="shared" si="18"/>
        <v>0.18331033993099635</v>
      </c>
      <c r="K23" s="588">
        <f t="shared" si="15"/>
        <v>0.3663300593125719</v>
      </c>
      <c r="L23" s="590"/>
      <c r="M23" s="591"/>
      <c r="N23" s="587"/>
      <c r="O23" s="588"/>
      <c r="Q23" s="675"/>
      <c r="R23" s="568"/>
      <c r="T23" s="675"/>
    </row>
    <row r="24" spans="2:20" ht="17.100000000000001" customHeight="1">
      <c r="B24" s="1204">
        <v>44501</v>
      </c>
      <c r="C24" s="559">
        <v>44501</v>
      </c>
      <c r="D24" s="564">
        <v>22150145.079999998</v>
      </c>
      <c r="E24" s="565">
        <f t="shared" si="2"/>
        <v>61212285.879999995</v>
      </c>
      <c r="F24" s="564"/>
      <c r="G24" s="565"/>
      <c r="H24" s="564"/>
      <c r="I24" s="565"/>
      <c r="J24" s="587">
        <f t="shared" si="18"/>
        <v>0.20772706755842918</v>
      </c>
      <c r="K24" s="588">
        <f t="shared" ref="K24:K27" si="22">+J24+K23</f>
        <v>0.57405712687100108</v>
      </c>
      <c r="L24" s="590"/>
      <c r="M24" s="591"/>
      <c r="N24" s="587"/>
      <c r="O24" s="588"/>
      <c r="Q24" s="675"/>
      <c r="R24" s="568"/>
      <c r="T24" s="675"/>
    </row>
    <row r="25" spans="2:20" ht="17.100000000000001" customHeight="1">
      <c r="B25" s="1204">
        <v>44531</v>
      </c>
      <c r="C25" s="559">
        <v>44531</v>
      </c>
      <c r="D25" s="564">
        <v>19527373.469999999</v>
      </c>
      <c r="E25" s="565">
        <f t="shared" si="2"/>
        <v>80739659.349999994</v>
      </c>
      <c r="F25" s="564"/>
      <c r="G25" s="565"/>
      <c r="H25" s="564"/>
      <c r="I25" s="565"/>
      <c r="J25" s="587">
        <f t="shared" si="18"/>
        <v>0.18313035934486835</v>
      </c>
      <c r="K25" s="588">
        <f t="shared" si="22"/>
        <v>0.7571874862158694</v>
      </c>
      <c r="L25" s="590"/>
      <c r="M25" s="591"/>
      <c r="N25" s="587"/>
      <c r="O25" s="588"/>
      <c r="Q25" s="675"/>
      <c r="R25" s="568"/>
      <c r="T25" s="675"/>
    </row>
    <row r="26" spans="2:20" ht="17.100000000000001" customHeight="1">
      <c r="B26" s="1204">
        <v>44562</v>
      </c>
      <c r="C26" s="559">
        <v>44562</v>
      </c>
      <c r="D26" s="564">
        <v>18431407.920000002</v>
      </c>
      <c r="E26" s="565">
        <f t="shared" si="2"/>
        <v>99171067.269999996</v>
      </c>
      <c r="F26" s="564"/>
      <c r="G26" s="565"/>
      <c r="H26" s="564"/>
      <c r="I26" s="565"/>
      <c r="J26" s="587">
        <f t="shared" si="18"/>
        <v>0.17285224563390569</v>
      </c>
      <c r="K26" s="588">
        <f t="shared" si="22"/>
        <v>0.93003973184977506</v>
      </c>
      <c r="L26" s="590"/>
      <c r="M26" s="591"/>
      <c r="N26" s="587"/>
      <c r="O26" s="588"/>
      <c r="Q26" s="675"/>
      <c r="R26" s="568"/>
      <c r="T26" s="675"/>
    </row>
    <row r="27" spans="2:20" ht="17.100000000000001" customHeight="1">
      <c r="B27" s="1204">
        <v>44609</v>
      </c>
      <c r="C27" s="559">
        <v>44609</v>
      </c>
      <c r="D27" s="564">
        <v>7459933.4000000022</v>
      </c>
      <c r="E27" s="565">
        <f t="shared" si="2"/>
        <v>106631000.67</v>
      </c>
      <c r="F27" s="564"/>
      <c r="G27" s="565"/>
      <c r="H27" s="564"/>
      <c r="I27" s="565"/>
      <c r="J27" s="587">
        <f t="shared" si="18"/>
        <v>6.9960268150224811E-2</v>
      </c>
      <c r="K27" s="588">
        <f t="shared" si="22"/>
        <v>0.99999999999999989</v>
      </c>
      <c r="L27" s="564"/>
      <c r="M27" s="565"/>
      <c r="N27" s="587"/>
      <c r="O27" s="588"/>
      <c r="Q27" s="675"/>
      <c r="R27" s="568"/>
      <c r="T27" s="675"/>
    </row>
    <row r="28" spans="2:20" ht="17.100000000000001" customHeight="1">
      <c r="C28" s="559">
        <v>44640</v>
      </c>
      <c r="D28" s="1887" t="s">
        <v>585</v>
      </c>
      <c r="E28" s="1888"/>
      <c r="F28" s="564"/>
      <c r="G28" s="565"/>
      <c r="H28" s="564"/>
      <c r="I28" s="565"/>
      <c r="J28" s="564"/>
      <c r="K28" s="565"/>
      <c r="L28" s="564"/>
      <c r="M28" s="565"/>
      <c r="N28" s="587"/>
      <c r="O28" s="588"/>
      <c r="Q28" s="675"/>
      <c r="R28" s="568"/>
      <c r="T28" s="675"/>
    </row>
    <row r="29" spans="2:20" ht="17.100000000000001" customHeight="1">
      <c r="C29" s="559">
        <v>44671</v>
      </c>
      <c r="D29" s="1889"/>
      <c r="E29" s="1890"/>
      <c r="F29" s="564"/>
      <c r="G29" s="565"/>
      <c r="H29" s="564"/>
      <c r="I29" s="565"/>
      <c r="J29" s="564"/>
      <c r="K29" s="565"/>
      <c r="L29" s="564"/>
      <c r="M29" s="565"/>
      <c r="N29" s="587"/>
      <c r="O29" s="588"/>
      <c r="Q29" s="675"/>
      <c r="R29" s="568"/>
      <c r="T29" s="675"/>
    </row>
    <row r="30" spans="2:20" ht="17.100000000000001" customHeight="1">
      <c r="C30" s="559">
        <v>44701</v>
      </c>
      <c r="D30" s="1891"/>
      <c r="E30" s="1892"/>
      <c r="F30" s="566"/>
      <c r="G30" s="567"/>
      <c r="H30" s="566"/>
      <c r="I30" s="567"/>
      <c r="J30" s="566"/>
      <c r="K30" s="567"/>
      <c r="L30" s="566"/>
      <c r="M30" s="567"/>
      <c r="N30" s="593"/>
      <c r="O30" s="594"/>
      <c r="Q30" s="568"/>
      <c r="T30" s="675"/>
    </row>
    <row r="31" spans="2:20">
      <c r="C31" s="383"/>
      <c r="D31" s="226"/>
      <c r="E31" s="384"/>
      <c r="F31" s="226"/>
      <c r="G31" s="226"/>
      <c r="H31" s="226"/>
      <c r="I31" s="226"/>
      <c r="J31" s="226"/>
      <c r="K31" s="226"/>
      <c r="L31" s="226"/>
      <c r="M31" s="226"/>
      <c r="N31" s="76"/>
      <c r="O31" s="86"/>
      <c r="T31" s="675"/>
    </row>
    <row r="32" spans="2:20">
      <c r="C32" s="85"/>
      <c r="D32" s="561" t="s">
        <v>12</v>
      </c>
      <c r="E32" s="82"/>
      <c r="F32" s="75"/>
      <c r="G32" s="75"/>
      <c r="H32" s="75"/>
      <c r="I32" s="75"/>
      <c r="J32" s="82" t="s">
        <v>8</v>
      </c>
      <c r="K32" s="75"/>
      <c r="L32" s="75"/>
      <c r="M32" s="75"/>
      <c r="N32" s="76"/>
      <c r="O32" s="86"/>
      <c r="T32" s="675"/>
    </row>
    <row r="33" spans="3:20">
      <c r="C33" s="85"/>
      <c r="E33" s="75"/>
      <c r="F33" s="75"/>
      <c r="G33" s="75"/>
      <c r="H33" s="75"/>
      <c r="I33" s="75"/>
      <c r="K33" s="75"/>
      <c r="L33" s="75"/>
      <c r="M33" s="75"/>
      <c r="N33" s="76"/>
      <c r="O33" s="86"/>
      <c r="T33" s="675"/>
    </row>
    <row r="34" spans="3:20">
      <c r="C34" s="85"/>
      <c r="D34" s="75"/>
      <c r="E34" s="82"/>
      <c r="F34" s="75"/>
      <c r="G34" s="75"/>
      <c r="H34" s="75"/>
      <c r="I34" s="75"/>
      <c r="J34" s="75"/>
      <c r="K34" s="75"/>
      <c r="L34" s="75"/>
      <c r="M34" s="76"/>
      <c r="N34" s="76"/>
      <c r="O34" s="86"/>
      <c r="T34" s="675"/>
    </row>
    <row r="35" spans="3:20">
      <c r="C35" s="87"/>
      <c r="D35" s="83"/>
      <c r="E35" s="79"/>
      <c r="F35" s="75"/>
      <c r="G35" s="75"/>
      <c r="H35" s="75"/>
      <c r="I35" s="75"/>
      <c r="J35" s="75"/>
      <c r="K35" s="75"/>
      <c r="L35" s="75"/>
      <c r="M35" s="83"/>
      <c r="N35" s="83"/>
      <c r="O35" s="402"/>
      <c r="T35" s="675"/>
    </row>
    <row r="36" spans="3:20">
      <c r="C36" s="87"/>
      <c r="D36" s="83"/>
      <c r="E36" s="79"/>
      <c r="F36" s="75"/>
      <c r="G36" s="75"/>
      <c r="H36" s="75"/>
      <c r="I36" s="75"/>
      <c r="J36" s="75"/>
      <c r="K36" s="75"/>
      <c r="L36" s="75"/>
      <c r="M36" s="83"/>
      <c r="N36" s="83"/>
      <c r="O36" s="402"/>
      <c r="T36" s="675"/>
    </row>
    <row r="37" spans="3:20">
      <c r="C37" s="89"/>
      <c r="D37" s="84"/>
      <c r="E37" s="101" t="str">
        <f>+Datos!B15</f>
        <v>Ing. Ernesto Vargas Amezaga</v>
      </c>
      <c r="F37" s="75"/>
      <c r="G37" s="78"/>
      <c r="H37" s="78"/>
      <c r="I37" s="78"/>
      <c r="J37" s="78"/>
      <c r="K37" s="78"/>
      <c r="L37" s="102" t="str">
        <f>+Datos!B7</f>
        <v>Ing. Pedro Alberto Barreto Gutierrez</v>
      </c>
      <c r="M37" s="75"/>
      <c r="N37" s="79"/>
      <c r="O37" s="403"/>
    </row>
    <row r="38" spans="3:20">
      <c r="C38" s="89"/>
      <c r="D38" s="84"/>
      <c r="E38" s="399" t="str">
        <f>+Datos!B16</f>
        <v>SUPERINTENDENTE DE OBRA a.i.</v>
      </c>
      <c r="F38" s="75"/>
      <c r="G38" s="78"/>
      <c r="H38" s="78"/>
      <c r="I38" s="78"/>
      <c r="J38" s="78"/>
      <c r="K38" s="78"/>
      <c r="L38" s="79" t="str">
        <f>+Datos!B8</f>
        <v xml:space="preserve">GERENTE SUPERVISION TECNICA </v>
      </c>
      <c r="M38" s="75"/>
      <c r="N38" s="79"/>
      <c r="O38" s="403"/>
    </row>
    <row r="39" spans="3:20" ht="31.5" customHeight="1">
      <c r="C39" s="90"/>
      <c r="D39" s="1870" t="str">
        <f>+Datos!B17</f>
        <v>EMPRESA ESTRATÉGICA BOLIVIANA DE CONSTRUCCIÓN
Y CONSERVACIÓN DE INFRAESTRUCTURA CIVIL (EBC)</v>
      </c>
      <c r="E39" s="1870"/>
      <c r="F39" s="1870"/>
      <c r="G39" s="91"/>
      <c r="H39" s="91"/>
      <c r="I39" s="91"/>
      <c r="J39" s="91"/>
      <c r="K39" s="91"/>
      <c r="L39" s="560" t="str">
        <f>+Datos!B9</f>
        <v>ABC - REGIONAL TARIJA</v>
      </c>
      <c r="M39" s="92"/>
      <c r="N39" s="93"/>
      <c r="O39" s="404"/>
    </row>
    <row r="40" spans="3:20" ht="15" customHeight="1">
      <c r="C40" s="99"/>
      <c r="D40" s="226"/>
      <c r="E40" s="226"/>
      <c r="F40" s="226"/>
      <c r="G40" s="226"/>
      <c r="H40" s="226"/>
      <c r="I40" s="226"/>
      <c r="J40" s="226"/>
      <c r="K40" s="226"/>
      <c r="L40" s="226"/>
      <c r="M40" s="226"/>
      <c r="N40" s="226"/>
      <c r="O40" s="230"/>
    </row>
    <row r="41" spans="3:20" ht="15" customHeight="1">
      <c r="C41" s="94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88"/>
    </row>
    <row r="42" spans="3:20" ht="15" customHeight="1">
      <c r="C42" s="94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88"/>
    </row>
    <row r="43" spans="3:20" ht="15" customHeight="1">
      <c r="C43" s="94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88"/>
    </row>
    <row r="44" spans="3:20" ht="15" customHeight="1">
      <c r="C44" s="94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88"/>
    </row>
    <row r="45" spans="3:20" ht="15" customHeight="1">
      <c r="C45" s="94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88"/>
    </row>
    <row r="46" spans="3:20" ht="15" customHeight="1">
      <c r="C46" s="94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88"/>
    </row>
    <row r="47" spans="3:20" ht="15" customHeight="1">
      <c r="C47" s="94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88"/>
    </row>
    <row r="48" spans="3:20" ht="15" customHeight="1">
      <c r="C48" s="94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88"/>
    </row>
    <row r="49" spans="3:15" ht="15" customHeight="1">
      <c r="C49" s="94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88"/>
    </row>
    <row r="50" spans="3:15" ht="15" customHeight="1">
      <c r="C50" s="94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88"/>
    </row>
    <row r="51" spans="3:15" ht="15" customHeight="1">
      <c r="C51" s="94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88"/>
    </row>
    <row r="52" spans="3:15" ht="15" customHeight="1">
      <c r="C52" s="94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88"/>
    </row>
    <row r="53" spans="3:15" ht="15" customHeight="1">
      <c r="C53" s="94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88"/>
    </row>
    <row r="54" spans="3:15" ht="15" customHeight="1">
      <c r="C54" s="94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88"/>
    </row>
    <row r="55" spans="3:15" ht="15" customHeight="1">
      <c r="C55" s="94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88"/>
    </row>
    <row r="56" spans="3:15" ht="15" customHeight="1">
      <c r="C56" s="9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88"/>
    </row>
    <row r="57" spans="3:15" ht="15" customHeight="1">
      <c r="C57" s="94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88"/>
    </row>
    <row r="58" spans="3:15" ht="15" customHeight="1">
      <c r="C58" s="94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88"/>
    </row>
    <row r="59" spans="3:15" ht="15" customHeight="1">
      <c r="C59" s="94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88"/>
    </row>
    <row r="60" spans="3:15" ht="15" customHeight="1">
      <c r="C60" s="9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88"/>
    </row>
    <row r="61" spans="3:15" ht="15" customHeight="1">
      <c r="C61" s="9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88"/>
    </row>
    <row r="62" spans="3:15" ht="15" customHeight="1">
      <c r="C62" s="94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88"/>
    </row>
    <row r="63" spans="3:15" ht="15" customHeight="1">
      <c r="C63" s="94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88"/>
    </row>
    <row r="64" spans="3:15" ht="15" customHeight="1">
      <c r="C64" s="9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88"/>
    </row>
    <row r="65" spans="3:15" ht="15" customHeight="1">
      <c r="C65" s="94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88"/>
    </row>
    <row r="66" spans="3:15" ht="15" customHeight="1">
      <c r="C66" s="94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88"/>
    </row>
    <row r="67" spans="3:15" ht="15" customHeight="1">
      <c r="C67" s="94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88"/>
    </row>
    <row r="68" spans="3:15" ht="15" customHeight="1">
      <c r="C68" s="9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88"/>
    </row>
    <row r="69" spans="3:15" ht="15" customHeight="1">
      <c r="C69" s="94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88"/>
    </row>
    <row r="70" spans="3:15" ht="15" customHeight="1">
      <c r="C70" s="94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88"/>
    </row>
    <row r="71" spans="3:15" ht="15" customHeight="1">
      <c r="C71" s="94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88"/>
    </row>
    <row r="72" spans="3:15" ht="15" customHeight="1">
      <c r="C72" s="9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88"/>
    </row>
    <row r="73" spans="3:15" ht="15" customHeight="1">
      <c r="C73" s="94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88"/>
    </row>
    <row r="74" spans="3:15" ht="15" customHeight="1">
      <c r="C74" s="94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88"/>
    </row>
    <row r="75" spans="3:15" ht="15" customHeight="1">
      <c r="C75" s="94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88"/>
    </row>
    <row r="76" spans="3:15" ht="15" customHeight="1">
      <c r="C76" s="9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88"/>
    </row>
    <row r="77" spans="3:15" ht="15" customHeight="1">
      <c r="C77" s="94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88"/>
    </row>
    <row r="78" spans="3:15" ht="15" customHeight="1">
      <c r="C78" s="94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88"/>
    </row>
    <row r="79" spans="3:15" ht="15" customHeight="1">
      <c r="C79" s="94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88"/>
    </row>
    <row r="80" spans="3:15" ht="15" customHeight="1">
      <c r="C80" s="9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88"/>
    </row>
    <row r="81" spans="3:15" ht="15" customHeight="1">
      <c r="C81" s="386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231"/>
    </row>
    <row r="82" spans="3:15" ht="15" customHeight="1"/>
    <row r="83" spans="3:15" ht="15" customHeight="1">
      <c r="G83" s="387">
        <v>41790</v>
      </c>
      <c r="H83" s="387"/>
      <c r="I83" s="387"/>
      <c r="J83" s="388">
        <f>+G83</f>
        <v>41790</v>
      </c>
      <c r="K83" s="388">
        <f>+L83</f>
        <v>42582</v>
      </c>
      <c r="L83" s="387">
        <v>42582</v>
      </c>
    </row>
    <row r="84" spans="3:15" ht="15" customHeight="1"/>
    <row r="85" spans="3:15" ht="15" customHeight="1"/>
    <row r="86" spans="3:15" ht="15" customHeight="1"/>
    <row r="87" spans="3:15" ht="15" customHeight="1"/>
    <row r="88" spans="3:15" ht="15" customHeight="1"/>
    <row r="89" spans="3:15" ht="15" customHeight="1"/>
    <row r="90" spans="3:15" ht="15" customHeight="1"/>
    <row r="91" spans="3:15" ht="15" customHeight="1"/>
    <row r="92" spans="3:15" ht="15" customHeight="1"/>
    <row r="93" spans="3:15" ht="15" customHeight="1"/>
    <row r="94" spans="3:15" ht="15" customHeight="1"/>
    <row r="95" spans="3:15" ht="15" customHeight="1"/>
    <row r="96" spans="3:15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</sheetData>
  <mergeCells count="22">
    <mergeCell ref="M6:O6"/>
    <mergeCell ref="H8:I8"/>
    <mergeCell ref="H9:I9"/>
    <mergeCell ref="N8:O8"/>
    <mergeCell ref="N9:O9"/>
    <mergeCell ref="L9:M9"/>
    <mergeCell ref="L8:M8"/>
    <mergeCell ref="F5:L6"/>
    <mergeCell ref="J9:K9"/>
    <mergeCell ref="F9:G9"/>
    <mergeCell ref="J8:K8"/>
    <mergeCell ref="F8:G8"/>
    <mergeCell ref="D8:E8"/>
    <mergeCell ref="B8:B10"/>
    <mergeCell ref="D39:F39"/>
    <mergeCell ref="C1:D1"/>
    <mergeCell ref="C8:C10"/>
    <mergeCell ref="D9:E9"/>
    <mergeCell ref="F3:L4"/>
    <mergeCell ref="C6:E6"/>
    <mergeCell ref="F2:L2"/>
    <mergeCell ref="D28:E30"/>
  </mergeCells>
  <printOptions horizontalCentered="1"/>
  <pageMargins left="0.39370078740157483" right="0.39370078740157483" top="0.78740157480314965" bottom="0.39370078740157483" header="0" footer="0"/>
  <pageSetup scale="83" fitToHeight="3" orientation="landscape" r:id="rId1"/>
  <headerFooter alignWithMargins="0"/>
  <rowBreaks count="2" manualBreakCount="2">
    <brk id="39" min="2" max="14" man="1"/>
    <brk id="81" min="2" max="14" man="1"/>
  </rowBreaks>
  <ignoredErrors>
    <ignoredError sqref="F12:F18 H12:H18 N13:N20 H19 F19:F20 F21:H22 G20:H20 G19 N21:N22" formula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7">
    <tabColor rgb="FF92D050"/>
  </sheetPr>
  <dimension ref="B2:R39"/>
  <sheetViews>
    <sheetView showGridLines="0" view="pageBreakPreview" topLeftCell="B1" zoomScaleNormal="75" zoomScaleSheetLayoutView="100" workbookViewId="0">
      <selection activeCell="L13" sqref="L13"/>
    </sheetView>
  </sheetViews>
  <sheetFormatPr baseColWidth="10" defaultColWidth="11.42578125" defaultRowHeight="30"/>
  <cols>
    <col min="1" max="1" width="1.140625" style="334" customWidth="1"/>
    <col min="2" max="2" width="44.85546875" style="334" customWidth="1"/>
    <col min="3" max="3" width="18.5703125" style="334" customWidth="1"/>
    <col min="4" max="4" width="20.7109375" style="334" customWidth="1"/>
    <col min="5" max="5" width="15.7109375" style="334" customWidth="1"/>
    <col min="6" max="6" width="16.7109375" style="334" customWidth="1"/>
    <col min="7" max="7" width="16.5703125" style="334" customWidth="1"/>
    <col min="8" max="8" width="15.42578125" style="334" customWidth="1"/>
    <col min="9" max="10" width="13.28515625" style="334" customWidth="1"/>
    <col min="11" max="11" width="20.85546875" style="334" customWidth="1"/>
    <col min="12" max="12" width="12.5703125" style="352" bestFit="1" customWidth="1"/>
    <col min="13" max="13" width="12.5703125" style="334" hidden="1" customWidth="1"/>
    <col min="14" max="14" width="13.85546875" style="334" customWidth="1"/>
    <col min="15" max="16384" width="11.42578125" style="334"/>
  </cols>
  <sheetData>
    <row r="2" spans="2:16" ht="20.25" customHeight="1">
      <c r="B2" s="776"/>
      <c r="C2" s="781"/>
      <c r="D2" s="773"/>
      <c r="E2" s="773"/>
      <c r="F2" s="773"/>
      <c r="G2" s="773"/>
      <c r="H2" s="773"/>
      <c r="I2" s="774"/>
      <c r="J2" s="773"/>
      <c r="K2" s="774"/>
    </row>
    <row r="3" spans="2:16" ht="20.25" customHeight="1">
      <c r="B3" s="777"/>
      <c r="C3" s="1898" t="s">
        <v>405</v>
      </c>
      <c r="D3" s="1899"/>
      <c r="E3" s="1899"/>
      <c r="F3" s="1899"/>
      <c r="G3" s="1899"/>
      <c r="H3" s="1899"/>
      <c r="I3" s="1900"/>
      <c r="J3" s="780"/>
      <c r="K3" s="775"/>
    </row>
    <row r="4" spans="2:16" ht="20.25" customHeight="1">
      <c r="B4" s="777"/>
      <c r="C4" s="1898"/>
      <c r="D4" s="1899"/>
      <c r="E4" s="1899"/>
      <c r="F4" s="1899"/>
      <c r="G4" s="1899"/>
      <c r="H4" s="1899"/>
      <c r="I4" s="1900"/>
      <c r="J4" s="780"/>
      <c r="K4" s="775"/>
    </row>
    <row r="5" spans="2:16" ht="20.25" customHeight="1">
      <c r="B5" s="778"/>
      <c r="C5" s="1910" t="str">
        <f>+Certificado!C3</f>
        <v>PROYECTO: CONSTRUCCION Y REHABILITACION TRAMO CARRETERO
VILLA MONTES - LA VERTIENTE - PALO MARCADO</v>
      </c>
      <c r="D5" s="1911"/>
      <c r="E5" s="1911"/>
      <c r="F5" s="1911"/>
      <c r="G5" s="1911"/>
      <c r="H5" s="1911"/>
      <c r="I5" s="1912"/>
      <c r="J5" s="780"/>
      <c r="K5" s="775"/>
    </row>
    <row r="6" spans="2:16" ht="19.5" customHeight="1">
      <c r="B6" s="779" t="s">
        <v>7</v>
      </c>
      <c r="C6" s="1913"/>
      <c r="D6" s="1914"/>
      <c r="E6" s="1914"/>
      <c r="F6" s="1914"/>
      <c r="G6" s="1914"/>
      <c r="H6" s="1914"/>
      <c r="I6" s="1915"/>
      <c r="J6" s="1916" t="s">
        <v>77</v>
      </c>
      <c r="K6" s="1917"/>
    </row>
    <row r="7" spans="2:16" ht="18" customHeight="1">
      <c r="B7" s="803"/>
      <c r="C7" s="595"/>
      <c r="D7" s="595"/>
      <c r="E7" s="595"/>
      <c r="F7" s="595"/>
      <c r="G7" s="595"/>
      <c r="H7" s="595"/>
      <c r="I7" s="595"/>
      <c r="J7" s="595"/>
      <c r="K7" s="804"/>
    </row>
    <row r="8" spans="2:16" ht="18" customHeight="1">
      <c r="B8" s="803"/>
      <c r="C8" s="595"/>
      <c r="D8" s="595"/>
      <c r="E8" s="595"/>
      <c r="F8" s="595"/>
      <c r="G8" s="595"/>
      <c r="H8" s="595"/>
      <c r="I8" s="595"/>
      <c r="J8" s="595"/>
      <c r="K8" s="804"/>
    </row>
    <row r="9" spans="2:16" ht="21" customHeight="1">
      <c r="B9" s="1906" t="s">
        <v>76</v>
      </c>
      <c r="C9" s="1906" t="s">
        <v>41</v>
      </c>
      <c r="D9" s="1908" t="s">
        <v>75</v>
      </c>
      <c r="E9" s="1906" t="s">
        <v>640</v>
      </c>
      <c r="F9" s="1906" t="s">
        <v>218</v>
      </c>
      <c r="G9" s="1906" t="s">
        <v>214</v>
      </c>
      <c r="H9" s="1906" t="s">
        <v>215</v>
      </c>
      <c r="I9" s="1918" t="s">
        <v>42</v>
      </c>
      <c r="J9" s="1919"/>
      <c r="K9" s="1908" t="s">
        <v>11</v>
      </c>
    </row>
    <row r="10" spans="2:16" ht="28.5" customHeight="1">
      <c r="B10" s="1907"/>
      <c r="C10" s="1907"/>
      <c r="D10" s="1909"/>
      <c r="E10" s="1907"/>
      <c r="F10" s="1907"/>
      <c r="G10" s="1907"/>
      <c r="H10" s="1907"/>
      <c r="I10" s="628" t="s">
        <v>213</v>
      </c>
      <c r="J10" s="629" t="s">
        <v>24</v>
      </c>
      <c r="K10" s="1909"/>
      <c r="N10" s="335"/>
      <c r="O10" s="335"/>
    </row>
    <row r="11" spans="2:16" ht="21.75" customHeight="1">
      <c r="B11" s="782" t="s">
        <v>288</v>
      </c>
      <c r="C11" s="630"/>
      <c r="D11" s="631"/>
      <c r="E11" s="632"/>
      <c r="F11" s="630"/>
      <c r="G11" s="632"/>
      <c r="H11" s="633"/>
      <c r="I11" s="634"/>
      <c r="J11" s="634"/>
      <c r="K11" s="783"/>
      <c r="L11" s="222"/>
      <c r="M11" s="335"/>
      <c r="N11" s="335"/>
      <c r="O11" s="335"/>
      <c r="P11" s="335"/>
    </row>
    <row r="12" spans="2:16" ht="43.5" customHeight="1">
      <c r="B12" s="784" t="s">
        <v>246</v>
      </c>
      <c r="C12" s="620" t="s">
        <v>401</v>
      </c>
      <c r="D12" s="621" t="s">
        <v>247</v>
      </c>
      <c r="E12" s="622">
        <f>+Certificado!K11</f>
        <v>108397839.64</v>
      </c>
      <c r="F12" s="623"/>
      <c r="G12" s="624">
        <v>21679567.93</v>
      </c>
      <c r="H12" s="625">
        <f t="shared" ref="H12:H17" si="0">ROUND((G12*100/E12),2)</f>
        <v>20</v>
      </c>
      <c r="I12" s="626">
        <v>44034</v>
      </c>
      <c r="J12" s="627">
        <v>44124</v>
      </c>
      <c r="K12" s="785" t="s">
        <v>404</v>
      </c>
      <c r="L12" s="222"/>
      <c r="M12" s="335"/>
      <c r="N12" s="335"/>
      <c r="O12" s="335"/>
      <c r="P12" s="335"/>
    </row>
    <row r="13" spans="2:16" ht="43.5" customHeight="1">
      <c r="B13" s="786" t="s">
        <v>246</v>
      </c>
      <c r="C13" s="698" t="s">
        <v>402</v>
      </c>
      <c r="D13" s="699" t="s">
        <v>247</v>
      </c>
      <c r="E13" s="700">
        <f>+Certificado!K11</f>
        <v>108397839.64</v>
      </c>
      <c r="F13" s="701"/>
      <c r="G13" s="702">
        <v>21679568.93</v>
      </c>
      <c r="H13" s="703">
        <f t="shared" si="0"/>
        <v>20</v>
      </c>
      <c r="I13" s="704">
        <v>44125</v>
      </c>
      <c r="J13" s="705">
        <v>44215</v>
      </c>
      <c r="K13" s="787" t="s">
        <v>404</v>
      </c>
      <c r="L13" s="222"/>
      <c r="M13" s="335"/>
      <c r="N13" s="335"/>
      <c r="O13" s="335"/>
      <c r="P13" s="335"/>
    </row>
    <row r="14" spans="2:16" ht="43.5" customHeight="1">
      <c r="B14" s="786" t="s">
        <v>246</v>
      </c>
      <c r="C14" s="698" t="s">
        <v>429</v>
      </c>
      <c r="D14" s="699" t="s">
        <v>247</v>
      </c>
      <c r="E14" s="700">
        <v>108397839.64</v>
      </c>
      <c r="F14" s="701"/>
      <c r="G14" s="702">
        <v>21679567.93</v>
      </c>
      <c r="H14" s="703">
        <f t="shared" si="0"/>
        <v>20</v>
      </c>
      <c r="I14" s="704">
        <v>44216</v>
      </c>
      <c r="J14" s="705">
        <v>44295</v>
      </c>
      <c r="K14" s="787" t="s">
        <v>404</v>
      </c>
      <c r="L14" s="222"/>
      <c r="M14" s="335"/>
      <c r="N14" s="335"/>
      <c r="O14" s="335"/>
      <c r="P14" s="335"/>
    </row>
    <row r="15" spans="2:16" ht="43.5" customHeight="1">
      <c r="B15" s="786" t="s">
        <v>246</v>
      </c>
      <c r="C15" s="698" t="s">
        <v>568</v>
      </c>
      <c r="D15" s="1024" t="s">
        <v>569</v>
      </c>
      <c r="E15" s="1025">
        <v>108397839.64</v>
      </c>
      <c r="F15" s="701"/>
      <c r="G15" s="1026">
        <v>21679567.93</v>
      </c>
      <c r="H15" s="1027">
        <f t="shared" si="0"/>
        <v>20</v>
      </c>
      <c r="I15" s="1028">
        <v>44295</v>
      </c>
      <c r="J15" s="1029">
        <v>44385</v>
      </c>
      <c r="K15" s="787" t="s">
        <v>404</v>
      </c>
      <c r="L15" s="222"/>
      <c r="M15" s="335"/>
      <c r="N15" s="335"/>
      <c r="O15" s="335"/>
      <c r="P15" s="335"/>
    </row>
    <row r="16" spans="2:16" ht="43.5" customHeight="1">
      <c r="B16" s="786" t="s">
        <v>246</v>
      </c>
      <c r="C16" s="698" t="s">
        <v>602</v>
      </c>
      <c r="D16" s="1024" t="s">
        <v>569</v>
      </c>
      <c r="E16" s="1025">
        <v>108397839.64</v>
      </c>
      <c r="F16" s="701"/>
      <c r="G16" s="1030">
        <v>21331418.02</v>
      </c>
      <c r="H16" s="1027">
        <f t="shared" si="0"/>
        <v>19.68</v>
      </c>
      <c r="I16" s="1028">
        <v>44386</v>
      </c>
      <c r="J16" s="705">
        <v>44459</v>
      </c>
      <c r="K16" s="787" t="s">
        <v>404</v>
      </c>
      <c r="L16" s="222"/>
      <c r="M16" s="335"/>
      <c r="N16" s="335"/>
      <c r="O16" s="335"/>
      <c r="P16" s="335"/>
    </row>
    <row r="17" spans="2:18" ht="43.5" customHeight="1">
      <c r="B17" s="786" t="s">
        <v>246</v>
      </c>
      <c r="C17" s="698" t="s">
        <v>639</v>
      </c>
      <c r="D17" s="1024" t="s">
        <v>569</v>
      </c>
      <c r="E17" s="1025">
        <v>108397839.64</v>
      </c>
      <c r="F17" s="701"/>
      <c r="G17" s="1026">
        <v>20825496.27</v>
      </c>
      <c r="H17" s="1027">
        <f t="shared" si="0"/>
        <v>19.21</v>
      </c>
      <c r="I17" s="1028">
        <v>44460</v>
      </c>
      <c r="J17" s="1029">
        <v>44550</v>
      </c>
      <c r="K17" s="787" t="s">
        <v>430</v>
      </c>
      <c r="L17" s="222"/>
      <c r="M17" s="335"/>
      <c r="N17" s="335"/>
      <c r="O17" s="335"/>
      <c r="P17" s="335"/>
    </row>
    <row r="18" spans="2:18" ht="43.5" customHeight="1">
      <c r="B18" s="788"/>
      <c r="C18" s="336"/>
      <c r="D18" s="337"/>
      <c r="E18" s="338"/>
      <c r="F18" s="339"/>
      <c r="G18" s="340"/>
      <c r="H18" s="341"/>
      <c r="I18" s="342"/>
      <c r="J18" s="343"/>
      <c r="K18" s="789"/>
      <c r="M18" s="335"/>
      <c r="N18" s="335"/>
      <c r="O18" s="335"/>
      <c r="P18" s="335"/>
    </row>
    <row r="19" spans="2:18" ht="15" customHeight="1">
      <c r="B19" s="790" t="s">
        <v>12</v>
      </c>
      <c r="C19" s="345"/>
      <c r="D19" s="344"/>
      <c r="E19" s="358" t="s">
        <v>216</v>
      </c>
      <c r="F19" s="355"/>
      <c r="G19" s="356"/>
      <c r="H19" s="357"/>
      <c r="I19" s="359" t="s">
        <v>217</v>
      </c>
      <c r="J19" s="346"/>
      <c r="K19" s="791"/>
      <c r="M19" s="335"/>
      <c r="N19" s="335"/>
      <c r="O19" s="335"/>
      <c r="P19" s="335"/>
    </row>
    <row r="20" spans="2:18" ht="15" customHeight="1">
      <c r="B20" s="790"/>
      <c r="C20" s="345"/>
      <c r="D20" s="344"/>
      <c r="E20" s="358"/>
      <c r="F20" s="355"/>
      <c r="G20" s="356"/>
      <c r="H20" s="357"/>
      <c r="I20" s="359"/>
      <c r="J20" s="346"/>
      <c r="K20" s="791"/>
      <c r="M20" s="335"/>
      <c r="N20" s="335"/>
      <c r="O20" s="335"/>
      <c r="P20" s="335"/>
    </row>
    <row r="21" spans="2:18" ht="15" customHeight="1">
      <c r="B21" s="790"/>
      <c r="C21" s="345"/>
      <c r="D21" s="344"/>
      <c r="E21" s="358"/>
      <c r="F21" s="355"/>
      <c r="G21" s="356"/>
      <c r="H21" s="357"/>
      <c r="I21" s="359"/>
      <c r="J21" s="346"/>
      <c r="K21" s="791"/>
      <c r="M21" s="335"/>
      <c r="N21" s="335"/>
      <c r="O21" s="335"/>
      <c r="P21" s="335"/>
    </row>
    <row r="22" spans="2:18" ht="15" customHeight="1">
      <c r="B22" s="790"/>
      <c r="C22" s="345"/>
      <c r="D22" s="344"/>
      <c r="E22" s="358"/>
      <c r="F22" s="355"/>
      <c r="G22" s="356"/>
      <c r="H22" s="357"/>
      <c r="I22" s="359"/>
      <c r="J22" s="346"/>
      <c r="K22" s="791"/>
      <c r="M22" s="335"/>
      <c r="N22" s="335"/>
      <c r="O22" s="335"/>
      <c r="P22" s="335"/>
    </row>
    <row r="23" spans="2:18" ht="15" customHeight="1">
      <c r="B23" s="790"/>
      <c r="C23" s="345"/>
      <c r="D23" s="344"/>
      <c r="E23" s="358"/>
      <c r="F23" s="355"/>
      <c r="G23" s="356"/>
      <c r="H23" s="357"/>
      <c r="I23" s="359"/>
      <c r="J23" s="346"/>
      <c r="K23" s="791"/>
      <c r="M23" s="335"/>
      <c r="N23" s="335"/>
      <c r="O23" s="335"/>
      <c r="P23" s="335"/>
    </row>
    <row r="24" spans="2:18" ht="15" customHeight="1">
      <c r="B24" s="790"/>
      <c r="C24" s="345"/>
      <c r="D24" s="344"/>
      <c r="E24" s="358"/>
      <c r="F24" s="355"/>
      <c r="G24" s="356"/>
      <c r="H24" s="357"/>
      <c r="I24" s="359"/>
      <c r="J24" s="346"/>
      <c r="K24" s="791"/>
      <c r="M24" s="335"/>
      <c r="N24" s="335"/>
      <c r="O24" s="335"/>
      <c r="P24" s="335"/>
    </row>
    <row r="25" spans="2:18" ht="15" customHeight="1">
      <c r="B25" s="792"/>
      <c r="C25" s="345"/>
      <c r="D25" s="344"/>
      <c r="E25" s="355"/>
      <c r="F25" s="355"/>
      <c r="G25" s="356"/>
      <c r="H25" s="357"/>
      <c r="I25" s="346"/>
      <c r="J25" s="346"/>
      <c r="K25" s="791"/>
      <c r="M25" s="335"/>
      <c r="N25" s="335"/>
      <c r="O25" s="335"/>
      <c r="P25" s="335"/>
    </row>
    <row r="26" spans="2:18" ht="15" customHeight="1">
      <c r="B26" s="777"/>
      <c r="C26" s="347"/>
      <c r="D26" s="347"/>
      <c r="E26" s="347"/>
      <c r="F26" s="347"/>
      <c r="G26" s="347"/>
      <c r="H26" s="347"/>
      <c r="I26" s="347"/>
      <c r="J26" s="347"/>
      <c r="K26" s="793"/>
      <c r="L26" s="353"/>
      <c r="M26" s="347"/>
      <c r="N26" s="347"/>
      <c r="O26" s="347"/>
      <c r="P26" s="347"/>
      <c r="Q26" s="347"/>
      <c r="R26" s="347"/>
    </row>
    <row r="27" spans="2:18" ht="15" customHeight="1">
      <c r="B27" s="777"/>
      <c r="C27" s="347"/>
      <c r="D27" s="347"/>
      <c r="E27" s="347"/>
      <c r="F27" s="347"/>
      <c r="G27" s="347"/>
      <c r="H27" s="347"/>
      <c r="I27" s="347"/>
      <c r="J27" s="347"/>
      <c r="K27" s="793"/>
      <c r="L27" s="353"/>
      <c r="M27" s="347"/>
      <c r="N27" s="347"/>
      <c r="O27" s="347"/>
      <c r="P27" s="347"/>
      <c r="Q27" s="347"/>
      <c r="R27" s="347"/>
    </row>
    <row r="28" spans="2:18" ht="15" customHeight="1">
      <c r="B28" s="794"/>
      <c r="C28" s="348"/>
      <c r="D28" s="428"/>
      <c r="E28" s="349"/>
      <c r="F28" s="349"/>
      <c r="G28" s="349"/>
      <c r="H28" s="349"/>
      <c r="I28" s="349"/>
      <c r="J28" s="349"/>
      <c r="K28" s="795"/>
      <c r="L28" s="354"/>
      <c r="M28" s="349"/>
      <c r="N28" s="349"/>
      <c r="O28" s="349"/>
      <c r="P28" s="349"/>
      <c r="Q28" s="349"/>
      <c r="R28" s="347"/>
    </row>
    <row r="29" spans="2:18" ht="15" customHeight="1">
      <c r="B29" s="1901" t="str">
        <f>+Datos!B15</f>
        <v>Ing. Ernesto Vargas Amezaga</v>
      </c>
      <c r="C29" s="1824"/>
      <c r="D29" s="759"/>
      <c r="E29" s="635"/>
      <c r="F29" s="759" t="str">
        <f>+Datos!B7</f>
        <v>Ing. Pedro Alberto Barreto Gutierrez</v>
      </c>
      <c r="G29" s="635"/>
      <c r="H29" s="636"/>
      <c r="I29" s="635"/>
      <c r="J29" s="759" t="str">
        <f>+Datos!B10</f>
        <v>Ing. Eyber Lopez Lopez</v>
      </c>
      <c r="K29" s="796"/>
      <c r="L29" s="354"/>
      <c r="M29" s="347"/>
      <c r="N29" s="349"/>
      <c r="O29" s="349"/>
      <c r="P29" s="349"/>
      <c r="Q29" s="349"/>
      <c r="R29" s="347"/>
    </row>
    <row r="30" spans="2:18" ht="15" customHeight="1">
      <c r="B30" s="1902" t="str">
        <f>+Datos!B16</f>
        <v>SUPERINTENDENTE DE OBRA a.i.</v>
      </c>
      <c r="C30" s="1903"/>
      <c r="D30" s="759"/>
      <c r="E30" s="635"/>
      <c r="F30" s="760" t="str">
        <f>+Datos!B8</f>
        <v xml:space="preserve">GERENTE SUPERVISION TECNICA </v>
      </c>
      <c r="G30" s="635"/>
      <c r="H30" s="636"/>
      <c r="I30" s="635"/>
      <c r="J30" s="760" t="str">
        <f>+Datos!B11</f>
        <v>FISCAL DE OBRA</v>
      </c>
      <c r="K30" s="796"/>
      <c r="L30" s="354"/>
      <c r="M30" s="347"/>
      <c r="N30" s="349"/>
      <c r="O30" s="349"/>
      <c r="P30" s="349"/>
      <c r="Q30" s="349"/>
      <c r="R30" s="347"/>
    </row>
    <row r="31" spans="2:18" ht="31.5" customHeight="1">
      <c r="B31" s="1904" t="str">
        <f>+Datos!B17</f>
        <v>EMPRESA ESTRATÉGICA BOLIVIANA DE CONSTRUCCIÓN
Y CONSERVACIÓN DE INFRAESTRUCTURA CIVIL (EBC)</v>
      </c>
      <c r="C31" s="1905"/>
      <c r="D31" s="759"/>
      <c r="E31" s="635"/>
      <c r="F31" s="797" t="str">
        <f>+Datos!B9</f>
        <v>ABC - REGIONAL TARIJA</v>
      </c>
      <c r="G31" s="798"/>
      <c r="H31" s="799"/>
      <c r="I31" s="798"/>
      <c r="J31" s="797" t="str">
        <f>+Datos!B12</f>
        <v>ABC - REGIONAL TARIJA</v>
      </c>
      <c r="K31" s="796"/>
      <c r="L31" s="354"/>
      <c r="M31" s="347"/>
      <c r="N31" s="349"/>
      <c r="O31" s="349"/>
      <c r="P31" s="349"/>
      <c r="Q31" s="349"/>
      <c r="R31" s="347"/>
    </row>
    <row r="32" spans="2:18">
      <c r="B32" s="800"/>
      <c r="C32" s="801"/>
      <c r="D32" s="801"/>
      <c r="E32" s="801"/>
      <c r="F32" s="801"/>
      <c r="G32" s="801"/>
      <c r="H32" s="801"/>
      <c r="I32" s="801"/>
      <c r="J32" s="801"/>
      <c r="K32" s="802"/>
      <c r="L32" s="353"/>
      <c r="M32" s="347"/>
      <c r="N32" s="347"/>
      <c r="O32" s="347"/>
      <c r="P32" s="347"/>
      <c r="Q32" s="347"/>
      <c r="R32" s="347"/>
    </row>
    <row r="33" spans="2:18"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53"/>
      <c r="M33" s="347"/>
      <c r="N33" s="347"/>
      <c r="O33" s="347"/>
      <c r="P33" s="347"/>
      <c r="Q33" s="347"/>
      <c r="R33" s="347"/>
    </row>
    <row r="34" spans="2:18">
      <c r="B34" s="347"/>
      <c r="C34" s="347"/>
      <c r="D34" s="347"/>
      <c r="E34" s="347"/>
      <c r="F34" s="347"/>
      <c r="G34" s="347"/>
      <c r="H34" s="347"/>
      <c r="I34" s="347"/>
      <c r="J34" s="347"/>
      <c r="K34" s="347"/>
      <c r="L34" s="353"/>
      <c r="M34" s="347"/>
      <c r="N34" s="347"/>
      <c r="O34" s="347"/>
      <c r="P34" s="347"/>
      <c r="Q34" s="347"/>
      <c r="R34" s="347"/>
    </row>
    <row r="35" spans="2:18">
      <c r="B35" s="347"/>
      <c r="C35" s="347"/>
      <c r="D35" s="347"/>
      <c r="E35" s="347"/>
      <c r="F35" s="347"/>
      <c r="G35" s="347"/>
      <c r="H35" s="347"/>
      <c r="I35" s="347"/>
      <c r="J35" s="347"/>
      <c r="K35" s="347"/>
      <c r="L35" s="353"/>
      <c r="M35" s="347"/>
      <c r="N35" s="347"/>
      <c r="O35" s="347"/>
      <c r="P35" s="347"/>
      <c r="Q35" s="347"/>
      <c r="R35" s="347"/>
    </row>
    <row r="36" spans="2:18">
      <c r="B36" s="347"/>
      <c r="C36" s="347"/>
      <c r="D36" s="347"/>
      <c r="E36" s="347"/>
      <c r="F36" s="347"/>
      <c r="G36" s="347"/>
      <c r="H36" s="347"/>
      <c r="I36" s="347"/>
      <c r="J36" s="350"/>
      <c r="K36" s="347"/>
      <c r="L36" s="353"/>
      <c r="M36" s="347"/>
      <c r="N36" s="347"/>
      <c r="O36" s="347"/>
      <c r="P36" s="347"/>
      <c r="Q36" s="347"/>
      <c r="R36" s="347"/>
    </row>
    <row r="37" spans="2:18">
      <c r="B37" s="347"/>
      <c r="C37" s="347"/>
      <c r="D37" s="347"/>
      <c r="E37" s="347"/>
      <c r="F37" s="347"/>
      <c r="G37" s="347"/>
      <c r="H37" s="347"/>
      <c r="I37" s="347"/>
      <c r="J37" s="351"/>
      <c r="K37" s="347"/>
      <c r="L37" s="353"/>
      <c r="M37" s="347"/>
      <c r="N37" s="347"/>
      <c r="O37" s="347"/>
      <c r="P37" s="347"/>
      <c r="Q37" s="347"/>
      <c r="R37" s="347"/>
    </row>
    <row r="38" spans="2:18">
      <c r="B38" s="347"/>
      <c r="C38" s="347"/>
      <c r="D38" s="347"/>
      <c r="E38" s="347"/>
      <c r="F38" s="347"/>
      <c r="G38" s="347"/>
      <c r="H38" s="347"/>
      <c r="I38" s="347"/>
      <c r="J38" s="347"/>
      <c r="K38" s="347"/>
      <c r="L38" s="353"/>
      <c r="M38" s="347"/>
      <c r="N38" s="347"/>
      <c r="O38" s="347"/>
      <c r="P38" s="347"/>
      <c r="Q38" s="347"/>
      <c r="R38" s="347"/>
    </row>
    <row r="39" spans="2:18"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53"/>
      <c r="M39" s="347"/>
      <c r="N39" s="347"/>
      <c r="O39" s="347"/>
      <c r="P39" s="347"/>
      <c r="Q39" s="347"/>
      <c r="R39" s="347"/>
    </row>
  </sheetData>
  <mergeCells count="15">
    <mergeCell ref="J6:K6"/>
    <mergeCell ref="I9:J9"/>
    <mergeCell ref="K9:K10"/>
    <mergeCell ref="G9:G10"/>
    <mergeCell ref="H9:H10"/>
    <mergeCell ref="C3:I4"/>
    <mergeCell ref="B29:C29"/>
    <mergeCell ref="B30:C30"/>
    <mergeCell ref="B31:C31"/>
    <mergeCell ref="B9:B10"/>
    <mergeCell ref="C9:C10"/>
    <mergeCell ref="D9:D10"/>
    <mergeCell ref="E9:E10"/>
    <mergeCell ref="F9:F10"/>
    <mergeCell ref="C5:I6"/>
  </mergeCells>
  <hyperlinks>
    <hyperlink ref="E2:J6" location="Certificado!A1" display="CUADRO RESUMEN DE POLIZAS Y BOLETAS" xr:uid="{00000000-0004-0000-0F00-000000000000}"/>
  </hyperlinks>
  <printOptions horizontalCentered="1"/>
  <pageMargins left="0.39370078740157483" right="0.39370078740157483" top="0.98425196850393704" bottom="0.59055118110236227" header="0.31496062992125984" footer="0.31496062992125984"/>
  <pageSetup scale="67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9">
    <tabColor rgb="FFFF0000"/>
    <pageSetUpPr fitToPage="1"/>
  </sheetPr>
  <dimension ref="B1:P57"/>
  <sheetViews>
    <sheetView showGridLines="0" view="pageBreakPreview" zoomScaleNormal="100" zoomScaleSheetLayoutView="100" workbookViewId="0">
      <selection activeCell="H17" sqref="H17:H18"/>
    </sheetView>
  </sheetViews>
  <sheetFormatPr baseColWidth="10" defaultColWidth="11.42578125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3" width="11.42578125" style="35"/>
    <col min="14" max="14" width="0" style="35" hidden="1" customWidth="1"/>
    <col min="15" max="16384" width="11.42578125" style="35"/>
  </cols>
  <sheetData>
    <row r="1" spans="2:16" ht="13.5" customHeight="1">
      <c r="B1" s="1950" t="s">
        <v>77</v>
      </c>
      <c r="C1" s="1951"/>
      <c r="D1" s="1920" t="s">
        <v>477</v>
      </c>
      <c r="E1" s="1921"/>
      <c r="F1" s="1921"/>
      <c r="G1" s="1921"/>
      <c r="H1" s="1921"/>
      <c r="I1" s="1922"/>
    </row>
    <row r="2" spans="2:16" ht="13.5" customHeight="1">
      <c r="B2" s="612"/>
      <c r="C2" s="1208"/>
      <c r="D2" s="1923"/>
      <c r="E2" s="1924"/>
      <c r="F2" s="1924"/>
      <c r="G2" s="1924"/>
      <c r="H2" s="1924"/>
      <c r="I2" s="1925"/>
    </row>
    <row r="3" spans="2:16">
      <c r="B3" s="39"/>
      <c r="C3" s="1214"/>
      <c r="D3" s="1926" t="s">
        <v>31</v>
      </c>
      <c r="E3" s="1927"/>
      <c r="F3" s="1927"/>
      <c r="G3" s="1927"/>
      <c r="H3" s="1927"/>
      <c r="I3" s="1928"/>
    </row>
    <row r="4" spans="2:16">
      <c r="B4" s="36"/>
      <c r="C4" s="60"/>
      <c r="D4" s="39" t="s">
        <v>35</v>
      </c>
      <c r="E4" s="62">
        <v>1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DESBROCE, DESTRONQUE Y LIMPIEZA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HAS</v>
      </c>
      <c r="F6" s="1209"/>
      <c r="G6" s="65"/>
      <c r="H6" s="279" t="s">
        <v>180</v>
      </c>
      <c r="I6" s="596">
        <f>+VLOOKUP(E4,'Planilla de Avance'!E10:J112,5,)</f>
        <v>94.18</v>
      </c>
    </row>
    <row r="8" spans="2:16" ht="15" customHeight="1">
      <c r="B8" s="1929" t="s">
        <v>30</v>
      </c>
      <c r="C8" s="1929" t="s">
        <v>38</v>
      </c>
      <c r="D8" s="1948" t="s">
        <v>27</v>
      </c>
      <c r="E8" s="1949"/>
      <c r="F8" s="1943" t="s">
        <v>10</v>
      </c>
      <c r="G8" s="1944"/>
      <c r="H8" s="1945"/>
      <c r="I8" s="1946" t="s">
        <v>11</v>
      </c>
    </row>
    <row r="9" spans="2:16" ht="15" customHeight="1">
      <c r="B9" s="1930"/>
      <c r="C9" s="1930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947"/>
    </row>
    <row r="10" spans="2:16" s="814" customFormat="1" ht="27.95" customHeight="1">
      <c r="B10" s="808">
        <v>1</v>
      </c>
      <c r="C10" s="1212">
        <v>44075</v>
      </c>
      <c r="D10" s="809">
        <v>16685</v>
      </c>
      <c r="E10" s="810">
        <v>23500</v>
      </c>
      <c r="F10" s="811"/>
      <c r="G10" s="812">
        <f>IF(B10="","",VLOOKUP($E$4,'Cant. Ejec,'!$E$5:$BB$101,17+B10*2+(B10-2),0))</f>
        <v>9.6300000000000008</v>
      </c>
      <c r="H10" s="813">
        <f>+F10+G10</f>
        <v>9.6300000000000008</v>
      </c>
      <c r="I10" s="815" t="s">
        <v>432</v>
      </c>
      <c r="J10" s="826">
        <f>VLOOKUP($E$4,'Cant. Ejec,'!$E$5:$BB$101,17+B10*2+(B10-2),0)</f>
        <v>9.6300000000000008</v>
      </c>
    </row>
    <row r="11" spans="2:16" ht="27.95" customHeight="1">
      <c r="B11" s="816">
        <f>IF(Datos!$C$20&gt;B10,B10+1,"")</f>
        <v>2</v>
      </c>
      <c r="C11" s="1212">
        <v>44105</v>
      </c>
      <c r="D11" s="817">
        <v>23500</v>
      </c>
      <c r="E11" s="818">
        <v>34000</v>
      </c>
      <c r="F11" s="819">
        <f>+G10</f>
        <v>9.6300000000000008</v>
      </c>
      <c r="G11" s="820">
        <f>IF(B11="","",VLOOKUP($E$4,'Cant. Ejec,'!$E$5:$BB$101,17+B11*2+(B11-2),0))</f>
        <v>10</v>
      </c>
      <c r="H11" s="821">
        <f>+F11+G11</f>
        <v>19.630000000000003</v>
      </c>
      <c r="I11" s="815" t="s">
        <v>433</v>
      </c>
      <c r="J11" s="827">
        <f>VLOOKUP($E$4,'Cant. Ejec,'!$E$5:$BB$101,17+B11*2+(B11-2),0)</f>
        <v>10</v>
      </c>
      <c r="L11" s="217"/>
      <c r="M11" s="217"/>
    </row>
    <row r="12" spans="2:16" s="814" customFormat="1" ht="27.95" customHeight="1">
      <c r="B12" s="816">
        <f>IF(Datos!$C$20&gt;B11,B11+1,"")</f>
        <v>3</v>
      </c>
      <c r="C12" s="1212">
        <v>44136</v>
      </c>
      <c r="D12" s="817">
        <v>18500</v>
      </c>
      <c r="E12" s="818">
        <v>33000</v>
      </c>
      <c r="F12" s="822">
        <f>+H11</f>
        <v>19.630000000000003</v>
      </c>
      <c r="G12" s="823">
        <f>IF(B12="","",VLOOKUP($E$4,'Cant. Ejec,'!$E$5:$BB$101,17+B12*2+(B12-2),0))</f>
        <v>15</v>
      </c>
      <c r="H12" s="824">
        <f>+F12+G12</f>
        <v>34.630000000000003</v>
      </c>
      <c r="I12" s="815" t="s">
        <v>434</v>
      </c>
      <c r="J12" s="826">
        <f>VLOOKUP($E$4,'Cant. Ejec,'!$E$5:$BB$101,17+B12*2+(B12-2),0)</f>
        <v>15</v>
      </c>
      <c r="L12" s="825"/>
      <c r="M12" s="825"/>
      <c r="N12" s="825"/>
    </row>
    <row r="13" spans="2:16" ht="15" customHeight="1">
      <c r="B13" s="816">
        <f>IF(Datos!$C$20&gt;B12,B12+1,"")</f>
        <v>4</v>
      </c>
      <c r="C13" s="1212" t="s">
        <v>431</v>
      </c>
      <c r="D13" s="68">
        <v>8700</v>
      </c>
      <c r="E13" s="69">
        <v>16685</v>
      </c>
      <c r="F13" s="49">
        <f>+H12</f>
        <v>34.630000000000003</v>
      </c>
      <c r="G13" s="50">
        <f>IF(B13="","",VLOOKUP($E$4,'Cant. Ejec,'!$E$5:$BB$101,17+B13*2+(B13-2),0))</f>
        <v>15.97</v>
      </c>
      <c r="H13" s="51">
        <f>+F13+G13</f>
        <v>50.6</v>
      </c>
      <c r="I13" s="755" t="s">
        <v>417</v>
      </c>
      <c r="J13" s="827">
        <f>VLOOKUP($E$4,'Cant. Ejec,'!$E$5:$BB$101,17+B13*2+(B13-2),0)</f>
        <v>15.97</v>
      </c>
      <c r="L13" s="217"/>
      <c r="P13" s="217"/>
    </row>
    <row r="14" spans="2:16" ht="15" customHeight="1">
      <c r="B14" s="816">
        <f>IF(Datos!$C$20&gt;B13,B13+1,"")</f>
        <v>5</v>
      </c>
      <c r="C14" s="1212">
        <v>44256</v>
      </c>
      <c r="D14" s="68">
        <v>34000</v>
      </c>
      <c r="E14" s="69">
        <v>37500</v>
      </c>
      <c r="F14" s="49">
        <f t="shared" ref="F14:F18" si="0">+H13</f>
        <v>50.6</v>
      </c>
      <c r="G14" s="50">
        <f>IF(B14="","",VLOOKUP($E$4,'Cant. Ejec,'!$E$5:$BB$101,17+B14*2+(B14-2),0))</f>
        <v>7</v>
      </c>
      <c r="H14" s="51">
        <f t="shared" ref="H14:H18" si="1">+F14+G14</f>
        <v>57.6</v>
      </c>
      <c r="I14" s="755" t="s">
        <v>417</v>
      </c>
      <c r="L14" s="217"/>
      <c r="M14" s="217"/>
      <c r="N14" s="217"/>
      <c r="O14" s="217"/>
      <c r="P14" s="217"/>
    </row>
    <row r="15" spans="2:16" ht="15" customHeight="1">
      <c r="B15" s="816">
        <f>IF(Datos!$C$20&gt;B14,B14+1,"")</f>
        <v>6</v>
      </c>
      <c r="C15" s="1212">
        <v>44287</v>
      </c>
      <c r="D15" s="68">
        <v>37500</v>
      </c>
      <c r="E15" s="69">
        <v>45000</v>
      </c>
      <c r="F15" s="49">
        <f t="shared" si="0"/>
        <v>57.6</v>
      </c>
      <c r="G15" s="50">
        <f>IF(B15="","",VLOOKUP($E$4,'Cant. Ejec,'!$E$5:$BB$101,17+B15*2+(B15-2),0))</f>
        <v>15</v>
      </c>
      <c r="H15" s="51">
        <f t="shared" si="1"/>
        <v>72.599999999999994</v>
      </c>
      <c r="I15" s="755" t="s">
        <v>417</v>
      </c>
    </row>
    <row r="16" spans="2:16" ht="15" customHeight="1">
      <c r="B16" s="816">
        <f>IF(Datos!$C$20&gt;B15,B15+1,"")</f>
        <v>7</v>
      </c>
      <c r="C16" s="1212">
        <v>44317</v>
      </c>
      <c r="D16" s="68"/>
      <c r="E16" s="69"/>
      <c r="F16" s="49">
        <f t="shared" si="0"/>
        <v>72.599999999999994</v>
      </c>
      <c r="G16" s="50">
        <f>IF(B16="","",VLOOKUP($E$4,'Cant. Ejec,'!$E$5:$BB$101,17+B16*2+(B16-2),0))</f>
        <v>0</v>
      </c>
      <c r="H16" s="51">
        <f t="shared" si="1"/>
        <v>72.599999999999994</v>
      </c>
      <c r="I16" s="755"/>
    </row>
    <row r="17" spans="2:11" ht="15" customHeight="1">
      <c r="B17" s="816">
        <f>IF(Datos!$C$20&gt;B16,B16+1,"")</f>
        <v>8</v>
      </c>
      <c r="C17" s="1212">
        <v>44348</v>
      </c>
      <c r="D17" s="68"/>
      <c r="E17" s="69"/>
      <c r="F17" s="49">
        <f t="shared" si="0"/>
        <v>72.599999999999994</v>
      </c>
      <c r="G17" s="50">
        <f>IF(B17="","",VLOOKUP($E$4,'Cant. Ejec,'!$E$5:$BB$101,17+B17*2+(B17-2),0))</f>
        <v>0</v>
      </c>
      <c r="H17" s="51">
        <f t="shared" si="1"/>
        <v>72.599999999999994</v>
      </c>
      <c r="I17" s="755"/>
    </row>
    <row r="18" spans="2:11" ht="15" customHeight="1">
      <c r="B18" s="816">
        <f>IF(Datos!$C$20&gt;B17,B17+1,"")</f>
        <v>9</v>
      </c>
      <c r="C18" s="1212">
        <v>44378</v>
      </c>
      <c r="D18" s="68"/>
      <c r="E18" s="69"/>
      <c r="F18" s="49">
        <f t="shared" si="0"/>
        <v>72.599999999999994</v>
      </c>
      <c r="G18" s="50">
        <f>IF(B18="","",VLOOKUP($E$4,'Cant. Ejec,'!$E$5:$BB$101,17+B18*2+(B18-2),0))</f>
        <v>0</v>
      </c>
      <c r="H18" s="51">
        <f t="shared" si="1"/>
        <v>72.599999999999994</v>
      </c>
      <c r="I18" s="755"/>
      <c r="K18" s="217"/>
    </row>
    <row r="19" spans="2:11" ht="15" customHeight="1">
      <c r="B19" s="816">
        <f>IF(Datos!$C$20&gt;B18,B18+1,"")</f>
        <v>10</v>
      </c>
      <c r="C19" s="1212"/>
      <c r="D19" s="68"/>
      <c r="E19" s="69"/>
      <c r="F19" s="49"/>
      <c r="G19" s="50">
        <f>IF(B19="","",VLOOKUP($E$4,'Cant. Ejec,'!$E$5:$BB$101,17+B19*2+(B19-2),0))</f>
        <v>0</v>
      </c>
      <c r="H19" s="51"/>
      <c r="I19" s="755"/>
    </row>
    <row r="20" spans="2:11" ht="15" customHeight="1">
      <c r="B20" s="816">
        <f>IF(Datos!$C$20&gt;B19,B19+1,"")</f>
        <v>11</v>
      </c>
      <c r="C20" s="816"/>
      <c r="D20" s="68"/>
      <c r="E20" s="69"/>
      <c r="F20" s="49"/>
      <c r="G20" s="50">
        <f>IF(B20="","",VLOOKUP($E$4,'Cant. Ejec,'!$E$5:$BB$101,17+B20*2+(B20-2),0))</f>
        <v>0</v>
      </c>
      <c r="H20" s="51"/>
      <c r="I20" s="755"/>
    </row>
    <row r="21" spans="2:11" ht="15" customHeight="1">
      <c r="B21" s="816" t="str">
        <f>IF(Datos!$C$20&gt;B20,B20+1,"")</f>
        <v/>
      </c>
      <c r="C21" s="816"/>
      <c r="D21" s="68"/>
      <c r="E21" s="69"/>
      <c r="F21" s="49"/>
      <c r="G21" s="50" t="str">
        <f>IF(B21="","",VLOOKUP($E$4,'Cant. Ejec,'!$E$5:$BB$101,17+B21*2+(B21-2),0))</f>
        <v/>
      </c>
      <c r="H21" s="51"/>
      <c r="I21" s="755"/>
    </row>
    <row r="22" spans="2:11" ht="15" customHeight="1">
      <c r="B22" s="816" t="str">
        <f>IF(Datos!$C$20&gt;B21,B21+1,"")</f>
        <v/>
      </c>
      <c r="C22" s="816"/>
      <c r="D22" s="68"/>
      <c r="E22" s="69"/>
      <c r="F22" s="49"/>
      <c r="G22" s="50" t="str">
        <f>IF(B22="","",VLOOKUP($E$4,'Cant. Ejec,'!$E$5:$BB$101,17+B22*2+(B22-2),0))</f>
        <v/>
      </c>
      <c r="H22" s="51"/>
      <c r="I22" s="755"/>
    </row>
    <row r="23" spans="2:11" ht="15" customHeight="1">
      <c r="B23" s="816" t="str">
        <f>IF(Datos!$C$20&gt;B22,B22+1,"")</f>
        <v/>
      </c>
      <c r="C23" s="816"/>
      <c r="D23" s="68"/>
      <c r="E23" s="69"/>
      <c r="F23" s="49"/>
      <c r="G23" s="50" t="str">
        <f>IF(B23="","",VLOOKUP($E$4,'Cant. Ejec,'!$E$5:$BB$101,17+B23*2+(B23-2),0))</f>
        <v/>
      </c>
      <c r="H23" s="51"/>
      <c r="I23" s="755"/>
    </row>
    <row r="24" spans="2:11" ht="15" customHeight="1">
      <c r="B24" s="816" t="str">
        <f>IF(Datos!$C$20&gt;B23,B23+1,"")</f>
        <v/>
      </c>
      <c r="C24" s="816"/>
      <c r="D24" s="68"/>
      <c r="E24" s="69"/>
      <c r="F24" s="49"/>
      <c r="G24" s="50" t="str">
        <f>IF(B24="","",VLOOKUP($E$4,'Cant. Ejec,'!$E$5:$BB$101,17+B24*2+(B24-2),0))</f>
        <v/>
      </c>
      <c r="H24" s="51"/>
      <c r="I24" s="755"/>
    </row>
    <row r="25" spans="2:11" ht="15" customHeight="1">
      <c r="B25" s="816" t="str">
        <f>IF(Datos!$C$20&gt;B24,B24+1,"")</f>
        <v/>
      </c>
      <c r="C25" s="816"/>
      <c r="D25" s="68"/>
      <c r="E25" s="69"/>
      <c r="F25" s="49"/>
      <c r="G25" s="50" t="str">
        <f>IF(B25="","",VLOOKUP($E$4,'Cant. Ejec,'!$E$5:$BB$101,17+B25*2+(B25-2),0))</f>
        <v/>
      </c>
      <c r="H25" s="51"/>
      <c r="I25" s="755"/>
    </row>
    <row r="26" spans="2:11" ht="15" customHeight="1">
      <c r="B26" s="816" t="str">
        <f>IF(Datos!$C$20&gt;B25,B25+1,"")</f>
        <v/>
      </c>
      <c r="C26" s="816"/>
      <c r="D26" s="68"/>
      <c r="E26" s="69"/>
      <c r="F26" s="49"/>
      <c r="G26" s="50" t="str">
        <f>IF(B26="","",VLOOKUP($E$4,'Cant. Ejec,'!$E$5:$BB$101,17+B26*2+(B26-2),0))</f>
        <v/>
      </c>
      <c r="H26" s="51"/>
      <c r="I26" s="755"/>
    </row>
    <row r="27" spans="2:11" ht="15" customHeight="1">
      <c r="B27" s="816" t="str">
        <f>IF(Datos!$C$20&gt;B26,B26+1,"")</f>
        <v/>
      </c>
      <c r="C27" s="816"/>
      <c r="D27" s="68"/>
      <c r="E27" s="69"/>
      <c r="F27" s="49"/>
      <c r="G27" s="50" t="str">
        <f>IF(B27="","",VLOOKUP($E$4,'Cant. Ejec,'!$E$5:$BB$101,17+B27*2+(B27-2),0))</f>
        <v/>
      </c>
      <c r="H27" s="51"/>
      <c r="I27" s="755"/>
    </row>
    <row r="28" spans="2:11" ht="15" customHeight="1">
      <c r="B28" s="816" t="str">
        <f>IF(Datos!$C$20&gt;B27,B27+1,"")</f>
        <v/>
      </c>
      <c r="C28" s="816"/>
      <c r="D28" s="68"/>
      <c r="E28" s="69"/>
      <c r="F28" s="49"/>
      <c r="G28" s="50" t="str">
        <f>IF(B28="","",VLOOKUP($E$4,'Cant. Ejec,'!$E$5:$BB$101,17+B28*2+(B28-2),0))</f>
        <v/>
      </c>
      <c r="H28" s="51"/>
      <c r="I28" s="755"/>
    </row>
    <row r="29" spans="2:11" ht="15" customHeight="1">
      <c r="B29" s="816" t="str">
        <f>IF(Datos!$C$20&gt;B28,B28+1,"")</f>
        <v/>
      </c>
      <c r="C29" s="816"/>
      <c r="D29" s="68"/>
      <c r="E29" s="69"/>
      <c r="F29" s="49"/>
      <c r="G29" s="50" t="str">
        <f>IF(B29="","",VLOOKUP($E$4,'Cant. Ejec,'!$E$5:$BB$101,17+B29*2+(B29-2),0))</f>
        <v/>
      </c>
      <c r="H29" s="51"/>
      <c r="I29" s="755"/>
    </row>
    <row r="30" spans="2:11" ht="15" customHeight="1">
      <c r="B30" s="816" t="str">
        <f>IF(Datos!$C$20&gt;B29,B29+1,"")</f>
        <v/>
      </c>
      <c r="C30" s="816"/>
      <c r="D30" s="68"/>
      <c r="E30" s="69"/>
      <c r="F30" s="49"/>
      <c r="G30" s="50" t="str">
        <f>IF(B30="","",VLOOKUP($E$4,'Cant. Ejec,'!$E$5:$BB$101,17+B30*2+(B30-2),0))</f>
        <v/>
      </c>
      <c r="H30" s="51"/>
      <c r="I30" s="755"/>
    </row>
    <row r="31" spans="2:11" ht="15" customHeight="1">
      <c r="B31" s="816" t="str">
        <f>IF(Datos!$C$20&gt;B30,B30+1,"")</f>
        <v/>
      </c>
      <c r="C31" s="816"/>
      <c r="D31" s="68"/>
      <c r="E31" s="69"/>
      <c r="F31" s="49"/>
      <c r="G31" s="50" t="str">
        <f>IF(B31="","",VLOOKUP($E$4,'Cant. Ejec,'!$E$5:$BB$101,17+B31*2+(B31-2),0))</f>
        <v/>
      </c>
      <c r="H31" s="51"/>
      <c r="I31" s="755"/>
    </row>
    <row r="32" spans="2:11" ht="15" customHeight="1">
      <c r="B32" s="816" t="str">
        <f>IF(Datos!$C$20&gt;B31,B31+1,"")</f>
        <v/>
      </c>
      <c r="C32" s="816"/>
      <c r="D32" s="68"/>
      <c r="E32" s="69"/>
      <c r="F32" s="49"/>
      <c r="G32" s="50" t="str">
        <f>IF(B32="","",VLOOKUP($E$4,'Cant. Ejec,'!$E$5:$BB$101,17+B32*2+(B32-2),0))</f>
        <v/>
      </c>
      <c r="H32" s="51"/>
      <c r="I32" s="755"/>
    </row>
    <row r="33" spans="2:9" ht="15" customHeight="1">
      <c r="B33" s="816" t="str">
        <f>IF(Datos!$C$20&gt;B32,B32+1,"")</f>
        <v/>
      </c>
      <c r="C33" s="816"/>
      <c r="D33" s="68"/>
      <c r="E33" s="69"/>
      <c r="F33" s="49"/>
      <c r="G33" s="50" t="str">
        <f>IF(B33="","",VLOOKUP($E$4,'Cant. Ejec,'!$E$5:$BB$101,17+B33*2+(B33-2),0))</f>
        <v/>
      </c>
      <c r="H33" s="51"/>
      <c r="I33" s="755"/>
    </row>
    <row r="34" spans="2:9" ht="15" customHeight="1">
      <c r="B34" s="816" t="str">
        <f>IF(Datos!$C$20&gt;B33,B33+1,"")</f>
        <v/>
      </c>
      <c r="C34" s="816"/>
      <c r="D34" s="68"/>
      <c r="E34" s="69"/>
      <c r="F34" s="49"/>
      <c r="G34" s="50" t="str">
        <f>IF(B34="","",VLOOKUP($E$4,'Cant. Ejec,'!$E$5:$BB$101,17+B34*2+(B34-2),0))</f>
        <v/>
      </c>
      <c r="H34" s="51"/>
      <c r="I34" s="755"/>
    </row>
    <row r="35" spans="2:9" ht="15" customHeight="1">
      <c r="B35" s="816" t="str">
        <f>IF(Datos!$C$20&gt;B34,B34+1,"")</f>
        <v/>
      </c>
      <c r="C35" s="816"/>
      <c r="D35" s="68"/>
      <c r="E35" s="69"/>
      <c r="F35" s="49"/>
      <c r="G35" s="50" t="str">
        <f>IF(B35="","",VLOOKUP($E$4,'Cant. Ejec,'!$E$5:$BB$101,17+B35*2+(B35-2),0))</f>
        <v/>
      </c>
      <c r="H35" s="51"/>
      <c r="I35" s="755"/>
    </row>
    <row r="36" spans="2:9" ht="15" customHeight="1">
      <c r="B36" s="816" t="str">
        <f>IF(Datos!$C$20&gt;B35,B35+1,"")</f>
        <v/>
      </c>
      <c r="C36" s="816"/>
      <c r="D36" s="68"/>
      <c r="E36" s="69"/>
      <c r="F36" s="49"/>
      <c r="G36" s="50" t="str">
        <f>IF(B36="","",VLOOKUP($E$4,'Cant. Ejec,'!$E$5:$BB$101,17+B36*2+(B36-2),0))</f>
        <v/>
      </c>
      <c r="H36" s="51"/>
      <c r="I36" s="755"/>
    </row>
    <row r="37" spans="2:9" ht="15" customHeight="1">
      <c r="B37" s="816" t="str">
        <f>IF(Datos!$C$20&gt;B36,B36+1,"")</f>
        <v/>
      </c>
      <c r="C37" s="816"/>
      <c r="D37" s="68"/>
      <c r="E37" s="69"/>
      <c r="F37" s="49"/>
      <c r="G37" s="50" t="str">
        <f>IF(B37="","",VLOOKUP($E$4,'Cant. Ejec,'!$E$5:$BB$101,17+B37*2+(B37-2),0))</f>
        <v/>
      </c>
      <c r="H37" s="51"/>
      <c r="I37" s="755"/>
    </row>
    <row r="38" spans="2:9" ht="15" customHeight="1">
      <c r="B38" s="816" t="str">
        <f>IF(Datos!$C$20&gt;B37,B37+1,"")</f>
        <v/>
      </c>
      <c r="C38" s="816"/>
      <c r="D38" s="68"/>
      <c r="E38" s="69"/>
      <c r="F38" s="49"/>
      <c r="G38" s="50" t="str">
        <f>IF(B38="","",VLOOKUP($E$4,'Cant. Ejec,'!$E$5:$BB$101,17+B38*2+(B38-2),0))</f>
        <v/>
      </c>
      <c r="H38" s="51"/>
      <c r="I38" s="755"/>
    </row>
    <row r="39" spans="2:9" ht="15" customHeight="1">
      <c r="B39" s="816" t="str">
        <f>IF(Datos!$C$20&gt;B38,B38+1,"")</f>
        <v/>
      </c>
      <c r="C39" s="816"/>
      <c r="D39" s="68"/>
      <c r="E39" s="69"/>
      <c r="F39" s="49"/>
      <c r="G39" s="50" t="str">
        <f>IF(B39="","",VLOOKUP($E$4,'Cant. Ejec,'!$E$5:$BB$101,17+B39*2+(B39-2),0))</f>
        <v/>
      </c>
      <c r="H39" s="51"/>
      <c r="I39" s="755"/>
    </row>
    <row r="40" spans="2:9" ht="15" customHeight="1">
      <c r="B40" s="816" t="str">
        <f>IF(Datos!$C$20&gt;B39,B39+1,"")</f>
        <v/>
      </c>
      <c r="C40" s="816"/>
      <c r="D40" s="68"/>
      <c r="E40" s="69"/>
      <c r="F40" s="49"/>
      <c r="G40" s="50" t="str">
        <f>IF(B40="","",VLOOKUP($E$4,'Cant. Ejec,'!$E$5:$BB$101,17+B40*2+(B40-2),0))</f>
        <v/>
      </c>
      <c r="H40" s="51"/>
      <c r="I40" s="755"/>
    </row>
    <row r="41" spans="2:9" ht="15" customHeight="1">
      <c r="B41" s="816" t="str">
        <f>IF(Datos!$C$20&gt;B40,B40+1,"")</f>
        <v/>
      </c>
      <c r="C41" s="816"/>
      <c r="D41" s="68"/>
      <c r="E41" s="69"/>
      <c r="F41" s="49"/>
      <c r="G41" s="50" t="str">
        <f>IF(B41="","",VLOOKUP($E$4,'Cant. Ejec,'!$E$5:$BB$101,17+B41*2+(B41-2),0))</f>
        <v/>
      </c>
      <c r="H41" s="51"/>
      <c r="I41" s="755"/>
    </row>
    <row r="42" spans="2:9" ht="15" customHeight="1">
      <c r="B42" s="816" t="str">
        <f>IF(Datos!$C$20&gt;B41,B41+1,"")</f>
        <v/>
      </c>
      <c r="C42" s="816"/>
      <c r="D42" s="68"/>
      <c r="E42" s="69"/>
      <c r="F42" s="49"/>
      <c r="G42" s="50" t="str">
        <f>IF(B42="","",VLOOKUP($E$4,'Cant. Ejec,'!$E$5:$BB$101,17+B42*2+(B42-2),0))</f>
        <v/>
      </c>
      <c r="H42" s="51"/>
      <c r="I42" s="755"/>
    </row>
    <row r="43" spans="2:9" ht="15" customHeight="1">
      <c r="B43" s="816" t="str">
        <f>IF(Datos!$C$20&gt;B42,B42+1,"")</f>
        <v/>
      </c>
      <c r="C43" s="816"/>
      <c r="D43" s="68"/>
      <c r="E43" s="69"/>
      <c r="F43" s="49"/>
      <c r="G43" s="50" t="str">
        <f>IF(B43="","",VLOOKUP($E$4,'Cant. Ejec,'!$E$5:$BB$101,17+B43*2+(B43-2),0))</f>
        <v/>
      </c>
      <c r="H43" s="51"/>
      <c r="I43" s="755"/>
    </row>
    <row r="44" spans="2:9" ht="15" customHeight="1">
      <c r="B44" s="816" t="str">
        <f>IF(Datos!$C$20&gt;B43,B43+1,"")</f>
        <v/>
      </c>
      <c r="C44" s="816"/>
      <c r="D44" s="68"/>
      <c r="E44" s="69"/>
      <c r="F44" s="49"/>
      <c r="G44" s="50" t="str">
        <f>IF(B44="","",VLOOKUP($E$4,'Cant. Ejec,'!$E$5:$BB$101,17+B44*2+(B44-2),0))</f>
        <v/>
      </c>
      <c r="H44" s="51"/>
      <c r="I44" s="755"/>
    </row>
    <row r="45" spans="2:9" ht="15" customHeight="1">
      <c r="B45" s="816" t="str">
        <f>IF(Datos!$C$20&gt;B44,B44+1,"")</f>
        <v/>
      </c>
      <c r="C45" s="816"/>
      <c r="D45" s="68"/>
      <c r="E45" s="69"/>
      <c r="F45" s="49"/>
      <c r="G45" s="50" t="str">
        <f>IF(B45="","",VLOOKUP($E$4,'Cant. Ejec,'!$E$5:$BB$101,17+B45*2+(B45-2),0))</f>
        <v/>
      </c>
      <c r="H45" s="51"/>
      <c r="I45" s="755"/>
    </row>
    <row r="46" spans="2:9" ht="15" customHeight="1">
      <c r="B46" s="816" t="str">
        <f>IF(Datos!$C$20&gt;B45,B45+1,"")</f>
        <v/>
      </c>
      <c r="C46" s="816"/>
      <c r="D46" s="68"/>
      <c r="E46" s="69"/>
      <c r="F46" s="49"/>
      <c r="G46" s="50" t="str">
        <f>IF(B46="","",VLOOKUP($E$4,'Cant. Ejec,'!$E$5:$BB$101,17+B46*2+(B46-2),0))</f>
        <v/>
      </c>
      <c r="H46" s="51"/>
      <c r="I46" s="755"/>
    </row>
    <row r="47" spans="2:9" ht="15" customHeight="1">
      <c r="B47" s="816" t="str">
        <f>IF(Datos!$C$20&gt;B46,B46+1,"")</f>
        <v/>
      </c>
      <c r="C47" s="816"/>
      <c r="D47" s="68"/>
      <c r="E47" s="69"/>
      <c r="F47" s="49"/>
      <c r="G47" s="50" t="str">
        <f>IF(B47="","",VLOOKUP($E$4,'Cant. Ejec,'!$E$5:$BB$101,17+B47*2+(B47-2),0))</f>
        <v/>
      </c>
      <c r="H47" s="51"/>
      <c r="I47" s="755"/>
    </row>
    <row r="48" spans="2:9" ht="15" customHeight="1">
      <c r="B48" s="816" t="str">
        <f>IF(Datos!$C$20&gt;B47,B47+1,"")</f>
        <v/>
      </c>
      <c r="C48" s="816"/>
      <c r="D48" s="68"/>
      <c r="E48" s="69"/>
      <c r="F48" s="49"/>
      <c r="G48" s="50" t="str">
        <f>IF(B48="","",VLOOKUP($E$4,'Cant. Ejec,'!$E$5:$BB$101,17+B48*2+(B48-2),0))</f>
        <v/>
      </c>
      <c r="H48" s="51"/>
      <c r="I48" s="755"/>
    </row>
    <row r="49" spans="2:9" ht="15" customHeight="1">
      <c r="B49" s="816" t="str">
        <f>IF(Datos!$C$20&gt;B48,B48+1,"")</f>
        <v/>
      </c>
      <c r="C49" s="1210"/>
      <c r="D49" s="70"/>
      <c r="E49" s="71"/>
      <c r="F49" s="52"/>
      <c r="G49" s="53" t="str">
        <f>IF(B49="","",VLOOKUP($E$4,'Cant. Ejec,'!$E$5:$BB$101,17+B49*2+(B49-2),0))</f>
        <v/>
      </c>
      <c r="H49" s="54"/>
      <c r="I49" s="755"/>
    </row>
    <row r="50" spans="2:9" ht="15" customHeight="1">
      <c r="B50" s="1937" t="s">
        <v>92</v>
      </c>
      <c r="C50" s="1938"/>
      <c r="D50" s="1938"/>
      <c r="E50" s="1939"/>
      <c r="F50" s="55">
        <f>+MAX(F10:F49)</f>
        <v>72.599999999999994</v>
      </c>
      <c r="G50" s="56">
        <f>+H50-F50</f>
        <v>0</v>
      </c>
      <c r="H50" s="57">
        <f>+MAX(H10:H49)</f>
        <v>72.599999999999994</v>
      </c>
      <c r="I50" s="44"/>
    </row>
    <row r="51" spans="2:9" ht="15" customHeight="1">
      <c r="B51" s="1940" t="s">
        <v>34</v>
      </c>
      <c r="C51" s="1941"/>
      <c r="D51" s="1941"/>
      <c r="E51" s="1942"/>
      <c r="F51" s="712">
        <f>ROUND((F50/I6),4)</f>
        <v>0.77090000000000003</v>
      </c>
      <c r="G51" s="713">
        <f>ROUND((G50/I6),4)</f>
        <v>0</v>
      </c>
      <c r="H51" s="714">
        <f>ROUND((H50/I6),4)</f>
        <v>0.77090000000000003</v>
      </c>
      <c r="I51" s="45"/>
    </row>
    <row r="52" spans="2:9" ht="15" customHeight="1">
      <c r="B52" s="61" t="s">
        <v>12</v>
      </c>
      <c r="C52" s="1211"/>
      <c r="D52" s="58"/>
      <c r="E52" s="58"/>
      <c r="F52" s="59"/>
      <c r="G52" s="61" t="s">
        <v>8</v>
      </c>
      <c r="H52" s="58"/>
      <c r="I52" s="59"/>
    </row>
    <row r="53" spans="2:9">
      <c r="B53" s="36"/>
      <c r="C53" s="60"/>
      <c r="D53" s="60"/>
      <c r="E53" s="60"/>
      <c r="F53" s="37"/>
      <c r="G53" s="36"/>
      <c r="H53" s="60"/>
      <c r="I53" s="37"/>
    </row>
    <row r="54" spans="2:9">
      <c r="B54" s="36"/>
      <c r="C54" s="60"/>
      <c r="D54" s="60"/>
      <c r="E54" s="60"/>
      <c r="F54" s="37"/>
      <c r="G54" s="36"/>
      <c r="H54" s="60"/>
      <c r="I54" s="37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1934" t="str">
        <f>+Datos!B15</f>
        <v>Ing. Ernesto Vargas Amezaga</v>
      </c>
      <c r="C56" s="1935"/>
      <c r="D56" s="1935"/>
      <c r="E56" s="1935"/>
      <c r="F56" s="1936"/>
      <c r="G56" s="1934" t="str">
        <f>+Datos!B7</f>
        <v>Ing. Pedro Alberto Barreto Gutierrez</v>
      </c>
      <c r="H56" s="1935"/>
      <c r="I56" s="1936"/>
    </row>
    <row r="57" spans="2:9">
      <c r="B57" s="1931" t="str">
        <f>+Datos!B16</f>
        <v>SUPERINTENDENTE DE OBRA a.i.</v>
      </c>
      <c r="C57" s="1932"/>
      <c r="D57" s="1932"/>
      <c r="E57" s="1932"/>
      <c r="F57" s="1933"/>
      <c r="G57" s="1931" t="str">
        <f>+Datos!B8</f>
        <v xml:space="preserve">GERENTE SUPERVISION TECNICA </v>
      </c>
      <c r="H57" s="1932"/>
      <c r="I57" s="1933"/>
    </row>
  </sheetData>
  <mergeCells count="14">
    <mergeCell ref="D1:I2"/>
    <mergeCell ref="D3:I3"/>
    <mergeCell ref="B8:B9"/>
    <mergeCell ref="B57:F57"/>
    <mergeCell ref="G56:I56"/>
    <mergeCell ref="G57:I57"/>
    <mergeCell ref="B50:E50"/>
    <mergeCell ref="B51:E51"/>
    <mergeCell ref="B56:F56"/>
    <mergeCell ref="F8:H8"/>
    <mergeCell ref="I8:I9"/>
    <mergeCell ref="D8:E8"/>
    <mergeCell ref="C8:C9"/>
    <mergeCell ref="B1:C1"/>
  </mergeCells>
  <printOptions horizontalCentered="1"/>
  <pageMargins left="0.78740157480314965" right="0.59055118110236227" top="0.59055118110236227" bottom="0.59055118110236227" header="0.31496062992125984" footer="0.31496062992125984"/>
  <pageSetup scale="80" orientation="portrait" horizontalDpi="4294967295" verticalDpi="4294967295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>
    <tabColor rgb="FFFF0000"/>
    <pageSetUpPr fitToPage="1"/>
  </sheetPr>
  <dimension ref="B1:P60"/>
  <sheetViews>
    <sheetView showGridLines="0" view="pageBreakPreview" topLeftCell="A16" zoomScaleNormal="100" zoomScaleSheetLayoutView="100" workbookViewId="0">
      <selection activeCell="K26" sqref="K26"/>
    </sheetView>
  </sheetViews>
  <sheetFormatPr baseColWidth="10" defaultColWidth="11.42578125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50" t="s">
        <v>77</v>
      </c>
      <c r="C1" s="1951"/>
      <c r="D1" s="1920" t="s">
        <v>477</v>
      </c>
      <c r="E1" s="1921"/>
      <c r="F1" s="1921"/>
      <c r="G1" s="1921"/>
      <c r="H1" s="1921"/>
      <c r="I1" s="1922"/>
    </row>
    <row r="2" spans="2:16" ht="13.5" customHeight="1">
      <c r="B2" s="612"/>
      <c r="C2" s="1208"/>
      <c r="D2" s="1923"/>
      <c r="E2" s="1924"/>
      <c r="F2" s="1924"/>
      <c r="G2" s="1924"/>
      <c r="H2" s="1924"/>
      <c r="I2" s="1925"/>
    </row>
    <row r="3" spans="2:16">
      <c r="B3" s="39"/>
      <c r="C3" s="1214"/>
      <c r="D3" s="1926" t="s">
        <v>31</v>
      </c>
      <c r="E3" s="1927"/>
      <c r="F3" s="1927"/>
      <c r="G3" s="1927"/>
      <c r="H3" s="1927"/>
      <c r="I3" s="1928"/>
    </row>
    <row r="4" spans="2:16">
      <c r="B4" s="36"/>
      <c r="C4" s="60"/>
      <c r="D4" s="39" t="s">
        <v>35</v>
      </c>
      <c r="E4" s="62">
        <v>5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TRANSPORTE DE CAPA BASE REMOVIDA DMT 12.70 KM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M3*KM</v>
      </c>
      <c r="F6" s="1209"/>
      <c r="G6" s="65"/>
      <c r="H6" s="279" t="s">
        <v>180</v>
      </c>
      <c r="I6" s="596">
        <f>+VLOOKUP(E4,'Planilla de Avance'!E10:J112,5,)</f>
        <v>439169.3</v>
      </c>
    </row>
    <row r="8" spans="2:16" ht="15" customHeight="1">
      <c r="B8" s="1929" t="s">
        <v>30</v>
      </c>
      <c r="C8" s="1929" t="s">
        <v>38</v>
      </c>
      <c r="D8" s="1948" t="s">
        <v>27</v>
      </c>
      <c r="E8" s="1949"/>
      <c r="F8" s="1943" t="s">
        <v>10</v>
      </c>
      <c r="G8" s="1944"/>
      <c r="H8" s="1945"/>
      <c r="I8" s="1946" t="s">
        <v>11</v>
      </c>
    </row>
    <row r="9" spans="2:16" ht="15" customHeight="1">
      <c r="B9" s="1930"/>
      <c r="C9" s="1930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947"/>
    </row>
    <row r="10" spans="2:16" ht="15" customHeight="1">
      <c r="B10" s="43">
        <v>1</v>
      </c>
      <c r="C10" s="1213">
        <v>44075</v>
      </c>
      <c r="D10" s="66">
        <v>23600</v>
      </c>
      <c r="E10" s="67">
        <v>29600</v>
      </c>
      <c r="F10" s="46"/>
      <c r="G10" s="47">
        <f>IF(B10="","",VLOOKUP($E$4,'Cant. Ejec,'!$E$5:$BB$101,17+B10*2+(B10-2),0))</f>
        <v>47637</v>
      </c>
      <c r="H10" s="48">
        <f>+F10+G10</f>
        <v>47637</v>
      </c>
      <c r="I10" s="697" t="s">
        <v>417</v>
      </c>
    </row>
    <row r="11" spans="2:16" ht="15" customHeight="1">
      <c r="B11" s="72">
        <f>IF(Datos!$C$20&gt;B10,B10+1,"")</f>
        <v>2</v>
      </c>
      <c r="C11" s="1213">
        <v>44105</v>
      </c>
      <c r="D11" s="68">
        <v>29600</v>
      </c>
      <c r="E11" s="69">
        <v>39000</v>
      </c>
      <c r="F11" s="49">
        <f>+H10</f>
        <v>47637</v>
      </c>
      <c r="G11" s="50">
        <f>IF(B11="","",VLOOKUP($E$4,'Cant. Ejec,'!$E$5:$BB$101,17+B11*2+(B11-2),0))</f>
        <v>112503.9</v>
      </c>
      <c r="H11" s="51">
        <f>+F11+G11</f>
        <v>160140.9</v>
      </c>
      <c r="I11" s="696" t="s">
        <v>417</v>
      </c>
      <c r="L11" s="217"/>
      <c r="M11" s="217"/>
    </row>
    <row r="12" spans="2:16" ht="15" customHeight="1">
      <c r="B12" s="72">
        <f>IF(Datos!$C$20&gt;B11,B11+1,"")</f>
        <v>3</v>
      </c>
      <c r="C12" s="1213">
        <v>44136</v>
      </c>
      <c r="D12" s="68">
        <v>39000</v>
      </c>
      <c r="E12" s="69">
        <v>45000</v>
      </c>
      <c r="F12" s="49">
        <f>+H11</f>
        <v>160140.9</v>
      </c>
      <c r="G12" s="50">
        <f>IF(B12="","",VLOOKUP($E$4,'Cant. Ejec,'!$E$5:$BB$101,17+B12*2+(B12-2),0))</f>
        <v>186282</v>
      </c>
      <c r="H12" s="51">
        <f>+F12+G12</f>
        <v>346422.9</v>
      </c>
      <c r="I12" s="696" t="s">
        <v>417</v>
      </c>
      <c r="L12" s="217"/>
      <c r="M12" s="217"/>
      <c r="N12" s="217"/>
    </row>
    <row r="13" spans="2:16" ht="15" customHeight="1">
      <c r="B13" s="72">
        <f>IF(Datos!$C$20&gt;B12,B12+1,"")</f>
        <v>4</v>
      </c>
      <c r="C13" s="1213" t="s">
        <v>431</v>
      </c>
      <c r="D13" s="68" t="s">
        <v>597</v>
      </c>
      <c r="E13" s="69" t="s">
        <v>597</v>
      </c>
      <c r="F13" s="49">
        <f>+H12</f>
        <v>346422.9</v>
      </c>
      <c r="G13" s="50">
        <f>IF(B13="","",VLOOKUP($E$4,'Cant. Ejec,'!$E$5:$BB$101,17+B13*2+(B13-2),0))</f>
        <v>0</v>
      </c>
      <c r="H13" s="51">
        <f>+F13+G13</f>
        <v>346422.9</v>
      </c>
      <c r="I13" s="696"/>
      <c r="L13" s="217"/>
      <c r="P13" s="217"/>
    </row>
    <row r="14" spans="2:16" ht="15" customHeight="1">
      <c r="B14" s="72">
        <f>IF(Datos!$C$20&gt;B13,B13+1,"")</f>
        <v>5</v>
      </c>
      <c r="C14" s="1213">
        <v>44256</v>
      </c>
      <c r="D14" s="68" t="s">
        <v>597</v>
      </c>
      <c r="E14" s="69" t="s">
        <v>597</v>
      </c>
      <c r="F14" s="49">
        <f t="shared" ref="F14:F18" si="0">+H13</f>
        <v>346422.9</v>
      </c>
      <c r="G14" s="50">
        <f>IF(B14="","",VLOOKUP($E$4,'Cant. Ejec,'!$E$5:$BB$101,17+B14*2+(B14-2),0))</f>
        <v>0</v>
      </c>
      <c r="H14" s="51">
        <f t="shared" ref="H14:H18" si="1">+F14+G14</f>
        <v>346422.9</v>
      </c>
      <c r="I14" s="696"/>
      <c r="L14" s="217"/>
      <c r="M14" s="217"/>
      <c r="N14" s="217"/>
      <c r="O14" s="217"/>
      <c r="P14" s="217"/>
    </row>
    <row r="15" spans="2:16" ht="15" customHeight="1">
      <c r="B15" s="72">
        <f>IF(Datos!$C$20&gt;B14,B14+1,"")</f>
        <v>6</v>
      </c>
      <c r="C15" s="1213">
        <v>44287</v>
      </c>
      <c r="D15" s="68" t="s">
        <v>597</v>
      </c>
      <c r="E15" s="69" t="s">
        <v>597</v>
      </c>
      <c r="F15" s="49">
        <f t="shared" si="0"/>
        <v>346422.9</v>
      </c>
      <c r="G15" s="50">
        <f>IF(B15="","",VLOOKUP($E$4,'Cant. Ejec,'!$E$5:$BB$101,17+B15*2+(B15-2),0))</f>
        <v>0</v>
      </c>
      <c r="H15" s="51">
        <f t="shared" si="1"/>
        <v>346422.9</v>
      </c>
      <c r="I15" s="696"/>
    </row>
    <row r="16" spans="2:16" ht="15" customHeight="1">
      <c r="B16" s="72">
        <f>IF(Datos!$C$20&gt;B15,B15+1,"")</f>
        <v>7</v>
      </c>
      <c r="C16" s="1213">
        <v>44317</v>
      </c>
      <c r="D16" s="68" t="s">
        <v>597</v>
      </c>
      <c r="E16" s="69" t="s">
        <v>597</v>
      </c>
      <c r="F16" s="49">
        <f t="shared" si="0"/>
        <v>346422.9</v>
      </c>
      <c r="G16" s="50">
        <f>IF(B16="","",VLOOKUP($E$4,'Cant. Ejec,'!$E$5:$BB$101,17+B16*2+(B16-2),0))</f>
        <v>0</v>
      </c>
      <c r="H16" s="51">
        <f t="shared" si="1"/>
        <v>346422.9</v>
      </c>
      <c r="I16" s="696"/>
      <c r="M16" s="217"/>
    </row>
    <row r="17" spans="2:15" ht="15" customHeight="1">
      <c r="B17" s="72">
        <f>IF(Datos!$C$20&gt;B16,B16+1,"")</f>
        <v>8</v>
      </c>
      <c r="C17" s="1213">
        <v>44348</v>
      </c>
      <c r="D17" s="68" t="s">
        <v>597</v>
      </c>
      <c r="E17" s="69" t="s">
        <v>597</v>
      </c>
      <c r="F17" s="49">
        <f t="shared" si="0"/>
        <v>346422.9</v>
      </c>
      <c r="G17" s="50">
        <f>IF(B17="","",VLOOKUP($E$4,'Cant. Ejec,'!$E$5:$BB$101,17+B17*2+(B17-2),0))</f>
        <v>0</v>
      </c>
      <c r="H17" s="51">
        <f t="shared" si="1"/>
        <v>346422.9</v>
      </c>
      <c r="I17" s="696"/>
      <c r="M17" s="217"/>
      <c r="N17" s="217"/>
      <c r="O17" s="217"/>
    </row>
    <row r="18" spans="2:15" ht="15" customHeight="1">
      <c r="B18" s="72">
        <f>IF(Datos!$C$20&gt;B17,B17+1,"")</f>
        <v>9</v>
      </c>
      <c r="C18" s="1213">
        <v>44378</v>
      </c>
      <c r="D18" s="68">
        <v>28300</v>
      </c>
      <c r="E18" s="69">
        <v>29200</v>
      </c>
      <c r="F18" s="49">
        <f t="shared" si="0"/>
        <v>346422.9</v>
      </c>
      <c r="G18" s="50">
        <f>IF(B18="","",VLOOKUP($E$4,'Cant. Ejec,'!$E$5:$BB$101,17+B18*2+(B18-2),0))</f>
        <v>0</v>
      </c>
      <c r="H18" s="51">
        <f t="shared" si="1"/>
        <v>346422.9</v>
      </c>
      <c r="I18" s="696" t="s">
        <v>596</v>
      </c>
    </row>
    <row r="19" spans="2:15" ht="15" customHeight="1">
      <c r="B19" s="72">
        <f>IF(Datos!$C$20&gt;B18,B18+1,"")</f>
        <v>10</v>
      </c>
      <c r="C19" s="1213"/>
      <c r="D19" s="68"/>
      <c r="E19" s="69"/>
      <c r="F19" s="49"/>
      <c r="G19" s="50">
        <f>IF(B19="","",VLOOKUP($E$4,'Cant. Ejec,'!$E$5:$BB$101,17+B19*2+(B19-2),0))</f>
        <v>0</v>
      </c>
      <c r="H19" s="51"/>
      <c r="I19" s="696"/>
    </row>
    <row r="20" spans="2:15" ht="15" customHeight="1">
      <c r="B20" s="72">
        <f>IF(Datos!$C$20&gt;B19,B19+1,"")</f>
        <v>11</v>
      </c>
      <c r="C20" s="72"/>
      <c r="D20" s="68"/>
      <c r="E20" s="69"/>
      <c r="F20" s="49"/>
      <c r="G20" s="50">
        <f>IF(B20="","",VLOOKUP($E$4,'Cant. Ejec,'!$E$5:$BB$101,17+B20*2+(B20-2),0))</f>
        <v>0</v>
      </c>
      <c r="H20" s="51"/>
      <c r="I20" s="41"/>
    </row>
    <row r="21" spans="2:15" ht="15" customHeight="1">
      <c r="B21" s="72" t="str">
        <f>IF(Datos!$C$20&gt;B20,B20+1,"")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IF(Datos!$C$20&gt;B21,B21+1,"")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IF(Datos!$C$20&gt;B22,B22+1,"")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IF(Datos!$C$20&gt;B23,B23+1,"")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IF(Datos!$C$20&gt;B24,B24+1,"")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IF(Datos!$C$20&gt;B25,B25+1,"")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IF(Datos!$C$20&gt;B26,B26+1,"")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IF(Datos!$C$20&gt;B27,B27+1,"")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IF(Datos!$C$20&gt;B28,B28+1,"")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IF(Datos!$C$20&gt;B29,B29+1,"")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IF(Datos!$C$20&gt;B30,B30+1,"")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IF(Datos!$C$20&gt;B31,B31+1,"")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IF(Datos!$C$20&gt;B32,B32+1,"")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IF(Datos!$C$20&gt;B33,B33+1,"")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IF(Datos!$C$20&gt;B34,B34+1,"")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IF(Datos!$C$20&gt;B35,B35+1,"")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IF(Datos!$C$20&gt;B36,B36+1,"")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IF(Datos!$C$20&gt;B37,B37+1,"")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IF(Datos!$C$20&gt;B38,B38+1,"")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IF(Datos!$C$20&gt;B39,B39+1,"")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IF(Datos!$C$20&gt;B40,B40+1,"")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IF(Datos!$C$20&gt;B41,B41+1,"")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IF(Datos!$C$20&gt;B42,B42+1,"")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IF(Datos!$C$20&gt;B43,B43+1,"")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IF(Datos!$C$20&gt;B44,B44+1,"")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IF(Datos!$C$20&gt;B45,B45+1,"")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IF(Datos!$C$20&gt;B46,B46+1,"")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IF(Datos!$C$20&gt;B47,B47+1,"")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IF(Datos!$C$20&gt;B48,B48+1,"")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IF(Datos!$C$20&gt;B49,B49+1,"")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IF(Datos!$C$20&gt;B50,B50+1,"")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IF(Datos!$C$20&gt;B51,B51+1,"")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937" t="s">
        <v>92</v>
      </c>
      <c r="C53" s="1938"/>
      <c r="D53" s="1938"/>
      <c r="E53" s="1939"/>
      <c r="F53" s="55">
        <f>+MAX(F10:F52)</f>
        <v>346422.9</v>
      </c>
      <c r="G53" s="56">
        <f>+H53-F53</f>
        <v>0</v>
      </c>
      <c r="H53" s="57">
        <f>+H18</f>
        <v>346422.9</v>
      </c>
      <c r="I53" s="44"/>
    </row>
    <row r="54" spans="2:9" ht="15" customHeight="1">
      <c r="B54" s="1940" t="s">
        <v>34</v>
      </c>
      <c r="C54" s="1941"/>
      <c r="D54" s="1941"/>
      <c r="E54" s="1942"/>
      <c r="F54" s="712">
        <f>ROUND((F53/I6),4)</f>
        <v>0.78879999999999995</v>
      </c>
      <c r="G54" s="713">
        <f>ROUND((G53/I6),4)</f>
        <v>0</v>
      </c>
      <c r="H54" s="714">
        <f>ROUND((H53/I6),4)</f>
        <v>0.78879999999999995</v>
      </c>
      <c r="I54" s="45"/>
    </row>
    <row r="55" spans="2:9" ht="15" customHeight="1">
      <c r="B55" s="61" t="s">
        <v>12</v>
      </c>
      <c r="C55" s="1211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934" t="str">
        <f>+Datos!B15</f>
        <v>Ing. Ernesto Vargas Amezaga</v>
      </c>
      <c r="C59" s="1935"/>
      <c r="D59" s="1935"/>
      <c r="E59" s="1935"/>
      <c r="F59" s="1936"/>
      <c r="G59" s="1934" t="str">
        <f>+Datos!B7</f>
        <v>Ing. Pedro Alberto Barreto Gutierrez</v>
      </c>
      <c r="H59" s="1935"/>
      <c r="I59" s="1936"/>
    </row>
    <row r="60" spans="2:9">
      <c r="B60" s="1931" t="str">
        <f>+Datos!B16</f>
        <v>SUPERINTENDENTE DE OBRA a.i.</v>
      </c>
      <c r="C60" s="1932"/>
      <c r="D60" s="1932"/>
      <c r="E60" s="1932"/>
      <c r="F60" s="1933"/>
      <c r="G60" s="1931" t="str">
        <f>+Datos!B8</f>
        <v xml:space="preserve">GERENTE SUPERVISION TECNICA </v>
      </c>
      <c r="H60" s="1932"/>
      <c r="I60" s="1933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0" orientation="portrait" horizontalDpi="4294967295" verticalDpi="4294967295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>
    <tabColor rgb="FFFF0000"/>
    <pageSetUpPr fitToPage="1"/>
  </sheetPr>
  <dimension ref="B1:P61"/>
  <sheetViews>
    <sheetView showGridLines="0" view="pageBreakPreview" zoomScaleNormal="100" zoomScaleSheetLayoutView="100" workbookViewId="0">
      <selection activeCell="I35" sqref="I35"/>
    </sheetView>
  </sheetViews>
  <sheetFormatPr baseColWidth="10" defaultColWidth="11.42578125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50" t="s">
        <v>77</v>
      </c>
      <c r="C1" s="1951"/>
      <c r="D1" s="1920" t="s">
        <v>477</v>
      </c>
      <c r="E1" s="1921"/>
      <c r="F1" s="1921"/>
      <c r="G1" s="1921"/>
      <c r="H1" s="1921"/>
      <c r="I1" s="1922"/>
    </row>
    <row r="2" spans="2:16" ht="13.5" customHeight="1">
      <c r="B2" s="879"/>
      <c r="C2" s="1208"/>
      <c r="D2" s="1923"/>
      <c r="E2" s="1924"/>
      <c r="F2" s="1924"/>
      <c r="G2" s="1924"/>
      <c r="H2" s="1924"/>
      <c r="I2" s="1925"/>
    </row>
    <row r="3" spans="2:16">
      <c r="B3" s="39"/>
      <c r="C3" s="1214"/>
      <c r="D3" s="1926" t="s">
        <v>31</v>
      </c>
      <c r="E3" s="1927"/>
      <c r="F3" s="1927"/>
      <c r="G3" s="1927"/>
      <c r="H3" s="1927"/>
      <c r="I3" s="1928"/>
    </row>
    <row r="4" spans="2:16">
      <c r="B4" s="36"/>
      <c r="C4" s="60"/>
      <c r="D4" s="39" t="s">
        <v>35</v>
      </c>
      <c r="E4" s="62" t="s">
        <v>445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REMOCIÓN DE MATERIAL DE CAPA BASE (e.= 20 cm)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M3</v>
      </c>
      <c r="F6" s="1209"/>
      <c r="G6" s="65"/>
      <c r="H6" s="279" t="s">
        <v>180</v>
      </c>
      <c r="I6" s="596">
        <f>+VLOOKUP(E4,'Planilla de Avance'!E10:K112,7,)</f>
        <v>50718</v>
      </c>
    </row>
    <row r="8" spans="2:16" ht="15" customHeight="1">
      <c r="B8" s="1929" t="s">
        <v>30</v>
      </c>
      <c r="C8" s="1929" t="s">
        <v>38</v>
      </c>
      <c r="D8" s="1948" t="s">
        <v>27</v>
      </c>
      <c r="E8" s="1949"/>
      <c r="F8" s="1943" t="s">
        <v>10</v>
      </c>
      <c r="G8" s="1944"/>
      <c r="H8" s="1945"/>
      <c r="I8" s="1946" t="s">
        <v>11</v>
      </c>
    </row>
    <row r="9" spans="2:16" ht="15" customHeight="1">
      <c r="B9" s="1930"/>
      <c r="C9" s="1930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947"/>
    </row>
    <row r="10" spans="2:16" ht="15" customHeight="1">
      <c r="B10" s="43">
        <v>1</v>
      </c>
      <c r="C10" s="1213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13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13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13" t="s">
        <v>431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13">
        <v>44256</v>
      </c>
      <c r="D14" s="68"/>
      <c r="E14" s="69"/>
      <c r="F14" s="49">
        <f t="shared" ref="F14:F20" si="0">+H13</f>
        <v>0</v>
      </c>
      <c r="G14" s="50">
        <f>IF(B14="","",VLOOKUP($E$4,'Cant. Ejec,'!$E$5:$BB$101,17+B14*2+(B14-2),0))</f>
        <v>0</v>
      </c>
      <c r="H14" s="51">
        <f t="shared" ref="H14:H20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13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13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7"/>
    </row>
    <row r="17" spans="2:15" ht="15" customHeight="1">
      <c r="B17" s="72">
        <f>IF(Datos!$C$20&gt;'5'!B16,'5'!B16+1,"")</f>
        <v>8</v>
      </c>
      <c r="C17" s="1213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696"/>
      <c r="J17" s="827" t="s">
        <v>590</v>
      </c>
      <c r="K17" s="827"/>
      <c r="L17" s="827" t="s">
        <v>590</v>
      </c>
      <c r="M17" s="827" t="s">
        <v>589</v>
      </c>
      <c r="N17" s="1206" t="s">
        <v>591</v>
      </c>
      <c r="O17" s="1206" t="s">
        <v>588</v>
      </c>
    </row>
    <row r="18" spans="2:15" ht="15" customHeight="1">
      <c r="B18" s="72">
        <f>IF(Datos!$C$20&gt;'5'!B17,'5'!B17+1,"")</f>
        <v>9</v>
      </c>
      <c r="C18" s="1213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696"/>
      <c r="J18" s="1205">
        <f>+E18-D18</f>
        <v>0</v>
      </c>
      <c r="K18" s="35" t="s">
        <v>587</v>
      </c>
      <c r="L18" s="35">
        <v>900</v>
      </c>
      <c r="M18" s="35">
        <v>0.1</v>
      </c>
      <c r="N18" s="35">
        <v>11.3</v>
      </c>
      <c r="O18" s="1205">
        <f>+L18*M18*N18</f>
        <v>1017.0000000000001</v>
      </c>
    </row>
    <row r="19" spans="2:15" ht="15" customHeight="1">
      <c r="B19" s="72">
        <f>IF(Datos!$C$20&gt;'5'!B18,'5'!B18+1,"")</f>
        <v>10</v>
      </c>
      <c r="C19" s="1213">
        <v>44409</v>
      </c>
      <c r="D19" s="68">
        <v>23600</v>
      </c>
      <c r="E19" s="69">
        <v>35000</v>
      </c>
      <c r="F19" s="49">
        <f t="shared" si="0"/>
        <v>0</v>
      </c>
      <c r="G19" s="50">
        <f>IF(B19="","",VLOOKUP($E$4,'Cant. Ejec,'!$E$5:$BB$101,17+B19*2+(B19-2),0))</f>
        <v>16677.5</v>
      </c>
      <c r="H19" s="51">
        <f t="shared" si="1"/>
        <v>16677.5</v>
      </c>
      <c r="I19" s="696" t="s">
        <v>586</v>
      </c>
    </row>
    <row r="20" spans="2:15" ht="15" customHeight="1">
      <c r="B20" s="72">
        <f>IF(Datos!$C$20&gt;'5'!B19,'5'!B19+1,"")</f>
        <v>11</v>
      </c>
      <c r="C20" s="1213">
        <v>44440</v>
      </c>
      <c r="D20" s="68">
        <v>35000</v>
      </c>
      <c r="E20" s="69">
        <v>41500</v>
      </c>
      <c r="F20" s="49">
        <f t="shared" si="0"/>
        <v>16677.5</v>
      </c>
      <c r="G20" s="50">
        <f>IF(B20="","",VLOOKUP($E$4,'Cant. Ejec,'!$E$5:$BB$101,17+B20*2+(B20-2),0))</f>
        <v>13098</v>
      </c>
      <c r="H20" s="51">
        <f t="shared" si="1"/>
        <v>29775.5</v>
      </c>
      <c r="I20" s="696" t="s">
        <v>586</v>
      </c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/>
      <c r="C23" s="72"/>
      <c r="D23" s="68"/>
      <c r="E23" s="69"/>
      <c r="F23" s="49"/>
      <c r="G23" s="50"/>
      <c r="H23" s="51"/>
      <c r="I23" s="41"/>
    </row>
    <row r="24" spans="2:15" ht="15" customHeight="1">
      <c r="B24" s="72" t="str">
        <f>IF(Datos!$C$20&gt;'5'!B22,'5'!B22+1,"")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IF(Datos!$C$20&gt;'5'!B23,'5'!B23+1,"")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IF(Datos!$C$20&gt;'5'!B24,'5'!B24+1,"")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IF(Datos!$C$20&gt;'5'!B25,'5'!B25+1,"")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IF(Datos!$C$20&gt;'5'!B26,'5'!B26+1,"")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IF(Datos!$C$20&gt;'5'!B27,'5'!B27+1,"")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IF(Datos!$C$20&gt;'5'!B28,'5'!B28+1,"")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IF(Datos!$C$20&gt;'5'!B29,'5'!B29+1,"")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IF(Datos!$C$20&gt;'5'!B30,'5'!B30+1,"")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IF(Datos!$C$20&gt;'5'!B31,'5'!B31+1,"")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IF(Datos!$C$20&gt;'5'!B32,'5'!B32+1,"")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IF(Datos!$C$20&gt;'5'!B33,'5'!B33+1,"")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IF(Datos!$C$20&gt;'5'!B34,'5'!B34+1,"")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IF(Datos!$C$20&gt;'5'!B35,'5'!B35+1,"")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IF(Datos!$C$20&gt;'5'!B36,'5'!B36+1,"")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IF(Datos!$C$20&gt;'5'!B37,'5'!B37+1,"")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IF(Datos!$C$20&gt;'5'!B38,'5'!B38+1,"")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IF(Datos!$C$20&gt;'5'!B39,'5'!B39+1,"")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IF(Datos!$C$20&gt;'5'!B40,'5'!B40+1,"")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IF(Datos!$C$20&gt;'5'!B41,'5'!B41+1,"")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IF(Datos!$C$20&gt;'5'!B42,'5'!B42+1,"")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IF(Datos!$C$20&gt;'5'!B43,'5'!B43+1,"")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IF(Datos!$C$20&gt;'5'!B44,'5'!B44+1,"")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IF(Datos!$C$20&gt;'5'!B45,'5'!B45+1,"")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IF(Datos!$C$20&gt;'5'!B46,'5'!B46+1,"")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IF(Datos!$C$20&gt;'5'!B47,'5'!B47+1,"")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IF(Datos!$C$20&gt;'5'!B48,'5'!B48+1,"")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IF(Datos!$C$20&gt;'5'!B49,'5'!B49+1,"")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2" t="str">
        <f>IF(Datos!$C$20&gt;'5'!B50,'5'!B50+1,"")</f>
        <v/>
      </c>
      <c r="C52" s="72"/>
      <c r="D52" s="68"/>
      <c r="E52" s="69"/>
      <c r="F52" s="49"/>
      <c r="G52" s="50" t="str">
        <f>IF(B52="","",VLOOKUP($E$4,'Cant. Ejec,'!$E$5:$BB$101,17+B52*2+(B52-2),0))</f>
        <v/>
      </c>
      <c r="H52" s="51"/>
      <c r="I52" s="41"/>
    </row>
    <row r="53" spans="2:9" ht="15" customHeight="1">
      <c r="B53" s="73" t="str">
        <f>IF(Datos!$C$20&gt;'5'!B51,'5'!B51+1,"")</f>
        <v/>
      </c>
      <c r="C53" s="73"/>
      <c r="D53" s="70"/>
      <c r="E53" s="71"/>
      <c r="F53" s="52"/>
      <c r="G53" s="53" t="str">
        <f>IF(B53="","",VLOOKUP($E$4,'Cant. Ejec,'!$E$5:$BB$101,17+B53*2+(B53-2),0))</f>
        <v/>
      </c>
      <c r="H53" s="54"/>
      <c r="I53" s="42"/>
    </row>
    <row r="54" spans="2:9" ht="15" customHeight="1">
      <c r="B54" s="1937" t="s">
        <v>92</v>
      </c>
      <c r="C54" s="1938"/>
      <c r="D54" s="1938"/>
      <c r="E54" s="1939"/>
      <c r="F54" s="55">
        <f>+MAX(F10:F53)</f>
        <v>16677.5</v>
      </c>
      <c r="G54" s="56">
        <f>+H54-F54</f>
        <v>13098</v>
      </c>
      <c r="H54" s="57">
        <f>+MAX(H10:H53)</f>
        <v>29775.5</v>
      </c>
      <c r="I54" s="44"/>
    </row>
    <row r="55" spans="2:9" ht="15" customHeight="1">
      <c r="B55" s="1940" t="s">
        <v>34</v>
      </c>
      <c r="C55" s="1941"/>
      <c r="D55" s="1941"/>
      <c r="E55" s="1942"/>
      <c r="F55" s="712">
        <f>ROUND((F54/I6),4)</f>
        <v>0.32879999999999998</v>
      </c>
      <c r="G55" s="713">
        <f>ROUND((G54/I6),4)</f>
        <v>0.25829999999999997</v>
      </c>
      <c r="H55" s="714">
        <f>ROUND((H54/I6),4)</f>
        <v>0.58709999999999996</v>
      </c>
      <c r="I55" s="45"/>
    </row>
    <row r="56" spans="2:9" ht="15" customHeight="1">
      <c r="B56" s="61" t="s">
        <v>12</v>
      </c>
      <c r="C56" s="1211"/>
      <c r="D56" s="58"/>
      <c r="E56" s="58"/>
      <c r="F56" s="59"/>
      <c r="G56" s="61" t="s">
        <v>8</v>
      </c>
      <c r="H56" s="58"/>
      <c r="I56" s="59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36"/>
      <c r="C59" s="60"/>
      <c r="D59" s="60"/>
      <c r="E59" s="60"/>
      <c r="F59" s="37"/>
      <c r="G59" s="36"/>
      <c r="H59" s="60"/>
      <c r="I59" s="37"/>
    </row>
    <row r="60" spans="2:9">
      <c r="B60" s="1934" t="str">
        <f>+Datos!B15</f>
        <v>Ing. Ernesto Vargas Amezaga</v>
      </c>
      <c r="C60" s="1935"/>
      <c r="D60" s="1935"/>
      <c r="E60" s="1935"/>
      <c r="F60" s="1936"/>
      <c r="G60" s="1934" t="str">
        <f>+Datos!B7</f>
        <v>Ing. Pedro Alberto Barreto Gutierrez</v>
      </c>
      <c r="H60" s="1935"/>
      <c r="I60" s="1936"/>
    </row>
    <row r="61" spans="2:9">
      <c r="B61" s="1931" t="str">
        <f>+Datos!B16</f>
        <v>SUPERINTENDENTE DE OBRA a.i.</v>
      </c>
      <c r="C61" s="1932"/>
      <c r="D61" s="1932"/>
      <c r="E61" s="1932"/>
      <c r="F61" s="1933"/>
      <c r="G61" s="1931" t="str">
        <f>+Datos!B8</f>
        <v xml:space="preserve">GERENTE SUPERVISION TECNICA </v>
      </c>
      <c r="H61" s="1932"/>
      <c r="I61" s="1933"/>
    </row>
  </sheetData>
  <mergeCells count="14">
    <mergeCell ref="B54:E54"/>
    <mergeCell ref="B55:E55"/>
    <mergeCell ref="B60:F60"/>
    <mergeCell ref="G60:I60"/>
    <mergeCell ref="B61:F61"/>
    <mergeCell ref="G61:I61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1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T48"/>
  <sheetViews>
    <sheetView showGridLines="0" zoomScale="115" zoomScaleNormal="115" workbookViewId="0">
      <selection activeCell="E27" sqref="E27"/>
    </sheetView>
  </sheetViews>
  <sheetFormatPr baseColWidth="10" defaultRowHeight="12.75"/>
  <cols>
    <col min="1" max="1" width="19.5703125" customWidth="1"/>
    <col min="3" max="3" width="18.42578125" customWidth="1"/>
    <col min="5" max="5" width="17.28515625" customWidth="1"/>
    <col min="14" max="14" width="9.140625" bestFit="1" customWidth="1"/>
    <col min="15" max="15" width="44.85546875" bestFit="1" customWidth="1"/>
    <col min="18" max="18" width="11.42578125" customWidth="1"/>
    <col min="19" max="19" width="11.7109375" customWidth="1"/>
    <col min="20" max="20" width="12.28515625" customWidth="1"/>
    <col min="22" max="22" width="12.28515625" bestFit="1" customWidth="1"/>
  </cols>
  <sheetData>
    <row r="1" spans="1:20">
      <c r="A1" s="419" t="s">
        <v>234</v>
      </c>
      <c r="B1" s="419" t="s">
        <v>233</v>
      </c>
    </row>
    <row r="2" spans="1:20">
      <c r="B2" s="1023" t="s">
        <v>477</v>
      </c>
      <c r="C2" s="1023"/>
      <c r="D2" s="1023"/>
      <c r="E2" s="1023"/>
      <c r="F2" s="1023"/>
      <c r="G2" s="1023"/>
    </row>
    <row r="3" spans="1:20">
      <c r="B3" s="419" t="s">
        <v>293</v>
      </c>
    </row>
    <row r="4" spans="1:20">
      <c r="A4" s="525" t="s">
        <v>420</v>
      </c>
      <c r="B4" s="419" t="s">
        <v>294</v>
      </c>
    </row>
    <row r="5" spans="1:20">
      <c r="A5" s="525" t="s">
        <v>419</v>
      </c>
      <c r="B5" s="419" t="s">
        <v>418</v>
      </c>
      <c r="E5" s="525" t="s">
        <v>603</v>
      </c>
      <c r="F5" s="419" t="s">
        <v>604</v>
      </c>
    </row>
    <row r="6" spans="1:20">
      <c r="A6" s="525" t="s">
        <v>474</v>
      </c>
      <c r="B6" s="419" t="s">
        <v>475</v>
      </c>
    </row>
    <row r="7" spans="1:20">
      <c r="B7" s="1161" t="s">
        <v>566</v>
      </c>
      <c r="C7" s="218"/>
      <c r="D7" s="218" t="str">
        <f>+B7&amp;"      "&amp;B8</f>
        <v xml:space="preserve">Ing. Pedro Alberto Barreto Gutierrez      GERENTE SUPERVISION TECNICA </v>
      </c>
      <c r="E7" s="218"/>
      <c r="F7" s="218"/>
      <c r="G7" s="218"/>
      <c r="H7" s="219"/>
    </row>
    <row r="8" spans="1:20">
      <c r="B8" s="1162" t="s">
        <v>567</v>
      </c>
      <c r="C8" s="213"/>
      <c r="D8" s="213"/>
      <c r="E8" s="213"/>
      <c r="F8" s="213"/>
      <c r="G8" s="213"/>
      <c r="H8" s="214"/>
    </row>
    <row r="9" spans="1:20" ht="15.75">
      <c r="B9" s="1014" t="s">
        <v>291</v>
      </c>
      <c r="C9" s="215"/>
      <c r="D9" s="215"/>
      <c r="E9" s="215"/>
      <c r="F9" s="215"/>
      <c r="G9" s="215"/>
      <c r="H9" s="216"/>
      <c r="N9" s="869"/>
      <c r="O9" s="869"/>
    </row>
    <row r="10" spans="1:20">
      <c r="B10" s="1161" t="s">
        <v>577</v>
      </c>
      <c r="C10" s="218"/>
      <c r="D10" s="218" t="str">
        <f>+B10&amp;"                     "&amp;B11</f>
        <v>Ing. Eyber Lopez Lopez                     FISCAL DE OBRA</v>
      </c>
      <c r="E10" s="218"/>
      <c r="F10" s="218"/>
      <c r="G10" s="218"/>
      <c r="H10" s="219"/>
    </row>
    <row r="11" spans="1:20" ht="15.75">
      <c r="B11" s="1015" t="s">
        <v>292</v>
      </c>
      <c r="C11" s="213"/>
      <c r="D11" s="213"/>
      <c r="E11" s="213"/>
      <c r="F11" s="213"/>
      <c r="G11" s="213"/>
      <c r="H11" s="214"/>
      <c r="N11" s="640"/>
      <c r="O11" s="640" t="s">
        <v>38</v>
      </c>
      <c r="P11" s="640" t="s">
        <v>520</v>
      </c>
      <c r="Q11" s="640" t="s">
        <v>521</v>
      </c>
    </row>
    <row r="12" spans="1:20">
      <c r="B12" s="1014" t="s">
        <v>291</v>
      </c>
      <c r="C12" s="215"/>
      <c r="D12" s="215"/>
      <c r="E12" s="215"/>
      <c r="F12" s="215"/>
      <c r="G12" s="215"/>
      <c r="H12" s="216"/>
    </row>
    <row r="13" spans="1:20">
      <c r="B13" s="1161" t="s">
        <v>578</v>
      </c>
      <c r="C13" s="218"/>
      <c r="D13" s="218" t="str">
        <f>+B13&amp;"   "&amp;B14</f>
        <v>Ing. Herlan Ramos Estrada   INGENIERO RESPONSABLE DE TRAMO</v>
      </c>
      <c r="E13" s="218"/>
      <c r="F13" s="218"/>
      <c r="G13" s="218"/>
      <c r="H13" s="219"/>
      <c r="N13">
        <v>1</v>
      </c>
      <c r="O13" s="851" t="s">
        <v>461</v>
      </c>
      <c r="P13" s="868" t="s">
        <v>534</v>
      </c>
      <c r="Q13" s="868" t="s">
        <v>535</v>
      </c>
      <c r="S13" s="867">
        <v>44075</v>
      </c>
      <c r="T13" s="867">
        <f>EOMONTH(S13,0)</f>
        <v>44104</v>
      </c>
    </row>
    <row r="14" spans="1:20">
      <c r="B14" s="1163" t="s">
        <v>579</v>
      </c>
      <c r="C14" s="215"/>
      <c r="D14" s="215"/>
      <c r="E14" s="215"/>
      <c r="F14" s="215"/>
      <c r="G14" s="215"/>
      <c r="H14" s="216"/>
      <c r="N14">
        <v>2</v>
      </c>
      <c r="O14" s="851" t="s">
        <v>462</v>
      </c>
      <c r="P14" s="868" t="s">
        <v>536</v>
      </c>
      <c r="Q14" s="868" t="s">
        <v>537</v>
      </c>
      <c r="S14" s="867">
        <f>EOMONTH(S13,0)+1</f>
        <v>44105</v>
      </c>
      <c r="T14" s="867">
        <f t="shared" ref="T14:T38" si="0">EOMONTH(S14,0)</f>
        <v>44135</v>
      </c>
    </row>
    <row r="15" spans="1:20">
      <c r="B15" s="1013" t="s">
        <v>611</v>
      </c>
      <c r="C15" s="218"/>
      <c r="D15" s="218" t="str">
        <f>+B15&amp;"        "&amp;B16</f>
        <v>Ing. Ernesto Vargas Amezaga        SUPERINTENDENTE DE OBRA a.i.</v>
      </c>
      <c r="E15" s="218"/>
      <c r="F15" s="218"/>
      <c r="G15" s="218"/>
      <c r="H15" s="219"/>
      <c r="N15">
        <v>3</v>
      </c>
      <c r="O15" s="851" t="s">
        <v>463</v>
      </c>
      <c r="P15" s="868" t="s">
        <v>538</v>
      </c>
      <c r="Q15" s="868" t="s">
        <v>539</v>
      </c>
      <c r="S15" s="867">
        <f t="shared" ref="S15:S38" si="1">EOMONTH(S14,0)+1</f>
        <v>44136</v>
      </c>
      <c r="T15" s="867">
        <f t="shared" si="0"/>
        <v>44165</v>
      </c>
    </row>
    <row r="16" spans="1:20">
      <c r="B16" s="1016" t="s">
        <v>612</v>
      </c>
      <c r="C16" s="213"/>
      <c r="D16" s="213"/>
      <c r="E16" s="213"/>
      <c r="F16" s="213"/>
      <c r="G16" s="213"/>
      <c r="H16" s="214"/>
      <c r="N16">
        <v>4</v>
      </c>
      <c r="O16" s="851" t="s">
        <v>464</v>
      </c>
      <c r="P16" s="868" t="s">
        <v>540</v>
      </c>
      <c r="Q16" s="868" t="s">
        <v>541</v>
      </c>
      <c r="S16" s="867">
        <f t="shared" si="1"/>
        <v>44166</v>
      </c>
      <c r="T16" s="867">
        <f t="shared" si="0"/>
        <v>44196</v>
      </c>
    </row>
    <row r="17" spans="1:20" ht="14.25" customHeight="1">
      <c r="B17" s="1021" t="s">
        <v>565</v>
      </c>
      <c r="C17" s="215"/>
      <c r="D17" s="215"/>
      <c r="E17" s="215"/>
      <c r="F17" s="215"/>
      <c r="G17" s="215"/>
      <c r="H17" s="216"/>
      <c r="N17">
        <v>5</v>
      </c>
      <c r="O17" s="851" t="s">
        <v>465</v>
      </c>
      <c r="P17" s="868" t="s">
        <v>542</v>
      </c>
      <c r="Q17" s="868" t="s">
        <v>543</v>
      </c>
      <c r="S17" s="867">
        <f>EOMONTH(S16,2)+1</f>
        <v>44256</v>
      </c>
      <c r="T17" s="867">
        <f t="shared" si="0"/>
        <v>44286</v>
      </c>
    </row>
    <row r="18" spans="1:20">
      <c r="N18">
        <v>6</v>
      </c>
      <c r="O18" s="851" t="s">
        <v>460</v>
      </c>
      <c r="P18" s="868" t="s">
        <v>544</v>
      </c>
      <c r="Q18" s="868" t="s">
        <v>545</v>
      </c>
      <c r="S18" s="867">
        <f t="shared" si="1"/>
        <v>44287</v>
      </c>
      <c r="T18" s="867">
        <f t="shared" si="0"/>
        <v>44316</v>
      </c>
    </row>
    <row r="19" spans="1:20">
      <c r="N19">
        <v>7</v>
      </c>
      <c r="O19" s="851" t="s">
        <v>466</v>
      </c>
      <c r="P19" s="868" t="s">
        <v>546</v>
      </c>
      <c r="Q19" s="868" t="s">
        <v>547</v>
      </c>
      <c r="S19" s="867">
        <f t="shared" si="1"/>
        <v>44317</v>
      </c>
      <c r="T19" s="867">
        <f t="shared" si="0"/>
        <v>44347</v>
      </c>
    </row>
    <row r="20" spans="1:20" ht="15.75">
      <c r="A20" s="614"/>
      <c r="B20" s="615" t="s">
        <v>406</v>
      </c>
      <c r="C20" s="613">
        <v>11</v>
      </c>
      <c r="D20" s="614"/>
      <c r="E20" s="614"/>
      <c r="N20">
        <v>8</v>
      </c>
      <c r="O20" s="851" t="s">
        <v>467</v>
      </c>
      <c r="P20" s="868" t="s">
        <v>548</v>
      </c>
      <c r="Q20" s="868" t="s">
        <v>549</v>
      </c>
      <c r="S20" s="867">
        <f t="shared" si="1"/>
        <v>44348</v>
      </c>
      <c r="T20" s="867">
        <f t="shared" si="0"/>
        <v>44377</v>
      </c>
    </row>
    <row r="21" spans="1:20">
      <c r="A21" s="614"/>
      <c r="B21" s="614"/>
      <c r="C21" s="614"/>
      <c r="D21" s="614"/>
      <c r="E21" s="614"/>
      <c r="N21">
        <v>9</v>
      </c>
      <c r="O21" s="851" t="s">
        <v>468</v>
      </c>
      <c r="P21" s="868" t="s">
        <v>550</v>
      </c>
      <c r="Q21" s="868" t="s">
        <v>551</v>
      </c>
      <c r="S21" s="867">
        <f t="shared" si="1"/>
        <v>44378</v>
      </c>
      <c r="T21" s="867">
        <f t="shared" si="0"/>
        <v>44408</v>
      </c>
    </row>
    <row r="22" spans="1:20" ht="28.5" customHeight="1">
      <c r="A22" s="614"/>
      <c r="B22" s="614"/>
      <c r="C22" s="1164" t="str">
        <f>B20&amp;C20</f>
        <v>CERTIFICADO DE PAGO Nº 11</v>
      </c>
      <c r="D22" s="614"/>
      <c r="E22" s="614"/>
      <c r="N22">
        <v>10</v>
      </c>
      <c r="O22" s="851" t="s">
        <v>469</v>
      </c>
      <c r="P22" s="868" t="s">
        <v>552</v>
      </c>
      <c r="Q22" s="868" t="s">
        <v>553</v>
      </c>
      <c r="S22" s="867">
        <f t="shared" si="1"/>
        <v>44409</v>
      </c>
      <c r="T22" s="867">
        <f t="shared" si="0"/>
        <v>44439</v>
      </c>
    </row>
    <row r="23" spans="1:20">
      <c r="A23" s="614"/>
      <c r="B23" s="614"/>
      <c r="C23" s="614"/>
      <c r="D23" s="614"/>
      <c r="E23" s="614"/>
      <c r="N23">
        <v>11</v>
      </c>
      <c r="O23" s="851" t="s">
        <v>470</v>
      </c>
      <c r="P23" s="868" t="s">
        <v>492</v>
      </c>
      <c r="Q23" s="868" t="s">
        <v>493</v>
      </c>
      <c r="S23" s="867">
        <f t="shared" si="1"/>
        <v>44440</v>
      </c>
      <c r="T23" s="867">
        <f t="shared" si="0"/>
        <v>44469</v>
      </c>
    </row>
    <row r="24" spans="1:20" ht="15.75">
      <c r="A24" s="614"/>
      <c r="B24" s="615" t="s">
        <v>49</v>
      </c>
      <c r="C24" s="852" t="str">
        <f>VLOOKUP(C20,N13:Q38,2)</f>
        <v>SEPTIEMBRE 2021</v>
      </c>
      <c r="D24" s="614"/>
      <c r="E24" s="614"/>
      <c r="N24">
        <v>12</v>
      </c>
      <c r="O24" s="851" t="s">
        <v>471</v>
      </c>
      <c r="P24" s="868" t="s">
        <v>494</v>
      </c>
      <c r="Q24" s="868" t="s">
        <v>495</v>
      </c>
      <c r="S24" s="867">
        <f t="shared" si="1"/>
        <v>44470</v>
      </c>
      <c r="T24" s="867">
        <f t="shared" si="0"/>
        <v>44500</v>
      </c>
    </row>
    <row r="25" spans="1:20">
      <c r="N25">
        <v>13</v>
      </c>
      <c r="O25" s="851" t="s">
        <v>472</v>
      </c>
      <c r="P25" s="868" t="s">
        <v>496</v>
      </c>
      <c r="Q25" s="868" t="s">
        <v>497</v>
      </c>
      <c r="S25" s="867">
        <f t="shared" si="1"/>
        <v>44501</v>
      </c>
      <c r="T25" s="867">
        <f t="shared" si="0"/>
        <v>44530</v>
      </c>
    </row>
    <row r="26" spans="1:20" ht="15.75">
      <c r="B26" s="615" t="s">
        <v>410</v>
      </c>
      <c r="C26" s="870" t="str">
        <f>VLOOKUP(C20,N13:Q38,3)</f>
        <v>1-sep.-2021</v>
      </c>
      <c r="D26" s="638" t="s">
        <v>24</v>
      </c>
      <c r="E26" s="870" t="str">
        <f>VLOOKUP(C20,N13:Q38,4)</f>
        <v>30-sep.-2021</v>
      </c>
      <c r="N26">
        <v>14</v>
      </c>
      <c r="O26" s="851" t="s">
        <v>473</v>
      </c>
      <c r="P26" s="868" t="s">
        <v>498</v>
      </c>
      <c r="Q26" s="868" t="s">
        <v>499</v>
      </c>
      <c r="S26" s="867">
        <f t="shared" si="1"/>
        <v>44531</v>
      </c>
      <c r="T26" s="867">
        <f t="shared" si="0"/>
        <v>44561</v>
      </c>
    </row>
    <row r="27" spans="1:20" ht="24" customHeight="1">
      <c r="C27" s="871">
        <v>44440</v>
      </c>
      <c r="D27" s="872"/>
      <c r="E27" s="871">
        <f>EOMONTH(C27,0)</f>
        <v>44469</v>
      </c>
      <c r="G27" s="639"/>
      <c r="N27" s="877">
        <v>15</v>
      </c>
      <c r="O27" s="878" t="s">
        <v>522</v>
      </c>
      <c r="P27" s="868" t="s">
        <v>554</v>
      </c>
      <c r="Q27" s="868" t="s">
        <v>555</v>
      </c>
      <c r="S27" s="867">
        <f t="shared" si="1"/>
        <v>44562</v>
      </c>
      <c r="T27" s="867">
        <f t="shared" si="0"/>
        <v>44592</v>
      </c>
    </row>
    <row r="28" spans="1:20">
      <c r="N28">
        <v>16</v>
      </c>
      <c r="O28" s="851" t="s">
        <v>523</v>
      </c>
      <c r="P28" s="868" t="s">
        <v>556</v>
      </c>
      <c r="Q28" s="868" t="s">
        <v>557</v>
      </c>
      <c r="S28" s="867">
        <f t="shared" si="1"/>
        <v>44593</v>
      </c>
      <c r="T28" s="867">
        <f t="shared" si="0"/>
        <v>44620</v>
      </c>
    </row>
    <row r="29" spans="1:20">
      <c r="N29">
        <v>17</v>
      </c>
      <c r="O29" s="851" t="s">
        <v>524</v>
      </c>
      <c r="P29" s="868" t="s">
        <v>500</v>
      </c>
      <c r="Q29" s="868" t="s">
        <v>501</v>
      </c>
      <c r="S29" s="867">
        <f t="shared" si="1"/>
        <v>44621</v>
      </c>
      <c r="T29" s="867">
        <f t="shared" si="0"/>
        <v>44651</v>
      </c>
    </row>
    <row r="30" spans="1:20">
      <c r="N30">
        <v>18</v>
      </c>
      <c r="O30" s="851" t="s">
        <v>525</v>
      </c>
      <c r="P30" s="868" t="s">
        <v>502</v>
      </c>
      <c r="Q30" s="868" t="s">
        <v>503</v>
      </c>
      <c r="S30" s="867">
        <f t="shared" si="1"/>
        <v>44652</v>
      </c>
      <c r="T30" s="867">
        <f t="shared" si="0"/>
        <v>44681</v>
      </c>
    </row>
    <row r="31" spans="1:20">
      <c r="N31">
        <v>19</v>
      </c>
      <c r="O31" s="851" t="s">
        <v>526</v>
      </c>
      <c r="P31" s="868" t="s">
        <v>504</v>
      </c>
      <c r="Q31" s="868" t="s">
        <v>505</v>
      </c>
      <c r="S31" s="867">
        <f t="shared" si="1"/>
        <v>44682</v>
      </c>
      <c r="T31" s="867">
        <f t="shared" si="0"/>
        <v>44712</v>
      </c>
    </row>
    <row r="32" spans="1:20">
      <c r="N32">
        <v>20</v>
      </c>
      <c r="O32" s="851" t="s">
        <v>527</v>
      </c>
      <c r="P32" s="868" t="s">
        <v>506</v>
      </c>
      <c r="Q32" s="868" t="s">
        <v>507</v>
      </c>
      <c r="S32" s="867">
        <f t="shared" si="1"/>
        <v>44713</v>
      </c>
      <c r="T32" s="867">
        <f t="shared" si="0"/>
        <v>44742</v>
      </c>
    </row>
    <row r="33" spans="14:20">
      <c r="N33">
        <v>21</v>
      </c>
      <c r="O33" s="851" t="s">
        <v>528</v>
      </c>
      <c r="P33" s="868" t="s">
        <v>508</v>
      </c>
      <c r="Q33" s="868" t="s">
        <v>509</v>
      </c>
      <c r="S33" s="867">
        <f t="shared" si="1"/>
        <v>44743</v>
      </c>
      <c r="T33" s="867">
        <f t="shared" si="0"/>
        <v>44773</v>
      </c>
    </row>
    <row r="34" spans="14:20">
      <c r="N34">
        <v>22</v>
      </c>
      <c r="O34" s="851" t="s">
        <v>529</v>
      </c>
      <c r="P34" s="868" t="s">
        <v>510</v>
      </c>
      <c r="Q34" s="868" t="s">
        <v>511</v>
      </c>
      <c r="S34" s="867">
        <f t="shared" si="1"/>
        <v>44774</v>
      </c>
      <c r="T34" s="867">
        <f t="shared" si="0"/>
        <v>44804</v>
      </c>
    </row>
    <row r="35" spans="14:20">
      <c r="N35">
        <v>23</v>
      </c>
      <c r="O35" s="851" t="s">
        <v>530</v>
      </c>
      <c r="P35" s="868" t="s">
        <v>512</v>
      </c>
      <c r="Q35" s="868" t="s">
        <v>513</v>
      </c>
      <c r="S35" s="867">
        <f t="shared" si="1"/>
        <v>44805</v>
      </c>
      <c r="T35" s="867">
        <f t="shared" si="0"/>
        <v>44834</v>
      </c>
    </row>
    <row r="36" spans="14:20">
      <c r="N36">
        <v>24</v>
      </c>
      <c r="O36" s="851" t="s">
        <v>531</v>
      </c>
      <c r="P36" s="868" t="s">
        <v>514</v>
      </c>
      <c r="Q36" s="868" t="s">
        <v>515</v>
      </c>
      <c r="S36" s="867">
        <f t="shared" si="1"/>
        <v>44835</v>
      </c>
      <c r="T36" s="867">
        <f t="shared" si="0"/>
        <v>44865</v>
      </c>
    </row>
    <row r="37" spans="14:20">
      <c r="N37">
        <v>25</v>
      </c>
      <c r="O37" s="851" t="s">
        <v>532</v>
      </c>
      <c r="P37" s="868" t="s">
        <v>516</v>
      </c>
      <c r="Q37" s="868" t="s">
        <v>517</v>
      </c>
      <c r="S37" s="867">
        <f t="shared" si="1"/>
        <v>44866</v>
      </c>
      <c r="T37" s="867">
        <f t="shared" si="0"/>
        <v>44895</v>
      </c>
    </row>
    <row r="38" spans="14:20">
      <c r="N38">
        <v>26</v>
      </c>
      <c r="O38" s="851" t="s">
        <v>533</v>
      </c>
      <c r="P38" s="868" t="s">
        <v>518</v>
      </c>
      <c r="Q38" s="868" t="s">
        <v>519</v>
      </c>
      <c r="S38" s="867">
        <f t="shared" si="1"/>
        <v>44896</v>
      </c>
      <c r="T38" s="867">
        <f t="shared" si="0"/>
        <v>44926</v>
      </c>
    </row>
    <row r="39" spans="14:20">
      <c r="O39" s="851"/>
    </row>
    <row r="40" spans="14:20">
      <c r="O40" s="851"/>
    </row>
    <row r="41" spans="14:20">
      <c r="O41" s="851"/>
    </row>
    <row r="42" spans="14:20">
      <c r="O42" s="851"/>
    </row>
    <row r="43" spans="14:20">
      <c r="O43" s="851"/>
    </row>
    <row r="44" spans="14:20">
      <c r="O44" s="851"/>
    </row>
    <row r="45" spans="14:20">
      <c r="O45" s="851"/>
    </row>
    <row r="46" spans="14:20">
      <c r="O46" s="851"/>
    </row>
    <row r="47" spans="14:20">
      <c r="O47" s="851"/>
    </row>
    <row r="48" spans="14:20">
      <c r="O48" s="85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>
    <tabColor rgb="FFFF0000"/>
    <pageSetUpPr fitToPage="1"/>
  </sheetPr>
  <dimension ref="B1:P59"/>
  <sheetViews>
    <sheetView showGridLines="0" view="pageBreakPreview" topLeftCell="A4" zoomScaleNormal="100" zoomScaleSheetLayoutView="100" workbookViewId="0">
      <selection activeCell="D24" sqref="D24"/>
    </sheetView>
  </sheetViews>
  <sheetFormatPr baseColWidth="10" defaultColWidth="11.42578125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50" t="s">
        <v>77</v>
      </c>
      <c r="C1" s="1951"/>
      <c r="D1" s="1920" t="s">
        <v>477</v>
      </c>
      <c r="E1" s="1921"/>
      <c r="F1" s="1921"/>
      <c r="G1" s="1921"/>
      <c r="H1" s="1921"/>
      <c r="I1" s="1922"/>
    </row>
    <row r="2" spans="2:16" ht="13.5" customHeight="1">
      <c r="B2" s="879"/>
      <c r="C2" s="1208"/>
      <c r="D2" s="1923"/>
      <c r="E2" s="1924"/>
      <c r="F2" s="1924"/>
      <c r="G2" s="1924"/>
      <c r="H2" s="1924"/>
      <c r="I2" s="1925"/>
    </row>
    <row r="3" spans="2:16">
      <c r="B3" s="39"/>
      <c r="C3" s="1214"/>
      <c r="D3" s="1926" t="s">
        <v>31</v>
      </c>
      <c r="E3" s="1927"/>
      <c r="F3" s="1927"/>
      <c r="G3" s="1927"/>
      <c r="H3" s="1927"/>
      <c r="I3" s="1928"/>
    </row>
    <row r="4" spans="2:16">
      <c r="B4" s="36"/>
      <c r="C4" s="60"/>
      <c r="D4" s="39" t="s">
        <v>35</v>
      </c>
      <c r="E4" s="62" t="s">
        <v>447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REMOCIÓN DE MATERIAL DE CAPA SUBBASE (e.= 25 cm)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M3</v>
      </c>
      <c r="F6" s="1209"/>
      <c r="G6" s="65"/>
      <c r="H6" s="279" t="s">
        <v>180</v>
      </c>
      <c r="I6" s="596">
        <f>+VLOOKUP(E4,'Planilla de Avance'!E10:K112,7,)</f>
        <v>5984</v>
      </c>
    </row>
    <row r="8" spans="2:16" ht="15" customHeight="1">
      <c r="B8" s="1929" t="s">
        <v>30</v>
      </c>
      <c r="C8" s="1929" t="s">
        <v>38</v>
      </c>
      <c r="D8" s="1948" t="s">
        <v>27</v>
      </c>
      <c r="E8" s="1949"/>
      <c r="F8" s="1943" t="s">
        <v>10</v>
      </c>
      <c r="G8" s="1944"/>
      <c r="H8" s="1945"/>
      <c r="I8" s="1946" t="s">
        <v>11</v>
      </c>
    </row>
    <row r="9" spans="2:16" ht="15" customHeight="1">
      <c r="B9" s="1930"/>
      <c r="C9" s="1930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947"/>
    </row>
    <row r="10" spans="2:16" ht="15" customHeight="1">
      <c r="B10" s="43">
        <v>1</v>
      </c>
      <c r="C10" s="1213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13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13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13" t="s">
        <v>431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13">
        <v>44256</v>
      </c>
      <c r="D14" s="68"/>
      <c r="E14" s="69"/>
      <c r="F14" s="49">
        <f t="shared" ref="F14:F20" si="0">+H13</f>
        <v>0</v>
      </c>
      <c r="G14" s="50">
        <f>IF(B14="","",VLOOKUP($E$4,'Cant. Ejec,'!$E$5:$BB$101,17+B14*2+(B14-2),0))</f>
        <v>0</v>
      </c>
      <c r="H14" s="51">
        <f t="shared" ref="H14:H20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13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13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7"/>
    </row>
    <row r="17" spans="2:15" ht="15" customHeight="1">
      <c r="B17" s="72">
        <f>IF(Datos!$C$20&gt;'5'!B16,'5'!B16+1,"")</f>
        <v>8</v>
      </c>
      <c r="C17" s="1213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696"/>
      <c r="J17" s="827" t="s">
        <v>590</v>
      </c>
      <c r="K17" s="827"/>
      <c r="L17" s="827" t="s">
        <v>590</v>
      </c>
      <c r="M17" s="827" t="s">
        <v>589</v>
      </c>
      <c r="N17" s="1206" t="s">
        <v>591</v>
      </c>
      <c r="O17" s="1206" t="s">
        <v>588</v>
      </c>
    </row>
    <row r="18" spans="2:15" ht="15" customHeight="1">
      <c r="B18" s="72">
        <f>IF(Datos!$C$20&gt;'5'!B17,'5'!B17+1,"")</f>
        <v>9</v>
      </c>
      <c r="C18" s="1213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696"/>
      <c r="J18" s="1205">
        <f>+E18-D18</f>
        <v>0</v>
      </c>
      <c r="K18" s="35" t="s">
        <v>587</v>
      </c>
      <c r="L18" s="35">
        <v>900</v>
      </c>
      <c r="M18" s="35">
        <v>0.1</v>
      </c>
      <c r="N18" s="35">
        <v>11.3</v>
      </c>
      <c r="O18" s="1205">
        <f>+L18*M18*N18</f>
        <v>1017.0000000000001</v>
      </c>
    </row>
    <row r="19" spans="2:15" ht="27.95" customHeight="1">
      <c r="B19" s="816">
        <f>IF(Datos!$C$20&gt;'5'!B18,'5'!B18+1,"")</f>
        <v>10</v>
      </c>
      <c r="C19" s="1212">
        <v>44409</v>
      </c>
      <c r="D19" s="817">
        <v>28100</v>
      </c>
      <c r="E19" s="818">
        <v>29500</v>
      </c>
      <c r="F19" s="819">
        <f t="shared" si="0"/>
        <v>0</v>
      </c>
      <c r="G19" s="820">
        <f>IF(B19="","",VLOOKUP($E$4,'Cant. Ejec,'!$E$5:$BB$101,17+B19*2+(B19-2),0))</f>
        <v>1600</v>
      </c>
      <c r="H19" s="821">
        <f t="shared" si="1"/>
        <v>1600</v>
      </c>
      <c r="I19" s="815" t="s">
        <v>614</v>
      </c>
    </row>
    <row r="20" spans="2:15" ht="27.95" customHeight="1">
      <c r="B20" s="72">
        <f>IF(Datos!$C$20&gt;'5'!B19,'5'!B19+1,"")</f>
        <v>11</v>
      </c>
      <c r="C20" s="1212">
        <v>44440</v>
      </c>
      <c r="D20" s="68">
        <v>40300</v>
      </c>
      <c r="E20" s="69">
        <v>40350</v>
      </c>
      <c r="F20" s="819">
        <f t="shared" si="0"/>
        <v>1600</v>
      </c>
      <c r="G20" s="50">
        <f>IF(B20="","",VLOOKUP($E$4,'Cant. Ejec,'!$E$5:$BB$101,17+B20*2+(B20-2),0))</f>
        <v>80</v>
      </c>
      <c r="H20" s="821">
        <f t="shared" si="1"/>
        <v>1680</v>
      </c>
      <c r="I20" s="815" t="s">
        <v>641</v>
      </c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/>
      <c r="C22" s="72"/>
      <c r="D22" s="68"/>
      <c r="E22" s="69"/>
      <c r="F22" s="49"/>
      <c r="G22" s="50"/>
      <c r="H22" s="51"/>
      <c r="I22" s="41"/>
      <c r="K22" s="217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3" t="str">
        <f>IF(Datos!$C$20&gt;'5'!B51,'5'!B51+1,"")</f>
        <v/>
      </c>
      <c r="C51" s="73"/>
      <c r="D51" s="70"/>
      <c r="E51" s="71"/>
      <c r="F51" s="52"/>
      <c r="G51" s="53" t="str">
        <f>IF(B51="","",VLOOKUP($E$4,'Cant. Ejec,'!$E$5:$BB$101,17+B51*2+(B51-2),0))</f>
        <v/>
      </c>
      <c r="H51" s="54"/>
      <c r="I51" s="42"/>
    </row>
    <row r="52" spans="2:9" ht="15" customHeight="1">
      <c r="B52" s="1937" t="s">
        <v>92</v>
      </c>
      <c r="C52" s="1938"/>
      <c r="D52" s="1938"/>
      <c r="E52" s="1939"/>
      <c r="F52" s="55">
        <f>+MAX(F10:F51)</f>
        <v>1600</v>
      </c>
      <c r="G52" s="56">
        <f>+H52-F52</f>
        <v>80</v>
      </c>
      <c r="H52" s="57">
        <f>+MAX(H10:H51)</f>
        <v>1680</v>
      </c>
      <c r="I52" s="44"/>
    </row>
    <row r="53" spans="2:9" ht="15" customHeight="1">
      <c r="B53" s="1940" t="s">
        <v>34</v>
      </c>
      <c r="C53" s="1941"/>
      <c r="D53" s="1941"/>
      <c r="E53" s="1942"/>
      <c r="F53" s="712">
        <f>ROUND((F52/I6),4)</f>
        <v>0.26740000000000003</v>
      </c>
      <c r="G53" s="713">
        <f>ROUND((G52/I6),4)</f>
        <v>1.34E-2</v>
      </c>
      <c r="H53" s="714">
        <f>ROUND((H52/I6),4)</f>
        <v>0.28070000000000001</v>
      </c>
      <c r="I53" s="45"/>
    </row>
    <row r="54" spans="2:9" ht="15" customHeight="1">
      <c r="B54" s="61" t="s">
        <v>12</v>
      </c>
      <c r="C54" s="1211"/>
      <c r="D54" s="58"/>
      <c r="E54" s="58"/>
      <c r="F54" s="59"/>
      <c r="G54" s="61" t="s">
        <v>8</v>
      </c>
      <c r="H54" s="58"/>
      <c r="I54" s="59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1934" t="str">
        <f>+Datos!B15</f>
        <v>Ing. Ernesto Vargas Amezaga</v>
      </c>
      <c r="C58" s="1935"/>
      <c r="D58" s="1935"/>
      <c r="E58" s="1935"/>
      <c r="F58" s="1936"/>
      <c r="G58" s="1934" t="str">
        <f>+Datos!B7</f>
        <v>Ing. Pedro Alberto Barreto Gutierrez</v>
      </c>
      <c r="H58" s="1935"/>
      <c r="I58" s="1936"/>
    </row>
    <row r="59" spans="2:9">
      <c r="B59" s="1931" t="str">
        <f>+Datos!B16</f>
        <v>SUPERINTENDENTE DE OBRA a.i.</v>
      </c>
      <c r="C59" s="1932"/>
      <c r="D59" s="1932"/>
      <c r="E59" s="1932"/>
      <c r="F59" s="1933"/>
      <c r="G59" s="1931" t="str">
        <f>+Datos!B8</f>
        <v xml:space="preserve">GERENTE SUPERVISION TECNICA </v>
      </c>
      <c r="H59" s="1932"/>
      <c r="I59" s="1933"/>
    </row>
  </sheetData>
  <mergeCells count="14">
    <mergeCell ref="B1:C1"/>
    <mergeCell ref="D1:I2"/>
    <mergeCell ref="D3:I3"/>
    <mergeCell ref="B8:B9"/>
    <mergeCell ref="C8:C9"/>
    <mergeCell ref="D8:E8"/>
    <mergeCell ref="F8:H8"/>
    <mergeCell ref="I8:I9"/>
    <mergeCell ref="B52:E52"/>
    <mergeCell ref="B53:E53"/>
    <mergeCell ref="B58:F58"/>
    <mergeCell ref="G58:I58"/>
    <mergeCell ref="B59:F59"/>
    <mergeCell ref="G59:I59"/>
  </mergeCells>
  <printOptions horizontalCentered="1"/>
  <pageMargins left="0.78740157480314965" right="0.59055118110236227" top="0.59055118110236227" bottom="0.59055118110236227" header="0.31496062992125984" footer="0.31496062992125984"/>
  <pageSetup scale="81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1">
    <tabColor rgb="FFFF0000"/>
    <pageSetUpPr fitToPage="1"/>
  </sheetPr>
  <dimension ref="B1:P59"/>
  <sheetViews>
    <sheetView showGridLines="0" view="pageBreakPreview" topLeftCell="A7" zoomScaleNormal="100" zoomScaleSheetLayoutView="100" workbookViewId="0">
      <selection activeCell="D24" sqref="D24"/>
    </sheetView>
  </sheetViews>
  <sheetFormatPr baseColWidth="10" defaultColWidth="11.42578125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50" t="s">
        <v>77</v>
      </c>
      <c r="C1" s="1951"/>
      <c r="D1" s="1920" t="s">
        <v>477</v>
      </c>
      <c r="E1" s="1921"/>
      <c r="F1" s="1921"/>
      <c r="G1" s="1921"/>
      <c r="H1" s="1921"/>
      <c r="I1" s="1922"/>
    </row>
    <row r="2" spans="2:16" ht="13.5" customHeight="1">
      <c r="B2" s="879"/>
      <c r="C2" s="1208"/>
      <c r="D2" s="1923"/>
      <c r="E2" s="1924"/>
      <c r="F2" s="1924"/>
      <c r="G2" s="1924"/>
      <c r="H2" s="1924"/>
      <c r="I2" s="1925"/>
    </row>
    <row r="3" spans="2:16">
      <c r="B3" s="39"/>
      <c r="C3" s="1214"/>
      <c r="D3" s="1926" t="s">
        <v>31</v>
      </c>
      <c r="E3" s="1927"/>
      <c r="F3" s="1927"/>
      <c r="G3" s="1927"/>
      <c r="H3" s="1927"/>
      <c r="I3" s="1928"/>
    </row>
    <row r="4" spans="2:16">
      <c r="B4" s="36"/>
      <c r="C4" s="60"/>
      <c r="D4" s="39" t="s">
        <v>35</v>
      </c>
      <c r="E4" s="62" t="s">
        <v>449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REPOSICION DE CAPA SUB-BASE CON MATERIAL PROCESADO (CALZADA Y BERMAS)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M3</v>
      </c>
      <c r="F6" s="1209"/>
      <c r="G6" s="65"/>
      <c r="H6" s="279" t="s">
        <v>180</v>
      </c>
      <c r="I6" s="596">
        <f>+VLOOKUP(E4,'Planilla de Avance'!E10:K112,7,)</f>
        <v>7047.74</v>
      </c>
    </row>
    <row r="8" spans="2:16" ht="15" customHeight="1">
      <c r="B8" s="1929" t="s">
        <v>30</v>
      </c>
      <c r="C8" s="1929" t="s">
        <v>38</v>
      </c>
      <c r="D8" s="1948" t="s">
        <v>27</v>
      </c>
      <c r="E8" s="1949"/>
      <c r="F8" s="1943" t="s">
        <v>10</v>
      </c>
      <c r="G8" s="1944"/>
      <c r="H8" s="1945"/>
      <c r="I8" s="1946" t="s">
        <v>11</v>
      </c>
    </row>
    <row r="9" spans="2:16" ht="15" customHeight="1">
      <c r="B9" s="1930"/>
      <c r="C9" s="1930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947"/>
    </row>
    <row r="10" spans="2:16" ht="15" customHeight="1">
      <c r="B10" s="43">
        <v>1</v>
      </c>
      <c r="C10" s="1213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13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13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13" t="s">
        <v>431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13">
        <v>44256</v>
      </c>
      <c r="D14" s="68"/>
      <c r="E14" s="69"/>
      <c r="F14" s="49">
        <f t="shared" ref="F14:F19" si="0">+H13</f>
        <v>0</v>
      </c>
      <c r="G14" s="50">
        <f>IF(B14="","",VLOOKUP($E$4,'Cant. Ejec,'!$E$5:$BB$101,17+B14*2+(B14-2),0))</f>
        <v>0</v>
      </c>
      <c r="H14" s="51">
        <f t="shared" ref="H14:H19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13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13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7"/>
    </row>
    <row r="17" spans="2:15" ht="15" customHeight="1">
      <c r="B17" s="72">
        <f>IF(Datos!$C$20&gt;'5'!B16,'5'!B16+1,"")</f>
        <v>8</v>
      </c>
      <c r="C17" s="1213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696"/>
      <c r="J17" s="827" t="s">
        <v>590</v>
      </c>
      <c r="K17" s="827"/>
      <c r="L17" s="827" t="s">
        <v>590</v>
      </c>
      <c r="M17" s="827" t="s">
        <v>589</v>
      </c>
      <c r="N17" s="1206" t="s">
        <v>591</v>
      </c>
      <c r="O17" s="1206" t="s">
        <v>588</v>
      </c>
    </row>
    <row r="18" spans="2:15" ht="15" customHeight="1">
      <c r="B18" s="72">
        <f>IF(Datos!$C$20&gt;'5'!B17,'5'!B17+1,"")</f>
        <v>9</v>
      </c>
      <c r="C18" s="1213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696"/>
      <c r="J18" s="1205">
        <f>+E18-D18</f>
        <v>0</v>
      </c>
      <c r="K18" s="35" t="s">
        <v>587</v>
      </c>
      <c r="L18" s="35">
        <v>900</v>
      </c>
      <c r="M18" s="35">
        <v>0.1</v>
      </c>
      <c r="N18" s="35">
        <v>11.3</v>
      </c>
      <c r="O18" s="1205">
        <f>+L18*M18*N18</f>
        <v>1017.0000000000001</v>
      </c>
    </row>
    <row r="19" spans="2:15" ht="27.95" customHeight="1">
      <c r="B19" s="816">
        <f>IF(Datos!$C$20&gt;'5'!B18,'5'!B18+1,"")</f>
        <v>10</v>
      </c>
      <c r="C19" s="1212">
        <v>44409</v>
      </c>
      <c r="D19" s="817">
        <v>28100</v>
      </c>
      <c r="E19" s="818">
        <v>29500</v>
      </c>
      <c r="F19" s="819">
        <f t="shared" si="0"/>
        <v>0</v>
      </c>
      <c r="G19" s="820">
        <f>IF(B19="","",VLOOKUP($E$4,'Cant. Ejec,'!$E$5:$BB$101,17+B19*2+(B19-2),0))</f>
        <v>1600</v>
      </c>
      <c r="H19" s="821">
        <f t="shared" si="1"/>
        <v>1600</v>
      </c>
      <c r="I19" s="815" t="s">
        <v>625</v>
      </c>
    </row>
    <row r="20" spans="2:15" ht="27.95" customHeight="1">
      <c r="B20" s="72">
        <f>IF(Datos!$C$20&gt;'5'!B19,'5'!B19+1,"")</f>
        <v>11</v>
      </c>
      <c r="C20" s="1212">
        <v>44440</v>
      </c>
      <c r="D20" s="68">
        <v>40300</v>
      </c>
      <c r="E20" s="69">
        <v>40350</v>
      </c>
      <c r="F20" s="49"/>
      <c r="G20" s="50">
        <f>IF(B20="","",VLOOKUP($E$4,'Cant. Ejec,'!$E$5:$BB$101,17+B20*2+(B20-2),0))</f>
        <v>80</v>
      </c>
      <c r="H20" s="51"/>
      <c r="I20" s="815" t="s">
        <v>642</v>
      </c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IF(Datos!$C$20&gt;'5'!B22,'5'!B22+1,"")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/>
      <c r="C23" s="72"/>
      <c r="D23" s="68"/>
      <c r="E23" s="69"/>
      <c r="F23" s="49"/>
      <c r="G23" s="50"/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3" t="str">
        <f>IF(Datos!$C$20&gt;'5'!B51,'5'!B51+1,"")</f>
        <v/>
      </c>
      <c r="C51" s="73"/>
      <c r="D51" s="70"/>
      <c r="E51" s="71"/>
      <c r="F51" s="52"/>
      <c r="G51" s="53" t="str">
        <f>IF(B51="","",VLOOKUP($E$4,'Cant. Ejec,'!$E$5:$BB$101,17+B51*2+(B51-2),0))</f>
        <v/>
      </c>
      <c r="H51" s="54"/>
      <c r="I51" s="42"/>
    </row>
    <row r="52" spans="2:9" ht="15" customHeight="1">
      <c r="B52" s="1937" t="s">
        <v>92</v>
      </c>
      <c r="C52" s="1938"/>
      <c r="D52" s="1938"/>
      <c r="E52" s="1939"/>
      <c r="F52" s="55">
        <f>+MAX(F10:F51)</f>
        <v>0</v>
      </c>
      <c r="G52" s="56">
        <f>+H52-F52</f>
        <v>1600</v>
      </c>
      <c r="H52" s="57">
        <f>+MAX(H10:H51)</f>
        <v>1600</v>
      </c>
      <c r="I52" s="44"/>
    </row>
    <row r="53" spans="2:9" ht="15" customHeight="1">
      <c r="B53" s="1940" t="s">
        <v>34</v>
      </c>
      <c r="C53" s="1941"/>
      <c r="D53" s="1941"/>
      <c r="E53" s="1942"/>
      <c r="F53" s="712">
        <f>ROUND((F52/I6),4)</f>
        <v>0</v>
      </c>
      <c r="G53" s="713">
        <f>ROUND((G52/I6),4)</f>
        <v>0.22700000000000001</v>
      </c>
      <c r="H53" s="714">
        <f>ROUND((H52/I6),4)</f>
        <v>0.22700000000000001</v>
      </c>
      <c r="I53" s="45"/>
    </row>
    <row r="54" spans="2:9" ht="15" customHeight="1">
      <c r="B54" s="61" t="s">
        <v>12</v>
      </c>
      <c r="C54" s="1211"/>
      <c r="D54" s="58"/>
      <c r="E54" s="58"/>
      <c r="F54" s="59"/>
      <c r="G54" s="61" t="s">
        <v>8</v>
      </c>
      <c r="H54" s="58"/>
      <c r="I54" s="59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1934" t="str">
        <f>+Datos!B15</f>
        <v>Ing. Ernesto Vargas Amezaga</v>
      </c>
      <c r="C58" s="1935"/>
      <c r="D58" s="1935"/>
      <c r="E58" s="1935"/>
      <c r="F58" s="1936"/>
      <c r="G58" s="1934" t="str">
        <f>+Datos!B7</f>
        <v>Ing. Pedro Alberto Barreto Gutierrez</v>
      </c>
      <c r="H58" s="1935"/>
      <c r="I58" s="1936"/>
    </row>
    <row r="59" spans="2:9">
      <c r="B59" s="1931" t="str">
        <f>+Datos!B16</f>
        <v>SUPERINTENDENTE DE OBRA a.i.</v>
      </c>
      <c r="C59" s="1932"/>
      <c r="D59" s="1932"/>
      <c r="E59" s="1932"/>
      <c r="F59" s="1933"/>
      <c r="G59" s="1931" t="str">
        <f>+Datos!B8</f>
        <v xml:space="preserve">GERENTE SUPERVISION TECNICA </v>
      </c>
      <c r="H59" s="1932"/>
      <c r="I59" s="1933"/>
    </row>
  </sheetData>
  <mergeCells count="14">
    <mergeCell ref="B1:C1"/>
    <mergeCell ref="D1:I2"/>
    <mergeCell ref="D3:I3"/>
    <mergeCell ref="B8:B9"/>
    <mergeCell ref="C8:C9"/>
    <mergeCell ref="D8:E8"/>
    <mergeCell ref="F8:H8"/>
    <mergeCell ref="I8:I9"/>
    <mergeCell ref="B52:E52"/>
    <mergeCell ref="B53:E53"/>
    <mergeCell ref="B58:F58"/>
    <mergeCell ref="G58:I58"/>
    <mergeCell ref="B59:F59"/>
    <mergeCell ref="G59:I59"/>
  </mergeCells>
  <printOptions horizontalCentered="1"/>
  <pageMargins left="0.78740157480314965" right="0.59055118110236227" top="0.59055118110236227" bottom="0.59055118110236227" header="0.31496062992125984" footer="0.31496062992125984"/>
  <pageSetup scale="81" fitToHeight="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2">
    <tabColor rgb="FFFF0000"/>
    <pageSetUpPr fitToPage="1"/>
  </sheetPr>
  <dimension ref="B1:P56"/>
  <sheetViews>
    <sheetView showGridLines="0" view="pageBreakPreview" topLeftCell="A2" zoomScale="130" zoomScaleNormal="100" zoomScaleSheetLayoutView="130" workbookViewId="0">
      <selection activeCell="D24" sqref="D24"/>
    </sheetView>
  </sheetViews>
  <sheetFormatPr baseColWidth="10" defaultColWidth="11.42578125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50" t="s">
        <v>77</v>
      </c>
      <c r="C1" s="1951"/>
      <c r="D1" s="1920" t="s">
        <v>477</v>
      </c>
      <c r="E1" s="1921"/>
      <c r="F1" s="1921"/>
      <c r="G1" s="1921"/>
      <c r="H1" s="1921"/>
      <c r="I1" s="1922"/>
    </row>
    <row r="2" spans="2:16" ht="13.5" customHeight="1">
      <c r="B2" s="879"/>
      <c r="C2" s="1208"/>
      <c r="D2" s="1923"/>
      <c r="E2" s="1924"/>
      <c r="F2" s="1924"/>
      <c r="G2" s="1924"/>
      <c r="H2" s="1924"/>
      <c r="I2" s="1925"/>
    </row>
    <row r="3" spans="2:16">
      <c r="B3" s="39"/>
      <c r="C3" s="1214"/>
      <c r="D3" s="1926" t="s">
        <v>31</v>
      </c>
      <c r="E3" s="1927"/>
      <c r="F3" s="1927"/>
      <c r="G3" s="1927"/>
      <c r="H3" s="1927"/>
      <c r="I3" s="1928"/>
    </row>
    <row r="4" spans="2:16">
      <c r="B4" s="36"/>
      <c r="C4" s="60"/>
      <c r="D4" s="39" t="s">
        <v>35</v>
      </c>
      <c r="E4" s="62" t="s">
        <v>450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RECONFORMACION DE CAPA SUB-BASE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M3</v>
      </c>
      <c r="F6" s="1209"/>
      <c r="G6" s="65"/>
      <c r="H6" s="279" t="s">
        <v>180</v>
      </c>
      <c r="I6" s="596">
        <f>+VLOOKUP(E4,'Planilla de Avance'!E10:K112,7,)</f>
        <v>63040</v>
      </c>
    </row>
    <row r="8" spans="2:16" ht="15" customHeight="1">
      <c r="B8" s="1929" t="s">
        <v>30</v>
      </c>
      <c r="C8" s="1929" t="s">
        <v>38</v>
      </c>
      <c r="D8" s="1948" t="s">
        <v>27</v>
      </c>
      <c r="E8" s="1949"/>
      <c r="F8" s="1943" t="s">
        <v>10</v>
      </c>
      <c r="G8" s="1944"/>
      <c r="H8" s="1945"/>
      <c r="I8" s="1946" t="s">
        <v>11</v>
      </c>
    </row>
    <row r="9" spans="2:16" ht="15" customHeight="1">
      <c r="B9" s="1930"/>
      <c r="C9" s="1930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947"/>
    </row>
    <row r="10" spans="2:16" ht="15" customHeight="1">
      <c r="B10" s="808">
        <v>1</v>
      </c>
      <c r="C10" s="1212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816">
        <f>IF(Datos!$C$20&gt;'5'!B10,'5'!B10+1,"")</f>
        <v>2</v>
      </c>
      <c r="C11" s="1212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816">
        <f>IF(Datos!$C$20&gt;'5'!B11,'5'!B11+1,"")</f>
        <v>3</v>
      </c>
      <c r="C12" s="1212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816">
        <f>IF(Datos!$C$20&gt;'5'!B12,'5'!B12+1,"")</f>
        <v>4</v>
      </c>
      <c r="C13" s="1212" t="s">
        <v>431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816">
        <f>IF(Datos!$C$20&gt;'5'!B13,'5'!B13+1,"")</f>
        <v>5</v>
      </c>
      <c r="C14" s="1212">
        <v>44256</v>
      </c>
      <c r="D14" s="68"/>
      <c r="E14" s="69"/>
      <c r="F14" s="49">
        <f t="shared" ref="F14:F20" si="0">+H13</f>
        <v>0</v>
      </c>
      <c r="G14" s="50">
        <f>IF(B14="","",VLOOKUP($E$4,'Cant. Ejec,'!$E$5:$BB$101,17+B14*2+(B14-2),0))</f>
        <v>0</v>
      </c>
      <c r="H14" s="51">
        <f t="shared" ref="H14:H19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816">
        <f>IF(Datos!$C$20&gt;'5'!B14,'5'!B14+1,"")</f>
        <v>6</v>
      </c>
      <c r="C15" s="1212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816">
        <f>IF(Datos!$C$20&gt;'5'!B15,'5'!B15+1,"")</f>
        <v>7</v>
      </c>
      <c r="C16" s="1212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7"/>
    </row>
    <row r="17" spans="2:15" ht="15" customHeight="1">
      <c r="B17" s="816">
        <f>IF(Datos!$C$20&gt;'5'!B16,'5'!B16+1,"")</f>
        <v>8</v>
      </c>
      <c r="C17" s="1212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696"/>
      <c r="J17" s="1261" t="s">
        <v>606</v>
      </c>
      <c r="K17" s="1261" t="s">
        <v>607</v>
      </c>
      <c r="L17" s="1261" t="s">
        <v>608</v>
      </c>
      <c r="M17" s="1206"/>
      <c r="N17" s="217"/>
      <c r="O17" s="217"/>
    </row>
    <row r="18" spans="2:15" ht="15" customHeight="1">
      <c r="B18" s="816">
        <f>IF(Datos!$C$20&gt;'5'!B17,'5'!B17+1,"")</f>
        <v>9</v>
      </c>
      <c r="C18" s="1212">
        <v>44378</v>
      </c>
      <c r="D18" s="817">
        <v>28300</v>
      </c>
      <c r="E18" s="818">
        <v>29200</v>
      </c>
      <c r="F18" s="819">
        <f t="shared" si="0"/>
        <v>0</v>
      </c>
      <c r="G18" s="820">
        <f>IF(B18="","",VLOOKUP($E$4,'Cant. Ejec,'!$E$5:$BB$101,17+B18*2+(B18-2),0))</f>
        <v>2880</v>
      </c>
      <c r="H18" s="821">
        <f t="shared" si="1"/>
        <v>2880</v>
      </c>
      <c r="I18" s="755" t="s">
        <v>598</v>
      </c>
      <c r="J18" s="1262">
        <v>900</v>
      </c>
      <c r="K18" s="1262">
        <v>3.2</v>
      </c>
      <c r="L18" s="1263">
        <f>+J18*K18</f>
        <v>2880</v>
      </c>
    </row>
    <row r="19" spans="2:15" s="1343" customFormat="1" ht="30" customHeight="1">
      <c r="B19" s="816">
        <f>IF(Datos!$C$20&gt;'5'!B18,'5'!B18+1,"")</f>
        <v>10</v>
      </c>
      <c r="C19" s="1212">
        <v>44409</v>
      </c>
      <c r="D19" s="817">
        <v>25300</v>
      </c>
      <c r="E19" s="818">
        <v>33200</v>
      </c>
      <c r="F19" s="819">
        <f t="shared" si="0"/>
        <v>2880</v>
      </c>
      <c r="G19" s="820">
        <f>IF(B19="","",VLOOKUP($E$4,'Cant. Ejec,'!$E$5:$BB$101,17+B19*2+(B19-2),0))</f>
        <v>20800</v>
      </c>
      <c r="H19" s="821">
        <f t="shared" si="1"/>
        <v>23680</v>
      </c>
      <c r="I19" s="815" t="s">
        <v>626</v>
      </c>
    </row>
    <row r="20" spans="2:15" s="1343" customFormat="1" ht="69.95" customHeight="1">
      <c r="B20" s="816">
        <f>IF(Datos!$C$20&gt;'5'!B19,'5'!B19+1,"")</f>
        <v>11</v>
      </c>
      <c r="C20" s="1212">
        <v>44440</v>
      </c>
      <c r="D20" s="817">
        <v>23600</v>
      </c>
      <c r="E20" s="818">
        <v>41200</v>
      </c>
      <c r="F20" s="819">
        <f t="shared" si="0"/>
        <v>23680</v>
      </c>
      <c r="G20" s="820">
        <f>IF(B20="","",VLOOKUP($E$4,'Cant. Ejec,'!$E$5:$BB$101,17+B20*2+(B20-2),0))</f>
        <v>17200</v>
      </c>
      <c r="H20" s="821">
        <f>+F20+G20</f>
        <v>40880</v>
      </c>
      <c r="I20" s="815" t="s">
        <v>643</v>
      </c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IF(Datos!$C$20&gt;'5'!B38,'5'!B38+1,"")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IF(Datos!$C$20&gt;'5'!B39,'5'!B39+1,"")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IF(Datos!$C$20&gt;'5'!B40,'5'!B40+1,"")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IF(Datos!$C$20&gt;'5'!B41,'5'!B41+1,"")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IF(Datos!$C$20&gt;'5'!B42,'5'!B42+1,"")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IF(Datos!$C$20&gt;'5'!B43,'5'!B43+1,"")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IF(Datos!$C$20&gt;'5'!B45,'5'!B45+1,"")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IF(Datos!$C$20&gt;'5'!B46,'5'!B46+1,"")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/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IF(Datos!$C$20&gt;'5'!B47,'5'!B47+1,"")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IF(Datos!$C$20&gt;'5'!B50,'5'!B50+1,"")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3" t="str">
        <f>IF(Datos!$C$20&gt;'5'!B51,'5'!B51+1,"")</f>
        <v/>
      </c>
      <c r="C48" s="73"/>
      <c r="D48" s="70"/>
      <c r="E48" s="71"/>
      <c r="F48" s="52"/>
      <c r="G48" s="53" t="str">
        <f>IF(B48="","",VLOOKUP($E$4,'Cant. Ejec,'!$E$5:$BB$101,17+B48*2+(B48-2),0))</f>
        <v/>
      </c>
      <c r="H48" s="54"/>
      <c r="I48" s="42"/>
    </row>
    <row r="49" spans="2:9" ht="15" customHeight="1">
      <c r="B49" s="1937" t="s">
        <v>92</v>
      </c>
      <c r="C49" s="1938"/>
      <c r="D49" s="1938"/>
      <c r="E49" s="1939"/>
      <c r="F49" s="55">
        <f>+MAX(F10:F48)</f>
        <v>23680</v>
      </c>
      <c r="G49" s="56">
        <f>+H49-F49</f>
        <v>17200</v>
      </c>
      <c r="H49" s="57">
        <f>+MAX(H10:H48)</f>
        <v>40880</v>
      </c>
      <c r="I49" s="44"/>
    </row>
    <row r="50" spans="2:9" ht="15" customHeight="1">
      <c r="B50" s="1940" t="s">
        <v>34</v>
      </c>
      <c r="C50" s="1941"/>
      <c r="D50" s="1941"/>
      <c r="E50" s="1942"/>
      <c r="F50" s="712">
        <f>ROUND((F49/I6),4)</f>
        <v>0.37559999999999999</v>
      </c>
      <c r="G50" s="713">
        <f>ROUND((G49/I6),4)</f>
        <v>0.27279999999999999</v>
      </c>
      <c r="H50" s="714">
        <f>ROUND((H49/I6),4)</f>
        <v>0.64849999999999997</v>
      </c>
      <c r="I50" s="45"/>
    </row>
    <row r="51" spans="2:9" ht="15" customHeight="1">
      <c r="B51" s="61" t="s">
        <v>12</v>
      </c>
      <c r="C51" s="1211"/>
      <c r="D51" s="58"/>
      <c r="E51" s="58"/>
      <c r="F51" s="59"/>
      <c r="G51" s="61" t="s">
        <v>8</v>
      </c>
      <c r="H51" s="58"/>
      <c r="I51" s="59"/>
    </row>
    <row r="52" spans="2:9">
      <c r="B52" s="36"/>
      <c r="C52" s="60"/>
      <c r="D52" s="60"/>
      <c r="E52" s="60"/>
      <c r="F52" s="37"/>
      <c r="G52" s="36"/>
      <c r="H52" s="60"/>
      <c r="I52" s="37"/>
    </row>
    <row r="53" spans="2:9">
      <c r="B53" s="36"/>
      <c r="C53" s="60"/>
      <c r="D53" s="60"/>
      <c r="E53" s="60"/>
      <c r="F53" s="37"/>
      <c r="G53" s="36"/>
      <c r="H53" s="60"/>
      <c r="I53" s="37"/>
    </row>
    <row r="54" spans="2:9">
      <c r="B54" s="36"/>
      <c r="C54" s="60"/>
      <c r="D54" s="60"/>
      <c r="E54" s="60"/>
      <c r="F54" s="37"/>
      <c r="G54" s="36"/>
      <c r="H54" s="60"/>
      <c r="I54" s="37"/>
    </row>
    <row r="55" spans="2:9">
      <c r="B55" s="1934" t="str">
        <f>+Datos!B15</f>
        <v>Ing. Ernesto Vargas Amezaga</v>
      </c>
      <c r="C55" s="1935"/>
      <c r="D55" s="1935"/>
      <c r="E55" s="1935"/>
      <c r="F55" s="1936"/>
      <c r="G55" s="1934" t="str">
        <f>+Datos!B7</f>
        <v>Ing. Pedro Alberto Barreto Gutierrez</v>
      </c>
      <c r="H55" s="1935"/>
      <c r="I55" s="1936"/>
    </row>
    <row r="56" spans="2:9">
      <c r="B56" s="1931" t="str">
        <f>+Datos!B16</f>
        <v>SUPERINTENDENTE DE OBRA a.i.</v>
      </c>
      <c r="C56" s="1932"/>
      <c r="D56" s="1932"/>
      <c r="E56" s="1932"/>
      <c r="F56" s="1933"/>
      <c r="G56" s="1931" t="str">
        <f>+Datos!B8</f>
        <v xml:space="preserve">GERENTE SUPERVISION TECNICA </v>
      </c>
      <c r="H56" s="1932"/>
      <c r="I56" s="1933"/>
    </row>
  </sheetData>
  <mergeCells count="14">
    <mergeCell ref="B49:E49"/>
    <mergeCell ref="B50:E50"/>
    <mergeCell ref="B55:F55"/>
    <mergeCell ref="G55:I55"/>
    <mergeCell ref="B56:F56"/>
    <mergeCell ref="G56:I56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1" fitToHeight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>
    <tabColor rgb="FFFF0000"/>
  </sheetPr>
  <dimension ref="B1:P58"/>
  <sheetViews>
    <sheetView showGridLines="0" view="pageBreakPreview" zoomScaleNormal="100" zoomScaleSheetLayoutView="100" workbookViewId="0">
      <selection activeCell="G20" sqref="G20"/>
    </sheetView>
  </sheetViews>
  <sheetFormatPr baseColWidth="10" defaultColWidth="11.42578125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50" t="s">
        <v>77</v>
      </c>
      <c r="C1" s="1951"/>
      <c r="D1" s="1920" t="s">
        <v>477</v>
      </c>
      <c r="E1" s="1921"/>
      <c r="F1" s="1921"/>
      <c r="G1" s="1921"/>
      <c r="H1" s="1921"/>
      <c r="I1" s="1922"/>
    </row>
    <row r="2" spans="2:16" ht="13.5" customHeight="1">
      <c r="B2" s="879"/>
      <c r="C2" s="1208"/>
      <c r="D2" s="1923"/>
      <c r="E2" s="1924"/>
      <c r="F2" s="1924"/>
      <c r="G2" s="1924"/>
      <c r="H2" s="1924"/>
      <c r="I2" s="1925"/>
    </row>
    <row r="3" spans="2:16">
      <c r="B3" s="39"/>
      <c r="C3" s="1214"/>
      <c r="D3" s="1926" t="s">
        <v>31</v>
      </c>
      <c r="E3" s="1927"/>
      <c r="F3" s="1927"/>
      <c r="G3" s="1927"/>
      <c r="H3" s="1927"/>
      <c r="I3" s="1928"/>
    </row>
    <row r="4" spans="2:16">
      <c r="B4" s="36"/>
      <c r="C4" s="60"/>
      <c r="D4" s="39" t="s">
        <v>35</v>
      </c>
      <c r="E4" s="62" t="s">
        <v>452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TRANSPORTE DE CAPA SUB-BASE REMOVIDA  HASTA 16,00 KM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M3-KM</v>
      </c>
      <c r="F6" s="1209"/>
      <c r="G6" s="65"/>
      <c r="H6" s="279" t="s">
        <v>180</v>
      </c>
      <c r="I6" s="596">
        <f>+VLOOKUP(E4,'Planilla de Avance'!E10:K112,7,)</f>
        <v>32761.170000000002</v>
      </c>
    </row>
    <row r="8" spans="2:16" ht="15" customHeight="1">
      <c r="B8" s="1929" t="s">
        <v>30</v>
      </c>
      <c r="C8" s="1929" t="s">
        <v>38</v>
      </c>
      <c r="D8" s="1948" t="s">
        <v>27</v>
      </c>
      <c r="E8" s="1949"/>
      <c r="F8" s="1943" t="s">
        <v>10</v>
      </c>
      <c r="G8" s="1944"/>
      <c r="H8" s="1945"/>
      <c r="I8" s="1946" t="s">
        <v>11</v>
      </c>
    </row>
    <row r="9" spans="2:16" ht="15" customHeight="1">
      <c r="B9" s="1930"/>
      <c r="C9" s="1930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947"/>
    </row>
    <row r="10" spans="2:16" ht="15" customHeight="1">
      <c r="B10" s="43">
        <v>1</v>
      </c>
      <c r="C10" s="1213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13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13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13" t="s">
        <v>431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13">
        <v>44256</v>
      </c>
      <c r="D14" s="68"/>
      <c r="E14" s="69"/>
      <c r="F14" s="49">
        <f t="shared" ref="F14:F19" si="0">+H13</f>
        <v>0</v>
      </c>
      <c r="G14" s="50">
        <f>IF(B14="","",VLOOKUP($E$4,'Cant. Ejec,'!$E$5:$BB$101,17+B14*2+(B14-2),0))</f>
        <v>0</v>
      </c>
      <c r="H14" s="51">
        <f t="shared" ref="H14:H19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13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13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7"/>
    </row>
    <row r="17" spans="2:15" ht="15" customHeight="1">
      <c r="B17" s="72">
        <f>IF(Datos!$C$20&gt;'5'!B16,'5'!B16+1,"")</f>
        <v>8</v>
      </c>
      <c r="C17" s="1213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696"/>
      <c r="J17" s="1261" t="s">
        <v>606</v>
      </c>
      <c r="K17" s="1261" t="s">
        <v>607</v>
      </c>
      <c r="L17" s="1261" t="s">
        <v>608</v>
      </c>
      <c r="M17" s="1206"/>
      <c r="N17" s="217"/>
      <c r="O17" s="217"/>
    </row>
    <row r="18" spans="2:15" ht="15" customHeight="1">
      <c r="B18" s="72">
        <f>IF(Datos!$C$20&gt;'5'!B17,'5'!B17+1,"")</f>
        <v>9</v>
      </c>
      <c r="C18" s="1213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696"/>
      <c r="J18" s="1262">
        <v>900</v>
      </c>
      <c r="K18" s="1262">
        <v>3.2</v>
      </c>
      <c r="L18" s="1263">
        <f>+J18*K18</f>
        <v>2880</v>
      </c>
    </row>
    <row r="19" spans="2:15" ht="42" customHeight="1">
      <c r="B19" s="816">
        <f>IF(Datos!$C$20&gt;'5'!B18,'5'!B18+1,"")</f>
        <v>10</v>
      </c>
      <c r="C19" s="1212">
        <v>44409</v>
      </c>
      <c r="D19" s="817">
        <v>28100</v>
      </c>
      <c r="E19" s="818">
        <v>29500</v>
      </c>
      <c r="F19" s="819">
        <f t="shared" si="0"/>
        <v>0</v>
      </c>
      <c r="G19" s="820">
        <f>IF(B19="","",VLOOKUP($E$4,'Cant. Ejec,'!$E$5:$BB$101,17+B19*2+(B19-2),0))</f>
        <v>1335.68</v>
      </c>
      <c r="H19" s="821">
        <f t="shared" si="1"/>
        <v>1335.68</v>
      </c>
      <c r="I19" s="815" t="s">
        <v>615</v>
      </c>
    </row>
    <row r="20" spans="2:15" ht="15" customHeight="1">
      <c r="B20" s="72">
        <f>IF(Datos!$C$20&gt;'5'!B19,'5'!B19+1,"")</f>
        <v>11</v>
      </c>
      <c r="C20" s="72"/>
      <c r="D20" s="68"/>
      <c r="E20" s="69"/>
      <c r="F20" s="49"/>
      <c r="G20" s="50">
        <f>IF(B20="","",VLOOKUP($E$4,'Cant. Ejec,'!$E$5:$BB$101,17+B20*2+(B20-2),0))</f>
        <v>0</v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3" t="str">
        <f>IF(Datos!$C$20&gt;'5'!B51,'5'!B51+1,"")</f>
        <v/>
      </c>
      <c r="C50" s="73"/>
      <c r="D50" s="70"/>
      <c r="E50" s="71"/>
      <c r="F50" s="52"/>
      <c r="G50" s="53" t="str">
        <f>IF(B50="","",VLOOKUP($E$4,'Cant. Ejec,'!$E$5:$BB$101,17+B50*2+(B50-2),0))</f>
        <v/>
      </c>
      <c r="H50" s="54"/>
      <c r="I50" s="42"/>
    </row>
    <row r="51" spans="2:9" ht="15" customHeight="1">
      <c r="B51" s="1937" t="s">
        <v>92</v>
      </c>
      <c r="C51" s="1938"/>
      <c r="D51" s="1938"/>
      <c r="E51" s="1939"/>
      <c r="F51" s="55">
        <f>+MAX(F10:F50)</f>
        <v>0</v>
      </c>
      <c r="G51" s="56">
        <f>+H51-F51</f>
        <v>1335.68</v>
      </c>
      <c r="H51" s="57">
        <f>+MAX(H10:H50)</f>
        <v>1335.68</v>
      </c>
      <c r="I51" s="44"/>
    </row>
    <row r="52" spans="2:9" ht="15" customHeight="1">
      <c r="B52" s="1940" t="s">
        <v>34</v>
      </c>
      <c r="C52" s="1941"/>
      <c r="D52" s="1941"/>
      <c r="E52" s="1942"/>
      <c r="F52" s="712">
        <f>ROUND((F51/I6),4)</f>
        <v>0</v>
      </c>
      <c r="G52" s="713">
        <f>ROUND((G51/I6),4)</f>
        <v>4.0800000000000003E-2</v>
      </c>
      <c r="H52" s="714">
        <f>ROUND((H51/I6),4)</f>
        <v>4.0800000000000003E-2</v>
      </c>
      <c r="I52" s="45"/>
    </row>
    <row r="53" spans="2:9" ht="15" customHeight="1">
      <c r="B53" s="61" t="s">
        <v>12</v>
      </c>
      <c r="C53" s="1211"/>
      <c r="D53" s="58"/>
      <c r="E53" s="58"/>
      <c r="F53" s="59"/>
      <c r="G53" s="61" t="s">
        <v>8</v>
      </c>
      <c r="H53" s="58"/>
      <c r="I53" s="59"/>
    </row>
    <row r="54" spans="2:9">
      <c r="B54" s="36"/>
      <c r="C54" s="60"/>
      <c r="D54" s="60"/>
      <c r="E54" s="60"/>
      <c r="F54" s="37"/>
      <c r="G54" s="36"/>
      <c r="H54" s="60"/>
      <c r="I54" s="37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1934" t="str">
        <f>+Datos!B15</f>
        <v>Ing. Ernesto Vargas Amezaga</v>
      </c>
      <c r="C57" s="1935"/>
      <c r="D57" s="1935"/>
      <c r="E57" s="1935"/>
      <c r="F57" s="1936"/>
      <c r="G57" s="1934" t="str">
        <f>+Datos!B7</f>
        <v>Ing. Pedro Alberto Barreto Gutierrez</v>
      </c>
      <c r="H57" s="1935"/>
      <c r="I57" s="1936"/>
    </row>
    <row r="58" spans="2:9">
      <c r="B58" s="1931" t="str">
        <f>+Datos!B16</f>
        <v>SUPERINTENDENTE DE OBRA a.i.</v>
      </c>
      <c r="C58" s="1932"/>
      <c r="D58" s="1932"/>
      <c r="E58" s="1932"/>
      <c r="F58" s="1933"/>
      <c r="G58" s="1931" t="str">
        <f>+Datos!B8</f>
        <v xml:space="preserve">GERENTE SUPERVISION TECNICA </v>
      </c>
      <c r="H58" s="1932"/>
      <c r="I58" s="1933"/>
    </row>
  </sheetData>
  <mergeCells count="14">
    <mergeCell ref="B51:E51"/>
    <mergeCell ref="B52:E52"/>
    <mergeCell ref="B57:F57"/>
    <mergeCell ref="G57:I57"/>
    <mergeCell ref="B58:F58"/>
    <mergeCell ref="G58:I58"/>
    <mergeCell ref="B1:C1"/>
    <mergeCell ref="D1:I2"/>
    <mergeCell ref="D3:I3"/>
    <mergeCell ref="B8:B9"/>
    <mergeCell ref="C8:C9"/>
    <mergeCell ref="D8:E8"/>
    <mergeCell ref="F8:H8"/>
    <mergeCell ref="I8:I9"/>
  </mergeCells>
  <printOptions horizontalCentered="1"/>
  <pageMargins left="0.78740157480314965" right="0.59055118110236227" top="0.59055118110236227" bottom="0.59055118110236227" header="0.31496062992125984" footer="0.31496062992125984"/>
  <pageSetup scale="80" fitToHeight="0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tabColor rgb="FFFF0000"/>
    <pageSetUpPr fitToPage="1"/>
  </sheetPr>
  <dimension ref="B1:P59"/>
  <sheetViews>
    <sheetView showGridLines="0" view="pageBreakPreview" zoomScaleNormal="100" zoomScaleSheetLayoutView="100" workbookViewId="0">
      <selection activeCell="D24" sqref="D24"/>
    </sheetView>
  </sheetViews>
  <sheetFormatPr baseColWidth="10" defaultColWidth="11.42578125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50" t="s">
        <v>77</v>
      </c>
      <c r="C1" s="1951"/>
      <c r="D1" s="1920" t="s">
        <v>477</v>
      </c>
      <c r="E1" s="1921"/>
      <c r="F1" s="1921"/>
      <c r="G1" s="1921"/>
      <c r="H1" s="1921"/>
      <c r="I1" s="1922"/>
    </row>
    <row r="2" spans="2:16" ht="13.5" customHeight="1">
      <c r="B2" s="879"/>
      <c r="C2" s="1208"/>
      <c r="D2" s="1923"/>
      <c r="E2" s="1924"/>
      <c r="F2" s="1924"/>
      <c r="G2" s="1924"/>
      <c r="H2" s="1924"/>
      <c r="I2" s="1925"/>
    </row>
    <row r="3" spans="2:16">
      <c r="B3" s="39"/>
      <c r="C3" s="1214"/>
      <c r="D3" s="1926" t="s">
        <v>31</v>
      </c>
      <c r="E3" s="1927"/>
      <c r="F3" s="1927"/>
      <c r="G3" s="1927"/>
      <c r="H3" s="1927"/>
      <c r="I3" s="1928"/>
    </row>
    <row r="4" spans="2:16">
      <c r="B4" s="36"/>
      <c r="C4" s="60"/>
      <c r="D4" s="39" t="s">
        <v>35</v>
      </c>
      <c r="E4" s="62" t="s">
        <v>453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TRANSPORTE DE CAPA SUB-BASE PROCESADA HASTA 16,00 KM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M3-KM</v>
      </c>
      <c r="F6" s="1209"/>
      <c r="G6" s="65"/>
      <c r="H6" s="279" t="s">
        <v>180</v>
      </c>
      <c r="I6" s="596">
        <f>+VLOOKUP(E4,'Planilla de Avance'!E10:K112,7,)</f>
        <v>45616</v>
      </c>
    </row>
    <row r="8" spans="2:16" ht="15" customHeight="1">
      <c r="B8" s="1929" t="s">
        <v>30</v>
      </c>
      <c r="C8" s="1929" t="s">
        <v>38</v>
      </c>
      <c r="D8" s="1948" t="s">
        <v>27</v>
      </c>
      <c r="E8" s="1949"/>
      <c r="F8" s="1943" t="s">
        <v>10</v>
      </c>
      <c r="G8" s="1944"/>
      <c r="H8" s="1945"/>
      <c r="I8" s="1946" t="s">
        <v>11</v>
      </c>
    </row>
    <row r="9" spans="2:16" ht="15" customHeight="1">
      <c r="B9" s="1930"/>
      <c r="C9" s="1930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947"/>
    </row>
    <row r="10" spans="2:16" ht="15" customHeight="1">
      <c r="B10" s="43">
        <v>1</v>
      </c>
      <c r="C10" s="1213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13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13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13" t="s">
        <v>431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13">
        <v>44256</v>
      </c>
      <c r="D14" s="68"/>
      <c r="E14" s="69"/>
      <c r="F14" s="49">
        <f t="shared" ref="F14:F19" si="0">+H13</f>
        <v>0</v>
      </c>
      <c r="G14" s="50">
        <f>IF(B14="","",VLOOKUP($E$4,'Cant. Ejec,'!$E$5:$BB$101,17+B14*2+(B14-2),0))</f>
        <v>0</v>
      </c>
      <c r="H14" s="51">
        <f t="shared" ref="H14:H18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13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13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7"/>
    </row>
    <row r="17" spans="2:15" ht="15" customHeight="1">
      <c r="B17" s="72">
        <f>IF(Datos!$C$20&gt;'5'!B16,'5'!B16+1,"")</f>
        <v>8</v>
      </c>
      <c r="C17" s="1213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696"/>
      <c r="J17" s="1261" t="s">
        <v>606</v>
      </c>
      <c r="K17" s="1261" t="s">
        <v>607</v>
      </c>
      <c r="L17" s="1261" t="s">
        <v>608</v>
      </c>
      <c r="M17" s="1206"/>
      <c r="N17" s="217"/>
      <c r="O17" s="217"/>
    </row>
    <row r="18" spans="2:15" ht="15" customHeight="1">
      <c r="B18" s="72">
        <f>IF(Datos!$C$20&gt;'5'!B17,'5'!B17+1,"")</f>
        <v>9</v>
      </c>
      <c r="C18" s="1213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696"/>
      <c r="J18" s="1262">
        <v>900</v>
      </c>
      <c r="K18" s="1262">
        <v>3.2</v>
      </c>
      <c r="L18" s="1263">
        <f>+J18*K18</f>
        <v>2880</v>
      </c>
    </row>
    <row r="19" spans="2:15" ht="27.95" customHeight="1">
      <c r="B19" s="816">
        <f>IF(Datos!$C$20&gt;'5'!B18,'5'!B18+1,"")</f>
        <v>10</v>
      </c>
      <c r="C19" s="1212">
        <v>44409</v>
      </c>
      <c r="D19" s="817">
        <v>28100</v>
      </c>
      <c r="E19" s="818">
        <v>29500</v>
      </c>
      <c r="F19" s="819">
        <f t="shared" si="0"/>
        <v>0</v>
      </c>
      <c r="G19" s="820">
        <f>IF(B19="","",VLOOKUP($E$4,'Cant. Ejec,'!$E$5:$BB$101,17+B19*2+(B19-2),0))</f>
        <v>1335.68</v>
      </c>
      <c r="H19" s="821">
        <f>+F19+G19</f>
        <v>1335.68</v>
      </c>
      <c r="I19" s="815" t="s">
        <v>616</v>
      </c>
    </row>
    <row r="20" spans="2:15" s="1343" customFormat="1" ht="27.95" customHeight="1">
      <c r="B20" s="816">
        <f>IF(Datos!$C$20&gt;'5'!B19,'5'!B19+1,"")</f>
        <v>11</v>
      </c>
      <c r="C20" s="1212">
        <v>44440</v>
      </c>
      <c r="D20" s="817">
        <v>40300</v>
      </c>
      <c r="E20" s="818">
        <v>40350</v>
      </c>
      <c r="F20" s="819">
        <f>+H19</f>
        <v>1335.68</v>
      </c>
      <c r="G20" s="820">
        <f>IF(B20="","",VLOOKUP($E$4,'Cant. Ejec,'!$E$5:$BB$101,17+B20*2+(B20-2),0))</f>
        <v>914.08</v>
      </c>
      <c r="H20" s="821">
        <f>+F20+G20</f>
        <v>2249.7600000000002</v>
      </c>
      <c r="I20" s="815" t="s">
        <v>644</v>
      </c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3" t="str">
        <f>IF(Datos!$C$20&gt;'5'!B51,'5'!B51+1,"")</f>
        <v/>
      </c>
      <c r="C51" s="73"/>
      <c r="D51" s="70"/>
      <c r="E51" s="71"/>
      <c r="F51" s="52"/>
      <c r="G51" s="53" t="str">
        <f>IF(B51="","",VLOOKUP($E$4,'Cant. Ejec,'!$E$5:$BB$101,17+B51*2+(B51-2),0))</f>
        <v/>
      </c>
      <c r="H51" s="54"/>
      <c r="I51" s="42"/>
    </row>
    <row r="52" spans="2:9" ht="15" customHeight="1">
      <c r="B52" s="1937" t="s">
        <v>92</v>
      </c>
      <c r="C52" s="1938"/>
      <c r="D52" s="1938"/>
      <c r="E52" s="1939"/>
      <c r="F52" s="55">
        <f>+MAX(F10:F51)</f>
        <v>1335.68</v>
      </c>
      <c r="G52" s="56">
        <f>+H52-F52</f>
        <v>914.08000000000015</v>
      </c>
      <c r="H52" s="57">
        <f>+MAX(H10:H51)</f>
        <v>2249.7600000000002</v>
      </c>
      <c r="I52" s="44"/>
    </row>
    <row r="53" spans="2:9" ht="15" customHeight="1">
      <c r="B53" s="1940" t="s">
        <v>34</v>
      </c>
      <c r="C53" s="1941"/>
      <c r="D53" s="1941"/>
      <c r="E53" s="1942"/>
      <c r="F53" s="712">
        <f>ROUND((F52/I6),4)</f>
        <v>2.93E-2</v>
      </c>
      <c r="G53" s="713">
        <f>ROUND((G52/I6),4)</f>
        <v>0.02</v>
      </c>
      <c r="H53" s="714">
        <f>ROUND((H52/I6),4)</f>
        <v>4.9299999999999997E-2</v>
      </c>
      <c r="I53" s="45"/>
    </row>
    <row r="54" spans="2:9" ht="15" customHeight="1">
      <c r="B54" s="61" t="s">
        <v>12</v>
      </c>
      <c r="C54" s="1211"/>
      <c r="D54" s="58"/>
      <c r="E54" s="58"/>
      <c r="F54" s="59"/>
      <c r="G54" s="61" t="s">
        <v>8</v>
      </c>
      <c r="H54" s="58"/>
      <c r="I54" s="59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1934" t="str">
        <f>+Datos!B15</f>
        <v>Ing. Ernesto Vargas Amezaga</v>
      </c>
      <c r="C58" s="1935"/>
      <c r="D58" s="1935"/>
      <c r="E58" s="1935"/>
      <c r="F58" s="1936"/>
      <c r="G58" s="1934" t="str">
        <f>+Datos!B7</f>
        <v>Ing. Pedro Alberto Barreto Gutierrez</v>
      </c>
      <c r="H58" s="1935"/>
      <c r="I58" s="1936"/>
    </row>
    <row r="59" spans="2:9">
      <c r="B59" s="1931" t="str">
        <f>+Datos!B16</f>
        <v>SUPERINTENDENTE DE OBRA a.i.</v>
      </c>
      <c r="C59" s="1932"/>
      <c r="D59" s="1932"/>
      <c r="E59" s="1932"/>
      <c r="F59" s="1933"/>
      <c r="G59" s="1931" t="str">
        <f>+Datos!B8</f>
        <v xml:space="preserve">GERENTE SUPERVISION TECNICA </v>
      </c>
      <c r="H59" s="1932"/>
      <c r="I59" s="1933"/>
    </row>
  </sheetData>
  <mergeCells count="14">
    <mergeCell ref="B52:E52"/>
    <mergeCell ref="B53:E53"/>
    <mergeCell ref="B58:F58"/>
    <mergeCell ref="G58:I58"/>
    <mergeCell ref="B59:F59"/>
    <mergeCell ref="G59:I59"/>
    <mergeCell ref="B1:C1"/>
    <mergeCell ref="D1:I2"/>
    <mergeCell ref="D3:I3"/>
    <mergeCell ref="B8:B9"/>
    <mergeCell ref="C8:C9"/>
    <mergeCell ref="D8:E8"/>
    <mergeCell ref="F8:H8"/>
    <mergeCell ref="I8:I9"/>
  </mergeCells>
  <printOptions horizontalCentered="1"/>
  <pageMargins left="0.78740157480314965" right="0.59055118110236227" top="0.59055118110236227" bottom="0.59055118110236227" header="0.31496062992125984" footer="0.31496062992125984"/>
  <pageSetup scale="81" fitToHeight="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tabColor rgb="FFFF0000"/>
    <pageSetUpPr fitToPage="1"/>
  </sheetPr>
  <dimension ref="B1:P58"/>
  <sheetViews>
    <sheetView showGridLines="0" view="pageBreakPreview" zoomScaleNormal="100" zoomScaleSheetLayoutView="100" workbookViewId="0">
      <selection activeCell="D24" sqref="D24"/>
    </sheetView>
  </sheetViews>
  <sheetFormatPr baseColWidth="10" defaultColWidth="11.42578125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50" t="s">
        <v>77</v>
      </c>
      <c r="C1" s="1951"/>
      <c r="D1" s="1920" t="s">
        <v>477</v>
      </c>
      <c r="E1" s="1921"/>
      <c r="F1" s="1921"/>
      <c r="G1" s="1921"/>
      <c r="H1" s="1921"/>
      <c r="I1" s="1922"/>
    </row>
    <row r="2" spans="2:16" ht="13.5" customHeight="1">
      <c r="B2" s="879"/>
      <c r="C2" s="1208"/>
      <c r="D2" s="1923"/>
      <c r="E2" s="1924"/>
      <c r="F2" s="1924"/>
      <c r="G2" s="1924"/>
      <c r="H2" s="1924"/>
      <c r="I2" s="1925"/>
    </row>
    <row r="3" spans="2:16">
      <c r="B3" s="39"/>
      <c r="C3" s="1214"/>
      <c r="D3" s="1926" t="s">
        <v>31</v>
      </c>
      <c r="E3" s="1927"/>
      <c r="F3" s="1927"/>
      <c r="G3" s="1927"/>
      <c r="H3" s="1927"/>
      <c r="I3" s="1928"/>
    </row>
    <row r="4" spans="2:16">
      <c r="B4" s="36"/>
      <c r="C4" s="60"/>
      <c r="D4" s="39" t="s">
        <v>35</v>
      </c>
      <c r="E4" s="62" t="s">
        <v>454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LIMPIEZA DE ESCOMBROS EN CUNETAS, ZANJAS EXISTENTES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ML</v>
      </c>
      <c r="F6" s="1209"/>
      <c r="G6" s="65"/>
      <c r="H6" s="279" t="s">
        <v>180</v>
      </c>
      <c r="I6" s="596">
        <f>+VLOOKUP(E4,'Planilla de Avance'!E10:K112,7,)</f>
        <v>13370</v>
      </c>
    </row>
    <row r="8" spans="2:16" ht="15" customHeight="1">
      <c r="B8" s="1929" t="s">
        <v>30</v>
      </c>
      <c r="C8" s="1929" t="s">
        <v>38</v>
      </c>
      <c r="D8" s="1948" t="s">
        <v>27</v>
      </c>
      <c r="E8" s="1949"/>
      <c r="F8" s="1943" t="s">
        <v>10</v>
      </c>
      <c r="G8" s="1944"/>
      <c r="H8" s="1945"/>
      <c r="I8" s="1946" t="s">
        <v>11</v>
      </c>
    </row>
    <row r="9" spans="2:16" ht="15" customHeight="1">
      <c r="B9" s="1930"/>
      <c r="C9" s="1930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947"/>
    </row>
    <row r="10" spans="2:16" ht="15" customHeight="1">
      <c r="B10" s="43">
        <v>1</v>
      </c>
      <c r="C10" s="1213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13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13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13" t="s">
        <v>431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13">
        <v>44256</v>
      </c>
      <c r="D14" s="68"/>
      <c r="E14" s="69"/>
      <c r="F14" s="49">
        <f t="shared" ref="F14:F20" si="0">+H13</f>
        <v>0</v>
      </c>
      <c r="G14" s="50">
        <f>IF(B14="","",VLOOKUP($E$4,'Cant. Ejec,'!$E$5:$BB$101,17+B14*2+(B14-2),0))</f>
        <v>0</v>
      </c>
      <c r="H14" s="51">
        <f t="shared" ref="H14:H20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13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13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7"/>
    </row>
    <row r="17" spans="2:15" ht="15" customHeight="1">
      <c r="B17" s="72">
        <f>IF(Datos!$C$20&gt;'5'!B16,'5'!B16+1,"")</f>
        <v>8</v>
      </c>
      <c r="C17" s="1213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696"/>
      <c r="J17" s="1261"/>
      <c r="K17" s="1261"/>
      <c r="L17" s="1261"/>
      <c r="M17" s="1206"/>
      <c r="N17" s="217"/>
      <c r="O17" s="217"/>
    </row>
    <row r="18" spans="2:15" ht="15" customHeight="1">
      <c r="B18" s="72">
        <f>IF(Datos!$C$20&gt;'5'!B17,'5'!B17+1,"")</f>
        <v>9</v>
      </c>
      <c r="C18" s="1213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696"/>
      <c r="J18" s="1262"/>
      <c r="K18" s="1262"/>
      <c r="L18" s="1263"/>
    </row>
    <row r="19" spans="2:15" s="1343" customFormat="1" ht="42" customHeight="1">
      <c r="B19" s="816">
        <f>IF(Datos!$C$20&gt;'5'!B18,'5'!B18+1,"")</f>
        <v>10</v>
      </c>
      <c r="C19" s="1212">
        <v>44409</v>
      </c>
      <c r="D19" s="817">
        <v>33950</v>
      </c>
      <c r="E19" s="818">
        <v>34600</v>
      </c>
      <c r="F19" s="819">
        <f t="shared" si="0"/>
        <v>0</v>
      </c>
      <c r="G19" s="820">
        <f>IF(B19="","",VLOOKUP($E$4,'Cant. Ejec,'!$E$5:$BB$101,17+B19*2+(B19-2),0))</f>
        <v>650</v>
      </c>
      <c r="H19" s="821">
        <f t="shared" si="1"/>
        <v>650</v>
      </c>
      <c r="I19" s="815" t="s">
        <v>624</v>
      </c>
    </row>
    <row r="20" spans="2:15" s="1343" customFormat="1" ht="27.95" customHeight="1">
      <c r="B20" s="816">
        <f>IF(Datos!$C$20&gt;'5'!B19,'5'!B19+1,"")</f>
        <v>11</v>
      </c>
      <c r="C20" s="1212">
        <v>44440</v>
      </c>
      <c r="D20" s="817">
        <v>34400</v>
      </c>
      <c r="E20" s="818">
        <v>37760</v>
      </c>
      <c r="F20" s="819">
        <f t="shared" si="0"/>
        <v>650</v>
      </c>
      <c r="G20" s="820">
        <f>IF(B20="","",VLOOKUP($E$4,'Cant. Ejec,'!$E$5:$BB$101,17+B20*2+(B20-2),0))</f>
        <v>4015</v>
      </c>
      <c r="H20" s="821">
        <f t="shared" si="1"/>
        <v>4665</v>
      </c>
      <c r="I20" s="815" t="s">
        <v>645</v>
      </c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IF(Datos!$C$20&gt;'5'!B50,'5'!B50+1,"")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3" t="str">
        <f>IF(Datos!$C$20&gt;'5'!B51,'5'!B51+1,"")</f>
        <v/>
      </c>
      <c r="C50" s="73"/>
      <c r="D50" s="70"/>
      <c r="E50" s="71"/>
      <c r="F50" s="52"/>
      <c r="G50" s="53" t="str">
        <f>IF(B50="","",VLOOKUP($E$4,'Cant. Ejec,'!$E$5:$BB$101,17+B50*2+(B50-2),0))</f>
        <v/>
      </c>
      <c r="H50" s="54"/>
      <c r="I50" s="42"/>
    </row>
    <row r="51" spans="2:9" ht="15" customHeight="1">
      <c r="B51" s="1937" t="s">
        <v>92</v>
      </c>
      <c r="C51" s="1938"/>
      <c r="D51" s="1938"/>
      <c r="E51" s="1939"/>
      <c r="F51" s="55">
        <f>+MAX(F10:F50)</f>
        <v>650</v>
      </c>
      <c r="G51" s="56">
        <f>+H51-F51</f>
        <v>4015</v>
      </c>
      <c r="H51" s="57">
        <f>+MAX(H10:H50)</f>
        <v>4665</v>
      </c>
      <c r="I51" s="44"/>
    </row>
    <row r="52" spans="2:9" ht="15" customHeight="1">
      <c r="B52" s="1940" t="s">
        <v>34</v>
      </c>
      <c r="C52" s="1941"/>
      <c r="D52" s="1941"/>
      <c r="E52" s="1942"/>
      <c r="F52" s="712">
        <f>ROUND((F51/I6),4)</f>
        <v>4.8599999999999997E-2</v>
      </c>
      <c r="G52" s="713">
        <f>ROUND((G51/I6),4)</f>
        <v>0.30030000000000001</v>
      </c>
      <c r="H52" s="714">
        <f>ROUND((H51/I6),4)</f>
        <v>0.34889999999999999</v>
      </c>
      <c r="I52" s="45"/>
    </row>
    <row r="53" spans="2:9" ht="15" customHeight="1">
      <c r="B53" s="61" t="s">
        <v>12</v>
      </c>
      <c r="C53" s="1211"/>
      <c r="D53" s="58"/>
      <c r="E53" s="58"/>
      <c r="F53" s="59"/>
      <c r="G53" s="61" t="s">
        <v>8</v>
      </c>
      <c r="H53" s="58"/>
      <c r="I53" s="59"/>
    </row>
    <row r="54" spans="2:9">
      <c r="B54" s="36"/>
      <c r="C54" s="60"/>
      <c r="D54" s="60"/>
      <c r="E54" s="60"/>
      <c r="F54" s="37"/>
      <c r="G54" s="36"/>
      <c r="H54" s="60"/>
      <c r="I54" s="37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1934" t="str">
        <f>+Datos!B15</f>
        <v>Ing. Ernesto Vargas Amezaga</v>
      </c>
      <c r="C57" s="1935"/>
      <c r="D57" s="1935"/>
      <c r="E57" s="1935"/>
      <c r="F57" s="1936"/>
      <c r="G57" s="1934" t="str">
        <f>+Datos!B7</f>
        <v>Ing. Pedro Alberto Barreto Gutierrez</v>
      </c>
      <c r="H57" s="1935"/>
      <c r="I57" s="1936"/>
    </row>
    <row r="58" spans="2:9">
      <c r="B58" s="1931" t="str">
        <f>+Datos!B16</f>
        <v>SUPERINTENDENTE DE OBRA a.i.</v>
      </c>
      <c r="C58" s="1932"/>
      <c r="D58" s="1932"/>
      <c r="E58" s="1932"/>
      <c r="F58" s="1933"/>
      <c r="G58" s="1931" t="str">
        <f>+Datos!B8</f>
        <v xml:space="preserve">GERENTE SUPERVISION TECNICA </v>
      </c>
      <c r="H58" s="1932"/>
      <c r="I58" s="1933"/>
    </row>
  </sheetData>
  <mergeCells count="14">
    <mergeCell ref="B51:E51"/>
    <mergeCell ref="B52:E52"/>
    <mergeCell ref="B57:F57"/>
    <mergeCell ref="G57:I57"/>
    <mergeCell ref="B58:F58"/>
    <mergeCell ref="G58:I58"/>
    <mergeCell ref="B1:C1"/>
    <mergeCell ref="D1:I2"/>
    <mergeCell ref="D3:I3"/>
    <mergeCell ref="B8:B9"/>
    <mergeCell ref="C8:C9"/>
    <mergeCell ref="D8:E8"/>
    <mergeCell ref="F8:H8"/>
    <mergeCell ref="I8:I9"/>
  </mergeCells>
  <printOptions horizontalCentered="1"/>
  <pageMargins left="0.78740157480314965" right="0.59055118110236227" top="0.59055118110236227" bottom="0.59055118110236227" header="0.31496062992125984" footer="0.31496062992125984"/>
  <pageSetup scale="81" fitToHeight="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tabColor rgb="FFFF0000"/>
    <pageSetUpPr fitToPage="1"/>
  </sheetPr>
  <dimension ref="B1:P61"/>
  <sheetViews>
    <sheetView showGridLines="0" view="pageBreakPreview" topLeftCell="A34" zoomScaleNormal="100" zoomScaleSheetLayoutView="100" workbookViewId="0">
      <selection activeCell="D24" sqref="D24"/>
    </sheetView>
  </sheetViews>
  <sheetFormatPr baseColWidth="10" defaultColWidth="11.42578125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50" t="s">
        <v>77</v>
      </c>
      <c r="C1" s="1951"/>
      <c r="D1" s="1920" t="s">
        <v>477</v>
      </c>
      <c r="E1" s="1921"/>
      <c r="F1" s="1921"/>
      <c r="G1" s="1921"/>
      <c r="H1" s="1921"/>
      <c r="I1" s="1922"/>
    </row>
    <row r="2" spans="2:16" ht="13.5" customHeight="1">
      <c r="B2" s="676"/>
      <c r="C2" s="1208"/>
      <c r="D2" s="1923"/>
      <c r="E2" s="1924"/>
      <c r="F2" s="1924"/>
      <c r="G2" s="1924"/>
      <c r="H2" s="1924"/>
      <c r="I2" s="1925"/>
    </row>
    <row r="3" spans="2:16">
      <c r="B3" s="39"/>
      <c r="C3" s="1214"/>
      <c r="D3" s="1926" t="s">
        <v>31</v>
      </c>
      <c r="E3" s="1927"/>
      <c r="F3" s="1927"/>
      <c r="G3" s="1927"/>
      <c r="H3" s="1927"/>
      <c r="I3" s="1928"/>
    </row>
    <row r="4" spans="2:16">
      <c r="B4" s="36"/>
      <c r="C4" s="60"/>
      <c r="D4" s="39" t="s">
        <v>35</v>
      </c>
      <c r="E4" s="62">
        <v>74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MEDIDAS DE MITIGACION AMBIENTAL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GLB</v>
      </c>
      <c r="F6" s="1209"/>
      <c r="G6" s="65"/>
      <c r="H6" s="279" t="s">
        <v>180</v>
      </c>
      <c r="I6" s="596">
        <f>+VLOOKUP(E4,'Planilla de Avance'!E10:J112,5,)</f>
        <v>1</v>
      </c>
    </row>
    <row r="8" spans="2:16" ht="15" customHeight="1">
      <c r="B8" s="1929" t="s">
        <v>30</v>
      </c>
      <c r="C8" s="1929" t="s">
        <v>38</v>
      </c>
      <c r="D8" s="1948" t="s">
        <v>27</v>
      </c>
      <c r="E8" s="1949"/>
      <c r="F8" s="1943" t="s">
        <v>10</v>
      </c>
      <c r="G8" s="1944"/>
      <c r="H8" s="1945"/>
      <c r="I8" s="1946" t="s">
        <v>11</v>
      </c>
    </row>
    <row r="9" spans="2:16" ht="15" customHeight="1">
      <c r="B9" s="1930"/>
      <c r="C9" s="1930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947"/>
    </row>
    <row r="10" spans="2:16" ht="15" customHeight="1">
      <c r="B10" s="43">
        <v>1</v>
      </c>
      <c r="C10" s="1213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13">
        <v>44105</v>
      </c>
      <c r="D11" s="68"/>
      <c r="E11" s="69"/>
      <c r="F11" s="49">
        <v>0</v>
      </c>
      <c r="G11" s="50">
        <f>IF(B11="","",VLOOKUP($E$4,'Cant. Ejec,'!$E$5:$BB$101,17+B11*2+(B11-2),0))</f>
        <v>0.04</v>
      </c>
      <c r="H11" s="51">
        <f>+F11+G11</f>
        <v>0.04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13">
        <v>44136</v>
      </c>
      <c r="D12" s="68"/>
      <c r="E12" s="69"/>
      <c r="F12" s="49">
        <f>+H11</f>
        <v>0.04</v>
      </c>
      <c r="G12" s="50">
        <f>IF(B12="","",VLOOKUP($E$4,'Cant. Ejec,'!$E$5:$BB$101,17+B12*2+(B12-2),0))</f>
        <v>0</v>
      </c>
      <c r="H12" s="51">
        <f>+F12+G12</f>
        <v>0.04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13" t="s">
        <v>431</v>
      </c>
      <c r="D13" s="68"/>
      <c r="E13" s="69"/>
      <c r="F13" s="49">
        <f>+H12</f>
        <v>0.04</v>
      </c>
      <c r="G13" s="50">
        <f>IF(B13="","",VLOOKUP($E$4,'Cant. Ejec,'!$E$5:$BB$101,17+B13*2+(B13-2),0))</f>
        <v>0</v>
      </c>
      <c r="H13" s="51">
        <f>+F13+G13</f>
        <v>0.04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13">
        <v>44256</v>
      </c>
      <c r="D14" s="68"/>
      <c r="E14" s="69"/>
      <c r="F14" s="49">
        <f t="shared" ref="F14:F20" si="0">+H13</f>
        <v>0.04</v>
      </c>
      <c r="G14" s="50">
        <f>IF(B14="","",VLOOKUP($E$4,'Cant. Ejec,'!$E$5:$BB$101,17+B14*2+(B14-2),0))</f>
        <v>0</v>
      </c>
      <c r="H14" s="51">
        <f t="shared" ref="H14:H20" si="1">+F14+G14</f>
        <v>0.04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13">
        <v>44287</v>
      </c>
      <c r="D15" s="68"/>
      <c r="E15" s="69"/>
      <c r="F15" s="49">
        <f t="shared" si="0"/>
        <v>0.04</v>
      </c>
      <c r="G15" s="50">
        <f>IF(B15="","",VLOOKUP($E$4,'Cant. Ejec,'!$E$5:$BB$101,17+B15*2+(B15-2),0))</f>
        <v>0</v>
      </c>
      <c r="H15" s="51">
        <f t="shared" si="1"/>
        <v>0.04</v>
      </c>
      <c r="I15" s="41"/>
    </row>
    <row r="16" spans="2:16" ht="15" customHeight="1">
      <c r="B16" s="72">
        <f>IF(Datos!$C$20&gt;'5'!B15,'5'!B15+1,"")</f>
        <v>7</v>
      </c>
      <c r="C16" s="1213">
        <v>44317</v>
      </c>
      <c r="D16" s="68"/>
      <c r="E16" s="69"/>
      <c r="F16" s="49">
        <f t="shared" si="0"/>
        <v>0.04</v>
      </c>
      <c r="G16" s="50">
        <f>IF(B16="","",VLOOKUP($E$4,'Cant. Ejec,'!$E$5:$BB$101,17+B16*2+(B16-2),0))</f>
        <v>0</v>
      </c>
      <c r="H16" s="51">
        <f t="shared" si="1"/>
        <v>0.04</v>
      </c>
      <c r="I16" s="41"/>
      <c r="M16" s="217"/>
    </row>
    <row r="17" spans="2:15" ht="15" customHeight="1">
      <c r="B17" s="72">
        <f>IF(Datos!$C$20&gt;'5'!B16,'5'!B16+1,"")</f>
        <v>8</v>
      </c>
      <c r="C17" s="1213">
        <v>44348</v>
      </c>
      <c r="D17" s="68"/>
      <c r="E17" s="69"/>
      <c r="F17" s="49">
        <f t="shared" si="0"/>
        <v>0.04</v>
      </c>
      <c r="G17" s="50">
        <f>IF(B17="","",VLOOKUP($E$4,'Cant. Ejec,'!$E$5:$BB$101,17+B17*2+(B17-2),0))</f>
        <v>0</v>
      </c>
      <c r="H17" s="51">
        <f t="shared" si="1"/>
        <v>0.04</v>
      </c>
      <c r="I17" s="41"/>
      <c r="M17" s="217"/>
      <c r="N17" s="217"/>
      <c r="O17" s="217"/>
    </row>
    <row r="18" spans="2:15" ht="15" customHeight="1">
      <c r="B18" s="72">
        <f>IF(Datos!$C$20&gt;'5'!B17,'5'!B17+1,"")</f>
        <v>9</v>
      </c>
      <c r="C18" s="1213">
        <v>44378</v>
      </c>
      <c r="D18" s="68"/>
      <c r="E18" s="69"/>
      <c r="F18" s="49">
        <f t="shared" si="0"/>
        <v>0.04</v>
      </c>
      <c r="G18" s="50">
        <f>IF(B18="","",VLOOKUP($E$4,'Cant. Ejec,'!$E$5:$BB$101,17+B18*2+(B18-2),0))</f>
        <v>0</v>
      </c>
      <c r="H18" s="51">
        <f t="shared" si="1"/>
        <v>0.04</v>
      </c>
      <c r="I18" s="41"/>
    </row>
    <row r="19" spans="2:15" ht="15" customHeight="1">
      <c r="B19" s="72">
        <f>IF(Datos!$C$20&gt;'5'!B18,'5'!B18+1,"")</f>
        <v>10</v>
      </c>
      <c r="C19" s="1213">
        <v>44409</v>
      </c>
      <c r="D19" s="68"/>
      <c r="E19" s="69"/>
      <c r="F19" s="49">
        <f t="shared" si="0"/>
        <v>0.04</v>
      </c>
      <c r="G19" s="50">
        <f>IF(B19="","",VLOOKUP($E$4,'Cant. Ejec,'!$E$5:$BB$101,17+B19*2+(B19-2),0))</f>
        <v>0.01</v>
      </c>
      <c r="H19" s="51">
        <f t="shared" si="1"/>
        <v>0.05</v>
      </c>
      <c r="I19" s="41"/>
    </row>
    <row r="20" spans="2:15" ht="15" customHeight="1">
      <c r="B20" s="72">
        <f>IF(Datos!$C$20&gt;'5'!B19,'5'!B19+1,"")</f>
        <v>11</v>
      </c>
      <c r="C20" s="1213">
        <v>44440</v>
      </c>
      <c r="D20" s="68"/>
      <c r="E20" s="69"/>
      <c r="F20" s="49">
        <f t="shared" si="0"/>
        <v>0.05</v>
      </c>
      <c r="G20" s="50">
        <f>IF(B20="","",VLOOKUP($E$4,'Cant. Ejec,'!$E$5:$BB$101,17+B20*2+(B20-2),0))</f>
        <v>0.03</v>
      </c>
      <c r="H20" s="51">
        <f t="shared" si="1"/>
        <v>0.08</v>
      </c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/>
      <c r="C43" s="72"/>
      <c r="D43" s="68"/>
      <c r="E43" s="69"/>
      <c r="F43" s="49"/>
      <c r="G43" s="50"/>
      <c r="H43" s="51"/>
      <c r="I43" s="41"/>
    </row>
    <row r="44" spans="2:9" ht="15" customHeight="1">
      <c r="B44" s="72" t="str">
        <f>IF(Datos!$C$20&gt;'5'!B42,'5'!B42+1,"")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IF(Datos!$C$20&gt;'5'!B43,'5'!B43+1,"")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IF(Datos!$C$20&gt;'5'!B44,'5'!B44+1,"")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IF(Datos!$C$20&gt;'5'!B45,'5'!B45+1,"")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IF(Datos!$C$20&gt;'5'!B46,'5'!B46+1,"")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IF(Datos!$C$20&gt;'5'!B47,'5'!B47+1,"")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IF(Datos!$C$20&gt;'5'!B48,'5'!B48+1,"")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IF(Datos!$C$20&gt;'5'!B49,'5'!B49+1,"")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2" t="str">
        <f>IF(Datos!$C$20&gt;'5'!B50,'5'!B50+1,"")</f>
        <v/>
      </c>
      <c r="C52" s="72"/>
      <c r="D52" s="68"/>
      <c r="E52" s="69"/>
      <c r="F52" s="49"/>
      <c r="G52" s="50" t="str">
        <f>IF(B52="","",VLOOKUP($E$4,'Cant. Ejec,'!$E$5:$BB$101,17+B52*2+(B52-2),0))</f>
        <v/>
      </c>
      <c r="H52" s="51"/>
      <c r="I52" s="41"/>
    </row>
    <row r="53" spans="2:9" ht="15" customHeight="1">
      <c r="B53" s="73" t="str">
        <f>IF(Datos!$C$20&gt;'5'!B51,'5'!B51+1,"")</f>
        <v/>
      </c>
      <c r="C53" s="73"/>
      <c r="D53" s="70"/>
      <c r="E53" s="71"/>
      <c r="F53" s="52"/>
      <c r="G53" s="53" t="str">
        <f>IF(B53="","",VLOOKUP($E$4,'Cant. Ejec,'!$E$5:$BB$101,17+B53*2+(B53-2),0))</f>
        <v/>
      </c>
      <c r="H53" s="54"/>
      <c r="I53" s="42"/>
    </row>
    <row r="54" spans="2:9" ht="15" customHeight="1">
      <c r="B54" s="1937" t="s">
        <v>92</v>
      </c>
      <c r="C54" s="1938"/>
      <c r="D54" s="1938"/>
      <c r="E54" s="1939"/>
      <c r="F54" s="55">
        <f>+MAX(F10:F53)</f>
        <v>0.05</v>
      </c>
      <c r="G54" s="56">
        <f>+H54-F54</f>
        <v>0.03</v>
      </c>
      <c r="H54" s="57">
        <f>+MAX(H10:H53)</f>
        <v>0.08</v>
      </c>
      <c r="I54" s="44"/>
    </row>
    <row r="55" spans="2:9" ht="15" customHeight="1">
      <c r="B55" s="1940" t="s">
        <v>34</v>
      </c>
      <c r="C55" s="1941"/>
      <c r="D55" s="1941"/>
      <c r="E55" s="1942"/>
      <c r="F55" s="712">
        <f>ROUND((F54/I6),4)</f>
        <v>0.05</v>
      </c>
      <c r="G55" s="713">
        <f>ROUND((G54/I6),4)</f>
        <v>0.03</v>
      </c>
      <c r="H55" s="714">
        <f>ROUND((H54/I6),4)</f>
        <v>0.08</v>
      </c>
      <c r="I55" s="45"/>
    </row>
    <row r="56" spans="2:9" ht="15" customHeight="1">
      <c r="B56" s="61" t="s">
        <v>12</v>
      </c>
      <c r="C56" s="1211"/>
      <c r="D56" s="58"/>
      <c r="E56" s="58"/>
      <c r="F56" s="59"/>
      <c r="G56" s="61" t="s">
        <v>8</v>
      </c>
      <c r="H56" s="58"/>
      <c r="I56" s="59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36"/>
      <c r="C59" s="60"/>
      <c r="D59" s="60"/>
      <c r="E59" s="60"/>
      <c r="F59" s="37"/>
      <c r="G59" s="36"/>
      <c r="H59" s="60"/>
      <c r="I59" s="37"/>
    </row>
    <row r="60" spans="2:9">
      <c r="B60" s="1934" t="str">
        <f>+Datos!B15</f>
        <v>Ing. Ernesto Vargas Amezaga</v>
      </c>
      <c r="C60" s="1935"/>
      <c r="D60" s="1935"/>
      <c r="E60" s="1935"/>
      <c r="F60" s="1936"/>
      <c r="G60" s="1934" t="str">
        <f>+Datos!B7</f>
        <v>Ing. Pedro Alberto Barreto Gutierrez</v>
      </c>
      <c r="H60" s="1935"/>
      <c r="I60" s="1936"/>
    </row>
    <row r="61" spans="2:9">
      <c r="B61" s="1931" t="str">
        <f>+Datos!B16</f>
        <v>SUPERINTENDENTE DE OBRA a.i.</v>
      </c>
      <c r="C61" s="1932"/>
      <c r="D61" s="1932"/>
      <c r="E61" s="1932"/>
      <c r="F61" s="1933"/>
      <c r="G61" s="1931" t="str">
        <f>+Datos!B8</f>
        <v xml:space="preserve">GERENTE SUPERVISION TECNICA </v>
      </c>
      <c r="H61" s="1932"/>
      <c r="I61" s="1933"/>
    </row>
  </sheetData>
  <mergeCells count="14">
    <mergeCell ref="B54:E54"/>
    <mergeCell ref="B55:E55"/>
    <mergeCell ref="B60:F60"/>
    <mergeCell ref="G60:I60"/>
    <mergeCell ref="B61:F61"/>
    <mergeCell ref="G61:I61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1" fitToHeight="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7">
    <tabColor rgb="FFFF0000"/>
    <pageSetUpPr fitToPage="1"/>
  </sheetPr>
  <dimension ref="B1:P61"/>
  <sheetViews>
    <sheetView showGridLines="0" view="pageBreakPreview" zoomScaleNormal="100" zoomScaleSheetLayoutView="100" workbookViewId="0">
      <selection activeCell="D24" sqref="D24"/>
    </sheetView>
  </sheetViews>
  <sheetFormatPr baseColWidth="10" defaultColWidth="11.42578125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50" t="s">
        <v>77</v>
      </c>
      <c r="C1" s="1951"/>
      <c r="D1" s="1920" t="s">
        <v>477</v>
      </c>
      <c r="E1" s="1921"/>
      <c r="F1" s="1921"/>
      <c r="G1" s="1921"/>
      <c r="H1" s="1921"/>
      <c r="I1" s="1922"/>
    </row>
    <row r="2" spans="2:16" ht="13.5" customHeight="1">
      <c r="B2" s="879"/>
      <c r="C2" s="1208"/>
      <c r="D2" s="1923"/>
      <c r="E2" s="1924"/>
      <c r="F2" s="1924"/>
      <c r="G2" s="1924"/>
      <c r="H2" s="1924"/>
      <c r="I2" s="1925"/>
    </row>
    <row r="3" spans="2:16">
      <c r="B3" s="39"/>
      <c r="C3" s="1214"/>
      <c r="D3" s="1926" t="s">
        <v>31</v>
      </c>
      <c r="E3" s="1927"/>
      <c r="F3" s="1927"/>
      <c r="G3" s="1927"/>
      <c r="H3" s="1927"/>
      <c r="I3" s="1928"/>
    </row>
    <row r="4" spans="2:16">
      <c r="B4" s="36"/>
      <c r="C4" s="60"/>
      <c r="D4" s="39" t="s">
        <v>35</v>
      </c>
      <c r="E4" s="62">
        <v>75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 xml:space="preserve">SERVICIO DE ALIMENTACION                             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H*D</v>
      </c>
      <c r="F6" s="1209"/>
      <c r="G6" s="65"/>
      <c r="H6" s="279" t="s">
        <v>180</v>
      </c>
      <c r="I6" s="596">
        <f>+VLOOKUP(E4,'Planilla de Avance'!E10:J112,5,)</f>
        <v>11316.9</v>
      </c>
    </row>
    <row r="8" spans="2:16" ht="15" customHeight="1">
      <c r="B8" s="1929" t="s">
        <v>30</v>
      </c>
      <c r="C8" s="1929" t="s">
        <v>38</v>
      </c>
      <c r="D8" s="1948" t="s">
        <v>27</v>
      </c>
      <c r="E8" s="1949"/>
      <c r="F8" s="1943" t="s">
        <v>10</v>
      </c>
      <c r="G8" s="1944"/>
      <c r="H8" s="1945"/>
      <c r="I8" s="1946" t="s">
        <v>11</v>
      </c>
    </row>
    <row r="9" spans="2:16" ht="15" customHeight="1">
      <c r="B9" s="1930"/>
      <c r="C9" s="1930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947"/>
    </row>
    <row r="10" spans="2:16" ht="15" customHeight="1">
      <c r="B10" s="808">
        <v>1</v>
      </c>
      <c r="C10" s="1212">
        <v>44075</v>
      </c>
      <c r="D10" s="809"/>
      <c r="E10" s="810"/>
      <c r="F10" s="1440"/>
      <c r="G10" s="1441">
        <f>IF(B10="","",VLOOKUP($E$4,'Cant. Ejec,'!$E$5:$BB$101,17+B10*2+(B10-2),0))</f>
        <v>0</v>
      </c>
      <c r="H10" s="1442">
        <f>+F10+G10</f>
        <v>0</v>
      </c>
      <c r="I10" s="1443"/>
    </row>
    <row r="11" spans="2:16" ht="15" customHeight="1">
      <c r="B11" s="816">
        <f>IF(Datos!$C$20&gt;'5'!B10,'5'!B10+1,"")</f>
        <v>2</v>
      </c>
      <c r="C11" s="1212">
        <v>44105</v>
      </c>
      <c r="D11" s="817"/>
      <c r="E11" s="818"/>
      <c r="F11" s="819">
        <v>0</v>
      </c>
      <c r="G11" s="820">
        <f>IF(B11="","",VLOOKUP($E$4,'Cant. Ejec,'!$E$5:$BB$101,17+B11*2+(B11-2),0))</f>
        <v>0</v>
      </c>
      <c r="H11" s="821">
        <f>+F11+G11</f>
        <v>0</v>
      </c>
      <c r="I11" s="1444"/>
      <c r="L11" s="217"/>
      <c r="M11" s="217"/>
    </row>
    <row r="12" spans="2:16" ht="15" customHeight="1">
      <c r="B12" s="816">
        <f>IF(Datos!$C$20&gt;'5'!B11,'5'!B11+1,"")</f>
        <v>3</v>
      </c>
      <c r="C12" s="1212">
        <v>44136</v>
      </c>
      <c r="D12" s="817"/>
      <c r="E12" s="818"/>
      <c r="F12" s="819">
        <f>+H11</f>
        <v>0</v>
      </c>
      <c r="G12" s="820">
        <f>IF(B12="","",VLOOKUP($E$4,'Cant. Ejec,'!$E$5:$BB$101,17+B12*2+(B12-2),0))</f>
        <v>0</v>
      </c>
      <c r="H12" s="821">
        <f>+F12+G12</f>
        <v>0</v>
      </c>
      <c r="I12" s="1444"/>
      <c r="L12" s="217"/>
      <c r="M12" s="217"/>
      <c r="N12" s="217"/>
    </row>
    <row r="13" spans="2:16" ht="15" customHeight="1">
      <c r="B13" s="816">
        <f>IF(Datos!$C$20&gt;'5'!B12,'5'!B12+1,"")</f>
        <v>4</v>
      </c>
      <c r="C13" s="1212" t="s">
        <v>431</v>
      </c>
      <c r="D13" s="817"/>
      <c r="E13" s="818"/>
      <c r="F13" s="819">
        <f>+H12</f>
        <v>0</v>
      </c>
      <c r="G13" s="820">
        <f>IF(B13="","",VLOOKUP($E$4,'Cant. Ejec,'!$E$5:$BB$101,17+B13*2+(B13-2),0))</f>
        <v>0</v>
      </c>
      <c r="H13" s="821">
        <f>+F13+G13</f>
        <v>0</v>
      </c>
      <c r="I13" s="1444"/>
      <c r="L13" s="217"/>
      <c r="P13" s="217"/>
    </row>
    <row r="14" spans="2:16" ht="15" customHeight="1">
      <c r="B14" s="816">
        <f>IF(Datos!$C$20&gt;'5'!B13,'5'!B13+1,"")</f>
        <v>5</v>
      </c>
      <c r="C14" s="1212">
        <v>44256</v>
      </c>
      <c r="D14" s="817"/>
      <c r="E14" s="818"/>
      <c r="F14" s="819">
        <f t="shared" ref="F14:F20" si="0">+H13</f>
        <v>0</v>
      </c>
      <c r="G14" s="820">
        <f>IF(B14="","",VLOOKUP($E$4,'Cant. Ejec,'!$E$5:$BB$101,17+B14*2+(B14-2),0))</f>
        <v>0</v>
      </c>
      <c r="H14" s="821">
        <f t="shared" ref="H14:H20" si="1">+F14+G14</f>
        <v>0</v>
      </c>
      <c r="I14" s="1444"/>
      <c r="L14" s="217"/>
      <c r="M14" s="217"/>
      <c r="N14" s="217"/>
      <c r="O14" s="217"/>
      <c r="P14" s="217"/>
    </row>
    <row r="15" spans="2:16" ht="15" customHeight="1">
      <c r="B15" s="816">
        <f>IF(Datos!$C$20&gt;'5'!B14,'5'!B14+1,"")</f>
        <v>6</v>
      </c>
      <c r="C15" s="1212">
        <v>44287</v>
      </c>
      <c r="D15" s="817"/>
      <c r="E15" s="818"/>
      <c r="F15" s="819">
        <f t="shared" si="0"/>
        <v>0</v>
      </c>
      <c r="G15" s="820">
        <f>IF(B15="","",VLOOKUP($E$4,'Cant. Ejec,'!$E$5:$BB$101,17+B15*2+(B15-2),0))</f>
        <v>0</v>
      </c>
      <c r="H15" s="821">
        <f t="shared" si="1"/>
        <v>0</v>
      </c>
      <c r="I15" s="1444"/>
    </row>
    <row r="16" spans="2:16" ht="15" customHeight="1">
      <c r="B16" s="816">
        <f>IF(Datos!$C$20&gt;'5'!B15,'5'!B15+1,"")</f>
        <v>7</v>
      </c>
      <c r="C16" s="1212">
        <v>44317</v>
      </c>
      <c r="D16" s="817"/>
      <c r="E16" s="818"/>
      <c r="F16" s="819">
        <f t="shared" si="0"/>
        <v>0</v>
      </c>
      <c r="G16" s="820">
        <f>IF(B16="","",VLOOKUP($E$4,'Cant. Ejec,'!$E$5:$BB$101,17+B16*2+(B16-2),0))</f>
        <v>76</v>
      </c>
      <c r="H16" s="821">
        <f t="shared" si="1"/>
        <v>76</v>
      </c>
      <c r="I16" s="755" t="s">
        <v>599</v>
      </c>
      <c r="M16" s="217"/>
    </row>
    <row r="17" spans="2:15" ht="15" customHeight="1">
      <c r="B17" s="816">
        <f>IF(Datos!$C$20&gt;'5'!B16,'5'!B16+1,"")</f>
        <v>8</v>
      </c>
      <c r="C17" s="1212">
        <v>44348</v>
      </c>
      <c r="D17" s="817"/>
      <c r="E17" s="818"/>
      <c r="F17" s="819">
        <f t="shared" si="0"/>
        <v>76</v>
      </c>
      <c r="G17" s="820">
        <f>IF(B17="","",VLOOKUP($E$4,'Cant. Ejec,'!$E$5:$BB$101,17+B17*2+(B17-2),0))</f>
        <v>120</v>
      </c>
      <c r="H17" s="821">
        <f t="shared" si="1"/>
        <v>196</v>
      </c>
      <c r="I17" s="755" t="s">
        <v>600</v>
      </c>
      <c r="M17" s="217"/>
      <c r="N17" s="217"/>
      <c r="O17" s="217"/>
    </row>
    <row r="18" spans="2:15" ht="15" customHeight="1">
      <c r="B18" s="816">
        <f>IF(Datos!$C$20&gt;'5'!B17,'5'!B17+1,"")</f>
        <v>9</v>
      </c>
      <c r="C18" s="1212">
        <v>44378</v>
      </c>
      <c r="D18" s="817"/>
      <c r="E18" s="818"/>
      <c r="F18" s="819">
        <f t="shared" si="0"/>
        <v>196</v>
      </c>
      <c r="G18" s="820">
        <f>IF(B18="","",VLOOKUP($E$4,'Cant. Ejec,'!$E$5:$BB$101,17+B18*2+(B18-2),0))</f>
        <v>126.4</v>
      </c>
      <c r="H18" s="821">
        <f t="shared" si="1"/>
        <v>322.39999999999998</v>
      </c>
      <c r="I18" s="755" t="s">
        <v>601</v>
      </c>
    </row>
    <row r="19" spans="2:15" ht="15" customHeight="1">
      <c r="B19" s="816">
        <f>IF(Datos!$C$20&gt;'5'!B18,'5'!B18+1,"")</f>
        <v>10</v>
      </c>
      <c r="C19" s="1212">
        <v>44409</v>
      </c>
      <c r="D19" s="817"/>
      <c r="E19" s="818"/>
      <c r="F19" s="819">
        <f t="shared" si="0"/>
        <v>322.39999999999998</v>
      </c>
      <c r="G19" s="820">
        <f>IF(B19="","",VLOOKUP($E$4,'Cant. Ejec,'!$E$5:$BB$101,17+B19*2+(B19-2),0))</f>
        <v>124</v>
      </c>
      <c r="H19" s="821">
        <f t="shared" si="1"/>
        <v>446.4</v>
      </c>
      <c r="I19" s="755" t="s">
        <v>647</v>
      </c>
    </row>
    <row r="20" spans="2:15" ht="15" customHeight="1">
      <c r="B20" s="816">
        <f>IF(Datos!$C$20&gt;'5'!B19,'5'!B19+1,"")</f>
        <v>11</v>
      </c>
      <c r="C20" s="1212">
        <v>44440</v>
      </c>
      <c r="D20" s="817"/>
      <c r="E20" s="818"/>
      <c r="F20" s="819">
        <f t="shared" si="0"/>
        <v>446.4</v>
      </c>
      <c r="G20" s="820">
        <f>IF(B20="","",VLOOKUP($E$4,'Cant. Ejec,'!$E$5:$BB$101,17+B20*2+(B20-2),0))</f>
        <v>122.4</v>
      </c>
      <c r="H20" s="821">
        <f t="shared" si="1"/>
        <v>568.79999999999995</v>
      </c>
      <c r="I20" s="755" t="s">
        <v>646</v>
      </c>
    </row>
    <row r="21" spans="2:15" ht="15" customHeight="1">
      <c r="B21" s="816" t="str">
        <f>IF(Datos!$C$20&gt;'5'!B20,'5'!B20+1,"")</f>
        <v/>
      </c>
      <c r="C21" s="816"/>
      <c r="D21" s="817"/>
      <c r="E21" s="818"/>
      <c r="F21" s="819"/>
      <c r="G21" s="820" t="str">
        <f>IF(B21="","",VLOOKUP($E$4,'Cant. Ejec,'!$E$5:$BB$101,17+B21*2+(B21-2),0))</f>
        <v/>
      </c>
      <c r="H21" s="821"/>
      <c r="I21" s="1444"/>
      <c r="K21" s="217"/>
    </row>
    <row r="22" spans="2:15" ht="15" customHeight="1">
      <c r="B22" s="816" t="str">
        <f>IF(Datos!$C$20&gt;'5'!B21,'5'!B21+1,"")</f>
        <v/>
      </c>
      <c r="C22" s="816"/>
      <c r="D22" s="817"/>
      <c r="E22" s="818"/>
      <c r="F22" s="819"/>
      <c r="G22" s="820" t="str">
        <f>IF(B22="","",VLOOKUP($E$4,'Cant. Ejec,'!$E$5:$BB$101,17+B22*2+(B22-2),0))</f>
        <v/>
      </c>
      <c r="H22" s="821"/>
      <c r="I22" s="1444"/>
    </row>
    <row r="23" spans="2:15" ht="15" customHeight="1">
      <c r="B23" s="816"/>
      <c r="C23" s="816"/>
      <c r="D23" s="817"/>
      <c r="E23" s="818"/>
      <c r="F23" s="819"/>
      <c r="G23" s="820"/>
      <c r="H23" s="821"/>
      <c r="I23" s="1444"/>
    </row>
    <row r="24" spans="2:15" ht="15" customHeight="1">
      <c r="B24" s="816" t="str">
        <f>IF(Datos!$C$20&gt;'5'!B22,'5'!B22+1,"")</f>
        <v/>
      </c>
      <c r="C24" s="816"/>
      <c r="D24" s="817"/>
      <c r="E24" s="818"/>
      <c r="F24" s="819"/>
      <c r="G24" s="820" t="str">
        <f>IF(B24="","",VLOOKUP($E$4,'Cant. Ejec,'!$E$5:$BB$101,17+B24*2+(B24-2),0))</f>
        <v/>
      </c>
      <c r="H24" s="821"/>
      <c r="I24" s="1444"/>
    </row>
    <row r="25" spans="2:15" ht="15" customHeight="1">
      <c r="B25" s="816" t="str">
        <f>IF(Datos!$C$20&gt;'5'!B23,'5'!B23+1,"")</f>
        <v/>
      </c>
      <c r="C25" s="816"/>
      <c r="D25" s="817"/>
      <c r="E25" s="818"/>
      <c r="F25" s="819"/>
      <c r="G25" s="820" t="str">
        <f>IF(B25="","",VLOOKUP($E$4,'Cant. Ejec,'!$E$5:$BB$101,17+B25*2+(B25-2),0))</f>
        <v/>
      </c>
      <c r="H25" s="821"/>
      <c r="I25" s="1444"/>
    </row>
    <row r="26" spans="2:15" ht="15" customHeight="1">
      <c r="B26" s="816" t="str">
        <f>IF(Datos!$C$20&gt;'5'!B24,'5'!B24+1,"")</f>
        <v/>
      </c>
      <c r="C26" s="816"/>
      <c r="D26" s="817"/>
      <c r="E26" s="818"/>
      <c r="F26" s="819"/>
      <c r="G26" s="820" t="str">
        <f>IF(B26="","",VLOOKUP($E$4,'Cant. Ejec,'!$E$5:$BB$101,17+B26*2+(B26-2),0))</f>
        <v/>
      </c>
      <c r="H26" s="821"/>
      <c r="I26" s="1444"/>
    </row>
    <row r="27" spans="2:15" ht="15" customHeight="1">
      <c r="B27" s="816" t="str">
        <f>IF(Datos!$C$20&gt;'5'!B25,'5'!B25+1,"")</f>
        <v/>
      </c>
      <c r="C27" s="816"/>
      <c r="D27" s="817"/>
      <c r="E27" s="818"/>
      <c r="F27" s="819"/>
      <c r="G27" s="820" t="str">
        <f>IF(B27="","",VLOOKUP($E$4,'Cant. Ejec,'!$E$5:$BB$101,17+B27*2+(B27-2),0))</f>
        <v/>
      </c>
      <c r="H27" s="821"/>
      <c r="I27" s="1444"/>
    </row>
    <row r="28" spans="2:15" ht="15" customHeight="1">
      <c r="B28" s="816" t="str">
        <f>IF(Datos!$C$20&gt;'5'!B26,'5'!B26+1,"")</f>
        <v/>
      </c>
      <c r="C28" s="816"/>
      <c r="D28" s="817"/>
      <c r="E28" s="818"/>
      <c r="F28" s="819"/>
      <c r="G28" s="820" t="str">
        <f>IF(B28="","",VLOOKUP($E$4,'Cant. Ejec,'!$E$5:$BB$101,17+B28*2+(B28-2),0))</f>
        <v/>
      </c>
      <c r="H28" s="821"/>
      <c r="I28" s="1444"/>
    </row>
    <row r="29" spans="2:15" ht="15" customHeight="1">
      <c r="B29" s="816" t="str">
        <f>IF(Datos!$C$20&gt;'5'!B27,'5'!B27+1,"")</f>
        <v/>
      </c>
      <c r="C29" s="816"/>
      <c r="D29" s="817"/>
      <c r="E29" s="818"/>
      <c r="F29" s="819"/>
      <c r="G29" s="820" t="str">
        <f>IF(B29="","",VLOOKUP($E$4,'Cant. Ejec,'!$E$5:$BB$101,17+B29*2+(B29-2),0))</f>
        <v/>
      </c>
      <c r="H29" s="821"/>
      <c r="I29" s="1444"/>
    </row>
    <row r="30" spans="2:15" ht="15" customHeight="1">
      <c r="B30" s="816" t="str">
        <f>IF(Datos!$C$20&gt;'5'!B28,'5'!B28+1,"")</f>
        <v/>
      </c>
      <c r="C30" s="816"/>
      <c r="D30" s="817"/>
      <c r="E30" s="818"/>
      <c r="F30" s="819"/>
      <c r="G30" s="820" t="str">
        <f>IF(B30="","",VLOOKUP($E$4,'Cant. Ejec,'!$E$5:$BB$101,17+B30*2+(B30-2),0))</f>
        <v/>
      </c>
      <c r="H30" s="821"/>
      <c r="I30" s="1444"/>
    </row>
    <row r="31" spans="2:15" ht="15" customHeight="1">
      <c r="B31" s="816" t="str">
        <f>IF(Datos!$C$20&gt;'5'!B29,'5'!B29+1,"")</f>
        <v/>
      </c>
      <c r="C31" s="816"/>
      <c r="D31" s="817"/>
      <c r="E31" s="818"/>
      <c r="F31" s="819"/>
      <c r="G31" s="820" t="str">
        <f>IF(B31="","",VLOOKUP($E$4,'Cant. Ejec,'!$E$5:$BB$101,17+B31*2+(B31-2),0))</f>
        <v/>
      </c>
      <c r="H31" s="821"/>
      <c r="I31" s="1444"/>
    </row>
    <row r="32" spans="2:15" ht="15" customHeight="1">
      <c r="B32" s="816" t="str">
        <f>IF(Datos!$C$20&gt;'5'!B30,'5'!B30+1,"")</f>
        <v/>
      </c>
      <c r="C32" s="816"/>
      <c r="D32" s="817"/>
      <c r="E32" s="818"/>
      <c r="F32" s="819"/>
      <c r="G32" s="820" t="str">
        <f>IF(B32="","",VLOOKUP($E$4,'Cant. Ejec,'!$E$5:$BB$101,17+B32*2+(B32-2),0))</f>
        <v/>
      </c>
      <c r="H32" s="821"/>
      <c r="I32" s="1444"/>
    </row>
    <row r="33" spans="2:9" ht="15" customHeight="1">
      <c r="B33" s="816" t="str">
        <f>IF(Datos!$C$20&gt;'5'!B31,'5'!B31+1,"")</f>
        <v/>
      </c>
      <c r="C33" s="816"/>
      <c r="D33" s="817"/>
      <c r="E33" s="818"/>
      <c r="F33" s="819"/>
      <c r="G33" s="820" t="str">
        <f>IF(B33="","",VLOOKUP($E$4,'Cant. Ejec,'!$E$5:$BB$101,17+B33*2+(B33-2),0))</f>
        <v/>
      </c>
      <c r="H33" s="821"/>
      <c r="I33" s="1444"/>
    </row>
    <row r="34" spans="2:9" ht="15" customHeight="1">
      <c r="B34" s="816" t="str">
        <f>IF(Datos!$C$20&gt;'5'!B32,'5'!B32+1,"")</f>
        <v/>
      </c>
      <c r="C34" s="816"/>
      <c r="D34" s="817"/>
      <c r="E34" s="818"/>
      <c r="F34" s="819"/>
      <c r="G34" s="820" t="str">
        <f>IF(B34="","",VLOOKUP($E$4,'Cant. Ejec,'!$E$5:$BB$101,17+B34*2+(B34-2),0))</f>
        <v/>
      </c>
      <c r="H34" s="821"/>
      <c r="I34" s="1444"/>
    </row>
    <row r="35" spans="2:9" ht="15" customHeight="1">
      <c r="B35" s="816" t="str">
        <f>IF(Datos!$C$20&gt;'5'!B33,'5'!B33+1,"")</f>
        <v/>
      </c>
      <c r="C35" s="816"/>
      <c r="D35" s="817"/>
      <c r="E35" s="818"/>
      <c r="F35" s="819"/>
      <c r="G35" s="820" t="str">
        <f>IF(B35="","",VLOOKUP($E$4,'Cant. Ejec,'!$E$5:$BB$101,17+B35*2+(B35-2),0))</f>
        <v/>
      </c>
      <c r="H35" s="821"/>
      <c r="I35" s="1444"/>
    </row>
    <row r="36" spans="2:9" ht="15" customHeight="1">
      <c r="B36" s="816" t="str">
        <f>IF(Datos!$C$20&gt;'5'!B34,'5'!B34+1,"")</f>
        <v/>
      </c>
      <c r="C36" s="816"/>
      <c r="D36" s="817"/>
      <c r="E36" s="818"/>
      <c r="F36" s="819"/>
      <c r="G36" s="820" t="str">
        <f>IF(B36="","",VLOOKUP($E$4,'Cant. Ejec,'!$E$5:$BB$101,17+B36*2+(B36-2),0))</f>
        <v/>
      </c>
      <c r="H36" s="821"/>
      <c r="I36" s="1444"/>
    </row>
    <row r="37" spans="2:9" ht="15" customHeight="1">
      <c r="B37" s="816" t="str">
        <f>IF(Datos!$C$20&gt;'5'!B35,'5'!B35+1,"")</f>
        <v/>
      </c>
      <c r="C37" s="816"/>
      <c r="D37" s="817"/>
      <c r="E37" s="818"/>
      <c r="F37" s="819"/>
      <c r="G37" s="820" t="str">
        <f>IF(B37="","",VLOOKUP($E$4,'Cant. Ejec,'!$E$5:$BB$101,17+B37*2+(B37-2),0))</f>
        <v/>
      </c>
      <c r="H37" s="821"/>
      <c r="I37" s="1444"/>
    </row>
    <row r="38" spans="2:9" ht="15" customHeight="1">
      <c r="B38" s="816" t="str">
        <f>IF(Datos!$C$20&gt;'5'!B36,'5'!B36+1,"")</f>
        <v/>
      </c>
      <c r="C38" s="816"/>
      <c r="D38" s="817"/>
      <c r="E38" s="818"/>
      <c r="F38" s="819"/>
      <c r="G38" s="820" t="str">
        <f>IF(B38="","",VLOOKUP($E$4,'Cant. Ejec,'!$E$5:$BB$101,17+B38*2+(B38-2),0))</f>
        <v/>
      </c>
      <c r="H38" s="821"/>
      <c r="I38" s="1444"/>
    </row>
    <row r="39" spans="2:9" ht="15" customHeight="1">
      <c r="B39" s="816" t="str">
        <f>IF(Datos!$C$20&gt;'5'!B37,'5'!B37+1,"")</f>
        <v/>
      </c>
      <c r="C39" s="816"/>
      <c r="D39" s="817"/>
      <c r="E39" s="818"/>
      <c r="F39" s="819"/>
      <c r="G39" s="820" t="str">
        <f>IF(B39="","",VLOOKUP($E$4,'Cant. Ejec,'!$E$5:$BB$101,17+B39*2+(B39-2),0))</f>
        <v/>
      </c>
      <c r="H39" s="821"/>
      <c r="I39" s="1444"/>
    </row>
    <row r="40" spans="2:9" ht="15" customHeight="1">
      <c r="B40" s="816" t="str">
        <f>IF(Datos!$C$20&gt;'5'!B38,'5'!B38+1,"")</f>
        <v/>
      </c>
      <c r="C40" s="816"/>
      <c r="D40" s="817"/>
      <c r="E40" s="818"/>
      <c r="F40" s="819"/>
      <c r="G40" s="820" t="str">
        <f>IF(B40="","",VLOOKUP($E$4,'Cant. Ejec,'!$E$5:$BB$101,17+B40*2+(B40-2),0))</f>
        <v/>
      </c>
      <c r="H40" s="821"/>
      <c r="I40" s="1444"/>
    </row>
    <row r="41" spans="2:9" ht="15" customHeight="1">
      <c r="B41" s="816" t="str">
        <f>IF(Datos!$C$20&gt;'5'!B39,'5'!B39+1,"")</f>
        <v/>
      </c>
      <c r="C41" s="816"/>
      <c r="D41" s="817"/>
      <c r="E41" s="818"/>
      <c r="F41" s="819"/>
      <c r="G41" s="820" t="str">
        <f>IF(B41="","",VLOOKUP($E$4,'Cant. Ejec,'!$E$5:$BB$101,17+B41*2+(B41-2),0))</f>
        <v/>
      </c>
      <c r="H41" s="821"/>
      <c r="I41" s="1444"/>
    </row>
    <row r="42" spans="2:9" ht="15" customHeight="1">
      <c r="B42" s="816" t="str">
        <f>IF(Datos!$C$20&gt;'5'!B40,'5'!B40+1,"")</f>
        <v/>
      </c>
      <c r="C42" s="816"/>
      <c r="D42" s="817"/>
      <c r="E42" s="818"/>
      <c r="F42" s="819"/>
      <c r="G42" s="820" t="str">
        <f>IF(B42="","",VLOOKUP($E$4,'Cant. Ejec,'!$E$5:$BB$101,17+B42*2+(B42-2),0))</f>
        <v/>
      </c>
      <c r="H42" s="821"/>
      <c r="I42" s="1444"/>
    </row>
    <row r="43" spans="2:9" ht="15" customHeight="1">
      <c r="B43" s="816" t="str">
        <f>IF(Datos!$C$20&gt;'5'!B41,'5'!B41+1,"")</f>
        <v/>
      </c>
      <c r="C43" s="816"/>
      <c r="D43" s="817"/>
      <c r="E43" s="818"/>
      <c r="F43" s="819"/>
      <c r="G43" s="820" t="str">
        <f>IF(B43="","",VLOOKUP($E$4,'Cant. Ejec,'!$E$5:$BB$101,17+B43*2+(B43-2),0))</f>
        <v/>
      </c>
      <c r="H43" s="821"/>
      <c r="I43" s="1444"/>
    </row>
    <row r="44" spans="2:9" ht="15" customHeight="1">
      <c r="B44" s="816" t="str">
        <f>IF(Datos!$C$20&gt;'5'!B42,'5'!B42+1,"")</f>
        <v/>
      </c>
      <c r="C44" s="816"/>
      <c r="D44" s="817"/>
      <c r="E44" s="818"/>
      <c r="F44" s="819"/>
      <c r="G44" s="820" t="str">
        <f>IF(B44="","",VLOOKUP($E$4,'Cant. Ejec,'!$E$5:$BB$101,17+B44*2+(B44-2),0))</f>
        <v/>
      </c>
      <c r="H44" s="821"/>
      <c r="I44" s="1444"/>
    </row>
    <row r="45" spans="2:9" ht="15" customHeight="1">
      <c r="B45" s="816" t="str">
        <f>IF(Datos!$C$20&gt;'5'!B43,'5'!B43+1,"")</f>
        <v/>
      </c>
      <c r="C45" s="816"/>
      <c r="D45" s="817"/>
      <c r="E45" s="818"/>
      <c r="F45" s="819"/>
      <c r="G45" s="820" t="str">
        <f>IF(B45="","",VLOOKUP($E$4,'Cant. Ejec,'!$E$5:$BB$101,17+B45*2+(B45-2),0))</f>
        <v/>
      </c>
      <c r="H45" s="821"/>
      <c r="I45" s="1444"/>
    </row>
    <row r="46" spans="2:9" ht="15" customHeight="1">
      <c r="B46" s="816" t="str">
        <f>IF(Datos!$C$20&gt;'5'!B44,'5'!B44+1,"")</f>
        <v/>
      </c>
      <c r="C46" s="816"/>
      <c r="D46" s="817"/>
      <c r="E46" s="818"/>
      <c r="F46" s="819"/>
      <c r="G46" s="820" t="str">
        <f>IF(B46="","",VLOOKUP($E$4,'Cant. Ejec,'!$E$5:$BB$101,17+B46*2+(B46-2),0))</f>
        <v/>
      </c>
      <c r="H46" s="821"/>
      <c r="I46" s="1444"/>
    </row>
    <row r="47" spans="2:9" ht="15" customHeight="1">
      <c r="B47" s="816" t="str">
        <f>IF(Datos!$C$20&gt;'5'!B45,'5'!B45+1,"")</f>
        <v/>
      </c>
      <c r="C47" s="816"/>
      <c r="D47" s="817"/>
      <c r="E47" s="818"/>
      <c r="F47" s="819"/>
      <c r="G47" s="820" t="str">
        <f>IF(B47="","",VLOOKUP($E$4,'Cant. Ejec,'!$E$5:$BB$101,17+B47*2+(B47-2),0))</f>
        <v/>
      </c>
      <c r="H47" s="821"/>
      <c r="I47" s="1444"/>
    </row>
    <row r="48" spans="2:9" ht="15" customHeight="1">
      <c r="B48" s="816" t="str">
        <f>IF(Datos!$C$20&gt;'5'!B46,'5'!B46+1,"")</f>
        <v/>
      </c>
      <c r="C48" s="816"/>
      <c r="D48" s="817"/>
      <c r="E48" s="818"/>
      <c r="F48" s="819"/>
      <c r="G48" s="820" t="str">
        <f>IF(B48="","",VLOOKUP($E$4,'Cant. Ejec,'!$E$5:$BB$101,17+B48*2+(B48-2),0))</f>
        <v/>
      </c>
      <c r="H48" s="821"/>
      <c r="I48" s="1444"/>
    </row>
    <row r="49" spans="2:9" ht="15" customHeight="1">
      <c r="B49" s="816" t="str">
        <f>IF(Datos!$C$20&gt;'5'!B47,'5'!B47+1,"")</f>
        <v/>
      </c>
      <c r="C49" s="816"/>
      <c r="D49" s="817"/>
      <c r="E49" s="818"/>
      <c r="F49" s="819"/>
      <c r="G49" s="820" t="str">
        <f>IF(B49="","",VLOOKUP($E$4,'Cant. Ejec,'!$E$5:$BB$101,17+B49*2+(B49-2),0))</f>
        <v/>
      </c>
      <c r="H49" s="821"/>
      <c r="I49" s="1444"/>
    </row>
    <row r="50" spans="2:9" ht="15" customHeight="1">
      <c r="B50" s="816" t="str">
        <f>IF(Datos!$C$20&gt;'5'!B48,'5'!B48+1,"")</f>
        <v/>
      </c>
      <c r="C50" s="816"/>
      <c r="D50" s="817"/>
      <c r="E50" s="818"/>
      <c r="F50" s="819"/>
      <c r="G50" s="820" t="str">
        <f>IF(B50="","",VLOOKUP($E$4,'Cant. Ejec,'!$E$5:$BB$101,17+B50*2+(B50-2),0))</f>
        <v/>
      </c>
      <c r="H50" s="821"/>
      <c r="I50" s="1444"/>
    </row>
    <row r="51" spans="2:9" ht="15" customHeight="1">
      <c r="B51" s="816" t="str">
        <f>IF(Datos!$C$20&gt;'5'!B49,'5'!B49+1,"")</f>
        <v/>
      </c>
      <c r="C51" s="816"/>
      <c r="D51" s="817"/>
      <c r="E51" s="818"/>
      <c r="F51" s="819"/>
      <c r="G51" s="820" t="str">
        <f>IF(B51="","",VLOOKUP($E$4,'Cant. Ejec,'!$E$5:$BB$101,17+B51*2+(B51-2),0))</f>
        <v/>
      </c>
      <c r="H51" s="821"/>
      <c r="I51" s="1444"/>
    </row>
    <row r="52" spans="2:9" ht="15" customHeight="1">
      <c r="B52" s="816" t="str">
        <f>IF(Datos!$C$20&gt;'5'!B50,'5'!B50+1,"")</f>
        <v/>
      </c>
      <c r="C52" s="816"/>
      <c r="D52" s="817"/>
      <c r="E52" s="818"/>
      <c r="F52" s="819"/>
      <c r="G52" s="820" t="str">
        <f>IF(B52="","",VLOOKUP($E$4,'Cant. Ejec,'!$E$5:$BB$101,17+B52*2+(B52-2),0))</f>
        <v/>
      </c>
      <c r="H52" s="821"/>
      <c r="I52" s="1444"/>
    </row>
    <row r="53" spans="2:9" ht="15" customHeight="1">
      <c r="B53" s="1210" t="str">
        <f>IF(Datos!$C$20&gt;'5'!B51,'5'!B51+1,"")</f>
        <v/>
      </c>
      <c r="C53" s="1210"/>
      <c r="D53" s="1445"/>
      <c r="E53" s="1446"/>
      <c r="F53" s="1447"/>
      <c r="G53" s="1448" t="str">
        <f>IF(B53="","",VLOOKUP($E$4,'Cant. Ejec,'!$E$5:$BB$101,17+B53*2+(B53-2),0))</f>
        <v/>
      </c>
      <c r="H53" s="1449"/>
      <c r="I53" s="1450"/>
    </row>
    <row r="54" spans="2:9" ht="15" customHeight="1">
      <c r="B54" s="1937" t="s">
        <v>92</v>
      </c>
      <c r="C54" s="1938"/>
      <c r="D54" s="1938"/>
      <c r="E54" s="1939"/>
      <c r="F54" s="55">
        <f>+MAX(F10:F53)</f>
        <v>446.4</v>
      </c>
      <c r="G54" s="56">
        <f>+H54-F54</f>
        <v>122.39999999999998</v>
      </c>
      <c r="H54" s="57">
        <f>+MAX(H10:H53)</f>
        <v>568.79999999999995</v>
      </c>
      <c r="I54" s="44"/>
    </row>
    <row r="55" spans="2:9" ht="15" customHeight="1">
      <c r="B55" s="1940" t="s">
        <v>34</v>
      </c>
      <c r="C55" s="1941"/>
      <c r="D55" s="1941"/>
      <c r="E55" s="1942"/>
      <c r="F55" s="712">
        <f>ROUND((F54/I6),4)</f>
        <v>3.9399999999999998E-2</v>
      </c>
      <c r="G55" s="713">
        <f>ROUND((G54/I6),4)</f>
        <v>1.0800000000000001E-2</v>
      </c>
      <c r="H55" s="714">
        <f>ROUND((H54/I6),4)</f>
        <v>5.0299999999999997E-2</v>
      </c>
      <c r="I55" s="45"/>
    </row>
    <row r="56" spans="2:9" ht="15" customHeight="1">
      <c r="B56" s="61" t="s">
        <v>12</v>
      </c>
      <c r="C56" s="1211"/>
      <c r="D56" s="58"/>
      <c r="E56" s="58"/>
      <c r="F56" s="59"/>
      <c r="G56" s="61" t="s">
        <v>8</v>
      </c>
      <c r="H56" s="58"/>
      <c r="I56" s="59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36"/>
      <c r="C59" s="60"/>
      <c r="D59" s="60"/>
      <c r="E59" s="60"/>
      <c r="F59" s="37"/>
      <c r="G59" s="36"/>
      <c r="H59" s="60"/>
      <c r="I59" s="37"/>
    </row>
    <row r="60" spans="2:9">
      <c r="B60" s="1934" t="str">
        <f>+Datos!B15</f>
        <v>Ing. Ernesto Vargas Amezaga</v>
      </c>
      <c r="C60" s="1935"/>
      <c r="D60" s="1935"/>
      <c r="E60" s="1935"/>
      <c r="F60" s="1936"/>
      <c r="G60" s="1934" t="str">
        <f>+Datos!B7</f>
        <v>Ing. Pedro Alberto Barreto Gutierrez</v>
      </c>
      <c r="H60" s="1935"/>
      <c r="I60" s="1936"/>
    </row>
    <row r="61" spans="2:9">
      <c r="B61" s="1931" t="str">
        <f>+Datos!B16</f>
        <v>SUPERINTENDENTE DE OBRA a.i.</v>
      </c>
      <c r="C61" s="1932"/>
      <c r="D61" s="1932"/>
      <c r="E61" s="1932"/>
      <c r="F61" s="1933"/>
      <c r="G61" s="1931" t="str">
        <f>+Datos!B8</f>
        <v xml:space="preserve">GERENTE SUPERVISION TECNICA </v>
      </c>
      <c r="H61" s="1932"/>
      <c r="I61" s="1933"/>
    </row>
  </sheetData>
  <mergeCells count="14">
    <mergeCell ref="B54:E54"/>
    <mergeCell ref="B55:E55"/>
    <mergeCell ref="B60:F60"/>
    <mergeCell ref="G60:I60"/>
    <mergeCell ref="B61:F61"/>
    <mergeCell ref="G61:I61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1" fitToHeight="0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8">
    <tabColor rgb="FFFF0000"/>
    <pageSetUpPr fitToPage="1"/>
  </sheetPr>
  <dimension ref="B1:P60"/>
  <sheetViews>
    <sheetView showGridLines="0" view="pageBreakPreview" zoomScaleNormal="100" zoomScaleSheetLayoutView="100" workbookViewId="0">
      <selection activeCell="O14" sqref="O14"/>
    </sheetView>
  </sheetViews>
  <sheetFormatPr baseColWidth="10" defaultColWidth="11.42578125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50" t="s">
        <v>77</v>
      </c>
      <c r="C1" s="1951"/>
      <c r="D1" s="1920" t="s">
        <v>477</v>
      </c>
      <c r="E1" s="1921"/>
      <c r="F1" s="1921"/>
      <c r="G1" s="1921"/>
      <c r="H1" s="1921"/>
      <c r="I1" s="1922"/>
    </row>
    <row r="2" spans="2:16" ht="13.5" customHeight="1">
      <c r="B2" s="879"/>
      <c r="C2" s="1208"/>
      <c r="D2" s="1923"/>
      <c r="E2" s="1924"/>
      <c r="F2" s="1924"/>
      <c r="G2" s="1924"/>
      <c r="H2" s="1924"/>
      <c r="I2" s="1925"/>
    </row>
    <row r="3" spans="2:16">
      <c r="B3" s="39"/>
      <c r="C3" s="1214"/>
      <c r="D3" s="1926" t="s">
        <v>31</v>
      </c>
      <c r="E3" s="1927"/>
      <c r="F3" s="1927"/>
      <c r="G3" s="1927"/>
      <c r="H3" s="1927"/>
      <c r="I3" s="1928"/>
    </row>
    <row r="4" spans="2:16">
      <c r="B4" s="36"/>
      <c r="C4" s="60"/>
      <c r="D4" s="39" t="s">
        <v>35</v>
      </c>
      <c r="E4" s="62">
        <v>76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PROVISION DE VAGONETA DOBLE TRACCION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UND</v>
      </c>
      <c r="F6" s="1209"/>
      <c r="G6" s="65"/>
      <c r="H6" s="279" t="s">
        <v>180</v>
      </c>
      <c r="I6" s="596">
        <f>+VLOOKUP(E4,'Planilla de Avance'!E10:J112,5,)</f>
        <v>1</v>
      </c>
    </row>
    <row r="8" spans="2:16" ht="15" customHeight="1">
      <c r="B8" s="1929" t="s">
        <v>30</v>
      </c>
      <c r="C8" s="1929" t="s">
        <v>38</v>
      </c>
      <c r="D8" s="1948" t="s">
        <v>27</v>
      </c>
      <c r="E8" s="1949"/>
      <c r="F8" s="1943" t="s">
        <v>10</v>
      </c>
      <c r="G8" s="1944"/>
      <c r="H8" s="1945"/>
      <c r="I8" s="1946" t="s">
        <v>11</v>
      </c>
    </row>
    <row r="9" spans="2:16" ht="15" customHeight="1">
      <c r="B9" s="1930"/>
      <c r="C9" s="1930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947"/>
    </row>
    <row r="10" spans="2:16" ht="15" customHeight="1">
      <c r="B10" s="43">
        <v>1</v>
      </c>
      <c r="C10" s="1213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13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13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13" t="s">
        <v>431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13">
        <v>44256</v>
      </c>
      <c r="D14" s="68"/>
      <c r="E14" s="69"/>
      <c r="F14" s="49">
        <f t="shared" ref="F14:F18" si="0">+H13</f>
        <v>0</v>
      </c>
      <c r="G14" s="50">
        <f>IF(B14="","",VLOOKUP($E$4,'Cant. Ejec,'!$E$5:$BB$101,17+B14*2+(B14-2),0))</f>
        <v>0</v>
      </c>
      <c r="H14" s="51">
        <f t="shared" ref="H14:H18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13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13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7"/>
    </row>
    <row r="17" spans="2:15" ht="15" customHeight="1">
      <c r="B17" s="72">
        <f>IF(Datos!$C$20&gt;'5'!B16,'5'!B16+1,"")</f>
        <v>8</v>
      </c>
      <c r="C17" s="1213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41"/>
      <c r="M17" s="217"/>
      <c r="N17" s="217"/>
      <c r="O17" s="217"/>
    </row>
    <row r="18" spans="2:15" ht="15" customHeight="1">
      <c r="B18" s="72">
        <f>IF(Datos!$C$20&gt;'5'!B17,'5'!B17+1,"")</f>
        <v>9</v>
      </c>
      <c r="C18" s="1213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41"/>
    </row>
    <row r="19" spans="2:15" ht="15" customHeight="1">
      <c r="B19" s="72">
        <f>IF(Datos!$C$20&gt;'5'!B18,'5'!B18+1,"")</f>
        <v>10</v>
      </c>
      <c r="C19" s="1213"/>
      <c r="D19" s="68"/>
      <c r="E19" s="69"/>
      <c r="F19" s="49"/>
      <c r="G19" s="50">
        <f>IF(B19="","",VLOOKUP($E$4,'Cant. Ejec,'!$E$5:$BB$101,17+B19*2+(B19-2),0))</f>
        <v>0</v>
      </c>
      <c r="H19" s="51"/>
      <c r="I19" s="41"/>
    </row>
    <row r="20" spans="2:15" ht="15" customHeight="1">
      <c r="B20" s="72">
        <f>IF(Datos!$C$20&gt;'5'!B19,'5'!B19+1,"")</f>
        <v>11</v>
      </c>
      <c r="C20" s="72"/>
      <c r="D20" s="68"/>
      <c r="E20" s="69"/>
      <c r="F20" s="49"/>
      <c r="G20" s="50">
        <f>IF(B20="","",VLOOKUP($E$4,'Cant. Ejec,'!$E$5:$BB$101,17+B20*2+(B20-2),0))</f>
        <v>0</v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IF(Datos!$C$20&gt;'5'!B50,'5'!B50+1,"")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IF(Datos!$C$20&gt;'5'!B51,'5'!B51+1,"")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937" t="s">
        <v>92</v>
      </c>
      <c r="C53" s="1938"/>
      <c r="D53" s="1938"/>
      <c r="E53" s="1939"/>
      <c r="F53" s="55">
        <f>+MAX(F10:F52)</f>
        <v>0</v>
      </c>
      <c r="G53" s="56">
        <f>+H53-F53</f>
        <v>0</v>
      </c>
      <c r="H53" s="57">
        <f>+MAX(H10:H52)</f>
        <v>0</v>
      </c>
      <c r="I53" s="44"/>
    </row>
    <row r="54" spans="2:9" ht="15" customHeight="1">
      <c r="B54" s="1940" t="s">
        <v>34</v>
      </c>
      <c r="C54" s="1941"/>
      <c r="D54" s="1941"/>
      <c r="E54" s="1942"/>
      <c r="F54" s="712">
        <f>ROUND((F53/I6),4)</f>
        <v>0</v>
      </c>
      <c r="G54" s="713">
        <f>ROUND((G53/I6),4)</f>
        <v>0</v>
      </c>
      <c r="H54" s="714">
        <f>ROUND((H53/I6),4)</f>
        <v>0</v>
      </c>
      <c r="I54" s="45"/>
    </row>
    <row r="55" spans="2:9" ht="15" customHeight="1">
      <c r="B55" s="61" t="s">
        <v>12</v>
      </c>
      <c r="C55" s="1211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934" t="str">
        <f>+Datos!B15</f>
        <v>Ing. Ernesto Vargas Amezaga</v>
      </c>
      <c r="C59" s="1935"/>
      <c r="D59" s="1935"/>
      <c r="E59" s="1935"/>
      <c r="F59" s="1936"/>
      <c r="G59" s="1934" t="str">
        <f>+Datos!B7</f>
        <v>Ing. Pedro Alberto Barreto Gutierrez</v>
      </c>
      <c r="H59" s="1935"/>
      <c r="I59" s="1936"/>
    </row>
    <row r="60" spans="2:9">
      <c r="B60" s="1931" t="str">
        <f>+Datos!B16</f>
        <v>SUPERINTENDENTE DE OBRA a.i.</v>
      </c>
      <c r="C60" s="1932"/>
      <c r="D60" s="1932"/>
      <c r="E60" s="1932"/>
      <c r="F60" s="1933"/>
      <c r="G60" s="1931" t="str">
        <f>+Datos!B8</f>
        <v xml:space="preserve">GERENTE SUPERVISION TECNICA </v>
      </c>
      <c r="H60" s="1932"/>
      <c r="I60" s="1933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0" orientation="portrait" horizontalDpi="4294967295" verticalDpi="4294967295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9">
    <tabColor rgb="FFFF0000"/>
    <pageSetUpPr fitToPage="1"/>
  </sheetPr>
  <dimension ref="B1:P60"/>
  <sheetViews>
    <sheetView showGridLines="0" view="pageBreakPreview" zoomScaleNormal="100" zoomScaleSheetLayoutView="100" workbookViewId="0">
      <selection activeCell="O14" sqref="O14"/>
    </sheetView>
  </sheetViews>
  <sheetFormatPr baseColWidth="10" defaultColWidth="11.42578125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50" t="s">
        <v>77</v>
      </c>
      <c r="C1" s="1951"/>
      <c r="D1" s="1920" t="s">
        <v>477</v>
      </c>
      <c r="E1" s="1921"/>
      <c r="F1" s="1921"/>
      <c r="G1" s="1921"/>
      <c r="H1" s="1921"/>
      <c r="I1" s="1922"/>
    </row>
    <row r="2" spans="2:16" ht="13.5" customHeight="1">
      <c r="B2" s="879"/>
      <c r="C2" s="1208"/>
      <c r="D2" s="1923"/>
      <c r="E2" s="1924"/>
      <c r="F2" s="1924"/>
      <c r="G2" s="1924"/>
      <c r="H2" s="1924"/>
      <c r="I2" s="1925"/>
    </row>
    <row r="3" spans="2:16">
      <c r="B3" s="39"/>
      <c r="C3" s="1214"/>
      <c r="D3" s="1926" t="s">
        <v>31</v>
      </c>
      <c r="E3" s="1927"/>
      <c r="F3" s="1927"/>
      <c r="G3" s="1927"/>
      <c r="H3" s="1927"/>
      <c r="I3" s="1928"/>
    </row>
    <row r="4" spans="2:16">
      <c r="B4" s="36"/>
      <c r="C4" s="60"/>
      <c r="D4" s="39" t="s">
        <v>35</v>
      </c>
      <c r="E4" s="62">
        <v>77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 xml:space="preserve">PROVISION DE CAMIONETA DOBLE TRACCION, CABINA DOBLE 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UND</v>
      </c>
      <c r="F6" s="1209"/>
      <c r="G6" s="65"/>
      <c r="H6" s="279" t="s">
        <v>180</v>
      </c>
      <c r="I6" s="596">
        <f>+VLOOKUP(E4,'Planilla de Avance'!E10:J112,5,)</f>
        <v>2</v>
      </c>
    </row>
    <row r="8" spans="2:16" ht="15" customHeight="1">
      <c r="B8" s="1929" t="s">
        <v>30</v>
      </c>
      <c r="C8" s="1929" t="s">
        <v>38</v>
      </c>
      <c r="D8" s="1948" t="s">
        <v>27</v>
      </c>
      <c r="E8" s="1949"/>
      <c r="F8" s="1943" t="s">
        <v>10</v>
      </c>
      <c r="G8" s="1944"/>
      <c r="H8" s="1945"/>
      <c r="I8" s="1946" t="s">
        <v>11</v>
      </c>
    </row>
    <row r="9" spans="2:16" ht="15" customHeight="1">
      <c r="B9" s="1930"/>
      <c r="C9" s="1930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947"/>
    </row>
    <row r="10" spans="2:16" ht="15" customHeight="1">
      <c r="B10" s="43">
        <v>1</v>
      </c>
      <c r="C10" s="1213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13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13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13" t="s">
        <v>431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13">
        <v>44256</v>
      </c>
      <c r="D14" s="68"/>
      <c r="E14" s="69"/>
      <c r="F14" s="49">
        <f t="shared" ref="F14:F18" si="0">+H13</f>
        <v>0</v>
      </c>
      <c r="G14" s="50">
        <f>IF(B14="","",VLOOKUP($E$4,'Cant. Ejec,'!$E$5:$BB$101,17+B14*2+(B14-2),0))</f>
        <v>0</v>
      </c>
      <c r="H14" s="51">
        <f t="shared" ref="H14:H18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13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13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7"/>
    </row>
    <row r="17" spans="2:15" ht="15" customHeight="1">
      <c r="B17" s="72">
        <f>IF(Datos!$C$20&gt;'5'!B16,'5'!B16+1,"")</f>
        <v>8</v>
      </c>
      <c r="C17" s="1213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41"/>
      <c r="M17" s="217"/>
      <c r="N17" s="217"/>
      <c r="O17" s="217"/>
    </row>
    <row r="18" spans="2:15" ht="15" customHeight="1">
      <c r="B18" s="72">
        <f>IF(Datos!$C$20&gt;'5'!B17,'5'!B17+1,"")</f>
        <v>9</v>
      </c>
      <c r="C18" s="1213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41"/>
    </row>
    <row r="19" spans="2:15" ht="15" customHeight="1">
      <c r="B19" s="72">
        <f>IF(Datos!$C$20&gt;'5'!B18,'5'!B18+1,"")</f>
        <v>10</v>
      </c>
      <c r="C19" s="1213"/>
      <c r="D19" s="68"/>
      <c r="E19" s="69"/>
      <c r="F19" s="49"/>
      <c r="G19" s="50">
        <f>IF(B19="","",VLOOKUP($E$4,'Cant. Ejec,'!$E$5:$BB$101,17+B19*2+(B19-2),0))</f>
        <v>0</v>
      </c>
      <c r="H19" s="51"/>
      <c r="I19" s="41"/>
    </row>
    <row r="20" spans="2:15" ht="15" customHeight="1">
      <c r="B20" s="72">
        <f>IF(Datos!$C$20&gt;'5'!B19,'5'!B19+1,"")</f>
        <v>11</v>
      </c>
      <c r="C20" s="72"/>
      <c r="D20" s="68"/>
      <c r="E20" s="69"/>
      <c r="F20" s="49"/>
      <c r="G20" s="50">
        <f>IF(B20="","",VLOOKUP($E$4,'Cant. Ejec,'!$E$5:$BB$101,17+B20*2+(B20-2),0))</f>
        <v>0</v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IF(Datos!$C$20&gt;'5'!B50,'5'!B50+1,"")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IF(Datos!$C$20&gt;'5'!B51,'5'!B51+1,"")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937" t="s">
        <v>92</v>
      </c>
      <c r="C53" s="1938"/>
      <c r="D53" s="1938"/>
      <c r="E53" s="1939"/>
      <c r="F53" s="55">
        <f>+MAX(F10:F52)</f>
        <v>0</v>
      </c>
      <c r="G53" s="56">
        <f>+H53-F53</f>
        <v>0</v>
      </c>
      <c r="H53" s="57">
        <f>+MAX(H10:H52)</f>
        <v>0</v>
      </c>
      <c r="I53" s="44"/>
    </row>
    <row r="54" spans="2:9" ht="15" customHeight="1">
      <c r="B54" s="1940" t="s">
        <v>34</v>
      </c>
      <c r="C54" s="1941"/>
      <c r="D54" s="1941"/>
      <c r="E54" s="1942"/>
      <c r="F54" s="712">
        <f>ROUND((F53/I6),4)</f>
        <v>0</v>
      </c>
      <c r="G54" s="713">
        <f>ROUND((G53/I6),4)</f>
        <v>0</v>
      </c>
      <c r="H54" s="714">
        <f>ROUND((H53/I6),4)</f>
        <v>0</v>
      </c>
      <c r="I54" s="45"/>
    </row>
    <row r="55" spans="2:9" ht="15" customHeight="1">
      <c r="B55" s="61" t="s">
        <v>12</v>
      </c>
      <c r="C55" s="1211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934" t="str">
        <f>+Datos!B15</f>
        <v>Ing. Ernesto Vargas Amezaga</v>
      </c>
      <c r="C59" s="1935"/>
      <c r="D59" s="1935"/>
      <c r="E59" s="1935"/>
      <c r="F59" s="1936"/>
      <c r="G59" s="1934" t="str">
        <f>+Datos!B7</f>
        <v>Ing. Pedro Alberto Barreto Gutierrez</v>
      </c>
      <c r="H59" s="1935"/>
      <c r="I59" s="1936"/>
    </row>
    <row r="60" spans="2:9">
      <c r="B60" s="1931" t="str">
        <f>+Datos!B16</f>
        <v>SUPERINTENDENTE DE OBRA a.i.</v>
      </c>
      <c r="C60" s="1932"/>
      <c r="D60" s="1932"/>
      <c r="E60" s="1932"/>
      <c r="F60" s="1933"/>
      <c r="G60" s="1931" t="str">
        <f>+Datos!B8</f>
        <v xml:space="preserve">GERENTE SUPERVISION TECNICA </v>
      </c>
      <c r="H60" s="1932"/>
      <c r="I60" s="1933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0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>
    <tabColor rgb="FFFFFF00"/>
  </sheetPr>
  <dimension ref="A1:J191"/>
  <sheetViews>
    <sheetView view="pageBreakPreview" zoomScale="85" zoomScaleNormal="100" zoomScaleSheetLayoutView="85" workbookViewId="0">
      <selection activeCell="K15" sqref="K15"/>
    </sheetView>
  </sheetViews>
  <sheetFormatPr baseColWidth="10" defaultColWidth="11.42578125" defaultRowHeight="15"/>
  <cols>
    <col min="1" max="2" width="4.28515625" style="481" customWidth="1"/>
    <col min="3" max="7" width="11.7109375" style="482" customWidth="1"/>
    <col min="8" max="10" width="10.7109375" style="482" customWidth="1"/>
    <col min="11" max="11" width="14.7109375" style="482" customWidth="1"/>
    <col min="12" max="16384" width="11.42578125" style="482"/>
  </cols>
  <sheetData>
    <row r="1" spans="1:10" ht="15.75" thickBot="1"/>
    <row r="2" spans="1:10" ht="15.75" thickTop="1">
      <c r="A2" s="483"/>
      <c r="B2" s="484"/>
      <c r="C2" s="485"/>
      <c r="D2" s="485"/>
      <c r="E2" s="485"/>
      <c r="F2" s="485"/>
      <c r="G2" s="485"/>
      <c r="H2" s="485"/>
      <c r="I2" s="485"/>
      <c r="J2" s="486"/>
    </row>
    <row r="3" spans="1:10" ht="18">
      <c r="A3" s="1510" t="s">
        <v>276</v>
      </c>
      <c r="B3" s="1511"/>
      <c r="C3" s="1511"/>
      <c r="D3" s="1511"/>
      <c r="E3" s="1511"/>
      <c r="F3" s="1511"/>
      <c r="G3" s="1511"/>
      <c r="H3" s="1511"/>
      <c r="I3" s="1511"/>
      <c r="J3" s="1512"/>
    </row>
    <row r="4" spans="1:10" ht="15" customHeight="1">
      <c r="A4" s="1513" t="str">
        <f>+Datos!C22</f>
        <v>CERTIFICADO DE PAGO Nº 11</v>
      </c>
      <c r="B4" s="1514"/>
      <c r="C4" s="1514"/>
      <c r="D4" s="1514"/>
      <c r="E4" s="1514"/>
      <c r="F4" s="1514"/>
      <c r="G4" s="1514"/>
      <c r="H4" s="1514"/>
      <c r="I4" s="1514"/>
      <c r="J4" s="1515"/>
    </row>
    <row r="5" spans="1:10" ht="44.25" customHeight="1">
      <c r="A5" s="487"/>
      <c r="B5" s="488"/>
      <c r="C5" s="488"/>
      <c r="D5" s="488"/>
      <c r="E5" s="488"/>
      <c r="F5" s="488"/>
      <c r="G5" s="488"/>
      <c r="H5" s="488"/>
      <c r="I5" s="488"/>
      <c r="J5" s="489"/>
    </row>
    <row r="6" spans="1:10" ht="23.1" customHeight="1">
      <c r="A6" s="487"/>
      <c r="B6" s="488"/>
      <c r="C6" s="762" t="s">
        <v>250</v>
      </c>
      <c r="D6" s="488"/>
      <c r="E6" s="488"/>
      <c r="F6" s="488"/>
      <c r="G6" s="488"/>
      <c r="H6" s="488"/>
      <c r="I6" s="488"/>
      <c r="J6" s="489"/>
    </row>
    <row r="7" spans="1:10" ht="23.1" customHeight="1">
      <c r="A7" s="487"/>
      <c r="B7" s="488"/>
      <c r="C7" s="762"/>
      <c r="D7" s="488"/>
      <c r="E7" s="488"/>
      <c r="F7" s="488"/>
      <c r="G7" s="488"/>
      <c r="H7" s="488"/>
      <c r="I7" s="488"/>
      <c r="J7" s="489"/>
    </row>
    <row r="8" spans="1:10" ht="23.1" customHeight="1">
      <c r="A8" s="490"/>
      <c r="B8" s="831" t="s">
        <v>437</v>
      </c>
      <c r="C8" s="1395" t="s">
        <v>280</v>
      </c>
      <c r="D8" s="1396"/>
      <c r="E8" s="1397"/>
      <c r="F8" s="1397"/>
      <c r="G8" s="1397"/>
      <c r="H8" s="1397"/>
      <c r="I8" s="1398"/>
      <c r="J8" s="1399"/>
    </row>
    <row r="9" spans="1:10" ht="23.1" customHeight="1">
      <c r="A9" s="490"/>
      <c r="B9" s="831" t="s">
        <v>437</v>
      </c>
      <c r="C9" s="1395" t="s">
        <v>48</v>
      </c>
      <c r="D9" s="1395"/>
      <c r="E9" s="1400"/>
      <c r="F9" s="1400"/>
      <c r="G9" s="1400"/>
      <c r="H9" s="1400"/>
      <c r="I9" s="1398"/>
      <c r="J9" s="1399"/>
    </row>
    <row r="10" spans="1:10" ht="23.1" customHeight="1">
      <c r="A10" s="498"/>
      <c r="B10" s="831" t="s">
        <v>437</v>
      </c>
      <c r="C10" s="1395" t="s">
        <v>621</v>
      </c>
      <c r="D10" s="1395"/>
      <c r="E10" s="1400"/>
      <c r="F10" s="1400"/>
      <c r="G10" s="1400"/>
      <c r="H10" s="1400"/>
      <c r="I10" s="1398" t="s">
        <v>277</v>
      </c>
      <c r="J10" s="1399">
        <v>5</v>
      </c>
    </row>
    <row r="11" spans="1:10" ht="23.1" customHeight="1">
      <c r="A11" s="490"/>
      <c r="B11" s="831" t="s">
        <v>437</v>
      </c>
      <c r="C11" s="1395" t="s">
        <v>617</v>
      </c>
      <c r="D11" s="1396"/>
      <c r="E11" s="1397"/>
      <c r="F11" s="1397"/>
      <c r="G11" s="1397"/>
      <c r="H11" s="1397"/>
      <c r="I11" s="1398"/>
      <c r="J11" s="1399"/>
    </row>
    <row r="12" spans="1:10" ht="23.1" customHeight="1">
      <c r="A12" s="490"/>
      <c r="B12" s="831" t="s">
        <v>437</v>
      </c>
      <c r="C12" s="1395" t="s">
        <v>476</v>
      </c>
      <c r="D12" s="1396"/>
      <c r="E12" s="1397"/>
      <c r="F12" s="1397"/>
      <c r="G12" s="1397"/>
      <c r="H12" s="1397"/>
      <c r="I12" s="1398"/>
      <c r="J12" s="1399"/>
    </row>
    <row r="13" spans="1:10" ht="23.1" customHeight="1">
      <c r="A13" s="498"/>
      <c r="B13" s="831" t="s">
        <v>437</v>
      </c>
      <c r="C13" s="1395" t="s">
        <v>224</v>
      </c>
      <c r="D13" s="1395"/>
      <c r="E13" s="1400"/>
      <c r="F13" s="1400"/>
      <c r="G13" s="1400"/>
      <c r="H13" s="1400"/>
      <c r="I13" s="1398" t="s">
        <v>277</v>
      </c>
      <c r="J13" s="1399">
        <v>6</v>
      </c>
    </row>
    <row r="14" spans="1:10" ht="23.1" customHeight="1">
      <c r="A14" s="490"/>
      <c r="B14" s="831" t="s">
        <v>437</v>
      </c>
      <c r="C14" s="1395" t="s">
        <v>74</v>
      </c>
      <c r="D14" s="1395"/>
      <c r="E14" s="1400"/>
      <c r="F14" s="1400"/>
      <c r="G14" s="1400"/>
      <c r="H14" s="1400"/>
      <c r="I14" s="1398"/>
      <c r="J14" s="1399"/>
    </row>
    <row r="15" spans="1:10" ht="23.1" customHeight="1">
      <c r="A15" s="490"/>
      <c r="B15" s="831" t="s">
        <v>437</v>
      </c>
      <c r="C15" s="1395" t="s">
        <v>283</v>
      </c>
      <c r="D15" s="1395"/>
      <c r="E15" s="1400"/>
      <c r="F15" s="1400"/>
      <c r="G15" s="1400"/>
      <c r="H15" s="1400"/>
      <c r="I15" s="1398"/>
      <c r="J15" s="1399"/>
    </row>
    <row r="16" spans="1:10" ht="23.1" customHeight="1">
      <c r="A16" s="498"/>
      <c r="B16" s="831" t="s">
        <v>437</v>
      </c>
      <c r="C16" s="1395" t="s">
        <v>284</v>
      </c>
      <c r="D16" s="1395"/>
      <c r="E16" s="1400"/>
      <c r="F16" s="1400"/>
      <c r="G16" s="1400"/>
      <c r="H16" s="1400"/>
      <c r="I16" s="1398" t="s">
        <v>277</v>
      </c>
      <c r="J16" s="1399">
        <v>8</v>
      </c>
    </row>
    <row r="17" spans="1:10" ht="23.1" customHeight="1">
      <c r="A17" s="498"/>
      <c r="B17" s="831" t="s">
        <v>437</v>
      </c>
      <c r="C17" s="1395" t="s">
        <v>285</v>
      </c>
      <c r="D17" s="1395"/>
      <c r="E17" s="1400"/>
      <c r="F17" s="1400"/>
      <c r="G17" s="1400"/>
      <c r="H17" s="1400"/>
      <c r="I17" s="1398"/>
      <c r="J17" s="1399"/>
    </row>
    <row r="18" spans="1:10" ht="23.1" customHeight="1">
      <c r="A18" s="498"/>
      <c r="B18" s="831" t="s">
        <v>437</v>
      </c>
      <c r="C18" s="1395" t="s">
        <v>281</v>
      </c>
      <c r="D18" s="1395"/>
      <c r="E18" s="1400"/>
      <c r="F18" s="1400"/>
      <c r="G18" s="1400"/>
      <c r="H18" s="1400"/>
      <c r="I18" s="1398"/>
      <c r="J18" s="1399"/>
    </row>
    <row r="19" spans="1:10" ht="23.1" customHeight="1">
      <c r="A19" s="490"/>
      <c r="B19" s="831" t="s">
        <v>437</v>
      </c>
      <c r="C19" s="1395" t="s">
        <v>287</v>
      </c>
      <c r="D19" s="1395"/>
      <c r="E19" s="1400"/>
      <c r="F19" s="1400"/>
      <c r="G19" s="1400"/>
      <c r="H19" s="1400"/>
      <c r="I19" s="1398"/>
      <c r="J19" s="1399"/>
    </row>
    <row r="20" spans="1:10" ht="23.1" customHeight="1">
      <c r="A20" s="490"/>
      <c r="B20" s="831" t="s">
        <v>437</v>
      </c>
      <c r="C20" s="1395" t="s">
        <v>282</v>
      </c>
      <c r="D20" s="1395"/>
      <c r="E20" s="1400"/>
      <c r="F20" s="1400"/>
      <c r="G20" s="1400"/>
      <c r="H20" s="1400"/>
      <c r="I20" s="1398"/>
      <c r="J20" s="1399"/>
    </row>
    <row r="21" spans="1:10" ht="23.1" customHeight="1">
      <c r="A21" s="490"/>
      <c r="B21" s="1266" t="s">
        <v>437</v>
      </c>
      <c r="C21" s="1395" t="s">
        <v>618</v>
      </c>
      <c r="D21" s="1395"/>
      <c r="E21" s="1395"/>
      <c r="F21" s="1395"/>
      <c r="G21" s="1395"/>
      <c r="H21" s="1395"/>
      <c r="I21" s="1395"/>
      <c r="J21" s="1401"/>
    </row>
    <row r="22" spans="1:10" ht="41.25" customHeight="1">
      <c r="A22" s="490"/>
      <c r="B22" s="1266" t="s">
        <v>437</v>
      </c>
      <c r="C22" s="1507" t="s">
        <v>619</v>
      </c>
      <c r="D22" s="1507"/>
      <c r="E22" s="1507"/>
      <c r="F22" s="1507"/>
      <c r="G22" s="1507"/>
      <c r="H22" s="1507"/>
      <c r="I22" s="1507"/>
      <c r="J22" s="1508"/>
    </row>
    <row r="23" spans="1:10" ht="23.1" customHeight="1">
      <c r="A23" s="498"/>
      <c r="B23" s="831" t="s">
        <v>437</v>
      </c>
      <c r="C23" s="1395" t="s">
        <v>286</v>
      </c>
      <c r="D23" s="1271"/>
      <c r="E23" s="1271"/>
      <c r="F23" s="1271"/>
      <c r="G23" s="1271"/>
      <c r="H23" s="1271"/>
      <c r="I23" s="1271"/>
      <c r="J23" s="1272"/>
    </row>
    <row r="24" spans="1:10" ht="23.1" customHeight="1">
      <c r="A24" s="498"/>
      <c r="B24" s="831" t="s">
        <v>437</v>
      </c>
      <c r="C24" s="1395" t="s">
        <v>620</v>
      </c>
      <c r="D24" s="1395"/>
      <c r="E24" s="1400"/>
      <c r="F24" s="1400"/>
      <c r="G24" s="1400"/>
      <c r="H24" s="1400"/>
      <c r="I24" s="1398" t="s">
        <v>277</v>
      </c>
      <c r="J24" s="1399">
        <v>12</v>
      </c>
    </row>
    <row r="25" spans="1:10" ht="23.1" customHeight="1">
      <c r="A25" s="498"/>
      <c r="B25" s="831" t="s">
        <v>437</v>
      </c>
      <c r="C25" s="1395" t="s">
        <v>71</v>
      </c>
      <c r="D25" s="1400"/>
      <c r="E25" s="1400"/>
      <c r="F25" s="1400"/>
      <c r="G25" s="1400"/>
      <c r="H25" s="1400"/>
      <c r="I25" s="1398"/>
      <c r="J25" s="1399"/>
    </row>
    <row r="26" spans="1:10" ht="23.1" customHeight="1">
      <c r="A26" s="498"/>
      <c r="B26" s="831" t="s">
        <v>437</v>
      </c>
      <c r="C26" s="1395" t="s">
        <v>289</v>
      </c>
      <c r="D26" s="1400"/>
      <c r="E26" s="1400"/>
      <c r="F26" s="1400"/>
      <c r="G26" s="1400"/>
      <c r="H26" s="1400"/>
      <c r="I26" s="1398"/>
      <c r="J26" s="1399"/>
    </row>
    <row r="27" spans="1:10" ht="23.1" customHeight="1">
      <c r="A27" s="498"/>
      <c r="B27" s="831" t="s">
        <v>437</v>
      </c>
      <c r="C27" s="1395" t="s">
        <v>609</v>
      </c>
      <c r="D27" s="1400"/>
      <c r="E27" s="1400"/>
      <c r="F27" s="1400"/>
      <c r="G27" s="1400"/>
      <c r="H27" s="1400"/>
      <c r="I27" s="1398"/>
      <c r="J27" s="1399"/>
    </row>
    <row r="28" spans="1:10" ht="23.1" customHeight="1">
      <c r="A28" s="498"/>
      <c r="B28" s="831" t="s">
        <v>437</v>
      </c>
      <c r="C28" s="1395" t="s">
        <v>610</v>
      </c>
      <c r="D28" s="1400"/>
      <c r="E28" s="1400"/>
      <c r="F28" s="1400"/>
      <c r="G28" s="1400"/>
      <c r="H28" s="1400"/>
      <c r="I28" s="1398"/>
      <c r="J28" s="1399"/>
    </row>
    <row r="29" spans="1:10" ht="23.1" customHeight="1">
      <c r="A29" s="490"/>
      <c r="B29" s="832"/>
      <c r="C29" s="1267"/>
      <c r="D29" s="1268"/>
      <c r="E29" s="1268"/>
      <c r="F29" s="1268"/>
      <c r="G29" s="1268"/>
      <c r="H29" s="1268"/>
      <c r="I29" s="1269"/>
      <c r="J29" s="1270"/>
    </row>
    <row r="30" spans="1:10" ht="23.1" customHeight="1">
      <c r="A30" s="498"/>
      <c r="B30" s="1264"/>
      <c r="C30" s="1265"/>
      <c r="D30" s="499"/>
      <c r="E30" s="495"/>
      <c r="F30" s="495"/>
      <c r="G30" s="495"/>
      <c r="H30" s="495"/>
      <c r="I30" s="496"/>
      <c r="J30" s="497"/>
    </row>
    <row r="31" spans="1:10" ht="23.1" customHeight="1">
      <c r="A31" s="490"/>
      <c r="B31" s="491"/>
      <c r="C31" s="495"/>
      <c r="D31" s="495"/>
      <c r="E31" s="495"/>
      <c r="F31" s="495"/>
      <c r="G31" s="495"/>
      <c r="H31" s="495"/>
      <c r="I31" s="496"/>
      <c r="J31" s="497"/>
    </row>
    <row r="32" spans="1:10" ht="23.1" customHeight="1">
      <c r="A32" s="498"/>
      <c r="B32" s="500"/>
      <c r="C32" s="495"/>
      <c r="D32" s="495"/>
      <c r="E32" s="495"/>
      <c r="F32" s="495"/>
      <c r="G32" s="495"/>
      <c r="H32" s="495"/>
      <c r="I32" s="496" t="s">
        <v>277</v>
      </c>
      <c r="J32" s="494">
        <v>16</v>
      </c>
    </row>
    <row r="33" spans="1:10" ht="23.1" customHeight="1">
      <c r="A33" s="498"/>
      <c r="B33" s="500"/>
      <c r="C33" s="492"/>
      <c r="D33" s="492"/>
      <c r="E33" s="492"/>
      <c r="F33" s="492"/>
      <c r="G33" s="492"/>
      <c r="H33" s="492"/>
      <c r="I33" s="496" t="s">
        <v>277</v>
      </c>
      <c r="J33" s="494">
        <v>17</v>
      </c>
    </row>
    <row r="34" spans="1:10" ht="23.1" customHeight="1" thickBot="1">
      <c r="A34" s="501"/>
      <c r="B34" s="502"/>
      <c r="C34" s="847"/>
      <c r="D34" s="847"/>
      <c r="E34" s="847"/>
      <c r="F34" s="847"/>
      <c r="G34" s="847"/>
      <c r="H34" s="847"/>
      <c r="I34" s="503"/>
      <c r="J34" s="504"/>
    </row>
    <row r="35" spans="1:10" ht="16.5" thickTop="1" thickBot="1"/>
    <row r="36" spans="1:10" ht="15.75" thickTop="1">
      <c r="A36" s="483"/>
      <c r="B36" s="484"/>
      <c r="C36" s="485"/>
      <c r="D36" s="485"/>
      <c r="E36" s="485"/>
      <c r="F36" s="485"/>
      <c r="G36" s="485"/>
      <c r="H36" s="485"/>
      <c r="I36" s="485"/>
      <c r="J36" s="486"/>
    </row>
    <row r="37" spans="1:10" ht="18">
      <c r="A37" s="1510"/>
      <c r="B37" s="1511"/>
      <c r="C37" s="1511"/>
      <c r="D37" s="1511"/>
      <c r="E37" s="1511"/>
      <c r="F37" s="1511"/>
      <c r="G37" s="1511"/>
      <c r="H37" s="1511"/>
      <c r="I37" s="1511"/>
      <c r="J37" s="1512"/>
    </row>
    <row r="38" spans="1:10">
      <c r="A38" s="490"/>
      <c r="B38" s="491"/>
      <c r="C38" s="492"/>
      <c r="D38" s="492"/>
      <c r="E38" s="492"/>
      <c r="F38" s="492"/>
      <c r="G38" s="492"/>
      <c r="H38" s="492"/>
      <c r="I38" s="492"/>
      <c r="J38" s="505"/>
    </row>
    <row r="39" spans="1:10">
      <c r="A39" s="498"/>
      <c r="B39" s="500"/>
      <c r="C39" s="1509"/>
      <c r="D39" s="1509"/>
      <c r="E39" s="1509"/>
      <c r="F39" s="1509"/>
      <c r="G39" s="1509"/>
      <c r="H39" s="1509"/>
      <c r="I39" s="496"/>
      <c r="J39" s="494"/>
    </row>
    <row r="40" spans="1:10">
      <c r="A40" s="490"/>
      <c r="B40" s="491"/>
      <c r="C40" s="492"/>
      <c r="D40" s="492"/>
      <c r="E40" s="492"/>
      <c r="F40" s="492"/>
      <c r="G40" s="492"/>
      <c r="H40" s="492"/>
      <c r="I40" s="493"/>
      <c r="J40" s="494"/>
    </row>
    <row r="41" spans="1:10">
      <c r="A41" s="498"/>
      <c r="B41" s="500"/>
      <c r="C41" s="495"/>
      <c r="D41" s="495"/>
      <c r="E41" s="495"/>
      <c r="F41" s="495"/>
      <c r="G41" s="495"/>
      <c r="H41" s="495"/>
      <c r="I41" s="496"/>
      <c r="J41" s="494"/>
    </row>
    <row r="42" spans="1:10">
      <c r="A42" s="498"/>
      <c r="B42" s="500"/>
      <c r="C42" s="495"/>
      <c r="D42" s="495"/>
      <c r="E42" s="495"/>
      <c r="F42" s="495"/>
      <c r="G42" s="495"/>
      <c r="H42" s="495"/>
      <c r="I42" s="496"/>
      <c r="J42" s="494"/>
    </row>
    <row r="43" spans="1:10">
      <c r="A43" s="498"/>
      <c r="B43" s="500"/>
      <c r="C43" s="495"/>
      <c r="D43" s="495"/>
      <c r="E43" s="495"/>
      <c r="F43" s="495"/>
      <c r="G43" s="495"/>
      <c r="H43" s="495"/>
      <c r="I43" s="496"/>
      <c r="J43" s="494"/>
    </row>
    <row r="44" spans="1:10">
      <c r="A44" s="498"/>
      <c r="B44" s="500"/>
      <c r="C44" s="495"/>
      <c r="D44" s="495"/>
      <c r="E44" s="495"/>
      <c r="F44" s="495"/>
      <c r="G44" s="495"/>
      <c r="H44" s="495"/>
      <c r="I44" s="496"/>
      <c r="J44" s="494"/>
    </row>
    <row r="45" spans="1:10">
      <c r="A45" s="498"/>
      <c r="B45" s="500"/>
      <c r="C45" s="495"/>
      <c r="D45" s="495"/>
      <c r="E45" s="495"/>
      <c r="F45" s="495"/>
      <c r="G45" s="495"/>
      <c r="H45" s="495"/>
      <c r="I45" s="496"/>
      <c r="J45" s="494"/>
    </row>
    <row r="46" spans="1:10">
      <c r="A46" s="498"/>
      <c r="B46" s="500"/>
      <c r="C46" s="495"/>
      <c r="D46" s="495"/>
      <c r="E46" s="495"/>
      <c r="F46" s="495"/>
      <c r="G46" s="495"/>
      <c r="H46" s="495"/>
      <c r="I46" s="496"/>
      <c r="J46" s="494"/>
    </row>
    <row r="47" spans="1:10">
      <c r="A47" s="498"/>
      <c r="B47" s="500"/>
      <c r="C47" s="495"/>
      <c r="D47" s="495"/>
      <c r="E47" s="495"/>
      <c r="F47" s="495"/>
      <c r="G47" s="495"/>
      <c r="H47" s="495"/>
      <c r="I47" s="496"/>
      <c r="J47" s="494"/>
    </row>
    <row r="48" spans="1:10">
      <c r="A48" s="498"/>
      <c r="B48" s="500"/>
      <c r="C48" s="495"/>
      <c r="D48" s="495"/>
      <c r="E48" s="495"/>
      <c r="F48" s="495"/>
      <c r="G48" s="495"/>
      <c r="H48" s="495"/>
      <c r="I48" s="496"/>
      <c r="J48" s="494"/>
    </row>
    <row r="49" spans="1:10">
      <c r="A49" s="498"/>
      <c r="B49" s="500"/>
      <c r="C49" s="495"/>
      <c r="D49" s="495"/>
      <c r="E49" s="495"/>
      <c r="F49" s="495"/>
      <c r="G49" s="495"/>
      <c r="H49" s="495"/>
      <c r="I49" s="496"/>
      <c r="J49" s="494"/>
    </row>
    <row r="50" spans="1:10">
      <c r="A50" s="498"/>
      <c r="B50" s="500"/>
      <c r="C50" s="495"/>
      <c r="D50" s="495"/>
      <c r="E50" s="495"/>
      <c r="F50" s="495"/>
      <c r="G50" s="495"/>
      <c r="H50" s="495"/>
      <c r="I50" s="496"/>
      <c r="J50" s="494"/>
    </row>
    <row r="51" spans="1:10">
      <c r="A51" s="498"/>
      <c r="B51" s="500"/>
      <c r="C51" s="495"/>
      <c r="D51" s="495"/>
      <c r="E51" s="495"/>
      <c r="F51" s="495"/>
      <c r="G51" s="495"/>
      <c r="H51" s="495"/>
      <c r="I51" s="496"/>
      <c r="J51" s="494"/>
    </row>
    <row r="52" spans="1:10">
      <c r="A52" s="498"/>
      <c r="B52" s="500"/>
      <c r="C52" s="495"/>
      <c r="D52" s="495"/>
      <c r="E52" s="495"/>
      <c r="F52" s="495"/>
      <c r="G52" s="495"/>
      <c r="H52" s="495"/>
      <c r="I52" s="496"/>
      <c r="J52" s="494"/>
    </row>
    <row r="53" spans="1:10">
      <c r="A53" s="498"/>
      <c r="B53" s="500"/>
      <c r="C53" s="495"/>
      <c r="D53" s="495"/>
      <c r="E53" s="495"/>
      <c r="F53" s="495"/>
      <c r="G53" s="495"/>
      <c r="H53" s="495"/>
      <c r="I53" s="496"/>
      <c r="J53" s="494"/>
    </row>
    <row r="54" spans="1:10">
      <c r="A54" s="490"/>
      <c r="B54" s="491"/>
      <c r="C54" s="492"/>
      <c r="D54" s="492"/>
      <c r="E54" s="492"/>
      <c r="F54" s="492"/>
      <c r="G54" s="492"/>
      <c r="H54" s="492"/>
      <c r="I54" s="493"/>
      <c r="J54" s="494"/>
    </row>
    <row r="55" spans="1:10">
      <c r="A55" s="498"/>
      <c r="B55" s="500"/>
      <c r="C55" s="495"/>
      <c r="D55" s="495"/>
      <c r="E55" s="495"/>
      <c r="F55" s="495"/>
      <c r="G55" s="495"/>
      <c r="H55" s="495"/>
      <c r="I55" s="496"/>
      <c r="J55" s="497"/>
    </row>
    <row r="56" spans="1:10">
      <c r="A56" s="490"/>
      <c r="B56" s="491"/>
      <c r="C56" s="495"/>
      <c r="D56" s="495"/>
      <c r="E56" s="495"/>
      <c r="F56" s="495"/>
      <c r="G56" s="495"/>
      <c r="H56" s="495"/>
      <c r="I56" s="496"/>
      <c r="J56" s="497"/>
    </row>
    <row r="57" spans="1:10">
      <c r="A57" s="498"/>
      <c r="B57" s="500"/>
      <c r="C57" s="495"/>
      <c r="D57" s="495"/>
      <c r="E57" s="495"/>
      <c r="F57" s="495"/>
      <c r="G57" s="495"/>
      <c r="H57" s="495"/>
      <c r="I57" s="496"/>
      <c r="J57" s="497"/>
    </row>
    <row r="58" spans="1:10">
      <c r="A58" s="490"/>
      <c r="B58" s="491"/>
      <c r="C58" s="495"/>
      <c r="D58" s="495"/>
      <c r="E58" s="495"/>
      <c r="F58" s="495"/>
      <c r="G58" s="495"/>
      <c r="H58" s="495"/>
      <c r="I58" s="496"/>
      <c r="J58" s="497"/>
    </row>
    <row r="59" spans="1:10">
      <c r="A59" s="498"/>
      <c r="B59" s="500"/>
      <c r="C59" s="495"/>
      <c r="D59" s="495"/>
      <c r="E59" s="495"/>
      <c r="F59" s="495"/>
      <c r="G59" s="495"/>
      <c r="H59" s="495"/>
      <c r="I59" s="496"/>
      <c r="J59" s="497"/>
    </row>
    <row r="60" spans="1:10">
      <c r="A60" s="490"/>
      <c r="B60" s="491"/>
      <c r="C60" s="492"/>
      <c r="D60" s="492"/>
      <c r="E60" s="492"/>
      <c r="F60" s="492"/>
      <c r="G60" s="492"/>
      <c r="H60" s="492"/>
      <c r="I60" s="493"/>
      <c r="J60" s="494"/>
    </row>
    <row r="61" spans="1:10">
      <c r="A61" s="498"/>
      <c r="B61" s="500"/>
      <c r="C61" s="495"/>
      <c r="D61" s="495"/>
      <c r="E61" s="495"/>
      <c r="F61" s="495"/>
      <c r="G61" s="495"/>
      <c r="H61" s="495"/>
      <c r="I61" s="496"/>
      <c r="J61" s="497"/>
    </row>
    <row r="62" spans="1:10" ht="38.25" customHeight="1">
      <c r="A62" s="490"/>
      <c r="B62" s="491"/>
      <c r="C62" s="1518" t="s">
        <v>278</v>
      </c>
      <c r="D62" s="1518"/>
      <c r="E62" s="1518"/>
      <c r="F62" s="1518"/>
      <c r="G62" s="1518"/>
      <c r="H62" s="1518"/>
      <c r="I62" s="1518"/>
      <c r="J62" s="497"/>
    </row>
    <row r="63" spans="1:10">
      <c r="A63" s="498"/>
      <c r="B63" s="500"/>
      <c r="C63" s="495"/>
      <c r="D63" s="495"/>
      <c r="E63" s="495"/>
      <c r="F63" s="495"/>
      <c r="G63" s="495"/>
      <c r="H63" s="495"/>
      <c r="I63" s="496"/>
      <c r="J63" s="497"/>
    </row>
    <row r="64" spans="1:10">
      <c r="A64" s="490"/>
      <c r="B64" s="491"/>
      <c r="C64" s="495"/>
      <c r="D64" s="495"/>
      <c r="E64" s="495"/>
      <c r="F64" s="495"/>
      <c r="G64" s="495"/>
      <c r="H64" s="495"/>
      <c r="I64" s="496"/>
      <c r="J64" s="497"/>
    </row>
    <row r="65" spans="1:10">
      <c r="A65" s="490"/>
      <c r="B65" s="491"/>
      <c r="C65" s="495"/>
      <c r="D65" s="495"/>
      <c r="E65" s="495"/>
      <c r="F65" s="495"/>
      <c r="G65" s="495"/>
      <c r="H65" s="495"/>
      <c r="I65" s="496"/>
      <c r="J65" s="497"/>
    </row>
    <row r="66" spans="1:10">
      <c r="A66" s="498"/>
      <c r="B66" s="500"/>
      <c r="C66" s="495"/>
      <c r="D66" s="495"/>
      <c r="E66" s="495"/>
      <c r="F66" s="495"/>
      <c r="G66" s="495"/>
      <c r="H66" s="495"/>
      <c r="I66" s="496"/>
      <c r="J66" s="497"/>
    </row>
    <row r="67" spans="1:10">
      <c r="A67" s="490"/>
      <c r="B67" s="491"/>
      <c r="C67" s="492"/>
      <c r="D67" s="492"/>
      <c r="E67" s="492"/>
      <c r="F67" s="492"/>
      <c r="G67" s="492"/>
      <c r="H67" s="492"/>
      <c r="I67" s="493"/>
      <c r="J67" s="494"/>
    </row>
    <row r="68" spans="1:10">
      <c r="A68" s="498"/>
      <c r="B68" s="500"/>
      <c r="C68" s="495"/>
      <c r="D68" s="495"/>
      <c r="E68" s="495"/>
      <c r="F68" s="495"/>
      <c r="G68" s="495"/>
      <c r="H68" s="495"/>
      <c r="I68" s="496"/>
      <c r="J68" s="497"/>
    </row>
    <row r="69" spans="1:10">
      <c r="A69" s="490"/>
      <c r="B69" s="491"/>
      <c r="C69" s="492"/>
      <c r="D69" s="492"/>
      <c r="E69" s="492"/>
      <c r="F69" s="492"/>
      <c r="G69" s="492"/>
      <c r="H69" s="492"/>
      <c r="I69" s="493"/>
      <c r="J69" s="494"/>
    </row>
    <row r="70" spans="1:10">
      <c r="A70" s="498"/>
      <c r="B70" s="500"/>
      <c r="C70" s="495"/>
      <c r="D70" s="495"/>
      <c r="E70" s="495"/>
      <c r="F70" s="495"/>
      <c r="G70" s="495"/>
      <c r="H70" s="495"/>
      <c r="I70" s="496"/>
      <c r="J70" s="497"/>
    </row>
    <row r="71" spans="1:10">
      <c r="A71" s="490"/>
      <c r="B71" s="491"/>
      <c r="C71" s="495"/>
      <c r="D71" s="495"/>
      <c r="E71" s="495"/>
      <c r="F71" s="495"/>
      <c r="G71" s="495"/>
      <c r="H71" s="495"/>
      <c r="I71" s="496"/>
      <c r="J71" s="497"/>
    </row>
    <row r="72" spans="1:10">
      <c r="A72" s="498"/>
      <c r="B72" s="500"/>
      <c r="C72" s="495"/>
      <c r="D72" s="495"/>
      <c r="E72" s="495"/>
      <c r="F72" s="495"/>
      <c r="G72" s="495"/>
      <c r="H72" s="495"/>
      <c r="I72" s="496"/>
      <c r="J72" s="497"/>
    </row>
    <row r="73" spans="1:10">
      <c r="A73" s="490"/>
      <c r="B73" s="491"/>
      <c r="C73" s="495"/>
      <c r="D73" s="495"/>
      <c r="E73" s="495"/>
      <c r="F73" s="495"/>
      <c r="G73" s="495"/>
      <c r="H73" s="495"/>
      <c r="I73" s="496"/>
      <c r="J73" s="497"/>
    </row>
    <row r="74" spans="1:10">
      <c r="A74" s="498"/>
      <c r="B74" s="500"/>
      <c r="C74" s="495"/>
      <c r="D74" s="495"/>
      <c r="E74" s="495"/>
      <c r="F74" s="495"/>
      <c r="G74" s="495"/>
      <c r="H74" s="495"/>
      <c r="I74" s="496"/>
      <c r="J74" s="497"/>
    </row>
    <row r="75" spans="1:10">
      <c r="A75" s="490"/>
      <c r="B75" s="491"/>
      <c r="C75" s="495"/>
      <c r="D75" s="495"/>
      <c r="E75" s="495"/>
      <c r="F75" s="495"/>
      <c r="G75" s="495"/>
      <c r="H75" s="495"/>
      <c r="I75" s="496"/>
      <c r="J75" s="497"/>
    </row>
    <row r="76" spans="1:10">
      <c r="A76" s="498"/>
      <c r="B76" s="500"/>
      <c r="C76" s="495"/>
      <c r="D76" s="495"/>
      <c r="E76" s="495"/>
      <c r="F76" s="495"/>
      <c r="G76" s="495"/>
      <c r="H76" s="495"/>
      <c r="I76" s="496"/>
      <c r="J76" s="497"/>
    </row>
    <row r="77" spans="1:10">
      <c r="A77" s="490"/>
      <c r="B77" s="491"/>
      <c r="C77" s="495"/>
      <c r="D77" s="495"/>
      <c r="E77" s="495"/>
      <c r="F77" s="495"/>
      <c r="G77" s="495"/>
      <c r="H77" s="495"/>
      <c r="I77" s="496"/>
      <c r="J77" s="497"/>
    </row>
    <row r="78" spans="1:10">
      <c r="A78" s="498"/>
      <c r="B78" s="500"/>
      <c r="C78" s="495"/>
      <c r="D78" s="495"/>
      <c r="E78" s="495"/>
      <c r="F78" s="495"/>
      <c r="G78" s="495"/>
      <c r="H78" s="495"/>
      <c r="I78" s="496"/>
      <c r="J78" s="497"/>
    </row>
    <row r="79" spans="1:10">
      <c r="A79" s="490"/>
      <c r="B79" s="491"/>
      <c r="C79" s="495"/>
      <c r="D79" s="495"/>
      <c r="E79" s="495"/>
      <c r="F79" s="495"/>
      <c r="G79" s="495"/>
      <c r="H79" s="495"/>
      <c r="I79" s="496"/>
      <c r="J79" s="497"/>
    </row>
    <row r="80" spans="1:10">
      <c r="A80" s="498"/>
      <c r="B80" s="500"/>
      <c r="C80" s="506"/>
      <c r="D80" s="506"/>
      <c r="E80" s="506"/>
      <c r="F80" s="506"/>
      <c r="G80" s="506"/>
      <c r="H80" s="506"/>
      <c r="I80" s="496"/>
      <c r="J80" s="497"/>
    </row>
    <row r="81" spans="1:10">
      <c r="A81" s="490"/>
      <c r="B81" s="491"/>
      <c r="C81" s="495"/>
      <c r="D81" s="495"/>
      <c r="E81" s="495"/>
      <c r="F81" s="495"/>
      <c r="G81" s="495"/>
      <c r="H81" s="495"/>
      <c r="I81" s="496"/>
      <c r="J81" s="497"/>
    </row>
    <row r="82" spans="1:10">
      <c r="A82" s="498"/>
      <c r="B82" s="500"/>
      <c r="C82" s="495"/>
      <c r="D82" s="495"/>
      <c r="E82" s="495"/>
      <c r="F82" s="495"/>
      <c r="G82" s="495"/>
      <c r="H82" s="495"/>
      <c r="I82" s="496"/>
      <c r="J82" s="494"/>
    </row>
    <row r="83" spans="1:10">
      <c r="A83" s="490"/>
      <c r="B83" s="491"/>
      <c r="C83" s="495"/>
      <c r="D83" s="495"/>
      <c r="E83" s="495"/>
      <c r="F83" s="495"/>
      <c r="G83" s="495"/>
      <c r="H83" s="495"/>
      <c r="I83" s="496"/>
      <c r="J83" s="497"/>
    </row>
    <row r="84" spans="1:10">
      <c r="A84" s="498"/>
      <c r="B84" s="500"/>
      <c r="C84" s="492"/>
      <c r="D84" s="492"/>
      <c r="E84" s="492"/>
      <c r="F84" s="492"/>
      <c r="G84" s="492"/>
      <c r="H84" s="492"/>
      <c r="I84" s="496"/>
      <c r="J84" s="494"/>
    </row>
    <row r="85" spans="1:10">
      <c r="A85" s="490"/>
      <c r="B85" s="491"/>
      <c r="C85" s="495"/>
      <c r="D85" s="495"/>
      <c r="E85" s="495"/>
      <c r="F85" s="495"/>
      <c r="G85" s="495"/>
      <c r="H85" s="495"/>
      <c r="I85" s="507"/>
      <c r="J85" s="508"/>
    </row>
    <row r="86" spans="1:10" ht="15.75" thickBot="1">
      <c r="A86" s="501"/>
      <c r="B86" s="502"/>
      <c r="C86" s="1516"/>
      <c r="D86" s="1516"/>
      <c r="E86" s="1516"/>
      <c r="F86" s="1516"/>
      <c r="G86" s="1516"/>
      <c r="H86" s="1516"/>
      <c r="I86" s="1516"/>
      <c r="J86" s="1517"/>
    </row>
    <row r="87" spans="1:10" ht="16.5" thickTop="1" thickBot="1"/>
    <row r="88" spans="1:10" ht="15.75" thickTop="1">
      <c r="A88" s="483"/>
      <c r="B88" s="484"/>
      <c r="C88" s="485"/>
      <c r="D88" s="485"/>
      <c r="E88" s="485"/>
      <c r="F88" s="485"/>
      <c r="G88" s="485"/>
      <c r="H88" s="485"/>
      <c r="I88" s="485"/>
      <c r="J88" s="486"/>
    </row>
    <row r="89" spans="1:10" ht="18">
      <c r="A89" s="1510"/>
      <c r="B89" s="1511"/>
      <c r="C89" s="1511"/>
      <c r="D89" s="1511"/>
      <c r="E89" s="1511"/>
      <c r="F89" s="1511"/>
      <c r="G89" s="1511"/>
      <c r="H89" s="1511"/>
      <c r="I89" s="1511"/>
      <c r="J89" s="1512"/>
    </row>
    <row r="90" spans="1:10">
      <c r="A90" s="490"/>
      <c r="B90" s="491"/>
      <c r="C90" s="492"/>
      <c r="D90" s="492"/>
      <c r="E90" s="492"/>
      <c r="F90" s="492"/>
      <c r="G90" s="492"/>
      <c r="H90" s="492"/>
      <c r="I90" s="492"/>
      <c r="J90" s="505"/>
    </row>
    <row r="91" spans="1:10">
      <c r="A91" s="498"/>
      <c r="B91" s="500"/>
      <c r="C91" s="1509"/>
      <c r="D91" s="1509"/>
      <c r="E91" s="1509"/>
      <c r="F91" s="1509"/>
      <c r="G91" s="1509"/>
      <c r="H91" s="1509"/>
      <c r="I91" s="496"/>
      <c r="J91" s="494"/>
    </row>
    <row r="92" spans="1:10">
      <c r="A92" s="490"/>
      <c r="B92" s="491"/>
      <c r="C92" s="492"/>
      <c r="D92" s="492"/>
      <c r="E92" s="492"/>
      <c r="F92" s="492"/>
      <c r="G92" s="492"/>
      <c r="H92" s="492"/>
      <c r="I92" s="493"/>
      <c r="J92" s="494"/>
    </row>
    <row r="93" spans="1:10">
      <c r="A93" s="498"/>
      <c r="B93" s="500"/>
      <c r="C93" s="495"/>
      <c r="D93" s="495"/>
      <c r="E93" s="495"/>
      <c r="F93" s="495"/>
      <c r="G93" s="495"/>
      <c r="H93" s="495"/>
      <c r="I93" s="496"/>
      <c r="J93" s="494"/>
    </row>
    <row r="94" spans="1:10">
      <c r="A94" s="498"/>
      <c r="B94" s="500"/>
      <c r="C94" s="495"/>
      <c r="D94" s="495"/>
      <c r="E94" s="495"/>
      <c r="F94" s="495"/>
      <c r="G94" s="495"/>
      <c r="H94" s="495"/>
      <c r="I94" s="496"/>
      <c r="J94" s="494"/>
    </row>
    <row r="95" spans="1:10">
      <c r="A95" s="498"/>
      <c r="B95" s="500"/>
      <c r="C95" s="495"/>
      <c r="D95" s="495"/>
      <c r="E95" s="495"/>
      <c r="F95" s="495"/>
      <c r="G95" s="495"/>
      <c r="H95" s="495"/>
      <c r="I95" s="496"/>
      <c r="J95" s="494"/>
    </row>
    <row r="96" spans="1:10">
      <c r="A96" s="498"/>
      <c r="B96" s="500"/>
      <c r="C96" s="495"/>
      <c r="D96" s="495"/>
      <c r="E96" s="495"/>
      <c r="F96" s="495"/>
      <c r="G96" s="495"/>
      <c r="H96" s="495"/>
      <c r="I96" s="496"/>
      <c r="J96" s="494"/>
    </row>
    <row r="97" spans="1:10">
      <c r="A97" s="498"/>
      <c r="B97" s="500"/>
      <c r="C97" s="495"/>
      <c r="D97" s="495"/>
      <c r="E97" s="495"/>
      <c r="F97" s="495"/>
      <c r="G97" s="495"/>
      <c r="H97" s="495"/>
      <c r="I97" s="496"/>
      <c r="J97" s="494"/>
    </row>
    <row r="98" spans="1:10">
      <c r="A98" s="498"/>
      <c r="B98" s="500"/>
      <c r="C98" s="495"/>
      <c r="D98" s="495"/>
      <c r="E98" s="495"/>
      <c r="F98" s="495"/>
      <c r="G98" s="495"/>
      <c r="H98" s="495"/>
      <c r="I98" s="496"/>
      <c r="J98" s="494"/>
    </row>
    <row r="99" spans="1:10">
      <c r="A99" s="498"/>
      <c r="B99" s="500"/>
      <c r="C99" s="495"/>
      <c r="D99" s="495"/>
      <c r="E99" s="495"/>
      <c r="F99" s="495"/>
      <c r="G99" s="495"/>
      <c r="H99" s="495"/>
      <c r="I99" s="496"/>
      <c r="J99" s="494"/>
    </row>
    <row r="100" spans="1:10">
      <c r="A100" s="498"/>
      <c r="B100" s="500"/>
      <c r="C100" s="495"/>
      <c r="D100" s="495"/>
      <c r="E100" s="495"/>
      <c r="F100" s="495"/>
      <c r="G100" s="495"/>
      <c r="H100" s="495"/>
      <c r="I100" s="496"/>
      <c r="J100" s="494"/>
    </row>
    <row r="101" spans="1:10">
      <c r="A101" s="498"/>
      <c r="B101" s="500"/>
      <c r="C101" s="495"/>
      <c r="D101" s="495"/>
      <c r="E101" s="495"/>
      <c r="F101" s="495"/>
      <c r="G101" s="495"/>
      <c r="H101" s="495"/>
      <c r="I101" s="496"/>
      <c r="J101" s="494"/>
    </row>
    <row r="102" spans="1:10">
      <c r="A102" s="498"/>
      <c r="B102" s="500"/>
      <c r="C102" s="495"/>
      <c r="D102" s="495"/>
      <c r="E102" s="495"/>
      <c r="F102" s="495"/>
      <c r="G102" s="495"/>
      <c r="H102" s="495"/>
      <c r="I102" s="496"/>
      <c r="J102" s="494"/>
    </row>
    <row r="103" spans="1:10">
      <c r="A103" s="498"/>
      <c r="B103" s="500"/>
      <c r="C103" s="495"/>
      <c r="D103" s="495"/>
      <c r="E103" s="495"/>
      <c r="F103" s="495"/>
      <c r="G103" s="495"/>
      <c r="H103" s="495"/>
      <c r="I103" s="496"/>
      <c r="J103" s="494"/>
    </row>
    <row r="104" spans="1:10">
      <c r="A104" s="498"/>
      <c r="B104" s="500"/>
      <c r="C104" s="495"/>
      <c r="D104" s="495"/>
      <c r="E104" s="495"/>
      <c r="F104" s="495"/>
      <c r="G104" s="495"/>
      <c r="H104" s="495"/>
      <c r="I104" s="496"/>
      <c r="J104" s="494"/>
    </row>
    <row r="105" spans="1:10">
      <c r="A105" s="498"/>
      <c r="B105" s="500"/>
      <c r="C105" s="495"/>
      <c r="D105" s="495"/>
      <c r="E105" s="495"/>
      <c r="F105" s="495"/>
      <c r="G105" s="495"/>
      <c r="H105" s="495"/>
      <c r="I105" s="496"/>
      <c r="J105" s="494"/>
    </row>
    <row r="106" spans="1:10">
      <c r="A106" s="490"/>
      <c r="B106" s="491"/>
      <c r="C106" s="492"/>
      <c r="D106" s="492"/>
      <c r="E106" s="492"/>
      <c r="F106" s="492"/>
      <c r="G106" s="492"/>
      <c r="H106" s="492"/>
      <c r="I106" s="493"/>
      <c r="J106" s="494"/>
    </row>
    <row r="107" spans="1:10">
      <c r="A107" s="498"/>
      <c r="B107" s="500"/>
      <c r="C107" s="495"/>
      <c r="D107" s="495"/>
      <c r="E107" s="495"/>
      <c r="F107" s="495"/>
      <c r="G107" s="495"/>
      <c r="H107" s="495"/>
      <c r="I107" s="496"/>
      <c r="J107" s="497"/>
    </row>
    <row r="108" spans="1:10">
      <c r="A108" s="490"/>
      <c r="B108" s="491"/>
      <c r="C108" s="495"/>
      <c r="D108" s="495"/>
      <c r="E108" s="495"/>
      <c r="F108" s="495"/>
      <c r="G108" s="495"/>
      <c r="H108" s="495"/>
      <c r="I108" s="496"/>
      <c r="J108" s="497"/>
    </row>
    <row r="109" spans="1:10">
      <c r="A109" s="498"/>
      <c r="B109" s="500"/>
      <c r="C109" s="495"/>
      <c r="D109" s="495"/>
      <c r="E109" s="495"/>
      <c r="F109" s="495"/>
      <c r="G109" s="495"/>
      <c r="H109" s="495"/>
      <c r="I109" s="496"/>
      <c r="J109" s="497"/>
    </row>
    <row r="110" spans="1:10">
      <c r="A110" s="490"/>
      <c r="B110" s="491"/>
      <c r="C110" s="495"/>
      <c r="D110" s="495"/>
      <c r="E110" s="495"/>
      <c r="F110" s="495"/>
      <c r="G110" s="495"/>
      <c r="H110" s="495"/>
      <c r="I110" s="496"/>
      <c r="J110" s="497"/>
    </row>
    <row r="111" spans="1:10">
      <c r="A111" s="498"/>
      <c r="B111" s="500"/>
      <c r="C111" s="495"/>
      <c r="D111" s="495"/>
      <c r="E111" s="495"/>
      <c r="F111" s="495"/>
      <c r="G111" s="495"/>
      <c r="H111" s="495"/>
      <c r="I111" s="496"/>
      <c r="J111" s="497"/>
    </row>
    <row r="112" spans="1:10">
      <c r="A112" s="490"/>
      <c r="B112" s="491"/>
      <c r="C112" s="492"/>
      <c r="D112" s="492"/>
      <c r="E112" s="492"/>
      <c r="F112" s="492"/>
      <c r="G112" s="492"/>
      <c r="H112" s="492"/>
      <c r="I112" s="493"/>
      <c r="J112" s="494"/>
    </row>
    <row r="113" spans="1:10">
      <c r="A113" s="498"/>
      <c r="B113" s="500"/>
      <c r="C113" s="495"/>
      <c r="D113" s="495"/>
      <c r="E113" s="495"/>
      <c r="F113" s="495"/>
      <c r="G113" s="495"/>
      <c r="H113" s="495"/>
      <c r="I113" s="496"/>
      <c r="J113" s="497"/>
    </row>
    <row r="114" spans="1:10" ht="30">
      <c r="A114" s="490"/>
      <c r="B114" s="491"/>
      <c r="C114" s="1518" t="str">
        <f>+C62</f>
        <v>NO CORRESPONDE</v>
      </c>
      <c r="D114" s="1518"/>
      <c r="E114" s="1518"/>
      <c r="F114" s="1518"/>
      <c r="G114" s="1518"/>
      <c r="H114" s="1518"/>
      <c r="I114" s="1518"/>
      <c r="J114" s="497"/>
    </row>
    <row r="115" spans="1:10">
      <c r="A115" s="498"/>
      <c r="B115" s="500"/>
      <c r="C115" s="495"/>
      <c r="D115" s="495"/>
      <c r="E115" s="495"/>
      <c r="F115" s="495"/>
      <c r="G115" s="495"/>
      <c r="H115" s="495"/>
      <c r="I115" s="496"/>
      <c r="J115" s="497"/>
    </row>
    <row r="116" spans="1:10">
      <c r="A116" s="490"/>
      <c r="B116" s="491"/>
      <c r="C116" s="495"/>
      <c r="D116" s="495"/>
      <c r="E116" s="495"/>
      <c r="F116" s="495"/>
      <c r="G116" s="495"/>
      <c r="H116" s="495"/>
      <c r="I116" s="496"/>
      <c r="J116" s="497"/>
    </row>
    <row r="117" spans="1:10">
      <c r="A117" s="490"/>
      <c r="B117" s="491"/>
      <c r="C117" s="495"/>
      <c r="D117" s="495"/>
      <c r="E117" s="495"/>
      <c r="F117" s="495"/>
      <c r="G117" s="495"/>
      <c r="H117" s="495"/>
      <c r="I117" s="496"/>
      <c r="J117" s="497"/>
    </row>
    <row r="118" spans="1:10">
      <c r="A118" s="498"/>
      <c r="B118" s="500"/>
      <c r="C118" s="495"/>
      <c r="D118" s="495"/>
      <c r="E118" s="495"/>
      <c r="F118" s="495"/>
      <c r="G118" s="495"/>
      <c r="H118" s="495"/>
      <c r="I118" s="496"/>
      <c r="J118" s="497"/>
    </row>
    <row r="119" spans="1:10">
      <c r="A119" s="490"/>
      <c r="B119" s="491"/>
      <c r="C119" s="492"/>
      <c r="D119" s="492"/>
      <c r="E119" s="492"/>
      <c r="F119" s="492"/>
      <c r="G119" s="492"/>
      <c r="H119" s="492"/>
      <c r="I119" s="493"/>
      <c r="J119" s="494"/>
    </row>
    <row r="120" spans="1:10">
      <c r="A120" s="498"/>
      <c r="B120" s="500"/>
      <c r="C120" s="495"/>
      <c r="D120" s="495"/>
      <c r="E120" s="495"/>
      <c r="F120" s="495"/>
      <c r="G120" s="495"/>
      <c r="H120" s="495"/>
      <c r="I120" s="496"/>
      <c r="J120" s="497"/>
    </row>
    <row r="121" spans="1:10">
      <c r="A121" s="490"/>
      <c r="B121" s="491"/>
      <c r="C121" s="492"/>
      <c r="D121" s="492"/>
      <c r="E121" s="492"/>
      <c r="F121" s="492"/>
      <c r="G121" s="492"/>
      <c r="H121" s="492"/>
      <c r="I121" s="493"/>
      <c r="J121" s="494"/>
    </row>
    <row r="122" spans="1:10">
      <c r="A122" s="498"/>
      <c r="B122" s="500"/>
      <c r="C122" s="495"/>
      <c r="D122" s="495"/>
      <c r="E122" s="495"/>
      <c r="F122" s="495"/>
      <c r="G122" s="495"/>
      <c r="H122" s="495"/>
      <c r="I122" s="496"/>
      <c r="J122" s="497"/>
    </row>
    <row r="123" spans="1:10">
      <c r="A123" s="490"/>
      <c r="B123" s="491"/>
      <c r="C123" s="495"/>
      <c r="D123" s="495"/>
      <c r="E123" s="495"/>
      <c r="F123" s="495"/>
      <c r="G123" s="495"/>
      <c r="H123" s="495"/>
      <c r="I123" s="496"/>
      <c r="J123" s="497"/>
    </row>
    <row r="124" spans="1:10">
      <c r="A124" s="498"/>
      <c r="B124" s="500"/>
      <c r="C124" s="495"/>
      <c r="D124" s="495"/>
      <c r="E124" s="495"/>
      <c r="F124" s="495"/>
      <c r="G124" s="495"/>
      <c r="H124" s="495"/>
      <c r="I124" s="496"/>
      <c r="J124" s="497"/>
    </row>
    <row r="125" spans="1:10">
      <c r="A125" s="490"/>
      <c r="B125" s="491"/>
      <c r="C125" s="495"/>
      <c r="D125" s="495"/>
      <c r="E125" s="495"/>
      <c r="F125" s="495"/>
      <c r="G125" s="495"/>
      <c r="H125" s="495"/>
      <c r="I125" s="496"/>
      <c r="J125" s="497"/>
    </row>
    <row r="126" spans="1:10">
      <c r="A126" s="498"/>
      <c r="B126" s="500"/>
      <c r="C126" s="495"/>
      <c r="D126" s="495"/>
      <c r="E126" s="495"/>
      <c r="F126" s="495"/>
      <c r="G126" s="495"/>
      <c r="H126" s="495"/>
      <c r="I126" s="496"/>
      <c r="J126" s="497"/>
    </row>
    <row r="127" spans="1:10">
      <c r="A127" s="490"/>
      <c r="B127" s="491"/>
      <c r="C127" s="495"/>
      <c r="D127" s="495"/>
      <c r="E127" s="495"/>
      <c r="F127" s="495"/>
      <c r="G127" s="495"/>
      <c r="H127" s="495"/>
      <c r="I127" s="496"/>
      <c r="J127" s="497"/>
    </row>
    <row r="128" spans="1:10">
      <c r="A128" s="498"/>
      <c r="B128" s="500"/>
      <c r="C128" s="495"/>
      <c r="D128" s="495"/>
      <c r="E128" s="495"/>
      <c r="F128" s="495"/>
      <c r="G128" s="495"/>
      <c r="H128" s="495"/>
      <c r="I128" s="496"/>
      <c r="J128" s="497"/>
    </row>
    <row r="129" spans="1:10">
      <c r="A129" s="490"/>
      <c r="B129" s="491"/>
      <c r="C129" s="495"/>
      <c r="D129" s="495"/>
      <c r="E129" s="495"/>
      <c r="F129" s="495"/>
      <c r="G129" s="495"/>
      <c r="H129" s="495"/>
      <c r="I129" s="496"/>
      <c r="J129" s="497"/>
    </row>
    <row r="130" spans="1:10">
      <c r="A130" s="498"/>
      <c r="B130" s="500"/>
      <c r="C130" s="495"/>
      <c r="D130" s="495"/>
      <c r="E130" s="495"/>
      <c r="F130" s="495"/>
      <c r="G130" s="495"/>
      <c r="H130" s="495"/>
      <c r="I130" s="496"/>
      <c r="J130" s="497"/>
    </row>
    <row r="131" spans="1:10">
      <c r="A131" s="490"/>
      <c r="B131" s="491"/>
      <c r="C131" s="495"/>
      <c r="D131" s="495"/>
      <c r="E131" s="495"/>
      <c r="F131" s="495"/>
      <c r="G131" s="495"/>
      <c r="H131" s="495"/>
      <c r="I131" s="496"/>
      <c r="J131" s="497"/>
    </row>
    <row r="132" spans="1:10">
      <c r="A132" s="498"/>
      <c r="B132" s="500"/>
      <c r="C132" s="506"/>
      <c r="D132" s="506"/>
      <c r="E132" s="506"/>
      <c r="F132" s="506"/>
      <c r="G132" s="506"/>
      <c r="H132" s="506"/>
      <c r="I132" s="496"/>
      <c r="J132" s="497"/>
    </row>
    <row r="133" spans="1:10">
      <c r="A133" s="490"/>
      <c r="B133" s="491"/>
      <c r="C133" s="495"/>
      <c r="D133" s="495"/>
      <c r="E133" s="495"/>
      <c r="F133" s="495"/>
      <c r="G133" s="495"/>
      <c r="H133" s="495"/>
      <c r="I133" s="496"/>
      <c r="J133" s="497"/>
    </row>
    <row r="134" spans="1:10">
      <c r="A134" s="498"/>
      <c r="B134" s="500"/>
      <c r="C134" s="495"/>
      <c r="D134" s="495"/>
      <c r="E134" s="495"/>
      <c r="F134" s="495"/>
      <c r="G134" s="495"/>
      <c r="H134" s="495"/>
      <c r="I134" s="496"/>
      <c r="J134" s="494"/>
    </row>
    <row r="135" spans="1:10">
      <c r="A135" s="490"/>
      <c r="B135" s="491"/>
      <c r="C135" s="495"/>
      <c r="D135" s="495"/>
      <c r="E135" s="495"/>
      <c r="F135" s="495"/>
      <c r="G135" s="495"/>
      <c r="H135" s="495"/>
      <c r="I135" s="496"/>
      <c r="J135" s="497"/>
    </row>
    <row r="136" spans="1:10">
      <c r="A136" s="498"/>
      <c r="B136" s="500"/>
      <c r="C136" s="492"/>
      <c r="D136" s="492"/>
      <c r="E136" s="492"/>
      <c r="F136" s="492"/>
      <c r="G136" s="492"/>
      <c r="H136" s="492"/>
      <c r="I136" s="496"/>
      <c r="J136" s="494"/>
    </row>
    <row r="137" spans="1:10">
      <c r="A137" s="490"/>
      <c r="B137" s="491"/>
      <c r="C137" s="495"/>
      <c r="D137" s="495"/>
      <c r="E137" s="495"/>
      <c r="F137" s="495"/>
      <c r="G137" s="495"/>
      <c r="H137" s="495"/>
      <c r="I137" s="507"/>
      <c r="J137" s="508"/>
    </row>
    <row r="138" spans="1:10" ht="15.75" thickBot="1">
      <c r="A138" s="501"/>
      <c r="B138" s="502"/>
      <c r="C138" s="1516"/>
      <c r="D138" s="1516"/>
      <c r="E138" s="1516"/>
      <c r="F138" s="1516"/>
      <c r="G138" s="1516"/>
      <c r="H138" s="1516"/>
      <c r="I138" s="1516"/>
      <c r="J138" s="1517"/>
    </row>
    <row r="139" spans="1:10" ht="16.5" thickTop="1" thickBot="1"/>
    <row r="140" spans="1:10" ht="15.75" thickTop="1">
      <c r="A140" s="483"/>
      <c r="B140" s="484"/>
      <c r="C140" s="485"/>
      <c r="D140" s="485"/>
      <c r="E140" s="485"/>
      <c r="F140" s="485"/>
      <c r="G140" s="485"/>
      <c r="H140" s="485"/>
      <c r="I140" s="485"/>
      <c r="J140" s="486"/>
    </row>
    <row r="141" spans="1:10" ht="18">
      <c r="A141" s="1510"/>
      <c r="B141" s="1511"/>
      <c r="C141" s="1511"/>
      <c r="D141" s="1511"/>
      <c r="E141" s="1511"/>
      <c r="F141" s="1511"/>
      <c r="G141" s="1511"/>
      <c r="H141" s="1511"/>
      <c r="I141" s="1511"/>
      <c r="J141" s="1512"/>
    </row>
    <row r="142" spans="1:10">
      <c r="A142" s="490"/>
      <c r="B142" s="491"/>
      <c r="C142" s="492"/>
      <c r="D142" s="492"/>
      <c r="E142" s="492"/>
      <c r="F142" s="492"/>
      <c r="G142" s="492"/>
      <c r="H142" s="492"/>
      <c r="I142" s="492"/>
      <c r="J142" s="505"/>
    </row>
    <row r="143" spans="1:10">
      <c r="A143" s="498"/>
      <c r="B143" s="500"/>
      <c r="C143" s="1509"/>
      <c r="D143" s="1509"/>
      <c r="E143" s="1509"/>
      <c r="F143" s="1509"/>
      <c r="G143" s="1509"/>
      <c r="H143" s="1509"/>
      <c r="I143" s="496"/>
      <c r="J143" s="494"/>
    </row>
    <row r="144" spans="1:10">
      <c r="A144" s="490"/>
      <c r="B144" s="491"/>
      <c r="C144" s="492"/>
      <c r="D144" s="492"/>
      <c r="E144" s="492"/>
      <c r="F144" s="492"/>
      <c r="G144" s="492"/>
      <c r="H144" s="492"/>
      <c r="I144" s="493"/>
      <c r="J144" s="494"/>
    </row>
    <row r="145" spans="1:10">
      <c r="A145" s="498"/>
      <c r="B145" s="500"/>
      <c r="C145" s="495"/>
      <c r="D145" s="495"/>
      <c r="E145" s="495"/>
      <c r="F145" s="495"/>
      <c r="G145" s="495"/>
      <c r="H145" s="495"/>
      <c r="I145" s="496"/>
      <c r="J145" s="494"/>
    </row>
    <row r="146" spans="1:10">
      <c r="A146" s="498"/>
      <c r="B146" s="500"/>
      <c r="C146" s="495"/>
      <c r="D146" s="495"/>
      <c r="E146" s="495"/>
      <c r="F146" s="495"/>
      <c r="G146" s="495"/>
      <c r="H146" s="495"/>
      <c r="I146" s="496"/>
      <c r="J146" s="494"/>
    </row>
    <row r="147" spans="1:10">
      <c r="A147" s="498"/>
      <c r="B147" s="500"/>
      <c r="C147" s="495"/>
      <c r="D147" s="495"/>
      <c r="E147" s="495"/>
      <c r="F147" s="495"/>
      <c r="G147" s="495"/>
      <c r="H147" s="495"/>
      <c r="I147" s="496"/>
      <c r="J147" s="494"/>
    </row>
    <row r="148" spans="1:10">
      <c r="A148" s="498"/>
      <c r="B148" s="500"/>
      <c r="C148" s="495"/>
      <c r="D148" s="495"/>
      <c r="E148" s="495"/>
      <c r="F148" s="495"/>
      <c r="G148" s="495"/>
      <c r="H148" s="495"/>
      <c r="I148" s="496"/>
      <c r="J148" s="494"/>
    </row>
    <row r="149" spans="1:10">
      <c r="A149" s="498"/>
      <c r="B149" s="500"/>
      <c r="C149" s="495"/>
      <c r="D149" s="495"/>
      <c r="E149" s="495"/>
      <c r="F149" s="495"/>
      <c r="G149" s="495"/>
      <c r="H149" s="495"/>
      <c r="I149" s="496"/>
      <c r="J149" s="494"/>
    </row>
    <row r="150" spans="1:10">
      <c r="A150" s="498"/>
      <c r="B150" s="500"/>
      <c r="C150" s="495"/>
      <c r="D150" s="495"/>
      <c r="E150" s="495"/>
      <c r="F150" s="495"/>
      <c r="G150" s="495"/>
      <c r="H150" s="495"/>
      <c r="I150" s="496"/>
      <c r="J150" s="494"/>
    </row>
    <row r="151" spans="1:10">
      <c r="A151" s="498"/>
      <c r="B151" s="500"/>
      <c r="C151" s="495"/>
      <c r="D151" s="495"/>
      <c r="E151" s="495"/>
      <c r="F151" s="495"/>
      <c r="G151" s="495"/>
      <c r="H151" s="495"/>
      <c r="I151" s="496"/>
      <c r="J151" s="494"/>
    </row>
    <row r="152" spans="1:10">
      <c r="A152" s="498"/>
      <c r="B152" s="500"/>
      <c r="C152" s="495"/>
      <c r="D152" s="495"/>
      <c r="E152" s="495"/>
      <c r="F152" s="495"/>
      <c r="G152" s="495"/>
      <c r="H152" s="495"/>
      <c r="I152" s="496"/>
      <c r="J152" s="494"/>
    </row>
    <row r="153" spans="1:10">
      <c r="A153" s="498"/>
      <c r="B153" s="500"/>
      <c r="C153" s="495"/>
      <c r="D153" s="495"/>
      <c r="E153" s="495"/>
      <c r="F153" s="495"/>
      <c r="G153" s="495"/>
      <c r="H153" s="495"/>
      <c r="I153" s="496"/>
      <c r="J153" s="494"/>
    </row>
    <row r="154" spans="1:10">
      <c r="A154" s="498"/>
      <c r="B154" s="500"/>
      <c r="C154" s="495"/>
      <c r="D154" s="495"/>
      <c r="E154" s="495"/>
      <c r="F154" s="495"/>
      <c r="G154" s="495"/>
      <c r="H154" s="495"/>
      <c r="I154" s="496"/>
      <c r="J154" s="494"/>
    </row>
    <row r="155" spans="1:10">
      <c r="A155" s="498"/>
      <c r="B155" s="500"/>
      <c r="C155" s="495"/>
      <c r="D155" s="495"/>
      <c r="E155" s="495"/>
      <c r="F155" s="495"/>
      <c r="G155" s="495"/>
      <c r="H155" s="495"/>
      <c r="I155" s="496"/>
      <c r="J155" s="494"/>
    </row>
    <row r="156" spans="1:10">
      <c r="A156" s="490"/>
      <c r="B156" s="491"/>
      <c r="C156" s="492"/>
      <c r="D156" s="492"/>
      <c r="E156" s="492"/>
      <c r="F156" s="492"/>
      <c r="G156" s="492"/>
      <c r="H156" s="492"/>
      <c r="I156" s="493"/>
      <c r="J156" s="494"/>
    </row>
    <row r="157" spans="1:10">
      <c r="A157" s="498"/>
      <c r="B157" s="500"/>
      <c r="C157" s="495"/>
      <c r="D157" s="495"/>
      <c r="E157" s="495"/>
      <c r="F157" s="495"/>
      <c r="G157" s="495"/>
      <c r="H157" s="495"/>
      <c r="I157" s="496"/>
      <c r="J157" s="497"/>
    </row>
    <row r="158" spans="1:10">
      <c r="A158" s="490"/>
      <c r="B158" s="491"/>
      <c r="C158" s="495"/>
      <c r="D158" s="495"/>
      <c r="E158" s="495"/>
      <c r="F158" s="495"/>
      <c r="G158" s="495"/>
      <c r="H158" s="495"/>
      <c r="I158" s="496"/>
      <c r="J158" s="497"/>
    </row>
    <row r="159" spans="1:10">
      <c r="A159" s="498"/>
      <c r="B159" s="500"/>
      <c r="C159" s="495"/>
      <c r="D159" s="495"/>
      <c r="E159" s="495"/>
      <c r="F159" s="495"/>
      <c r="G159" s="495"/>
      <c r="H159" s="495"/>
      <c r="I159" s="496"/>
      <c r="J159" s="497"/>
    </row>
    <row r="160" spans="1:10">
      <c r="A160" s="490"/>
      <c r="B160" s="491"/>
      <c r="C160" s="495"/>
      <c r="D160" s="495"/>
      <c r="E160" s="495"/>
      <c r="F160" s="495"/>
      <c r="G160" s="495"/>
      <c r="H160" s="495"/>
      <c r="I160" s="496"/>
      <c r="J160" s="497"/>
    </row>
    <row r="161" spans="1:10">
      <c r="A161" s="498"/>
      <c r="B161" s="500"/>
      <c r="C161" s="495"/>
      <c r="D161" s="495"/>
      <c r="E161" s="495"/>
      <c r="F161" s="495"/>
      <c r="G161" s="495"/>
      <c r="H161" s="495"/>
      <c r="I161" s="496"/>
      <c r="J161" s="497"/>
    </row>
    <row r="162" spans="1:10">
      <c r="A162" s="490"/>
      <c r="B162" s="491"/>
      <c r="C162" s="492"/>
      <c r="D162" s="492"/>
      <c r="E162" s="492"/>
      <c r="F162" s="492"/>
      <c r="G162" s="492"/>
      <c r="H162" s="492"/>
      <c r="I162" s="493"/>
      <c r="J162" s="494"/>
    </row>
    <row r="163" spans="1:10">
      <c r="A163" s="498"/>
      <c r="B163" s="500"/>
      <c r="C163" s="495"/>
      <c r="D163" s="495"/>
      <c r="E163" s="495"/>
      <c r="F163" s="495"/>
      <c r="G163" s="495"/>
      <c r="H163" s="495"/>
      <c r="I163" s="496"/>
      <c r="J163" s="497"/>
    </row>
    <row r="164" spans="1:10" ht="30">
      <c r="A164" s="490"/>
      <c r="B164" s="491"/>
      <c r="C164" s="1518" t="s">
        <v>279</v>
      </c>
      <c r="D164" s="1518"/>
      <c r="E164" s="1518"/>
      <c r="F164" s="1518"/>
      <c r="G164" s="1518"/>
      <c r="H164" s="1518"/>
      <c r="I164" s="1518"/>
      <c r="J164" s="497"/>
    </row>
    <row r="165" spans="1:10">
      <c r="A165" s="498"/>
      <c r="B165" s="500"/>
      <c r="C165" s="495"/>
      <c r="D165" s="495"/>
      <c r="E165" s="495"/>
      <c r="F165" s="495"/>
      <c r="G165" s="495"/>
      <c r="H165" s="495"/>
      <c r="I165" s="496"/>
      <c r="J165" s="497"/>
    </row>
    <row r="166" spans="1:10">
      <c r="A166" s="490"/>
      <c r="B166" s="491"/>
      <c r="C166" s="495"/>
      <c r="D166" s="495"/>
      <c r="E166" s="495"/>
      <c r="F166" s="495"/>
      <c r="G166" s="495"/>
      <c r="H166" s="495"/>
      <c r="I166" s="496"/>
      <c r="J166" s="497"/>
    </row>
    <row r="167" spans="1:10">
      <c r="A167" s="490"/>
      <c r="B167" s="491"/>
      <c r="C167" s="495"/>
      <c r="D167" s="495"/>
      <c r="E167" s="495"/>
      <c r="F167" s="495"/>
      <c r="G167" s="495"/>
      <c r="H167" s="495"/>
      <c r="I167" s="496"/>
      <c r="J167" s="497"/>
    </row>
    <row r="168" spans="1:10">
      <c r="A168" s="498"/>
      <c r="B168" s="500"/>
      <c r="C168" s="495"/>
      <c r="D168" s="495"/>
      <c r="E168" s="495"/>
      <c r="F168" s="495"/>
      <c r="G168" s="495"/>
      <c r="H168" s="495"/>
      <c r="I168" s="496"/>
      <c r="J168" s="497"/>
    </row>
    <row r="169" spans="1:10">
      <c r="A169" s="490"/>
      <c r="B169" s="491"/>
      <c r="C169" s="492"/>
      <c r="D169" s="492"/>
      <c r="E169" s="492"/>
      <c r="F169" s="492"/>
      <c r="G169" s="492"/>
      <c r="H169" s="492"/>
      <c r="I169" s="493"/>
      <c r="J169" s="494"/>
    </row>
    <row r="170" spans="1:10">
      <c r="A170" s="498"/>
      <c r="B170" s="500"/>
      <c r="C170" s="495"/>
      <c r="D170" s="495"/>
      <c r="E170" s="495"/>
      <c r="F170" s="495"/>
      <c r="G170" s="495"/>
      <c r="H170" s="495"/>
      <c r="I170" s="496"/>
      <c r="J170" s="497"/>
    </row>
    <row r="171" spans="1:10">
      <c r="A171" s="498"/>
      <c r="B171" s="500"/>
      <c r="C171" s="495"/>
      <c r="D171" s="495"/>
      <c r="E171" s="495"/>
      <c r="F171" s="495"/>
      <c r="G171" s="495"/>
      <c r="H171" s="495"/>
      <c r="I171" s="496"/>
      <c r="J171" s="497"/>
    </row>
    <row r="172" spans="1:10">
      <c r="A172" s="498"/>
      <c r="B172" s="500"/>
      <c r="C172" s="495"/>
      <c r="D172" s="495"/>
      <c r="E172" s="495"/>
      <c r="F172" s="495"/>
      <c r="G172" s="495"/>
      <c r="H172" s="495"/>
      <c r="I172" s="496"/>
      <c r="J172" s="497"/>
    </row>
    <row r="173" spans="1:10" ht="26.25" customHeight="1">
      <c r="A173" s="490"/>
      <c r="B173" s="491"/>
      <c r="C173" s="492"/>
      <c r="D173" s="492"/>
      <c r="E173" s="492"/>
      <c r="F173" s="492"/>
      <c r="G173" s="492"/>
      <c r="H173" s="492"/>
      <c r="I173" s="493"/>
      <c r="J173" s="494"/>
    </row>
    <row r="174" spans="1:10">
      <c r="A174" s="498"/>
      <c r="B174" s="500"/>
      <c r="C174" s="495"/>
      <c r="D174" s="495"/>
      <c r="E174" s="495"/>
      <c r="F174" s="495"/>
      <c r="G174" s="495"/>
      <c r="H174" s="495"/>
      <c r="I174" s="496"/>
      <c r="J174" s="497"/>
    </row>
    <row r="175" spans="1:10">
      <c r="A175" s="490"/>
      <c r="B175" s="491"/>
      <c r="C175" s="495"/>
      <c r="D175" s="495"/>
      <c r="E175" s="495"/>
      <c r="F175" s="495"/>
      <c r="G175" s="495"/>
      <c r="H175" s="495"/>
      <c r="I175" s="496"/>
      <c r="J175" s="497"/>
    </row>
    <row r="176" spans="1:10">
      <c r="A176" s="498"/>
      <c r="B176" s="500"/>
      <c r="C176" s="495"/>
      <c r="D176" s="495"/>
      <c r="E176" s="495"/>
      <c r="F176" s="495"/>
      <c r="G176" s="495"/>
      <c r="H176" s="495"/>
      <c r="I176" s="496"/>
      <c r="J176" s="497"/>
    </row>
    <row r="177" spans="1:10">
      <c r="A177" s="490"/>
      <c r="B177" s="491"/>
      <c r="C177" s="495"/>
      <c r="D177" s="495"/>
      <c r="E177" s="495"/>
      <c r="F177" s="495"/>
      <c r="G177" s="495"/>
      <c r="H177" s="495"/>
      <c r="I177" s="496"/>
      <c r="J177" s="497"/>
    </row>
    <row r="178" spans="1:10">
      <c r="A178" s="498"/>
      <c r="B178" s="500"/>
      <c r="C178" s="495"/>
      <c r="D178" s="495"/>
      <c r="E178" s="495"/>
      <c r="F178" s="495"/>
      <c r="G178" s="495"/>
      <c r="H178" s="495"/>
      <c r="I178" s="496"/>
      <c r="J178" s="497"/>
    </row>
    <row r="179" spans="1:10">
      <c r="A179" s="490"/>
      <c r="B179" s="491"/>
      <c r="C179" s="495"/>
      <c r="D179" s="495"/>
      <c r="E179" s="495"/>
      <c r="F179" s="495"/>
      <c r="G179" s="495"/>
      <c r="H179" s="495"/>
      <c r="I179" s="496"/>
      <c r="J179" s="497"/>
    </row>
    <row r="180" spans="1:10">
      <c r="A180" s="498"/>
      <c r="B180" s="500"/>
      <c r="C180" s="495"/>
      <c r="D180" s="495"/>
      <c r="E180" s="495"/>
      <c r="F180" s="495"/>
      <c r="G180" s="495"/>
      <c r="H180" s="495"/>
      <c r="I180" s="496"/>
      <c r="J180" s="497"/>
    </row>
    <row r="181" spans="1:10">
      <c r="A181" s="490"/>
      <c r="B181" s="491"/>
      <c r="C181" s="495"/>
      <c r="D181" s="495"/>
      <c r="E181" s="495"/>
      <c r="F181" s="495"/>
      <c r="G181" s="495"/>
      <c r="H181" s="495"/>
      <c r="I181" s="496"/>
      <c r="J181" s="497"/>
    </row>
    <row r="182" spans="1:10">
      <c r="A182" s="498"/>
      <c r="B182" s="500"/>
      <c r="C182" s="495"/>
      <c r="D182" s="495"/>
      <c r="E182" s="495"/>
      <c r="F182" s="495"/>
      <c r="G182" s="495"/>
      <c r="H182" s="495"/>
      <c r="I182" s="496"/>
      <c r="J182" s="497"/>
    </row>
    <row r="183" spans="1:10">
      <c r="A183" s="490"/>
      <c r="B183" s="491"/>
      <c r="C183" s="495"/>
      <c r="D183" s="495"/>
      <c r="E183" s="495"/>
      <c r="F183" s="495"/>
      <c r="G183" s="495"/>
      <c r="H183" s="495"/>
      <c r="I183" s="496"/>
      <c r="J183" s="497"/>
    </row>
    <row r="184" spans="1:10">
      <c r="A184" s="498"/>
      <c r="B184" s="500"/>
      <c r="C184" s="506"/>
      <c r="D184" s="506"/>
      <c r="E184" s="506"/>
      <c r="F184" s="506"/>
      <c r="G184" s="506"/>
      <c r="H184" s="506"/>
      <c r="I184" s="496"/>
      <c r="J184" s="497"/>
    </row>
    <row r="185" spans="1:10">
      <c r="A185" s="490"/>
      <c r="B185" s="491"/>
      <c r="C185" s="495"/>
      <c r="D185" s="495"/>
      <c r="E185" s="495"/>
      <c r="F185" s="495"/>
      <c r="G185" s="495"/>
      <c r="H185" s="495"/>
      <c r="I185" s="496"/>
      <c r="J185" s="497"/>
    </row>
    <row r="186" spans="1:10">
      <c r="A186" s="498"/>
      <c r="B186" s="500"/>
      <c r="C186" s="495"/>
      <c r="D186" s="495"/>
      <c r="E186" s="495"/>
      <c r="F186" s="495"/>
      <c r="G186" s="495"/>
      <c r="H186" s="495"/>
      <c r="I186" s="496"/>
      <c r="J186" s="494"/>
    </row>
    <row r="187" spans="1:10">
      <c r="A187" s="490"/>
      <c r="B187" s="491"/>
      <c r="C187" s="495"/>
      <c r="D187" s="495"/>
      <c r="E187" s="495"/>
      <c r="F187" s="495"/>
      <c r="G187" s="495"/>
      <c r="H187" s="495"/>
      <c r="I187" s="496"/>
      <c r="J187" s="497"/>
    </row>
    <row r="188" spans="1:10">
      <c r="A188" s="498"/>
      <c r="B188" s="500"/>
      <c r="C188" s="492"/>
      <c r="D188" s="492"/>
      <c r="E188" s="492"/>
      <c r="F188" s="492"/>
      <c r="G188" s="492"/>
      <c r="H188" s="492"/>
      <c r="I188" s="496"/>
      <c r="J188" s="494"/>
    </row>
    <row r="189" spans="1:10">
      <c r="A189" s="490"/>
      <c r="B189" s="491"/>
      <c r="C189" s="495"/>
      <c r="D189" s="495"/>
      <c r="E189" s="495"/>
      <c r="F189" s="495"/>
      <c r="G189" s="495"/>
      <c r="H189" s="495"/>
      <c r="I189" s="507"/>
      <c r="J189" s="508"/>
    </row>
    <row r="190" spans="1:10" ht="15.75" thickBot="1">
      <c r="A190" s="501"/>
      <c r="B190" s="502"/>
      <c r="C190" s="1516"/>
      <c r="D190" s="1516"/>
      <c r="E190" s="1516"/>
      <c r="F190" s="1516"/>
      <c r="G190" s="1516"/>
      <c r="H190" s="1516"/>
      <c r="I190" s="1516"/>
      <c r="J190" s="1517"/>
    </row>
    <row r="191" spans="1:10" ht="15.75" thickTop="1"/>
  </sheetData>
  <mergeCells count="18">
    <mergeCell ref="C190:H190"/>
    <mergeCell ref="I190:J190"/>
    <mergeCell ref="C62:I62"/>
    <mergeCell ref="C86:H86"/>
    <mergeCell ref="I86:J86"/>
    <mergeCell ref="A89:J89"/>
    <mergeCell ref="C91:H91"/>
    <mergeCell ref="C114:I114"/>
    <mergeCell ref="C138:H138"/>
    <mergeCell ref="I138:J138"/>
    <mergeCell ref="A141:J141"/>
    <mergeCell ref="C143:H143"/>
    <mergeCell ref="C164:I164"/>
    <mergeCell ref="C22:J22"/>
    <mergeCell ref="C39:H39"/>
    <mergeCell ref="A3:J3"/>
    <mergeCell ref="A4:J4"/>
    <mergeCell ref="A37:J37"/>
  </mergeCells>
  <printOptions horizontalCentered="1"/>
  <pageMargins left="0.98425196850393704" right="0.78740157480314965" top="0.78740157480314965" bottom="0.78740157480314965" header="0" footer="0"/>
  <pageSetup scale="87" orientation="portrait" r:id="rId1"/>
  <rowBreaks count="2" manualBreakCount="2">
    <brk id="35" max="16383" man="1"/>
    <brk id="86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30">
    <tabColor rgb="FFFF0000"/>
    <pageSetUpPr fitToPage="1"/>
  </sheetPr>
  <dimension ref="B1:P61"/>
  <sheetViews>
    <sheetView showGridLines="0" view="pageBreakPreview" topLeftCell="A7" zoomScaleNormal="100" zoomScaleSheetLayoutView="100" workbookViewId="0">
      <selection activeCell="D24" sqref="D24"/>
    </sheetView>
  </sheetViews>
  <sheetFormatPr baseColWidth="10" defaultColWidth="11.42578125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50" t="s">
        <v>77</v>
      </c>
      <c r="C1" s="1951"/>
      <c r="D1" s="1920" t="s">
        <v>477</v>
      </c>
      <c r="E1" s="1921"/>
      <c r="F1" s="1921"/>
      <c r="G1" s="1921"/>
      <c r="H1" s="1921"/>
      <c r="I1" s="1922"/>
    </row>
    <row r="2" spans="2:16" ht="13.5" customHeight="1">
      <c r="B2" s="879"/>
      <c r="C2" s="1208"/>
      <c r="D2" s="1923"/>
      <c r="E2" s="1924"/>
      <c r="F2" s="1924"/>
      <c r="G2" s="1924"/>
      <c r="H2" s="1924"/>
      <c r="I2" s="1925"/>
    </row>
    <row r="3" spans="2:16">
      <c r="B3" s="39"/>
      <c r="C3" s="1214"/>
      <c r="D3" s="1926" t="s">
        <v>31</v>
      </c>
      <c r="E3" s="1927"/>
      <c r="F3" s="1927"/>
      <c r="G3" s="1927"/>
      <c r="H3" s="1927"/>
      <c r="I3" s="1928"/>
    </row>
    <row r="4" spans="2:16">
      <c r="B4" s="36"/>
      <c r="C4" s="60"/>
      <c r="D4" s="39" t="s">
        <v>35</v>
      </c>
      <c r="E4" s="62">
        <v>78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 xml:space="preserve">MANTENIMIENTO, LUBRICANTES Y COMBUSTIBLE             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V*M</v>
      </c>
      <c r="F6" s="1209"/>
      <c r="G6" s="65"/>
      <c r="H6" s="279" t="s">
        <v>180</v>
      </c>
      <c r="I6" s="596">
        <f>+VLOOKUP(E4,'Planilla de Avance'!E10:J112,5,)</f>
        <v>18</v>
      </c>
    </row>
    <row r="8" spans="2:16" ht="15" customHeight="1">
      <c r="B8" s="1929" t="s">
        <v>30</v>
      </c>
      <c r="C8" s="1929" t="s">
        <v>38</v>
      </c>
      <c r="D8" s="1948" t="s">
        <v>27</v>
      </c>
      <c r="E8" s="1949"/>
      <c r="F8" s="1943" t="s">
        <v>10</v>
      </c>
      <c r="G8" s="1944"/>
      <c r="H8" s="1945"/>
      <c r="I8" s="1946" t="s">
        <v>11</v>
      </c>
    </row>
    <row r="9" spans="2:16" ht="15" customHeight="1">
      <c r="B9" s="1930"/>
      <c r="C9" s="1930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947"/>
    </row>
    <row r="10" spans="2:16" ht="15" customHeight="1">
      <c r="B10" s="43">
        <v>1</v>
      </c>
      <c r="C10" s="1213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13">
        <v>44105</v>
      </c>
      <c r="D11" s="68"/>
      <c r="E11" s="69"/>
      <c r="F11" s="49">
        <f>+H10</f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13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13" t="s">
        <v>431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13">
        <v>44256</v>
      </c>
      <c r="D14" s="68"/>
      <c r="E14" s="69"/>
      <c r="F14" s="49">
        <f t="shared" ref="F14:F20" si="0">+H13</f>
        <v>0</v>
      </c>
      <c r="G14" s="50">
        <f>IF(B14="","",VLOOKUP($E$4,'Cant. Ejec,'!$E$5:$BB$101,17+B14*2+(B14-2),0))</f>
        <v>0</v>
      </c>
      <c r="H14" s="51">
        <f t="shared" ref="H14:H20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13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13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2</v>
      </c>
      <c r="H16" s="51">
        <f t="shared" si="1"/>
        <v>2</v>
      </c>
      <c r="I16" s="696" t="s">
        <v>562</v>
      </c>
      <c r="M16" s="217"/>
    </row>
    <row r="17" spans="2:15" ht="15" customHeight="1">
      <c r="B17" s="72">
        <f>IF(Datos!$C$20&gt;'5'!B16,'5'!B16+1,"")</f>
        <v>8</v>
      </c>
      <c r="C17" s="1213">
        <v>44348</v>
      </c>
      <c r="D17" s="68"/>
      <c r="E17" s="69"/>
      <c r="F17" s="49">
        <f t="shared" si="0"/>
        <v>2</v>
      </c>
      <c r="G17" s="50">
        <f>IF(B17="","",VLOOKUP($E$4,'Cant. Ejec,'!$E$5:$BB$101,17+B17*2+(B17-2),0))</f>
        <v>2</v>
      </c>
      <c r="H17" s="51">
        <f t="shared" si="1"/>
        <v>4</v>
      </c>
      <c r="I17" s="696" t="s">
        <v>562</v>
      </c>
      <c r="M17" s="217"/>
      <c r="N17" s="217"/>
      <c r="O17" s="217"/>
    </row>
    <row r="18" spans="2:15" ht="15" customHeight="1">
      <c r="B18" s="72">
        <f>IF(Datos!$C$20&gt;'5'!B17,'5'!B17+1,"")</f>
        <v>9</v>
      </c>
      <c r="C18" s="1213">
        <v>44378</v>
      </c>
      <c r="D18" s="68"/>
      <c r="E18" s="69"/>
      <c r="F18" s="49">
        <f t="shared" si="0"/>
        <v>4</v>
      </c>
      <c r="G18" s="50">
        <f>IF(B18="","",VLOOKUP($E$4,'Cant. Ejec,'!$E$5:$BB$101,17+B18*2+(B18-2),0))</f>
        <v>3</v>
      </c>
      <c r="H18" s="51">
        <f t="shared" si="1"/>
        <v>7</v>
      </c>
      <c r="I18" s="696" t="s">
        <v>562</v>
      </c>
    </row>
    <row r="19" spans="2:15" ht="15" customHeight="1">
      <c r="B19" s="72">
        <f>IF(Datos!$C$20&gt;'5'!B18,'5'!B18+1,"")</f>
        <v>10</v>
      </c>
      <c r="C19" s="1213">
        <v>44409</v>
      </c>
      <c r="D19" s="68"/>
      <c r="E19" s="69"/>
      <c r="F19" s="49">
        <f t="shared" si="0"/>
        <v>7</v>
      </c>
      <c r="G19" s="50">
        <f>IF(B19="","",VLOOKUP($E$4,'Cant. Ejec,'!$E$5:$BB$101,17+B19*2+(B19-2),0))</f>
        <v>1</v>
      </c>
      <c r="H19" s="51">
        <f t="shared" si="1"/>
        <v>8</v>
      </c>
      <c r="I19" s="696" t="s">
        <v>562</v>
      </c>
    </row>
    <row r="20" spans="2:15" ht="15" customHeight="1">
      <c r="B20" s="72">
        <f>IF(Datos!$C$20&gt;'5'!B19,'5'!B19+1,"")</f>
        <v>11</v>
      </c>
      <c r="C20" s="1213">
        <v>44440</v>
      </c>
      <c r="D20" s="68"/>
      <c r="E20" s="69"/>
      <c r="F20" s="49">
        <f t="shared" si="0"/>
        <v>8</v>
      </c>
      <c r="G20" s="50">
        <f>IF(B20="","",VLOOKUP($E$4,'Cant. Ejec,'!$E$5:$BB$101,17+B20*2+(B20-2),0))</f>
        <v>2</v>
      </c>
      <c r="H20" s="51">
        <f t="shared" si="1"/>
        <v>10</v>
      </c>
      <c r="I20" s="696" t="s">
        <v>562</v>
      </c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/>
      <c r="C23" s="72"/>
      <c r="D23" s="68"/>
      <c r="E23" s="69"/>
      <c r="F23" s="49"/>
      <c r="G23" s="50"/>
      <c r="H23" s="51"/>
      <c r="I23" s="41"/>
    </row>
    <row r="24" spans="2:15" ht="15" customHeight="1">
      <c r="B24" s="72" t="str">
        <f>IF(Datos!$C$20&gt;'5'!B22,'5'!B22+1,"")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IF(Datos!$C$20&gt;'5'!B23,'5'!B23+1,"")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IF(Datos!$C$20&gt;'5'!B24,'5'!B24+1,"")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IF(Datos!$C$20&gt;'5'!B25,'5'!B25+1,"")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IF(Datos!$C$20&gt;'5'!B26,'5'!B26+1,"")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IF(Datos!$C$20&gt;'5'!B27,'5'!B27+1,"")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IF(Datos!$C$20&gt;'5'!B28,'5'!B28+1,"")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IF(Datos!$C$20&gt;'5'!B29,'5'!B29+1,"")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IF(Datos!$C$20&gt;'5'!B30,'5'!B30+1,"")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IF(Datos!$C$20&gt;'5'!B31,'5'!B31+1,"")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IF(Datos!$C$20&gt;'5'!B32,'5'!B32+1,"")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IF(Datos!$C$20&gt;'5'!B33,'5'!B33+1,"")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IF(Datos!$C$20&gt;'5'!B34,'5'!B34+1,"")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IF(Datos!$C$20&gt;'5'!B35,'5'!B35+1,"")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IF(Datos!$C$20&gt;'5'!B36,'5'!B36+1,"")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IF(Datos!$C$20&gt;'5'!B37,'5'!B37+1,"")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IF(Datos!$C$20&gt;'5'!B38,'5'!B38+1,"")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IF(Datos!$C$20&gt;'5'!B39,'5'!B39+1,"")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IF(Datos!$C$20&gt;'5'!B40,'5'!B40+1,"")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IF(Datos!$C$20&gt;'5'!B41,'5'!B41+1,"")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IF(Datos!$C$20&gt;'5'!B42,'5'!B42+1,"")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IF(Datos!$C$20&gt;'5'!B43,'5'!B43+1,"")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IF(Datos!$C$20&gt;'5'!B44,'5'!B44+1,"")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IF(Datos!$C$20&gt;'5'!B45,'5'!B45+1,"")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IF(Datos!$C$20&gt;'5'!B46,'5'!B46+1,"")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IF(Datos!$C$20&gt;'5'!B47,'5'!B47+1,"")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IF(Datos!$C$20&gt;'5'!B48,'5'!B48+1,"")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IF(Datos!$C$20&gt;'5'!B49,'5'!B49+1,"")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2" t="str">
        <f>IF(Datos!$C$20&gt;'5'!B50,'5'!B50+1,"")</f>
        <v/>
      </c>
      <c r="C52" s="72"/>
      <c r="D52" s="68"/>
      <c r="E52" s="69"/>
      <c r="F52" s="49"/>
      <c r="G52" s="50" t="str">
        <f>IF(B52="","",VLOOKUP($E$4,'Cant. Ejec,'!$E$5:$BB$101,17+B52*2+(B52-2),0))</f>
        <v/>
      </c>
      <c r="H52" s="51"/>
      <c r="I52" s="41"/>
    </row>
    <row r="53" spans="2:9" ht="15" customHeight="1">
      <c r="B53" s="73" t="str">
        <f>IF(Datos!$C$20&gt;'5'!B51,'5'!B51+1,"")</f>
        <v/>
      </c>
      <c r="C53" s="73"/>
      <c r="D53" s="70"/>
      <c r="E53" s="71"/>
      <c r="F53" s="52"/>
      <c r="G53" s="53" t="str">
        <f>IF(B53="","",VLOOKUP($E$4,'Cant. Ejec,'!$E$5:$BB$101,17+B53*2+(B53-2),0))</f>
        <v/>
      </c>
      <c r="H53" s="54"/>
      <c r="I53" s="42"/>
    </row>
    <row r="54" spans="2:9" ht="15" customHeight="1">
      <c r="B54" s="1937" t="s">
        <v>92</v>
      </c>
      <c r="C54" s="1938"/>
      <c r="D54" s="1938"/>
      <c r="E54" s="1939"/>
      <c r="F54" s="55">
        <f>+MAX(F10:F53)</f>
        <v>8</v>
      </c>
      <c r="G54" s="56">
        <f>+H54-F54</f>
        <v>2</v>
      </c>
      <c r="H54" s="57">
        <f>+MAX(H10:H53)</f>
        <v>10</v>
      </c>
      <c r="I54" s="44"/>
    </row>
    <row r="55" spans="2:9" ht="15" customHeight="1">
      <c r="B55" s="1940" t="s">
        <v>34</v>
      </c>
      <c r="C55" s="1941"/>
      <c r="D55" s="1941"/>
      <c r="E55" s="1942"/>
      <c r="F55" s="712">
        <f>ROUND((F54/I6),4)</f>
        <v>0.44440000000000002</v>
      </c>
      <c r="G55" s="713">
        <f>ROUND((G54/I6),4)</f>
        <v>0.1111</v>
      </c>
      <c r="H55" s="714">
        <f>ROUND((H54/I6),4)</f>
        <v>0.55559999999999998</v>
      </c>
      <c r="I55" s="45"/>
    </row>
    <row r="56" spans="2:9" ht="15" customHeight="1">
      <c r="B56" s="61" t="s">
        <v>12</v>
      </c>
      <c r="C56" s="1211"/>
      <c r="D56" s="58"/>
      <c r="E56" s="58"/>
      <c r="F56" s="59"/>
      <c r="G56" s="61" t="s">
        <v>8</v>
      </c>
      <c r="H56" s="58"/>
      <c r="I56" s="59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36"/>
      <c r="C59" s="60"/>
      <c r="D59" s="60"/>
      <c r="E59" s="60"/>
      <c r="F59" s="37"/>
      <c r="G59" s="36"/>
      <c r="H59" s="60"/>
      <c r="I59" s="37"/>
    </row>
    <row r="60" spans="2:9">
      <c r="B60" s="1934" t="str">
        <f>+Datos!B15</f>
        <v>Ing. Ernesto Vargas Amezaga</v>
      </c>
      <c r="C60" s="1935"/>
      <c r="D60" s="1935"/>
      <c r="E60" s="1935"/>
      <c r="F60" s="1936"/>
      <c r="G60" s="1934" t="str">
        <f>+Datos!B7</f>
        <v>Ing. Pedro Alberto Barreto Gutierrez</v>
      </c>
      <c r="H60" s="1935"/>
      <c r="I60" s="1936"/>
    </row>
    <row r="61" spans="2:9">
      <c r="B61" s="1931" t="str">
        <f>+Datos!B16</f>
        <v>SUPERINTENDENTE DE OBRA a.i.</v>
      </c>
      <c r="C61" s="1932"/>
      <c r="D61" s="1932"/>
      <c r="E61" s="1932"/>
      <c r="F61" s="1933"/>
      <c r="G61" s="1931" t="str">
        <f>+Datos!B8</f>
        <v xml:space="preserve">GERENTE SUPERVISION TECNICA </v>
      </c>
      <c r="H61" s="1932"/>
      <c r="I61" s="1933"/>
    </row>
  </sheetData>
  <mergeCells count="14">
    <mergeCell ref="B54:E54"/>
    <mergeCell ref="B55:E55"/>
    <mergeCell ref="B60:F60"/>
    <mergeCell ref="G60:I60"/>
    <mergeCell ref="B61:F61"/>
    <mergeCell ref="G61:I61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1" fitToHeight="0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31">
    <tabColor rgb="FFFF0000"/>
    <pageSetUpPr fitToPage="1"/>
  </sheetPr>
  <dimension ref="B1:P61"/>
  <sheetViews>
    <sheetView showGridLines="0" view="pageBreakPreview" topLeftCell="A16" zoomScaleNormal="100" zoomScaleSheetLayoutView="100" workbookViewId="0">
      <selection activeCell="D21" sqref="D21"/>
    </sheetView>
  </sheetViews>
  <sheetFormatPr baseColWidth="10" defaultColWidth="11.42578125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50" t="s">
        <v>77</v>
      </c>
      <c r="C1" s="1951"/>
      <c r="D1" s="1920" t="s">
        <v>477</v>
      </c>
      <c r="E1" s="1921"/>
      <c r="F1" s="1921"/>
      <c r="G1" s="1921"/>
      <c r="H1" s="1921"/>
      <c r="I1" s="1922"/>
    </row>
    <row r="2" spans="2:16" ht="13.5" customHeight="1">
      <c r="B2" s="612"/>
      <c r="C2" s="1208"/>
      <c r="D2" s="1923"/>
      <c r="E2" s="1924"/>
      <c r="F2" s="1924"/>
      <c r="G2" s="1924"/>
      <c r="H2" s="1924"/>
      <c r="I2" s="1925"/>
    </row>
    <row r="3" spans="2:16">
      <c r="B3" s="39"/>
      <c r="C3" s="1214"/>
      <c r="D3" s="1926" t="s">
        <v>31</v>
      </c>
      <c r="E3" s="1927"/>
      <c r="F3" s="1927"/>
      <c r="G3" s="1927"/>
      <c r="H3" s="1927"/>
      <c r="I3" s="1928"/>
    </row>
    <row r="4" spans="2:16">
      <c r="B4" s="36"/>
      <c r="C4" s="60"/>
      <c r="D4" s="39" t="s">
        <v>35</v>
      </c>
      <c r="E4" s="62">
        <v>79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ALQUILER DE OFICINAS  VIVIENDAS Y OTRAS INSTALACIONES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M2*M</v>
      </c>
      <c r="F6" s="1209"/>
      <c r="G6" s="65"/>
      <c r="H6" s="279" t="s">
        <v>180</v>
      </c>
      <c r="I6" s="596">
        <f>+VLOOKUP(E4,'Planilla de Avance'!E10:J112,5,)</f>
        <v>33004.019999999997</v>
      </c>
    </row>
    <row r="8" spans="2:16" ht="15" customHeight="1">
      <c r="B8" s="1929" t="s">
        <v>30</v>
      </c>
      <c r="C8" s="1929" t="s">
        <v>38</v>
      </c>
      <c r="D8" s="1948" t="s">
        <v>27</v>
      </c>
      <c r="E8" s="1949"/>
      <c r="F8" s="1943" t="s">
        <v>10</v>
      </c>
      <c r="G8" s="1944"/>
      <c r="H8" s="1945"/>
      <c r="I8" s="1946" t="s">
        <v>11</v>
      </c>
    </row>
    <row r="9" spans="2:16" ht="15" customHeight="1">
      <c r="B9" s="1930"/>
      <c r="C9" s="1930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947"/>
    </row>
    <row r="10" spans="2:16" ht="15" customHeight="1">
      <c r="B10" s="43">
        <v>1</v>
      </c>
      <c r="C10" s="1213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13">
        <v>44105</v>
      </c>
      <c r="D11" s="68"/>
      <c r="E11" s="69"/>
      <c r="F11" s="49">
        <f>+H10</f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13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13" t="s">
        <v>431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13">
        <v>44256</v>
      </c>
      <c r="D14" s="68"/>
      <c r="E14" s="69"/>
      <c r="F14" s="49">
        <f t="shared" ref="F14:F20" si="0">+H13</f>
        <v>0</v>
      </c>
      <c r="G14" s="50">
        <f>IF(B14="","",VLOOKUP($E$4,'Cant. Ejec,'!$E$5:$BB$101,17+B14*2+(B14-2),0))</f>
        <v>0</v>
      </c>
      <c r="H14" s="51">
        <f t="shared" ref="H14:H20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13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13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159.94</v>
      </c>
      <c r="H16" s="51">
        <f t="shared" si="1"/>
        <v>159.94</v>
      </c>
      <c r="I16" s="696" t="s">
        <v>563</v>
      </c>
      <c r="M16" s="217"/>
    </row>
    <row r="17" spans="2:15" ht="15" customHeight="1">
      <c r="B17" s="72">
        <f>IF(Datos!$C$20&gt;'5'!B16,'5'!B16+1,"")</f>
        <v>8</v>
      </c>
      <c r="C17" s="1213">
        <v>44348</v>
      </c>
      <c r="D17" s="68"/>
      <c r="E17" s="69"/>
      <c r="F17" s="49">
        <f t="shared" si="0"/>
        <v>159.94</v>
      </c>
      <c r="G17" s="50">
        <f>IF(B17="","",VLOOKUP($E$4,'Cant. Ejec,'!$E$5:$BB$101,17+B17*2+(B17-2),0))</f>
        <v>583.05999999999995</v>
      </c>
      <c r="H17" s="51">
        <f t="shared" si="1"/>
        <v>743</v>
      </c>
      <c r="I17" s="696" t="s">
        <v>563</v>
      </c>
      <c r="M17" s="217"/>
      <c r="N17" s="217"/>
      <c r="O17" s="217"/>
    </row>
    <row r="18" spans="2:15" ht="15" customHeight="1">
      <c r="B18" s="72">
        <f>IF(Datos!$C$20&gt;'5'!B17,'5'!B17+1,"")</f>
        <v>9</v>
      </c>
      <c r="C18" s="1213">
        <v>44378</v>
      </c>
      <c r="D18" s="68"/>
      <c r="E18" s="69"/>
      <c r="F18" s="49">
        <f t="shared" si="0"/>
        <v>743</v>
      </c>
      <c r="G18" s="50">
        <f>IF(B18="","",VLOOKUP($E$4,'Cant. Ejec,'!$E$5:$BB$101,17+B18*2+(B18-2),0))</f>
        <v>583.05999999999995</v>
      </c>
      <c r="H18" s="51">
        <f t="shared" si="1"/>
        <v>1326.06</v>
      </c>
      <c r="I18" s="696" t="s">
        <v>563</v>
      </c>
    </row>
    <row r="19" spans="2:15" ht="15" customHeight="1">
      <c r="B19" s="72">
        <f>IF(Datos!$C$20&gt;'5'!B18,'5'!B18+1,"")</f>
        <v>10</v>
      </c>
      <c r="C19" s="1213">
        <v>44409</v>
      </c>
      <c r="D19" s="68"/>
      <c r="E19" s="69"/>
      <c r="F19" s="49">
        <f t="shared" si="0"/>
        <v>1326.06</v>
      </c>
      <c r="G19" s="50">
        <f>IF(B19="","",VLOOKUP($E$4,'Cant. Ejec,'!$E$5:$BB$101,17+B19*2+(B19-2),0))</f>
        <v>583.05999999999995</v>
      </c>
      <c r="H19" s="51">
        <f t="shared" si="1"/>
        <v>1909.12</v>
      </c>
      <c r="I19" s="696" t="s">
        <v>563</v>
      </c>
    </row>
    <row r="20" spans="2:15" ht="15" customHeight="1">
      <c r="B20" s="72">
        <f>IF(Datos!$C$20&gt;'5'!B19,'5'!B19+1,"")</f>
        <v>11</v>
      </c>
      <c r="C20" s="1213">
        <v>44410</v>
      </c>
      <c r="D20" s="68"/>
      <c r="E20" s="69"/>
      <c r="F20" s="49">
        <f t="shared" si="0"/>
        <v>1909.12</v>
      </c>
      <c r="G20" s="50">
        <f>IF(B20="","",VLOOKUP($E$4,'Cant. Ejec,'!$E$5:$BB$101,17+B20*2+(B20-2),0))</f>
        <v>583.05999999999995</v>
      </c>
      <c r="H20" s="51">
        <f t="shared" si="1"/>
        <v>2492.1799999999998</v>
      </c>
      <c r="I20" s="696" t="s">
        <v>563</v>
      </c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/>
      <c r="C41" s="72"/>
      <c r="D41" s="68"/>
      <c r="E41" s="69"/>
      <c r="F41" s="49"/>
      <c r="G41" s="50"/>
      <c r="H41" s="51"/>
      <c r="I41" s="41"/>
    </row>
    <row r="42" spans="2:9" ht="15" customHeight="1">
      <c r="B42" s="72" t="str">
        <f>IF(Datos!$C$20&gt;'5'!B40,'5'!B40+1,"")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IF(Datos!$C$20&gt;'5'!B41,'5'!B41+1,"")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IF(Datos!$C$20&gt;'5'!B42,'5'!B42+1,"")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IF(Datos!$C$20&gt;'5'!B43,'5'!B43+1,"")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IF(Datos!$C$20&gt;'5'!B44,'5'!B44+1,"")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IF(Datos!$C$20&gt;'5'!B45,'5'!B45+1,"")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IF(Datos!$C$20&gt;'5'!B46,'5'!B46+1,"")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IF(Datos!$C$20&gt;'5'!B47,'5'!B47+1,"")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IF(Datos!$C$20&gt;'5'!B48,'5'!B48+1,"")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IF(Datos!$C$20&gt;'5'!B49,'5'!B49+1,"")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2" t="str">
        <f>IF(Datos!$C$20&gt;'5'!B50,'5'!B50+1,"")</f>
        <v/>
      </c>
      <c r="C52" s="72"/>
      <c r="D52" s="68"/>
      <c r="E52" s="69"/>
      <c r="F52" s="49"/>
      <c r="G52" s="50" t="str">
        <f>IF(B52="","",VLOOKUP($E$4,'Cant. Ejec,'!$E$5:$BB$101,17+B52*2+(B52-2),0))</f>
        <v/>
      </c>
      <c r="H52" s="51"/>
      <c r="I52" s="41"/>
    </row>
    <row r="53" spans="2:9" ht="15" customHeight="1">
      <c r="B53" s="73" t="str">
        <f>IF(Datos!$C$20&gt;'5'!B51,'5'!B51+1,"")</f>
        <v/>
      </c>
      <c r="C53" s="73"/>
      <c r="D53" s="70"/>
      <c r="E53" s="71"/>
      <c r="F53" s="52"/>
      <c r="G53" s="53" t="str">
        <f>IF(B53="","",VLOOKUP($E$4,'Cant. Ejec,'!$E$5:$BB$101,17+B53*2+(B53-2),0))</f>
        <v/>
      </c>
      <c r="H53" s="54"/>
      <c r="I53" s="42"/>
    </row>
    <row r="54" spans="2:9" ht="15" customHeight="1">
      <c r="B54" s="1937" t="s">
        <v>92</v>
      </c>
      <c r="C54" s="1938"/>
      <c r="D54" s="1938"/>
      <c r="E54" s="1939"/>
      <c r="F54" s="55">
        <f>+MAX(F10:F53)</f>
        <v>1909.12</v>
      </c>
      <c r="G54" s="56">
        <f>+H54-F54</f>
        <v>583.05999999999995</v>
      </c>
      <c r="H54" s="57">
        <f>+MAX(H10:H53)</f>
        <v>2492.1799999999998</v>
      </c>
      <c r="I54" s="44"/>
    </row>
    <row r="55" spans="2:9" ht="15" customHeight="1">
      <c r="B55" s="1940" t="s">
        <v>34</v>
      </c>
      <c r="C55" s="1941"/>
      <c r="D55" s="1941"/>
      <c r="E55" s="1942"/>
      <c r="F55" s="712">
        <f>ROUND((F54/I6),4)</f>
        <v>5.7799999999999997E-2</v>
      </c>
      <c r="G55" s="713">
        <f>ROUND((G54/I6),4)</f>
        <v>1.77E-2</v>
      </c>
      <c r="H55" s="714">
        <f>ROUND((H54/I6),4)</f>
        <v>7.5499999999999998E-2</v>
      </c>
      <c r="I55" s="45"/>
    </row>
    <row r="56" spans="2:9" ht="15" customHeight="1">
      <c r="B56" s="61" t="s">
        <v>12</v>
      </c>
      <c r="C56" s="1211"/>
      <c r="D56" s="58"/>
      <c r="E56" s="58"/>
      <c r="F56" s="59"/>
      <c r="G56" s="61" t="s">
        <v>8</v>
      </c>
      <c r="H56" s="58"/>
      <c r="I56" s="59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36"/>
      <c r="C59" s="60"/>
      <c r="D59" s="60"/>
      <c r="E59" s="60"/>
      <c r="F59" s="37"/>
      <c r="G59" s="36"/>
      <c r="H59" s="60"/>
      <c r="I59" s="37"/>
    </row>
    <row r="60" spans="2:9">
      <c r="B60" s="1934" t="str">
        <f>+Datos!B15</f>
        <v>Ing. Ernesto Vargas Amezaga</v>
      </c>
      <c r="C60" s="1935"/>
      <c r="D60" s="1935"/>
      <c r="E60" s="1935"/>
      <c r="F60" s="1936"/>
      <c r="G60" s="1934" t="str">
        <f>+Datos!B7</f>
        <v>Ing. Pedro Alberto Barreto Gutierrez</v>
      </c>
      <c r="H60" s="1935"/>
      <c r="I60" s="1936"/>
    </row>
    <row r="61" spans="2:9">
      <c r="B61" s="1931" t="str">
        <f>+Datos!B16</f>
        <v>SUPERINTENDENTE DE OBRA a.i.</v>
      </c>
      <c r="C61" s="1932"/>
      <c r="D61" s="1932"/>
      <c r="E61" s="1932"/>
      <c r="F61" s="1933"/>
      <c r="G61" s="1931" t="str">
        <f>+Datos!B8</f>
        <v xml:space="preserve">GERENTE SUPERVISION TECNICA </v>
      </c>
      <c r="H61" s="1932"/>
      <c r="I61" s="1933"/>
    </row>
  </sheetData>
  <mergeCells count="14">
    <mergeCell ref="B54:E54"/>
    <mergeCell ref="B55:E55"/>
    <mergeCell ref="B60:F60"/>
    <mergeCell ref="G60:I60"/>
    <mergeCell ref="B61:F61"/>
    <mergeCell ref="G61:I61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1" fitToHeight="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AB215"/>
  <sheetViews>
    <sheetView showGridLines="0" view="pageBreakPreview" topLeftCell="E1" zoomScaleNormal="85" zoomScaleSheetLayoutView="100" workbookViewId="0">
      <selection activeCell="M127" sqref="M127"/>
    </sheetView>
  </sheetViews>
  <sheetFormatPr baseColWidth="10" defaultColWidth="12.7109375" defaultRowHeight="12.75"/>
  <cols>
    <col min="1" max="1" width="7.85546875" style="1" hidden="1" customWidth="1"/>
    <col min="2" max="2" width="2.140625" style="1" hidden="1" customWidth="1"/>
    <col min="3" max="3" width="7.85546875" style="1" hidden="1" customWidth="1"/>
    <col min="4" max="4" width="41" style="1" hidden="1" customWidth="1"/>
    <col min="5" max="5" width="4" style="2" bestFit="1" customWidth="1"/>
    <col min="6" max="6" width="41.7109375" style="1" customWidth="1"/>
    <col min="7" max="7" width="8.140625" style="2" hidden="1" customWidth="1"/>
    <col min="8" max="8" width="10.42578125" style="2" hidden="1" customWidth="1"/>
    <col min="9" max="9" width="10.7109375" style="2" hidden="1" customWidth="1"/>
    <col min="10" max="10" width="14.85546875" style="1" customWidth="1"/>
    <col min="11" max="11" width="10.7109375" style="1" hidden="1" customWidth="1"/>
    <col min="12" max="12" width="8" style="1" hidden="1" customWidth="1"/>
    <col min="13" max="13" width="14.140625" style="1" customWidth="1"/>
    <col min="14" max="18" width="10.7109375" style="1" hidden="1" customWidth="1"/>
    <col min="19" max="19" width="12.5703125" style="1" customWidth="1"/>
    <col min="20" max="20" width="10.7109375" style="1" hidden="1" customWidth="1"/>
    <col min="21" max="21" width="14" style="1" customWidth="1"/>
    <col min="22" max="22" width="10.7109375" style="1" hidden="1" customWidth="1"/>
    <col min="23" max="23" width="13.5703125" style="1" bestFit="1" customWidth="1"/>
    <col min="24" max="25" width="6.7109375" style="1" hidden="1" customWidth="1"/>
    <col min="26" max="26" width="7.7109375" style="1" hidden="1" customWidth="1"/>
    <col min="27" max="16384" width="12.7109375" style="1"/>
  </cols>
  <sheetData>
    <row r="1" spans="1:26">
      <c r="F1" s="880"/>
      <c r="J1" s="516">
        <v>108397839.64</v>
      </c>
      <c r="K1" s="516"/>
      <c r="L1" s="516"/>
      <c r="M1" s="516"/>
      <c r="O1" s="516">
        <v>4270358.2499999991</v>
      </c>
      <c r="Q1" s="516">
        <v>1766556.24</v>
      </c>
      <c r="S1" s="516">
        <v>6036914.4900000012</v>
      </c>
      <c r="T1" s="516"/>
      <c r="U1" s="516"/>
      <c r="W1" s="516">
        <v>84869980.031399995</v>
      </c>
    </row>
    <row r="2" spans="1:26" ht="15" customHeight="1">
      <c r="E2" s="1830" t="s">
        <v>658</v>
      </c>
      <c r="F2" s="1831"/>
      <c r="G2" s="1831"/>
      <c r="H2" s="1831"/>
      <c r="I2" s="1831"/>
      <c r="J2" s="1831"/>
      <c r="K2" s="1831"/>
      <c r="L2" s="1831"/>
      <c r="M2" s="1831"/>
      <c r="N2" s="1831"/>
      <c r="O2" s="1831"/>
      <c r="P2" s="1831"/>
      <c r="Q2" s="1831"/>
      <c r="R2" s="1831"/>
      <c r="S2" s="1831"/>
      <c r="T2" s="1831"/>
      <c r="U2" s="1831"/>
      <c r="V2" s="1831"/>
      <c r="W2" s="1831"/>
      <c r="X2" s="1490"/>
      <c r="Y2" s="1490"/>
      <c r="Z2" s="1491"/>
    </row>
    <row r="3" spans="1:26" ht="15" customHeight="1">
      <c r="E3" s="1952"/>
      <c r="F3" s="1838"/>
      <c r="G3" s="1838"/>
      <c r="H3" s="1838"/>
      <c r="I3" s="1838"/>
      <c r="J3" s="1838"/>
      <c r="K3" s="1838"/>
      <c r="L3" s="1838"/>
      <c r="M3" s="1838"/>
      <c r="N3" s="1838"/>
      <c r="O3" s="1838"/>
      <c r="P3" s="1838"/>
      <c r="Q3" s="1838"/>
      <c r="R3" s="1838"/>
      <c r="S3" s="1838"/>
      <c r="T3" s="1838"/>
      <c r="U3" s="1838"/>
      <c r="V3" s="1838"/>
      <c r="W3" s="1838"/>
      <c r="X3" s="1492"/>
      <c r="Y3" s="1492"/>
      <c r="Z3" s="1493"/>
    </row>
    <row r="4" spans="1:26" ht="15" customHeight="1">
      <c r="E4" s="1952"/>
      <c r="F4" s="1838"/>
      <c r="G4" s="1838"/>
      <c r="H4" s="1838"/>
      <c r="I4" s="1838"/>
      <c r="J4" s="1838"/>
      <c r="K4" s="1838"/>
      <c r="L4" s="1838"/>
      <c r="M4" s="1838"/>
      <c r="N4" s="1838"/>
      <c r="O4" s="1838"/>
      <c r="P4" s="1838"/>
      <c r="Q4" s="1838"/>
      <c r="R4" s="1838"/>
      <c r="S4" s="1838"/>
      <c r="T4" s="1838"/>
      <c r="U4" s="1838"/>
      <c r="V4" s="1838"/>
      <c r="W4" s="1838"/>
      <c r="X4" s="1492"/>
      <c r="Y4" s="1492"/>
      <c r="Z4" s="1493"/>
    </row>
    <row r="5" spans="1:26" ht="15" customHeight="1">
      <c r="E5" s="1953" t="s">
        <v>659</v>
      </c>
      <c r="F5" s="1954"/>
      <c r="G5" s="1954"/>
      <c r="H5" s="1954"/>
      <c r="I5" s="1954"/>
      <c r="J5" s="1954"/>
      <c r="K5" s="1954"/>
      <c r="L5" s="1954"/>
      <c r="M5" s="1954"/>
      <c r="N5" s="1954"/>
      <c r="O5" s="1954"/>
      <c r="P5" s="1954"/>
      <c r="Q5" s="1954"/>
      <c r="R5" s="1954"/>
      <c r="S5" s="1954"/>
      <c r="T5" s="1954"/>
      <c r="U5" s="1954"/>
      <c r="V5" s="1954"/>
      <c r="W5" s="1954"/>
      <c r="X5" s="1494"/>
      <c r="Y5" s="1494"/>
      <c r="Z5" s="1495"/>
    </row>
    <row r="6" spans="1:26" s="31" customFormat="1" ht="15" customHeight="1">
      <c r="E6" s="1848" t="s">
        <v>1</v>
      </c>
      <c r="F6" s="1849" t="s">
        <v>380</v>
      </c>
      <c r="G6" s="1850" t="s">
        <v>193</v>
      </c>
      <c r="H6" s="1852" t="s">
        <v>457</v>
      </c>
      <c r="I6" s="1853"/>
      <c r="J6" s="1854"/>
      <c r="K6" s="1852" t="s">
        <v>458</v>
      </c>
      <c r="L6" s="1853"/>
      <c r="M6" s="1854"/>
      <c r="N6" s="1846" t="s">
        <v>195</v>
      </c>
      <c r="O6" s="1846"/>
      <c r="P6" s="1846" t="s">
        <v>196</v>
      </c>
      <c r="Q6" s="1846"/>
      <c r="R6" s="1846" t="s">
        <v>197</v>
      </c>
      <c r="S6" s="1846"/>
      <c r="T6" s="1846" t="s">
        <v>648</v>
      </c>
      <c r="U6" s="1846"/>
      <c r="V6" s="1846" t="s">
        <v>198</v>
      </c>
      <c r="W6" s="1846"/>
      <c r="X6" s="1847" t="s">
        <v>34</v>
      </c>
      <c r="Y6" s="1847"/>
      <c r="Z6" s="1847"/>
    </row>
    <row r="7" spans="1:26" s="31" customFormat="1" ht="27">
      <c r="E7" s="1848"/>
      <c r="F7" s="1849"/>
      <c r="G7" s="1851"/>
      <c r="H7" s="1452" t="s">
        <v>194</v>
      </c>
      <c r="I7" s="1453" t="s">
        <v>178</v>
      </c>
      <c r="J7" s="1453" t="s">
        <v>36</v>
      </c>
      <c r="K7" s="1453" t="s">
        <v>178</v>
      </c>
      <c r="L7" s="1453" t="s">
        <v>459</v>
      </c>
      <c r="M7" s="1453" t="s">
        <v>36</v>
      </c>
      <c r="N7" s="1454" t="s">
        <v>178</v>
      </c>
      <c r="O7" s="1455" t="s">
        <v>36</v>
      </c>
      <c r="P7" s="1454" t="s">
        <v>178</v>
      </c>
      <c r="Q7" s="1454" t="s">
        <v>36</v>
      </c>
      <c r="R7" s="1454" t="s">
        <v>178</v>
      </c>
      <c r="S7" s="1455" t="s">
        <v>36</v>
      </c>
      <c r="T7" s="1454" t="s">
        <v>178</v>
      </c>
      <c r="U7" s="1455" t="s">
        <v>36</v>
      </c>
      <c r="V7" s="1454" t="s">
        <v>178</v>
      </c>
      <c r="W7" s="1455" t="s">
        <v>36</v>
      </c>
      <c r="X7" s="1451" t="s">
        <v>199</v>
      </c>
      <c r="Y7" s="1451" t="s">
        <v>83</v>
      </c>
      <c r="Z7" s="1451" t="s">
        <v>413</v>
      </c>
    </row>
    <row r="8" spans="1:26" s="1290" customFormat="1" ht="20.100000000000001" hidden="1" customHeight="1">
      <c r="A8" s="509"/>
      <c r="B8" s="510"/>
      <c r="C8" s="510">
        <v>0</v>
      </c>
      <c r="D8" s="511"/>
      <c r="E8" s="898" t="s">
        <v>382</v>
      </c>
      <c r="F8" s="906" t="s">
        <v>84</v>
      </c>
      <c r="G8" s="1456"/>
      <c r="H8" s="1456"/>
      <c r="I8" s="1457"/>
      <c r="J8" s="1457"/>
      <c r="K8" s="1457"/>
      <c r="L8" s="1457"/>
      <c r="M8" s="1457"/>
      <c r="N8" s="1458"/>
      <c r="O8" s="1459"/>
      <c r="P8" s="1458"/>
      <c r="Q8" s="1458"/>
      <c r="R8" s="1458"/>
      <c r="S8" s="1459"/>
      <c r="T8" s="1459"/>
      <c r="U8" s="1459"/>
      <c r="V8" s="1458"/>
      <c r="W8" s="1459"/>
      <c r="X8" s="1286"/>
      <c r="Y8" s="1286"/>
      <c r="Z8" s="1287"/>
    </row>
    <row r="9" spans="1:26" ht="20.100000000000001" hidden="1" customHeight="1">
      <c r="A9" s="509">
        <v>0</v>
      </c>
      <c r="B9" s="510">
        <v>0</v>
      </c>
      <c r="C9" s="512">
        <v>0</v>
      </c>
      <c r="D9" s="513" t="s">
        <v>650</v>
      </c>
      <c r="E9" s="899">
        <v>1</v>
      </c>
      <c r="F9" s="897" t="s">
        <v>296</v>
      </c>
      <c r="G9" s="900" t="s">
        <v>236</v>
      </c>
      <c r="H9" s="928">
        <v>5442.14</v>
      </c>
      <c r="I9" s="928">
        <v>94.18</v>
      </c>
      <c r="J9" s="928">
        <v>512540.75</v>
      </c>
      <c r="K9" s="919">
        <v>94.18</v>
      </c>
      <c r="L9" s="920" t="s">
        <v>597</v>
      </c>
      <c r="M9" s="921">
        <v>512540.75</v>
      </c>
      <c r="N9" s="928">
        <v>72.599999999999994</v>
      </c>
      <c r="O9" s="928">
        <v>395104.4</v>
      </c>
      <c r="P9" s="1460">
        <v>0</v>
      </c>
      <c r="Q9" s="1461">
        <v>0</v>
      </c>
      <c r="R9" s="928">
        <v>72.599999999999994</v>
      </c>
      <c r="S9" s="1461">
        <v>395104.4</v>
      </c>
      <c r="T9" s="928">
        <v>3.08</v>
      </c>
      <c r="U9" s="928">
        <f>T9*H9</f>
        <v>16761.7912</v>
      </c>
      <c r="V9" s="928">
        <f>K9-T9-R9</f>
        <v>18.500000000000014</v>
      </c>
      <c r="W9" s="928">
        <f>V9*H9</f>
        <v>100679.59000000008</v>
      </c>
      <c r="X9" s="925">
        <v>0</v>
      </c>
      <c r="Y9" s="926">
        <v>0.77087412074064354</v>
      </c>
      <c r="Z9" s="927">
        <v>0.22912587925935646</v>
      </c>
    </row>
    <row r="10" spans="1:26" ht="20.100000000000001" hidden="1" customHeight="1">
      <c r="A10" s="509">
        <v>0</v>
      </c>
      <c r="B10" s="510">
        <v>0</v>
      </c>
      <c r="C10" s="512">
        <v>0</v>
      </c>
      <c r="D10" s="513" t="s">
        <v>650</v>
      </c>
      <c r="E10" s="899" t="s">
        <v>439</v>
      </c>
      <c r="F10" s="897" t="s">
        <v>440</v>
      </c>
      <c r="G10" s="901" t="s">
        <v>85</v>
      </c>
      <c r="H10" s="928">
        <v>28.92</v>
      </c>
      <c r="I10" s="928">
        <v>0</v>
      </c>
      <c r="J10" s="928">
        <v>0</v>
      </c>
      <c r="K10" s="929">
        <v>583.88</v>
      </c>
      <c r="L10" s="920" t="s">
        <v>651</v>
      </c>
      <c r="M10" s="921">
        <v>16885.810000000001</v>
      </c>
      <c r="N10" s="928">
        <v>0</v>
      </c>
      <c r="O10" s="928">
        <v>0</v>
      </c>
      <c r="P10" s="1462">
        <v>0</v>
      </c>
      <c r="Q10" s="954">
        <v>0</v>
      </c>
      <c r="R10" s="928">
        <v>0</v>
      </c>
      <c r="S10" s="954">
        <v>0</v>
      </c>
      <c r="T10" s="928">
        <v>148.88</v>
      </c>
      <c r="U10" s="928">
        <f t="shared" ref="U10:U12" si="0">T10*H10</f>
        <v>4305.6095999999998</v>
      </c>
      <c r="V10" s="928">
        <f t="shared" ref="V10:V12" si="1">K10-T10-R10</f>
        <v>435</v>
      </c>
      <c r="W10" s="928">
        <f t="shared" ref="W10:W12" si="2">V10*H10</f>
        <v>12580.2</v>
      </c>
      <c r="X10" s="933">
        <v>0</v>
      </c>
      <c r="Y10" s="933">
        <v>0</v>
      </c>
      <c r="Z10" s="934">
        <v>1</v>
      </c>
    </row>
    <row r="11" spans="1:26" ht="20.100000000000001" hidden="1" customHeight="1">
      <c r="A11" s="509">
        <v>0</v>
      </c>
      <c r="B11" s="510">
        <v>0</v>
      </c>
      <c r="C11" s="512">
        <v>0</v>
      </c>
      <c r="D11" s="513" t="s">
        <v>650</v>
      </c>
      <c r="E11" s="899" t="s">
        <v>441</v>
      </c>
      <c r="F11" s="897" t="s">
        <v>442</v>
      </c>
      <c r="G11" s="901" t="s">
        <v>85</v>
      </c>
      <c r="H11" s="928">
        <v>49.94</v>
      </c>
      <c r="I11" s="928">
        <v>0</v>
      </c>
      <c r="J11" s="928">
        <v>0</v>
      </c>
      <c r="K11" s="929">
        <v>2284.02</v>
      </c>
      <c r="L11" s="920" t="s">
        <v>651</v>
      </c>
      <c r="M11" s="921">
        <v>114063.96</v>
      </c>
      <c r="N11" s="928">
        <v>0</v>
      </c>
      <c r="O11" s="928">
        <v>0</v>
      </c>
      <c r="P11" s="1462">
        <v>0</v>
      </c>
      <c r="Q11" s="954">
        <v>0</v>
      </c>
      <c r="R11" s="928">
        <v>0</v>
      </c>
      <c r="S11" s="954">
        <v>0</v>
      </c>
      <c r="T11" s="928">
        <v>568.02</v>
      </c>
      <c r="U11" s="928">
        <f t="shared" si="0"/>
        <v>28366.918799999999</v>
      </c>
      <c r="V11" s="928">
        <f t="shared" si="1"/>
        <v>1716</v>
      </c>
      <c r="W11" s="928">
        <f t="shared" si="2"/>
        <v>85697.04</v>
      </c>
      <c r="X11" s="933">
        <v>0</v>
      </c>
      <c r="Y11" s="933">
        <v>0</v>
      </c>
      <c r="Z11" s="934">
        <v>1</v>
      </c>
    </row>
    <row r="12" spans="1:26" ht="20.100000000000001" hidden="1" customHeight="1">
      <c r="A12" s="509">
        <v>0</v>
      </c>
      <c r="B12" s="510">
        <v>0</v>
      </c>
      <c r="C12" s="512">
        <v>0</v>
      </c>
      <c r="D12" s="513" t="s">
        <v>650</v>
      </c>
      <c r="E12" s="899" t="s">
        <v>443</v>
      </c>
      <c r="F12" s="897" t="s">
        <v>592</v>
      </c>
      <c r="G12" s="902" t="s">
        <v>444</v>
      </c>
      <c r="H12" s="928">
        <v>2.72</v>
      </c>
      <c r="I12" s="928">
        <v>0</v>
      </c>
      <c r="J12" s="928">
        <v>0</v>
      </c>
      <c r="K12" s="935">
        <v>25488.04</v>
      </c>
      <c r="L12" s="920" t="s">
        <v>651</v>
      </c>
      <c r="M12" s="936">
        <v>69327.47</v>
      </c>
      <c r="N12" s="928">
        <v>0</v>
      </c>
      <c r="O12" s="928">
        <v>0</v>
      </c>
      <c r="P12" s="1462">
        <v>0</v>
      </c>
      <c r="Q12" s="954">
        <v>0</v>
      </c>
      <c r="R12" s="928">
        <v>0</v>
      </c>
      <c r="S12" s="954">
        <v>0</v>
      </c>
      <c r="T12" s="928">
        <v>0</v>
      </c>
      <c r="U12" s="928">
        <f t="shared" si="0"/>
        <v>0</v>
      </c>
      <c r="V12" s="928">
        <f t="shared" si="1"/>
        <v>25488.04</v>
      </c>
      <c r="W12" s="928">
        <f t="shared" si="2"/>
        <v>69327.468800000002</v>
      </c>
      <c r="X12" s="937">
        <v>0</v>
      </c>
      <c r="Y12" s="937">
        <v>0</v>
      </c>
      <c r="Z12" s="938">
        <v>1</v>
      </c>
    </row>
    <row r="13" spans="1:26" ht="20.100000000000001" customHeight="1">
      <c r="A13" s="509">
        <v>0</v>
      </c>
      <c r="B13" s="510">
        <v>0</v>
      </c>
      <c r="C13" s="512">
        <v>0</v>
      </c>
      <c r="D13" s="513" t="s">
        <v>650</v>
      </c>
      <c r="E13" s="915"/>
      <c r="F13" s="906" t="s">
        <v>84</v>
      </c>
      <c r="G13" s="1464"/>
      <c r="H13" s="1465"/>
      <c r="I13" s="1466"/>
      <c r="J13" s="1467">
        <f>SUM(J9:J12)</f>
        <v>512540.75</v>
      </c>
      <c r="K13" s="1468"/>
      <c r="L13" s="1468"/>
      <c r="M13" s="1467">
        <f>SUM(M9:M12)</f>
        <v>712817.99</v>
      </c>
      <c r="N13" s="1469"/>
      <c r="O13" s="1467">
        <v>395104.4</v>
      </c>
      <c r="P13" s="1470"/>
      <c r="Q13" s="1467">
        <v>0</v>
      </c>
      <c r="R13" s="1469"/>
      <c r="S13" s="1467">
        <f>SUM(S9:S12)</f>
        <v>395104.4</v>
      </c>
      <c r="T13" s="1469"/>
      <c r="U13" s="1467">
        <f>SUM(U9:U12)</f>
        <v>49434.319600000003</v>
      </c>
      <c r="V13" s="1470"/>
      <c r="W13" s="1467">
        <f>SUM(W9:W12)</f>
        <v>268284.29880000011</v>
      </c>
      <c r="X13" s="945">
        <v>0</v>
      </c>
      <c r="Y13" s="946">
        <v>0.5542851128097932</v>
      </c>
      <c r="Z13" s="947">
        <v>8.8409639044042754E-2</v>
      </c>
    </row>
    <row r="14" spans="1:26" ht="20.100000000000001" hidden="1" customHeight="1">
      <c r="A14" s="509">
        <v>0</v>
      </c>
      <c r="B14" s="510">
        <v>0</v>
      </c>
      <c r="C14" s="512">
        <v>0</v>
      </c>
      <c r="D14" s="513"/>
      <c r="E14" s="898" t="s">
        <v>383</v>
      </c>
      <c r="F14" s="906" t="s">
        <v>308</v>
      </c>
      <c r="G14" s="907"/>
      <c r="H14" s="907"/>
      <c r="I14" s="948"/>
      <c r="J14" s="948"/>
      <c r="K14" s="949"/>
      <c r="L14" s="949"/>
      <c r="M14" s="949"/>
      <c r="N14" s="1471"/>
      <c r="O14" s="1471"/>
      <c r="P14" s="1471"/>
      <c r="Q14" s="1471"/>
      <c r="R14" s="1471"/>
      <c r="S14" s="1471"/>
      <c r="T14" s="1471"/>
      <c r="U14" s="1471"/>
      <c r="V14" s="1471"/>
      <c r="W14" s="1471"/>
      <c r="X14" s="951"/>
      <c r="Y14" s="951"/>
      <c r="Z14" s="952"/>
    </row>
    <row r="15" spans="1:26" ht="20.100000000000001" hidden="1" customHeight="1">
      <c r="A15" s="509">
        <v>0</v>
      </c>
      <c r="B15" s="510">
        <v>0</v>
      </c>
      <c r="C15" s="512">
        <v>0</v>
      </c>
      <c r="D15" s="513" t="s">
        <v>652</v>
      </c>
      <c r="E15" s="899">
        <v>2</v>
      </c>
      <c r="F15" s="897" t="s">
        <v>297</v>
      </c>
      <c r="G15" s="900" t="s">
        <v>86</v>
      </c>
      <c r="H15" s="928">
        <v>1.46</v>
      </c>
      <c r="I15" s="928">
        <v>266002</v>
      </c>
      <c r="J15" s="928">
        <v>388362.92</v>
      </c>
      <c r="K15" s="919">
        <v>266002</v>
      </c>
      <c r="L15" s="920" t="s">
        <v>597</v>
      </c>
      <c r="M15" s="953">
        <v>388362.92</v>
      </c>
      <c r="N15" s="928">
        <v>0</v>
      </c>
      <c r="O15" s="928">
        <v>0</v>
      </c>
      <c r="P15" s="1460">
        <v>0</v>
      </c>
      <c r="Q15" s="1461">
        <v>0</v>
      </c>
      <c r="R15" s="928">
        <v>0</v>
      </c>
      <c r="S15" s="1461">
        <v>0</v>
      </c>
      <c r="T15" s="928">
        <v>79800</v>
      </c>
      <c r="U15" s="928">
        <f t="shared" ref="U15:U30" si="3">T15*H15</f>
        <v>116508</v>
      </c>
      <c r="V15" s="928">
        <f t="shared" ref="V15:V30" si="4">K15-T15-R15</f>
        <v>186202</v>
      </c>
      <c r="W15" s="928">
        <f t="shared" ref="W15:W30" si="5">V15*H15</f>
        <v>271854.92</v>
      </c>
      <c r="X15" s="933">
        <v>0</v>
      </c>
      <c r="Y15" s="933">
        <v>0</v>
      </c>
      <c r="Z15" s="934">
        <v>1</v>
      </c>
    </row>
    <row r="16" spans="1:26" ht="20.100000000000001" hidden="1" customHeight="1">
      <c r="A16" s="509">
        <v>0</v>
      </c>
      <c r="B16" s="510">
        <v>0</v>
      </c>
      <c r="C16" s="512">
        <v>0</v>
      </c>
      <c r="D16" s="513" t="s">
        <v>652</v>
      </c>
      <c r="E16" s="899">
        <v>3</v>
      </c>
      <c r="F16" s="897" t="s">
        <v>298</v>
      </c>
      <c r="G16" s="901" t="s">
        <v>85</v>
      </c>
      <c r="H16" s="928">
        <v>96.9</v>
      </c>
      <c r="I16" s="928">
        <v>34368.400000000001</v>
      </c>
      <c r="J16" s="928">
        <v>3330297.96</v>
      </c>
      <c r="K16" s="929">
        <v>0</v>
      </c>
      <c r="L16" s="920" t="s">
        <v>651</v>
      </c>
      <c r="M16" s="921">
        <v>0</v>
      </c>
      <c r="N16" s="928">
        <v>0</v>
      </c>
      <c r="O16" s="928">
        <v>0</v>
      </c>
      <c r="P16" s="1462">
        <v>0</v>
      </c>
      <c r="Q16" s="954">
        <v>0</v>
      </c>
      <c r="R16" s="928">
        <v>0</v>
      </c>
      <c r="S16" s="954">
        <v>0</v>
      </c>
      <c r="T16" s="928">
        <v>0</v>
      </c>
      <c r="U16" s="928">
        <f t="shared" si="3"/>
        <v>0</v>
      </c>
      <c r="V16" s="928">
        <f t="shared" si="4"/>
        <v>0</v>
      </c>
      <c r="W16" s="928">
        <f t="shared" si="5"/>
        <v>0</v>
      </c>
      <c r="X16" s="955">
        <v>0</v>
      </c>
      <c r="Y16" s="955">
        <v>0</v>
      </c>
      <c r="Z16" s="956">
        <v>1</v>
      </c>
    </row>
    <row r="17" spans="1:28" ht="20.100000000000001" hidden="1" customHeight="1">
      <c r="A17" s="509">
        <v>0</v>
      </c>
      <c r="B17" s="510">
        <v>0</v>
      </c>
      <c r="C17" s="512">
        <v>0</v>
      </c>
      <c r="D17" s="513" t="s">
        <v>652</v>
      </c>
      <c r="E17" s="899">
        <v>4</v>
      </c>
      <c r="F17" s="897" t="s">
        <v>299</v>
      </c>
      <c r="G17" s="901" t="s">
        <v>85</v>
      </c>
      <c r="H17" s="928">
        <v>96.9</v>
      </c>
      <c r="I17" s="928">
        <v>18832</v>
      </c>
      <c r="J17" s="928">
        <v>1824820.8</v>
      </c>
      <c r="K17" s="929">
        <v>0</v>
      </c>
      <c r="L17" s="920" t="s">
        <v>651</v>
      </c>
      <c r="M17" s="921">
        <v>0</v>
      </c>
      <c r="N17" s="928">
        <v>0</v>
      </c>
      <c r="O17" s="928">
        <v>0</v>
      </c>
      <c r="P17" s="1462">
        <v>0</v>
      </c>
      <c r="Q17" s="954">
        <v>0</v>
      </c>
      <c r="R17" s="928">
        <v>0</v>
      </c>
      <c r="S17" s="954">
        <v>0</v>
      </c>
      <c r="T17" s="928">
        <v>0</v>
      </c>
      <c r="U17" s="928">
        <f t="shared" si="3"/>
        <v>0</v>
      </c>
      <c r="V17" s="928">
        <f t="shared" si="4"/>
        <v>0</v>
      </c>
      <c r="W17" s="928">
        <f t="shared" si="5"/>
        <v>0</v>
      </c>
      <c r="X17" s="955">
        <v>0</v>
      </c>
      <c r="Y17" s="955">
        <v>0</v>
      </c>
      <c r="Z17" s="956">
        <v>1</v>
      </c>
    </row>
    <row r="18" spans="1:28" ht="20.100000000000001" hidden="1" customHeight="1">
      <c r="A18" s="509">
        <v>0</v>
      </c>
      <c r="B18" s="510">
        <v>0</v>
      </c>
      <c r="C18" s="512">
        <v>0</v>
      </c>
      <c r="D18" s="513" t="s">
        <v>652</v>
      </c>
      <c r="E18" s="899">
        <v>5</v>
      </c>
      <c r="F18" s="897" t="s">
        <v>300</v>
      </c>
      <c r="G18" s="901" t="s">
        <v>422</v>
      </c>
      <c r="H18" s="928">
        <v>3.74</v>
      </c>
      <c r="I18" s="928">
        <v>439169.3</v>
      </c>
      <c r="J18" s="928">
        <v>1642493.18</v>
      </c>
      <c r="K18" s="929">
        <v>439169.3</v>
      </c>
      <c r="L18" s="920" t="s">
        <v>597</v>
      </c>
      <c r="M18" s="921">
        <v>1642493.18</v>
      </c>
      <c r="N18" s="928">
        <v>346422.9</v>
      </c>
      <c r="O18" s="928">
        <v>1295621.6499999999</v>
      </c>
      <c r="P18" s="1462">
        <v>0</v>
      </c>
      <c r="Q18" s="954">
        <v>0</v>
      </c>
      <c r="R18" s="928">
        <v>346422.9</v>
      </c>
      <c r="S18" s="954">
        <v>1295621.6499999999</v>
      </c>
      <c r="T18" s="928">
        <v>0</v>
      </c>
      <c r="U18" s="928">
        <f t="shared" si="3"/>
        <v>0</v>
      </c>
      <c r="V18" s="928">
        <f t="shared" si="4"/>
        <v>92746.399999999965</v>
      </c>
      <c r="W18" s="928">
        <f t="shared" si="5"/>
        <v>346871.53599999991</v>
      </c>
      <c r="X18" s="955">
        <v>0</v>
      </c>
      <c r="Y18" s="955">
        <v>0.78881402113340893</v>
      </c>
      <c r="Z18" s="956">
        <v>0.21118597886659107</v>
      </c>
    </row>
    <row r="19" spans="1:28" ht="27" hidden="1">
      <c r="A19" s="509">
        <v>0</v>
      </c>
      <c r="B19" s="510">
        <v>0</v>
      </c>
      <c r="C19" s="512">
        <v>0</v>
      </c>
      <c r="D19" s="513" t="s">
        <v>652</v>
      </c>
      <c r="E19" s="899">
        <v>6</v>
      </c>
      <c r="F19" s="897" t="s">
        <v>301</v>
      </c>
      <c r="G19" s="901" t="s">
        <v>85</v>
      </c>
      <c r="H19" s="928">
        <v>191.25</v>
      </c>
      <c r="I19" s="928">
        <v>41713.949999999997</v>
      </c>
      <c r="J19" s="928">
        <v>7977792.9400000004</v>
      </c>
      <c r="K19" s="929">
        <v>53551.299999999996</v>
      </c>
      <c r="L19" s="920" t="s">
        <v>651</v>
      </c>
      <c r="M19" s="921">
        <v>10241686.130000001</v>
      </c>
      <c r="N19" s="928">
        <v>0</v>
      </c>
      <c r="O19" s="928">
        <v>0</v>
      </c>
      <c r="P19" s="1462">
        <v>0</v>
      </c>
      <c r="Q19" s="954">
        <v>0</v>
      </c>
      <c r="R19" s="928">
        <v>0</v>
      </c>
      <c r="S19" s="954">
        <v>0</v>
      </c>
      <c r="T19" s="928">
        <v>26776.3</v>
      </c>
      <c r="U19" s="928">
        <f t="shared" si="3"/>
        <v>5120967.375</v>
      </c>
      <c r="V19" s="928">
        <f t="shared" si="4"/>
        <v>26774.999999999996</v>
      </c>
      <c r="W19" s="928">
        <f t="shared" si="5"/>
        <v>5120718.7499999991</v>
      </c>
      <c r="X19" s="955">
        <v>0</v>
      </c>
      <c r="Y19" s="955">
        <v>0</v>
      </c>
      <c r="Z19" s="956">
        <v>1</v>
      </c>
    </row>
    <row r="20" spans="1:28" ht="27" hidden="1">
      <c r="A20" s="509">
        <v>0</v>
      </c>
      <c r="B20" s="510">
        <v>0</v>
      </c>
      <c r="C20" s="512">
        <v>0</v>
      </c>
      <c r="D20" s="513" t="s">
        <v>652</v>
      </c>
      <c r="E20" s="899">
        <v>7</v>
      </c>
      <c r="F20" s="897" t="s">
        <v>302</v>
      </c>
      <c r="G20" s="901" t="s">
        <v>85</v>
      </c>
      <c r="H20" s="928">
        <v>594.04999999999995</v>
      </c>
      <c r="I20" s="928">
        <v>17411.04</v>
      </c>
      <c r="J20" s="928">
        <v>10343028.310000001</v>
      </c>
      <c r="K20" s="929">
        <v>13021.47</v>
      </c>
      <c r="L20" s="920" t="s">
        <v>651</v>
      </c>
      <c r="M20" s="921">
        <v>7735404.25</v>
      </c>
      <c r="N20" s="928">
        <v>0</v>
      </c>
      <c r="O20" s="928">
        <v>0</v>
      </c>
      <c r="P20" s="1462">
        <v>0</v>
      </c>
      <c r="Q20" s="954">
        <v>0</v>
      </c>
      <c r="R20" s="928">
        <v>0</v>
      </c>
      <c r="S20" s="954">
        <v>0</v>
      </c>
      <c r="T20" s="928">
        <v>2604.29</v>
      </c>
      <c r="U20" s="928">
        <f t="shared" si="3"/>
        <v>1547078.4744999998</v>
      </c>
      <c r="V20" s="928">
        <f t="shared" si="4"/>
        <v>10417.18</v>
      </c>
      <c r="W20" s="928">
        <f t="shared" si="5"/>
        <v>6188325.7790000001</v>
      </c>
      <c r="X20" s="955">
        <v>0</v>
      </c>
      <c r="Y20" s="955">
        <v>0</v>
      </c>
      <c r="Z20" s="956">
        <v>1</v>
      </c>
    </row>
    <row r="21" spans="1:28" ht="20.100000000000001" hidden="1" customHeight="1">
      <c r="A21" s="509">
        <v>0</v>
      </c>
      <c r="B21" s="510">
        <v>0</v>
      </c>
      <c r="C21" s="512">
        <v>0</v>
      </c>
      <c r="D21" s="513" t="s">
        <v>652</v>
      </c>
      <c r="E21" s="899">
        <v>8</v>
      </c>
      <c r="F21" s="897" t="s">
        <v>303</v>
      </c>
      <c r="G21" s="901" t="s">
        <v>23</v>
      </c>
      <c r="H21" s="928">
        <v>12.04</v>
      </c>
      <c r="I21" s="928">
        <v>399003</v>
      </c>
      <c r="J21" s="928">
        <v>4803996.12</v>
      </c>
      <c r="K21" s="929">
        <v>399003</v>
      </c>
      <c r="L21" s="920" t="s">
        <v>597</v>
      </c>
      <c r="M21" s="921">
        <v>4803996.12</v>
      </c>
      <c r="N21" s="928">
        <v>0</v>
      </c>
      <c r="O21" s="928">
        <v>0</v>
      </c>
      <c r="P21" s="1462">
        <v>0</v>
      </c>
      <c r="Q21" s="954">
        <v>0</v>
      </c>
      <c r="R21" s="928">
        <v>0</v>
      </c>
      <c r="S21" s="954">
        <v>0</v>
      </c>
      <c r="T21" s="928">
        <v>119673.53</v>
      </c>
      <c r="U21" s="928">
        <f t="shared" si="3"/>
        <v>1440869.3011999999</v>
      </c>
      <c r="V21" s="928">
        <f t="shared" si="4"/>
        <v>279329.46999999997</v>
      </c>
      <c r="W21" s="928">
        <f t="shared" si="5"/>
        <v>3363126.8187999995</v>
      </c>
      <c r="X21" s="955">
        <v>0</v>
      </c>
      <c r="Y21" s="955">
        <v>0</v>
      </c>
      <c r="Z21" s="956">
        <v>1</v>
      </c>
    </row>
    <row r="22" spans="1:28" ht="27" hidden="1">
      <c r="A22" s="509">
        <v>0</v>
      </c>
      <c r="B22" s="510">
        <v>0</v>
      </c>
      <c r="C22" s="512">
        <v>0</v>
      </c>
      <c r="D22" s="513" t="s">
        <v>652</v>
      </c>
      <c r="E22" s="899">
        <v>9</v>
      </c>
      <c r="F22" s="897" t="s">
        <v>304</v>
      </c>
      <c r="G22" s="901" t="s">
        <v>305</v>
      </c>
      <c r="H22" s="928">
        <v>9167.4599999999991</v>
      </c>
      <c r="I22" s="928">
        <v>2437.5500000000002</v>
      </c>
      <c r="J22" s="928">
        <v>22346142.120000001</v>
      </c>
      <c r="K22" s="929">
        <v>1920.67</v>
      </c>
      <c r="L22" s="920" t="s">
        <v>651</v>
      </c>
      <c r="M22" s="921">
        <v>17607665.399999999</v>
      </c>
      <c r="N22" s="928">
        <v>0</v>
      </c>
      <c r="O22" s="928">
        <v>0</v>
      </c>
      <c r="P22" s="1462">
        <v>0</v>
      </c>
      <c r="Q22" s="954">
        <v>0</v>
      </c>
      <c r="R22" s="928">
        <v>0</v>
      </c>
      <c r="S22" s="954">
        <v>0</v>
      </c>
      <c r="T22" s="928">
        <v>384.37</v>
      </c>
      <c r="U22" s="928">
        <f t="shared" si="3"/>
        <v>3523696.6001999998</v>
      </c>
      <c r="V22" s="928">
        <f t="shared" si="4"/>
        <v>1536.3000000000002</v>
      </c>
      <c r="W22" s="928">
        <f t="shared" si="5"/>
        <v>14083968.798</v>
      </c>
      <c r="X22" s="955">
        <v>0</v>
      </c>
      <c r="Y22" s="955">
        <v>0</v>
      </c>
      <c r="Z22" s="956">
        <v>1</v>
      </c>
    </row>
    <row r="23" spans="1:28" ht="20.100000000000001" hidden="1" customHeight="1">
      <c r="A23" s="509">
        <v>0</v>
      </c>
      <c r="B23" s="510">
        <v>0</v>
      </c>
      <c r="C23" s="512">
        <v>0</v>
      </c>
      <c r="D23" s="513" t="s">
        <v>652</v>
      </c>
      <c r="E23" s="899">
        <v>10</v>
      </c>
      <c r="F23" s="897" t="s">
        <v>306</v>
      </c>
      <c r="G23" s="901" t="s">
        <v>422</v>
      </c>
      <c r="H23" s="928">
        <v>2.72</v>
      </c>
      <c r="I23" s="928">
        <v>510143.47</v>
      </c>
      <c r="J23" s="928">
        <v>1387590.24</v>
      </c>
      <c r="K23" s="929">
        <v>381529.09</v>
      </c>
      <c r="L23" s="920" t="s">
        <v>651</v>
      </c>
      <c r="M23" s="921">
        <v>1037759.12</v>
      </c>
      <c r="N23" s="928">
        <v>0</v>
      </c>
      <c r="O23" s="928">
        <v>0</v>
      </c>
      <c r="P23" s="1462">
        <v>0</v>
      </c>
      <c r="Q23" s="954">
        <v>0</v>
      </c>
      <c r="R23" s="928">
        <v>0</v>
      </c>
      <c r="S23" s="954">
        <v>0</v>
      </c>
      <c r="T23" s="928">
        <v>114458.6</v>
      </c>
      <c r="U23" s="928">
        <f t="shared" si="3"/>
        <v>311327.39200000005</v>
      </c>
      <c r="V23" s="928">
        <f t="shared" si="4"/>
        <v>267070.49</v>
      </c>
      <c r="W23" s="928">
        <f t="shared" si="5"/>
        <v>726431.7328</v>
      </c>
      <c r="X23" s="955">
        <v>0</v>
      </c>
      <c r="Y23" s="955">
        <v>0</v>
      </c>
      <c r="Z23" s="956">
        <v>1</v>
      </c>
    </row>
    <row r="24" spans="1:28" ht="20.100000000000001" hidden="1" customHeight="1">
      <c r="A24" s="509">
        <v>0</v>
      </c>
      <c r="B24" s="510">
        <v>0</v>
      </c>
      <c r="C24" s="512">
        <v>0</v>
      </c>
      <c r="D24" s="513" t="s">
        <v>652</v>
      </c>
      <c r="E24" s="899">
        <v>11</v>
      </c>
      <c r="F24" s="897" t="s">
        <v>307</v>
      </c>
      <c r="G24" s="901" t="s">
        <v>422</v>
      </c>
      <c r="H24" s="928">
        <v>2.72</v>
      </c>
      <c r="I24" s="928">
        <v>1222218.74</v>
      </c>
      <c r="J24" s="928">
        <v>3324434.97</v>
      </c>
      <c r="K24" s="929">
        <v>1569052.7600000002</v>
      </c>
      <c r="L24" s="920" t="s">
        <v>651</v>
      </c>
      <c r="M24" s="921">
        <v>4267823.51</v>
      </c>
      <c r="N24" s="928">
        <v>0</v>
      </c>
      <c r="O24" s="928">
        <v>0</v>
      </c>
      <c r="P24" s="1462">
        <v>0</v>
      </c>
      <c r="Q24" s="954">
        <v>0</v>
      </c>
      <c r="R24" s="928">
        <v>0</v>
      </c>
      <c r="S24" s="954">
        <v>0</v>
      </c>
      <c r="T24" s="928">
        <v>549242.07999999996</v>
      </c>
      <c r="U24" s="928">
        <f t="shared" si="3"/>
        <v>1493938.4576000001</v>
      </c>
      <c r="V24" s="928">
        <f t="shared" si="4"/>
        <v>1019810.6800000003</v>
      </c>
      <c r="W24" s="928">
        <f t="shared" si="5"/>
        <v>2773885.049600001</v>
      </c>
      <c r="X24" s="957">
        <v>0</v>
      </c>
      <c r="Y24" s="958">
        <v>0</v>
      </c>
      <c r="Z24" s="959">
        <v>1</v>
      </c>
    </row>
    <row r="25" spans="1:28" s="1350" customFormat="1" ht="20.100000000000001" hidden="1" customHeight="1">
      <c r="A25" s="1344">
        <v>1</v>
      </c>
      <c r="B25" s="1345">
        <v>1</v>
      </c>
      <c r="C25" s="1346">
        <v>1</v>
      </c>
      <c r="D25" s="1347" t="s">
        <v>652</v>
      </c>
      <c r="E25" s="899" t="s">
        <v>445</v>
      </c>
      <c r="F25" s="908" t="s">
        <v>446</v>
      </c>
      <c r="G25" s="909" t="s">
        <v>85</v>
      </c>
      <c r="H25" s="928">
        <v>13.94</v>
      </c>
      <c r="I25" s="928">
        <v>0</v>
      </c>
      <c r="J25" s="928">
        <v>0</v>
      </c>
      <c r="K25" s="929">
        <v>50718</v>
      </c>
      <c r="L25" s="920" t="s">
        <v>651</v>
      </c>
      <c r="M25" s="921">
        <v>707008.92</v>
      </c>
      <c r="N25" s="960">
        <v>16677.5</v>
      </c>
      <c r="O25" s="960">
        <v>232484.35</v>
      </c>
      <c r="P25" s="1462">
        <v>13098</v>
      </c>
      <c r="Q25" s="974">
        <v>182586.12</v>
      </c>
      <c r="R25" s="928">
        <v>29775.5</v>
      </c>
      <c r="S25" s="954">
        <v>415070.47</v>
      </c>
      <c r="T25" s="928">
        <v>0</v>
      </c>
      <c r="U25" s="928">
        <f t="shared" si="3"/>
        <v>0</v>
      </c>
      <c r="V25" s="928">
        <f t="shared" si="4"/>
        <v>20942.5</v>
      </c>
      <c r="W25" s="928">
        <f t="shared" si="5"/>
        <v>291938.45</v>
      </c>
      <c r="X25" s="957">
        <v>0.25825150834023419</v>
      </c>
      <c r="Y25" s="958">
        <v>0.58707953783666544</v>
      </c>
      <c r="Z25" s="959">
        <v>0.41292046216333456</v>
      </c>
    </row>
    <row r="26" spans="1:28" s="1350" customFormat="1" ht="20.100000000000001" hidden="1" customHeight="1">
      <c r="A26" s="1344">
        <v>2</v>
      </c>
      <c r="B26" s="1345">
        <v>1</v>
      </c>
      <c r="C26" s="1346">
        <v>2</v>
      </c>
      <c r="D26" s="1347" t="s">
        <v>652</v>
      </c>
      <c r="E26" s="899" t="s">
        <v>447</v>
      </c>
      <c r="F26" s="908" t="s">
        <v>448</v>
      </c>
      <c r="G26" s="909" t="s">
        <v>85</v>
      </c>
      <c r="H26" s="928">
        <v>13.94</v>
      </c>
      <c r="I26" s="928">
        <v>0</v>
      </c>
      <c r="J26" s="928">
        <v>0</v>
      </c>
      <c r="K26" s="929">
        <v>5984</v>
      </c>
      <c r="L26" s="920" t="s">
        <v>651</v>
      </c>
      <c r="M26" s="921">
        <v>83416.960000000006</v>
      </c>
      <c r="N26" s="960">
        <v>1600</v>
      </c>
      <c r="O26" s="960">
        <v>22304</v>
      </c>
      <c r="P26" s="1462">
        <v>80</v>
      </c>
      <c r="Q26" s="974">
        <v>1115.2</v>
      </c>
      <c r="R26" s="928">
        <v>1680</v>
      </c>
      <c r="S26" s="954">
        <v>23419.200000000001</v>
      </c>
      <c r="T26" s="928">
        <v>2094.4</v>
      </c>
      <c r="U26" s="928">
        <f t="shared" si="3"/>
        <v>29195.936000000002</v>
      </c>
      <c r="V26" s="928">
        <f t="shared" si="4"/>
        <v>2209.6</v>
      </c>
      <c r="W26" s="928">
        <f t="shared" si="5"/>
        <v>30801.823999999997</v>
      </c>
      <c r="X26" s="955">
        <v>1.3368983957219251E-2</v>
      </c>
      <c r="Y26" s="955">
        <v>0.28074866310160429</v>
      </c>
      <c r="Z26" s="956">
        <v>0.71925133689839571</v>
      </c>
    </row>
    <row r="27" spans="1:28" s="1350" customFormat="1" ht="27" hidden="1" customHeight="1">
      <c r="A27" s="1344">
        <v>3</v>
      </c>
      <c r="B27" s="1345">
        <v>1</v>
      </c>
      <c r="C27" s="1346">
        <v>3</v>
      </c>
      <c r="D27" s="1347" t="s">
        <v>652</v>
      </c>
      <c r="E27" s="899" t="s">
        <v>449</v>
      </c>
      <c r="F27" s="908" t="s">
        <v>593</v>
      </c>
      <c r="G27" s="909" t="s">
        <v>85</v>
      </c>
      <c r="H27" s="928">
        <v>127.8</v>
      </c>
      <c r="I27" s="928">
        <v>0</v>
      </c>
      <c r="J27" s="928">
        <v>0</v>
      </c>
      <c r="K27" s="929">
        <v>7047.74</v>
      </c>
      <c r="L27" s="920" t="s">
        <v>651</v>
      </c>
      <c r="M27" s="921">
        <v>900701.17</v>
      </c>
      <c r="N27" s="960">
        <v>1600</v>
      </c>
      <c r="O27" s="960">
        <v>204480</v>
      </c>
      <c r="P27" s="1462">
        <v>80</v>
      </c>
      <c r="Q27" s="974">
        <v>10224</v>
      </c>
      <c r="R27" s="928">
        <v>1680</v>
      </c>
      <c r="S27" s="954">
        <v>214704</v>
      </c>
      <c r="T27" s="928">
        <v>5010.9400000000005</v>
      </c>
      <c r="U27" s="928">
        <f t="shared" si="3"/>
        <v>640398.1320000001</v>
      </c>
      <c r="V27" s="928">
        <f t="shared" si="4"/>
        <v>356.79999999999927</v>
      </c>
      <c r="W27" s="928">
        <f t="shared" si="5"/>
        <v>45599.039999999906</v>
      </c>
      <c r="X27" s="955">
        <v>1.1351156566167222E-2</v>
      </c>
      <c r="Y27" s="955">
        <v>0.23837428788951168</v>
      </c>
      <c r="Z27" s="956">
        <v>0.76162571211048835</v>
      </c>
    </row>
    <row r="28" spans="1:28" s="1350" customFormat="1" ht="20.100000000000001" hidden="1" customHeight="1">
      <c r="A28" s="1344">
        <v>4</v>
      </c>
      <c r="B28" s="1345">
        <v>1</v>
      </c>
      <c r="C28" s="1346">
        <v>4</v>
      </c>
      <c r="D28" s="1347" t="s">
        <v>652</v>
      </c>
      <c r="E28" s="899" t="s">
        <v>450</v>
      </c>
      <c r="F28" s="908" t="s">
        <v>451</v>
      </c>
      <c r="G28" s="909" t="s">
        <v>85</v>
      </c>
      <c r="H28" s="928">
        <v>83.8</v>
      </c>
      <c r="I28" s="928">
        <v>0</v>
      </c>
      <c r="J28" s="928">
        <v>0</v>
      </c>
      <c r="K28" s="929">
        <v>63040</v>
      </c>
      <c r="L28" s="920" t="s">
        <v>651</v>
      </c>
      <c r="M28" s="921">
        <v>5282752</v>
      </c>
      <c r="N28" s="960">
        <v>23680</v>
      </c>
      <c r="O28" s="960">
        <v>1984384</v>
      </c>
      <c r="P28" s="1462">
        <v>17200</v>
      </c>
      <c r="Q28" s="974">
        <v>1441360</v>
      </c>
      <c r="R28" s="928">
        <v>40880</v>
      </c>
      <c r="S28" s="954">
        <v>3425744</v>
      </c>
      <c r="T28" s="928">
        <v>6304</v>
      </c>
      <c r="U28" s="928">
        <f t="shared" si="3"/>
        <v>528275.19999999995</v>
      </c>
      <c r="V28" s="928">
        <f t="shared" si="4"/>
        <v>15856</v>
      </c>
      <c r="W28" s="928">
        <f t="shared" si="5"/>
        <v>1328732.8</v>
      </c>
      <c r="X28" s="955">
        <v>0.27284263959390864</v>
      </c>
      <c r="Y28" s="955">
        <v>0.64847715736040612</v>
      </c>
      <c r="Z28" s="956">
        <v>0.35152284263959388</v>
      </c>
    </row>
    <row r="29" spans="1:28" s="1350" customFormat="1" ht="27" hidden="1" customHeight="1">
      <c r="A29" s="1344">
        <v>0</v>
      </c>
      <c r="B29" s="1345">
        <v>0</v>
      </c>
      <c r="C29" s="1346">
        <v>4</v>
      </c>
      <c r="D29" s="1347" t="s">
        <v>652</v>
      </c>
      <c r="E29" s="899" t="s">
        <v>452</v>
      </c>
      <c r="F29" s="908" t="s">
        <v>594</v>
      </c>
      <c r="G29" s="909" t="s">
        <v>444</v>
      </c>
      <c r="H29" s="928">
        <v>3.74</v>
      </c>
      <c r="I29" s="928">
        <v>0</v>
      </c>
      <c r="J29" s="928">
        <v>0</v>
      </c>
      <c r="K29" s="929">
        <v>32761.170000000002</v>
      </c>
      <c r="L29" s="920" t="s">
        <v>651</v>
      </c>
      <c r="M29" s="921">
        <v>122526.78</v>
      </c>
      <c r="N29" s="960">
        <v>1335.68</v>
      </c>
      <c r="O29" s="960">
        <v>4995.4399999999996</v>
      </c>
      <c r="P29" s="1462">
        <v>0</v>
      </c>
      <c r="Q29" s="974">
        <v>0</v>
      </c>
      <c r="R29" s="928">
        <v>1335.68</v>
      </c>
      <c r="S29" s="954">
        <v>4995.4399999999996</v>
      </c>
      <c r="T29" s="928">
        <v>17985.05</v>
      </c>
      <c r="U29" s="928">
        <f t="shared" si="3"/>
        <v>67264.087</v>
      </c>
      <c r="V29" s="928">
        <f t="shared" si="4"/>
        <v>13440.440000000002</v>
      </c>
      <c r="W29" s="928">
        <f t="shared" si="5"/>
        <v>50267.245600000009</v>
      </c>
      <c r="X29" s="955">
        <v>0</v>
      </c>
      <c r="Y29" s="955">
        <v>4.0770189178235154E-2</v>
      </c>
      <c r="Z29" s="956">
        <v>0.95922981082176484</v>
      </c>
    </row>
    <row r="30" spans="1:28" s="1350" customFormat="1" ht="27" hidden="1" customHeight="1">
      <c r="A30" s="1344">
        <v>5</v>
      </c>
      <c r="B30" s="1345">
        <v>1</v>
      </c>
      <c r="C30" s="1346">
        <v>5</v>
      </c>
      <c r="D30" s="1347" t="s">
        <v>652</v>
      </c>
      <c r="E30" s="899" t="s">
        <v>453</v>
      </c>
      <c r="F30" s="908" t="s">
        <v>595</v>
      </c>
      <c r="G30" s="910" t="s">
        <v>444</v>
      </c>
      <c r="H30" s="928">
        <v>2.72</v>
      </c>
      <c r="I30" s="928">
        <v>0</v>
      </c>
      <c r="J30" s="928">
        <v>0</v>
      </c>
      <c r="K30" s="935">
        <v>45616</v>
      </c>
      <c r="L30" s="920" t="s">
        <v>651</v>
      </c>
      <c r="M30" s="936">
        <v>124075.52</v>
      </c>
      <c r="N30" s="960">
        <v>1335.68</v>
      </c>
      <c r="O30" s="960">
        <v>3633.05</v>
      </c>
      <c r="P30" s="1462">
        <v>914.08</v>
      </c>
      <c r="Q30" s="1005">
        <v>2486.3000000000002</v>
      </c>
      <c r="R30" s="928">
        <v>2249.7600000000002</v>
      </c>
      <c r="S30" s="954">
        <v>6119.35</v>
      </c>
      <c r="T30" s="928">
        <v>30563</v>
      </c>
      <c r="U30" s="928">
        <f t="shared" si="3"/>
        <v>83131.360000000001</v>
      </c>
      <c r="V30" s="928">
        <f t="shared" si="4"/>
        <v>12803.24</v>
      </c>
      <c r="W30" s="928">
        <f t="shared" si="5"/>
        <v>34824.8128</v>
      </c>
      <c r="X30" s="1354">
        <v>2.0038602296407866E-2</v>
      </c>
      <c r="Y30" s="1354">
        <v>4.9319559571460996E-2</v>
      </c>
      <c r="Z30" s="1355">
        <v>0.95068044042853905</v>
      </c>
    </row>
    <row r="31" spans="1:28" ht="18" customHeight="1">
      <c r="A31" s="509">
        <v>0</v>
      </c>
      <c r="B31" s="510">
        <v>0</v>
      </c>
      <c r="C31" s="512">
        <v>5</v>
      </c>
      <c r="D31" s="513"/>
      <c r="E31" s="915"/>
      <c r="F31" s="906" t="s">
        <v>308</v>
      </c>
      <c r="G31" s="1464"/>
      <c r="H31" s="1465"/>
      <c r="I31" s="1466"/>
      <c r="J31" s="1467">
        <f>SUM(J15:J30)</f>
        <v>57368959.560000002</v>
      </c>
      <c r="K31" s="1468"/>
      <c r="L31" s="1468"/>
      <c r="M31" s="1468">
        <f>SUM(M15:M30)</f>
        <v>54945671.980000004</v>
      </c>
      <c r="N31" s="1469"/>
      <c r="O31" s="1467">
        <v>3747902.4899999998</v>
      </c>
      <c r="P31" s="1470"/>
      <c r="Q31" s="1467">
        <v>1637771.62</v>
      </c>
      <c r="R31" s="1469"/>
      <c r="S31" s="1467">
        <f>SUM(S15:S30)</f>
        <v>5385674.1100000003</v>
      </c>
      <c r="T31" s="1469" t="s">
        <v>649</v>
      </c>
      <c r="U31" s="1467">
        <f>SUM(U15:U30)</f>
        <v>14902650.315499997</v>
      </c>
      <c r="V31" s="1470"/>
      <c r="W31" s="1467">
        <f>SUM(W15:W30)</f>
        <v>34657347.556599997</v>
      </c>
      <c r="X31" s="945">
        <v>2.9807108749095691E-2</v>
      </c>
      <c r="Y31" s="946">
        <v>9.8018168054444091E-2</v>
      </c>
      <c r="Z31" s="947">
        <v>0.62190166757152465</v>
      </c>
      <c r="AB31" s="516">
        <f>M31-U31-S31</f>
        <v>34657347.554500006</v>
      </c>
    </row>
    <row r="32" spans="1:28" ht="18" hidden="1" customHeight="1">
      <c r="A32" s="509">
        <v>0</v>
      </c>
      <c r="B32" s="510">
        <v>0</v>
      </c>
      <c r="C32" s="512">
        <v>5</v>
      </c>
      <c r="D32" s="513"/>
      <c r="E32" s="898" t="s">
        <v>381</v>
      </c>
      <c r="F32" s="906" t="s">
        <v>309</v>
      </c>
      <c r="G32" s="907"/>
      <c r="H32" s="907"/>
      <c r="I32" s="948"/>
      <c r="J32" s="948"/>
      <c r="K32" s="949"/>
      <c r="L32" s="949"/>
      <c r="M32" s="949"/>
      <c r="N32" s="1471"/>
      <c r="O32" s="1471"/>
      <c r="P32" s="1471"/>
      <c r="Q32" s="1471"/>
      <c r="R32" s="1471"/>
      <c r="S32" s="1471"/>
      <c r="T32" s="1471" t="s">
        <v>649</v>
      </c>
      <c r="U32" s="1471"/>
      <c r="V32" s="1471"/>
      <c r="W32" s="1471"/>
      <c r="X32" s="951"/>
      <c r="Y32" s="951"/>
      <c r="Z32" s="952"/>
    </row>
    <row r="33" spans="1:26" ht="20.100000000000001" hidden="1" customHeight="1">
      <c r="A33" s="509">
        <v>0</v>
      </c>
      <c r="B33" s="510">
        <v>0</v>
      </c>
      <c r="C33" s="512">
        <v>5</v>
      </c>
      <c r="D33" s="513" t="s">
        <v>653</v>
      </c>
      <c r="E33" s="899">
        <v>12</v>
      </c>
      <c r="F33" s="897" t="s">
        <v>310</v>
      </c>
      <c r="G33" s="900" t="s">
        <v>88</v>
      </c>
      <c r="H33" s="963">
        <v>18.399999999999999</v>
      </c>
      <c r="I33" s="964">
        <v>61360</v>
      </c>
      <c r="J33" s="921">
        <v>1129024</v>
      </c>
      <c r="K33" s="919">
        <v>61360</v>
      </c>
      <c r="L33" s="1472" t="s">
        <v>597</v>
      </c>
      <c r="M33" s="953">
        <v>1129024</v>
      </c>
      <c r="N33" s="928">
        <v>0</v>
      </c>
      <c r="O33" s="928">
        <v>0</v>
      </c>
      <c r="P33" s="1462">
        <v>0</v>
      </c>
      <c r="Q33" s="954">
        <v>0</v>
      </c>
      <c r="R33" s="928">
        <v>0</v>
      </c>
      <c r="S33" s="954">
        <v>0</v>
      </c>
      <c r="T33" s="928">
        <v>0</v>
      </c>
      <c r="U33" s="954">
        <v>0</v>
      </c>
      <c r="V33" s="928">
        <f t="shared" ref="V33:V38" si="6">K33-T33-R33</f>
        <v>61360</v>
      </c>
      <c r="W33" s="954">
        <f t="shared" ref="W33:W38" si="7">V33*H33</f>
        <v>1129024</v>
      </c>
      <c r="X33" s="933">
        <v>0</v>
      </c>
      <c r="Y33" s="933">
        <v>0</v>
      </c>
      <c r="Z33" s="934">
        <v>1</v>
      </c>
    </row>
    <row r="34" spans="1:26" ht="20.100000000000001" hidden="1" customHeight="1">
      <c r="A34" s="509">
        <v>0</v>
      </c>
      <c r="B34" s="510">
        <v>0</v>
      </c>
      <c r="C34" s="512">
        <v>5</v>
      </c>
      <c r="D34" s="513" t="s">
        <v>653</v>
      </c>
      <c r="E34" s="899">
        <v>13</v>
      </c>
      <c r="F34" s="897" t="s">
        <v>311</v>
      </c>
      <c r="G34" s="901" t="s">
        <v>86</v>
      </c>
      <c r="H34" s="960">
        <v>129.19</v>
      </c>
      <c r="I34" s="964">
        <v>9907</v>
      </c>
      <c r="J34" s="921">
        <v>1279885.33</v>
      </c>
      <c r="K34" s="929">
        <v>9907</v>
      </c>
      <c r="L34" s="1473" t="s">
        <v>597</v>
      </c>
      <c r="M34" s="921">
        <v>1279885.33</v>
      </c>
      <c r="N34" s="928">
        <v>0</v>
      </c>
      <c r="O34" s="928">
        <v>0</v>
      </c>
      <c r="P34" s="1462">
        <v>0</v>
      </c>
      <c r="Q34" s="954">
        <v>0</v>
      </c>
      <c r="R34" s="928">
        <v>0</v>
      </c>
      <c r="S34" s="954">
        <v>0</v>
      </c>
      <c r="T34" s="928">
        <v>0</v>
      </c>
      <c r="U34" s="954">
        <v>0</v>
      </c>
      <c r="V34" s="928">
        <f t="shared" si="6"/>
        <v>9907</v>
      </c>
      <c r="W34" s="954">
        <f t="shared" si="7"/>
        <v>1279885.33</v>
      </c>
      <c r="X34" s="955">
        <v>0</v>
      </c>
      <c r="Y34" s="955">
        <v>0</v>
      </c>
      <c r="Z34" s="956">
        <v>1</v>
      </c>
    </row>
    <row r="35" spans="1:26" ht="27" hidden="1" customHeight="1">
      <c r="A35" s="509">
        <v>0</v>
      </c>
      <c r="B35" s="510">
        <v>0</v>
      </c>
      <c r="C35" s="512">
        <v>5</v>
      </c>
      <c r="D35" s="513" t="s">
        <v>653</v>
      </c>
      <c r="E35" s="899">
        <v>14</v>
      </c>
      <c r="F35" s="908" t="s">
        <v>559</v>
      </c>
      <c r="G35" s="909" t="s">
        <v>305</v>
      </c>
      <c r="H35" s="960">
        <v>8520.98</v>
      </c>
      <c r="I35" s="967">
        <v>6.14</v>
      </c>
      <c r="J35" s="921">
        <v>52318.82</v>
      </c>
      <c r="K35" s="929">
        <v>6.14</v>
      </c>
      <c r="L35" s="1473" t="s">
        <v>597</v>
      </c>
      <c r="M35" s="921">
        <v>52318.82</v>
      </c>
      <c r="N35" s="928">
        <v>0</v>
      </c>
      <c r="O35" s="928">
        <v>0</v>
      </c>
      <c r="P35" s="1462">
        <v>0</v>
      </c>
      <c r="Q35" s="954">
        <v>0</v>
      </c>
      <c r="R35" s="928">
        <v>0</v>
      </c>
      <c r="S35" s="954">
        <v>0</v>
      </c>
      <c r="T35" s="928">
        <v>0</v>
      </c>
      <c r="U35" s="954">
        <v>0</v>
      </c>
      <c r="V35" s="928">
        <f t="shared" si="6"/>
        <v>6.14</v>
      </c>
      <c r="W35" s="954">
        <f t="shared" si="7"/>
        <v>52318.817199999998</v>
      </c>
      <c r="X35" s="955">
        <v>0</v>
      </c>
      <c r="Y35" s="955">
        <v>0</v>
      </c>
      <c r="Z35" s="956">
        <v>1</v>
      </c>
    </row>
    <row r="36" spans="1:26" ht="27" hidden="1">
      <c r="A36" s="509">
        <v>0</v>
      </c>
      <c r="B36" s="510">
        <v>0</v>
      </c>
      <c r="C36" s="512">
        <v>5</v>
      </c>
      <c r="D36" s="513" t="s">
        <v>653</v>
      </c>
      <c r="E36" s="899">
        <v>15</v>
      </c>
      <c r="F36" s="908" t="s">
        <v>313</v>
      </c>
      <c r="G36" s="909" t="s">
        <v>305</v>
      </c>
      <c r="H36" s="960">
        <v>8520.98</v>
      </c>
      <c r="I36" s="967">
        <v>69.349999999999994</v>
      </c>
      <c r="J36" s="921">
        <v>590929.96</v>
      </c>
      <c r="K36" s="929">
        <v>69.349999999999994</v>
      </c>
      <c r="L36" s="1473" t="s">
        <v>597</v>
      </c>
      <c r="M36" s="921">
        <v>590929.96</v>
      </c>
      <c r="N36" s="928">
        <v>0</v>
      </c>
      <c r="O36" s="928">
        <v>0</v>
      </c>
      <c r="P36" s="1462">
        <v>0</v>
      </c>
      <c r="Q36" s="954">
        <v>0</v>
      </c>
      <c r="R36" s="928">
        <v>0</v>
      </c>
      <c r="S36" s="954">
        <v>0</v>
      </c>
      <c r="T36" s="928">
        <v>0</v>
      </c>
      <c r="U36" s="954">
        <v>0</v>
      </c>
      <c r="V36" s="928">
        <f t="shared" si="6"/>
        <v>69.349999999999994</v>
      </c>
      <c r="W36" s="954">
        <f t="shared" si="7"/>
        <v>590929.96299999987</v>
      </c>
      <c r="X36" s="955">
        <v>0</v>
      </c>
      <c r="Y36" s="955">
        <v>0</v>
      </c>
      <c r="Z36" s="956">
        <v>1</v>
      </c>
    </row>
    <row r="37" spans="1:26" ht="20.100000000000001" hidden="1" customHeight="1">
      <c r="A37" s="509">
        <v>0</v>
      </c>
      <c r="B37" s="510">
        <v>0</v>
      </c>
      <c r="C37" s="512">
        <v>5</v>
      </c>
      <c r="D37" s="513" t="s">
        <v>653</v>
      </c>
      <c r="E37" s="899">
        <v>16</v>
      </c>
      <c r="F37" s="908" t="s">
        <v>314</v>
      </c>
      <c r="G37" s="909" t="s">
        <v>86</v>
      </c>
      <c r="H37" s="960">
        <v>65.069999999999993</v>
      </c>
      <c r="I37" s="967">
        <v>180894</v>
      </c>
      <c r="J37" s="921">
        <v>11770772.58</v>
      </c>
      <c r="K37" s="929">
        <v>180894</v>
      </c>
      <c r="L37" s="1473" t="s">
        <v>597</v>
      </c>
      <c r="M37" s="921">
        <v>11770772.58</v>
      </c>
      <c r="N37" s="928">
        <v>0</v>
      </c>
      <c r="O37" s="928">
        <v>0</v>
      </c>
      <c r="P37" s="1462">
        <v>0</v>
      </c>
      <c r="Q37" s="954">
        <v>0</v>
      </c>
      <c r="R37" s="928">
        <v>0</v>
      </c>
      <c r="S37" s="954">
        <v>0</v>
      </c>
      <c r="T37" s="928">
        <v>0</v>
      </c>
      <c r="U37" s="954">
        <v>0</v>
      </c>
      <c r="V37" s="928">
        <f t="shared" si="6"/>
        <v>180894</v>
      </c>
      <c r="W37" s="954">
        <f t="shared" si="7"/>
        <v>11770772.579999998</v>
      </c>
      <c r="X37" s="955">
        <v>0</v>
      </c>
      <c r="Y37" s="955">
        <v>0</v>
      </c>
      <c r="Z37" s="956">
        <v>1</v>
      </c>
    </row>
    <row r="38" spans="1:26" ht="20.100000000000001" hidden="1" customHeight="1">
      <c r="A38" s="509">
        <v>0</v>
      </c>
      <c r="B38" s="510">
        <v>0</v>
      </c>
      <c r="C38" s="512">
        <v>5</v>
      </c>
      <c r="D38" s="513" t="s">
        <v>653</v>
      </c>
      <c r="E38" s="911">
        <v>17</v>
      </c>
      <c r="F38" s="912" t="s">
        <v>315</v>
      </c>
      <c r="G38" s="913" t="s">
        <v>86</v>
      </c>
      <c r="H38" s="968">
        <v>36.15</v>
      </c>
      <c r="I38" s="967">
        <v>99120</v>
      </c>
      <c r="J38" s="921">
        <v>3583188</v>
      </c>
      <c r="K38" s="969">
        <v>99120</v>
      </c>
      <c r="L38" s="1473" t="s">
        <v>597</v>
      </c>
      <c r="M38" s="970">
        <v>3583188</v>
      </c>
      <c r="N38" s="928">
        <v>0</v>
      </c>
      <c r="O38" s="928">
        <v>0</v>
      </c>
      <c r="P38" s="1462">
        <v>0</v>
      </c>
      <c r="Q38" s="954">
        <v>0</v>
      </c>
      <c r="R38" s="928">
        <v>0</v>
      </c>
      <c r="S38" s="954">
        <v>0</v>
      </c>
      <c r="T38" s="928">
        <v>0</v>
      </c>
      <c r="U38" s="954">
        <v>0</v>
      </c>
      <c r="V38" s="928">
        <f t="shared" si="6"/>
        <v>99120</v>
      </c>
      <c r="W38" s="954">
        <f t="shared" si="7"/>
        <v>3583188</v>
      </c>
      <c r="X38" s="955">
        <v>0</v>
      </c>
      <c r="Y38" s="955">
        <v>0</v>
      </c>
      <c r="Z38" s="956">
        <v>1</v>
      </c>
    </row>
    <row r="39" spans="1:26" ht="18" customHeight="1">
      <c r="A39" s="509">
        <v>0</v>
      </c>
      <c r="B39" s="510">
        <v>0</v>
      </c>
      <c r="C39" s="512">
        <v>5</v>
      </c>
      <c r="D39" s="513"/>
      <c r="E39" s="915"/>
      <c r="F39" s="906" t="s">
        <v>309</v>
      </c>
      <c r="G39" s="1464"/>
      <c r="H39" s="1465"/>
      <c r="I39" s="1466"/>
      <c r="J39" s="1467">
        <v>18406118.689999998</v>
      </c>
      <c r="K39" s="1468"/>
      <c r="L39" s="1468"/>
      <c r="M39" s="1467">
        <v>18406118.689999998</v>
      </c>
      <c r="N39" s="1469"/>
      <c r="O39" s="1467">
        <v>0</v>
      </c>
      <c r="P39" s="1470"/>
      <c r="Q39" s="1467">
        <v>0</v>
      </c>
      <c r="R39" s="1469"/>
      <c r="S39" s="1467">
        <v>0</v>
      </c>
      <c r="T39" s="1469">
        <v>0</v>
      </c>
      <c r="U39" s="1467">
        <v>0</v>
      </c>
      <c r="V39" s="1470"/>
      <c r="W39" s="1467">
        <f>SUM(W33:W38)</f>
        <v>18406118.690199997</v>
      </c>
      <c r="X39" s="945">
        <v>0</v>
      </c>
      <c r="Y39" s="946">
        <v>0</v>
      </c>
      <c r="Z39" s="947">
        <v>1</v>
      </c>
    </row>
    <row r="40" spans="1:26" s="31" customFormat="1" ht="18" hidden="1" customHeight="1">
      <c r="A40" s="509">
        <v>0</v>
      </c>
      <c r="B40" s="510">
        <v>0</v>
      </c>
      <c r="C40" s="512">
        <v>5</v>
      </c>
      <c r="D40" s="513"/>
      <c r="E40" s="898">
        <v>4</v>
      </c>
      <c r="F40" s="906" t="s">
        <v>87</v>
      </c>
      <c r="G40" s="907"/>
      <c r="H40" s="907"/>
      <c r="I40" s="948"/>
      <c r="J40" s="948"/>
      <c r="K40" s="949"/>
      <c r="L40" s="949"/>
      <c r="M40" s="949"/>
      <c r="N40" s="1471"/>
      <c r="O40" s="1471"/>
      <c r="P40" s="1471"/>
      <c r="Q40" s="1471"/>
      <c r="R40" s="1471"/>
      <c r="S40" s="1471"/>
      <c r="T40" s="1471"/>
      <c r="U40" s="1471"/>
      <c r="V40" s="1471"/>
      <c r="W40" s="1471"/>
      <c r="X40" s="951"/>
      <c r="Y40" s="951"/>
      <c r="Z40" s="952"/>
    </row>
    <row r="41" spans="1:26" ht="20.100000000000001" hidden="1" customHeight="1">
      <c r="A41" s="509">
        <v>0</v>
      </c>
      <c r="B41" s="510">
        <v>0</v>
      </c>
      <c r="C41" s="512">
        <v>5</v>
      </c>
      <c r="D41" s="513" t="s">
        <v>654</v>
      </c>
      <c r="E41" s="899">
        <v>18</v>
      </c>
      <c r="F41" s="897" t="s">
        <v>316</v>
      </c>
      <c r="G41" s="900" t="s">
        <v>236</v>
      </c>
      <c r="H41" s="963">
        <v>5170.03</v>
      </c>
      <c r="I41" s="971">
        <v>5</v>
      </c>
      <c r="J41" s="953">
        <v>25850.15</v>
      </c>
      <c r="K41" s="919">
        <v>5</v>
      </c>
      <c r="L41" s="1472" t="s">
        <v>597</v>
      </c>
      <c r="M41" s="953">
        <v>25850.15</v>
      </c>
      <c r="N41" s="928">
        <v>0</v>
      </c>
      <c r="O41" s="928">
        <v>0</v>
      </c>
      <c r="P41" s="1462">
        <v>0</v>
      </c>
      <c r="Q41" s="1461">
        <v>0</v>
      </c>
      <c r="R41" s="928">
        <v>0</v>
      </c>
      <c r="S41" s="954">
        <v>0</v>
      </c>
      <c r="T41" s="928">
        <v>2</v>
      </c>
      <c r="U41" s="954">
        <f t="shared" ref="U41:U81" si="8">T41*H41</f>
        <v>10340.06</v>
      </c>
      <c r="V41" s="928">
        <f t="shared" ref="V41:V81" si="9">K41-T41-R41</f>
        <v>3</v>
      </c>
      <c r="W41" s="954">
        <f t="shared" ref="W41:W81" si="10">V41*H41</f>
        <v>15510.09</v>
      </c>
      <c r="X41" s="933">
        <v>0</v>
      </c>
      <c r="Y41" s="933">
        <v>0</v>
      </c>
      <c r="Z41" s="934">
        <v>1</v>
      </c>
    </row>
    <row r="42" spans="1:26" ht="27" hidden="1">
      <c r="A42" s="509">
        <v>0</v>
      </c>
      <c r="B42" s="510">
        <v>0</v>
      </c>
      <c r="C42" s="512">
        <v>5</v>
      </c>
      <c r="D42" s="513" t="s">
        <v>654</v>
      </c>
      <c r="E42" s="899">
        <v>19</v>
      </c>
      <c r="F42" s="897" t="s">
        <v>317</v>
      </c>
      <c r="G42" s="909" t="s">
        <v>85</v>
      </c>
      <c r="H42" s="960">
        <v>34.61</v>
      </c>
      <c r="I42" s="967">
        <v>15078</v>
      </c>
      <c r="J42" s="921">
        <v>521849.58</v>
      </c>
      <c r="K42" s="929">
        <v>15078</v>
      </c>
      <c r="L42" s="1473" t="s">
        <v>597</v>
      </c>
      <c r="M42" s="921">
        <v>521849.58</v>
      </c>
      <c r="N42" s="928">
        <v>0</v>
      </c>
      <c r="O42" s="928">
        <v>0</v>
      </c>
      <c r="P42" s="1462">
        <v>0</v>
      </c>
      <c r="Q42" s="954">
        <v>0</v>
      </c>
      <c r="R42" s="928">
        <v>0</v>
      </c>
      <c r="S42" s="954">
        <v>0</v>
      </c>
      <c r="T42" s="928">
        <v>10555</v>
      </c>
      <c r="U42" s="954">
        <f t="shared" si="8"/>
        <v>365308.55</v>
      </c>
      <c r="V42" s="928">
        <f t="shared" si="9"/>
        <v>4523</v>
      </c>
      <c r="W42" s="954">
        <f t="shared" si="10"/>
        <v>156541.03</v>
      </c>
      <c r="X42" s="955">
        <v>0</v>
      </c>
      <c r="Y42" s="955">
        <v>0</v>
      </c>
      <c r="Z42" s="956">
        <v>1</v>
      </c>
    </row>
    <row r="43" spans="1:26" ht="20.100000000000001" hidden="1" customHeight="1">
      <c r="A43" s="509">
        <v>0</v>
      </c>
      <c r="B43" s="510">
        <v>0</v>
      </c>
      <c r="C43" s="512">
        <v>5</v>
      </c>
      <c r="D43" s="513" t="s">
        <v>654</v>
      </c>
      <c r="E43" s="899">
        <v>20</v>
      </c>
      <c r="F43" s="908" t="s">
        <v>318</v>
      </c>
      <c r="G43" s="909" t="s">
        <v>85</v>
      </c>
      <c r="H43" s="960">
        <v>72.510000000000005</v>
      </c>
      <c r="I43" s="967">
        <v>4958</v>
      </c>
      <c r="J43" s="921">
        <v>359504.58</v>
      </c>
      <c r="K43" s="929">
        <v>4958</v>
      </c>
      <c r="L43" s="1473" t="s">
        <v>597</v>
      </c>
      <c r="M43" s="921">
        <v>359504.58</v>
      </c>
      <c r="N43" s="928">
        <v>0</v>
      </c>
      <c r="O43" s="928">
        <v>0</v>
      </c>
      <c r="P43" s="1462">
        <v>0</v>
      </c>
      <c r="Q43" s="954">
        <v>0</v>
      </c>
      <c r="R43" s="928">
        <v>0</v>
      </c>
      <c r="S43" s="954">
        <v>0</v>
      </c>
      <c r="T43" s="928">
        <v>2974.8</v>
      </c>
      <c r="U43" s="954">
        <f t="shared" si="8"/>
        <v>215702.74800000002</v>
      </c>
      <c r="V43" s="928">
        <f t="shared" si="9"/>
        <v>1983.1999999999998</v>
      </c>
      <c r="W43" s="954">
        <f t="shared" si="10"/>
        <v>143801.83199999999</v>
      </c>
      <c r="X43" s="955">
        <v>0</v>
      </c>
      <c r="Y43" s="955">
        <v>0</v>
      </c>
      <c r="Z43" s="956">
        <v>1</v>
      </c>
    </row>
    <row r="44" spans="1:26" ht="27" hidden="1">
      <c r="A44" s="509">
        <v>0</v>
      </c>
      <c r="B44" s="510">
        <v>0</v>
      </c>
      <c r="C44" s="512">
        <v>5</v>
      </c>
      <c r="D44" s="513" t="s">
        <v>654</v>
      </c>
      <c r="E44" s="999">
        <v>21</v>
      </c>
      <c r="F44" s="1000" t="s">
        <v>319</v>
      </c>
      <c r="G44" s="910" t="s">
        <v>85</v>
      </c>
      <c r="H44" s="1001">
        <v>2112.84</v>
      </c>
      <c r="I44" s="1002">
        <v>1786</v>
      </c>
      <c r="J44" s="936">
        <v>3773532.24</v>
      </c>
      <c r="K44" s="935">
        <v>1786</v>
      </c>
      <c r="L44" s="1474" t="s">
        <v>597</v>
      </c>
      <c r="M44" s="936">
        <v>3773532.24</v>
      </c>
      <c r="N44" s="1003">
        <v>0</v>
      </c>
      <c r="O44" s="1003">
        <v>0</v>
      </c>
      <c r="P44" s="1475">
        <v>0</v>
      </c>
      <c r="Q44" s="1005">
        <v>0</v>
      </c>
      <c r="R44" s="1003">
        <v>0</v>
      </c>
      <c r="S44" s="1005">
        <v>0</v>
      </c>
      <c r="T44" s="1003">
        <v>1071.5999999999999</v>
      </c>
      <c r="U44" s="1005">
        <f t="shared" si="8"/>
        <v>2264119.344</v>
      </c>
      <c r="V44" s="1003">
        <f t="shared" si="9"/>
        <v>714.40000000000009</v>
      </c>
      <c r="W44" s="1005">
        <f t="shared" si="10"/>
        <v>1509412.8960000002</v>
      </c>
      <c r="X44" s="1006">
        <v>0</v>
      </c>
      <c r="Y44" s="1006">
        <v>0</v>
      </c>
      <c r="Z44" s="1007">
        <v>1</v>
      </c>
    </row>
    <row r="45" spans="1:26" ht="18.95" hidden="1" customHeight="1">
      <c r="A45" s="509">
        <v>0</v>
      </c>
      <c r="B45" s="510">
        <v>0</v>
      </c>
      <c r="C45" s="512">
        <v>5</v>
      </c>
      <c r="D45" s="513" t="s">
        <v>654</v>
      </c>
      <c r="E45" s="914">
        <v>22</v>
      </c>
      <c r="F45" s="897" t="s">
        <v>320</v>
      </c>
      <c r="G45" s="901" t="s">
        <v>90</v>
      </c>
      <c r="H45" s="975">
        <v>17.21</v>
      </c>
      <c r="I45" s="964">
        <v>224933</v>
      </c>
      <c r="J45" s="976">
        <v>3871096.93</v>
      </c>
      <c r="K45" s="977">
        <v>224933</v>
      </c>
      <c r="L45" s="1476" t="s">
        <v>597</v>
      </c>
      <c r="M45" s="976">
        <v>3871096.93</v>
      </c>
      <c r="N45" s="928">
        <v>0</v>
      </c>
      <c r="O45" s="928">
        <v>0</v>
      </c>
      <c r="P45" s="1462">
        <v>0</v>
      </c>
      <c r="Q45" s="954">
        <v>0</v>
      </c>
      <c r="R45" s="928">
        <v>0</v>
      </c>
      <c r="S45" s="954">
        <v>0</v>
      </c>
      <c r="T45" s="928">
        <v>134959.79999999999</v>
      </c>
      <c r="U45" s="954">
        <f t="shared" si="8"/>
        <v>2322658.1579999998</v>
      </c>
      <c r="V45" s="928">
        <f t="shared" si="9"/>
        <v>89973.200000000012</v>
      </c>
      <c r="W45" s="954">
        <f t="shared" si="10"/>
        <v>1548438.7720000003</v>
      </c>
      <c r="X45" s="955">
        <v>0</v>
      </c>
      <c r="Y45" s="955">
        <v>0</v>
      </c>
      <c r="Z45" s="956">
        <v>1</v>
      </c>
    </row>
    <row r="46" spans="1:26" ht="27" hidden="1">
      <c r="A46" s="509">
        <v>0</v>
      </c>
      <c r="B46" s="510">
        <v>0</v>
      </c>
      <c r="C46" s="512">
        <v>5</v>
      </c>
      <c r="D46" s="513" t="s">
        <v>654</v>
      </c>
      <c r="E46" s="899">
        <v>23</v>
      </c>
      <c r="F46" s="908" t="s">
        <v>321</v>
      </c>
      <c r="G46" s="909" t="s">
        <v>85</v>
      </c>
      <c r="H46" s="960">
        <v>1634.17</v>
      </c>
      <c r="I46" s="967">
        <v>20</v>
      </c>
      <c r="J46" s="921">
        <v>32683.4</v>
      </c>
      <c r="K46" s="929">
        <v>20</v>
      </c>
      <c r="L46" s="1473" t="s">
        <v>597</v>
      </c>
      <c r="M46" s="921">
        <v>32683.4</v>
      </c>
      <c r="N46" s="928">
        <v>0</v>
      </c>
      <c r="O46" s="928">
        <v>0</v>
      </c>
      <c r="P46" s="1462">
        <v>0</v>
      </c>
      <c r="Q46" s="954">
        <v>0</v>
      </c>
      <c r="R46" s="928">
        <v>0</v>
      </c>
      <c r="S46" s="954">
        <v>0</v>
      </c>
      <c r="T46" s="928">
        <v>20</v>
      </c>
      <c r="U46" s="954">
        <f t="shared" si="8"/>
        <v>32683.4</v>
      </c>
      <c r="V46" s="928">
        <f t="shared" si="9"/>
        <v>0</v>
      </c>
      <c r="W46" s="954">
        <f t="shared" si="10"/>
        <v>0</v>
      </c>
      <c r="X46" s="955">
        <v>0</v>
      </c>
      <c r="Y46" s="955">
        <v>0</v>
      </c>
      <c r="Z46" s="956">
        <v>1</v>
      </c>
    </row>
    <row r="47" spans="1:26" ht="18.95" hidden="1" customHeight="1">
      <c r="A47" s="509">
        <v>0</v>
      </c>
      <c r="B47" s="510">
        <v>0</v>
      </c>
      <c r="C47" s="512">
        <v>5</v>
      </c>
      <c r="D47" s="513" t="s">
        <v>654</v>
      </c>
      <c r="E47" s="899">
        <v>24</v>
      </c>
      <c r="F47" s="908" t="s">
        <v>322</v>
      </c>
      <c r="G47" s="909" t="s">
        <v>85</v>
      </c>
      <c r="H47" s="960">
        <v>1729.01</v>
      </c>
      <c r="I47" s="967">
        <v>116</v>
      </c>
      <c r="J47" s="921">
        <v>200565.16</v>
      </c>
      <c r="K47" s="929">
        <v>116</v>
      </c>
      <c r="L47" s="1473" t="s">
        <v>597</v>
      </c>
      <c r="M47" s="921">
        <v>200565.16</v>
      </c>
      <c r="N47" s="928">
        <v>0</v>
      </c>
      <c r="O47" s="928">
        <v>0</v>
      </c>
      <c r="P47" s="1462">
        <v>0</v>
      </c>
      <c r="Q47" s="954">
        <v>0</v>
      </c>
      <c r="R47" s="928">
        <v>0</v>
      </c>
      <c r="S47" s="954">
        <v>0</v>
      </c>
      <c r="T47" s="928">
        <v>87</v>
      </c>
      <c r="U47" s="954">
        <f t="shared" si="8"/>
        <v>150423.87</v>
      </c>
      <c r="V47" s="928">
        <f t="shared" si="9"/>
        <v>29</v>
      </c>
      <c r="W47" s="954">
        <f t="shared" si="10"/>
        <v>50141.29</v>
      </c>
      <c r="X47" s="955">
        <v>0</v>
      </c>
      <c r="Y47" s="955">
        <v>0</v>
      </c>
      <c r="Z47" s="956">
        <v>1</v>
      </c>
    </row>
    <row r="48" spans="1:26" ht="18.95" hidden="1" customHeight="1">
      <c r="A48" s="509">
        <v>0</v>
      </c>
      <c r="B48" s="510">
        <v>0</v>
      </c>
      <c r="C48" s="512">
        <v>5</v>
      </c>
      <c r="D48" s="513" t="s">
        <v>654</v>
      </c>
      <c r="E48" s="899">
        <v>25</v>
      </c>
      <c r="F48" s="908" t="s">
        <v>323</v>
      </c>
      <c r="G48" s="909" t="s">
        <v>88</v>
      </c>
      <c r="H48" s="960">
        <v>2244.69</v>
      </c>
      <c r="I48" s="967">
        <v>63</v>
      </c>
      <c r="J48" s="921">
        <v>141415.47</v>
      </c>
      <c r="K48" s="929">
        <v>63</v>
      </c>
      <c r="L48" s="1473" t="s">
        <v>597</v>
      </c>
      <c r="M48" s="921">
        <v>141415.47</v>
      </c>
      <c r="N48" s="928">
        <v>0</v>
      </c>
      <c r="O48" s="928">
        <v>0</v>
      </c>
      <c r="P48" s="1462">
        <v>0</v>
      </c>
      <c r="Q48" s="954">
        <v>0</v>
      </c>
      <c r="R48" s="928">
        <v>0</v>
      </c>
      <c r="S48" s="954">
        <v>0</v>
      </c>
      <c r="T48" s="928">
        <v>47.25</v>
      </c>
      <c r="U48" s="954">
        <f t="shared" si="8"/>
        <v>106061.60250000001</v>
      </c>
      <c r="V48" s="928">
        <f t="shared" si="9"/>
        <v>15.75</v>
      </c>
      <c r="W48" s="954">
        <f t="shared" si="10"/>
        <v>35353.8675</v>
      </c>
      <c r="X48" s="955">
        <v>0</v>
      </c>
      <c r="Y48" s="955">
        <v>0</v>
      </c>
      <c r="Z48" s="956">
        <v>1</v>
      </c>
    </row>
    <row r="49" spans="1:26" ht="27" hidden="1">
      <c r="A49" s="509">
        <v>0</v>
      </c>
      <c r="B49" s="510">
        <v>0</v>
      </c>
      <c r="C49" s="512">
        <v>5</v>
      </c>
      <c r="D49" s="513" t="s">
        <v>654</v>
      </c>
      <c r="E49" s="899">
        <v>26</v>
      </c>
      <c r="F49" s="908" t="s">
        <v>324</v>
      </c>
      <c r="G49" s="909" t="s">
        <v>85</v>
      </c>
      <c r="H49" s="960">
        <v>1393.68</v>
      </c>
      <c r="I49" s="967">
        <v>52</v>
      </c>
      <c r="J49" s="921">
        <v>72471.360000000001</v>
      </c>
      <c r="K49" s="929">
        <v>170.39</v>
      </c>
      <c r="L49" s="1473" t="s">
        <v>651</v>
      </c>
      <c r="M49" s="921">
        <v>237469.14</v>
      </c>
      <c r="N49" s="928">
        <v>0</v>
      </c>
      <c r="O49" s="928">
        <v>0</v>
      </c>
      <c r="P49" s="1462">
        <v>0</v>
      </c>
      <c r="Q49" s="954">
        <v>0</v>
      </c>
      <c r="R49" s="928">
        <v>0</v>
      </c>
      <c r="S49" s="954">
        <v>0</v>
      </c>
      <c r="T49" s="928">
        <v>86</v>
      </c>
      <c r="U49" s="954">
        <f t="shared" si="8"/>
        <v>119856.48000000001</v>
      </c>
      <c r="V49" s="928">
        <f t="shared" si="9"/>
        <v>84.389999999999986</v>
      </c>
      <c r="W49" s="954">
        <f t="shared" si="10"/>
        <v>117612.65519999998</v>
      </c>
      <c r="X49" s="955">
        <v>0</v>
      </c>
      <c r="Y49" s="955">
        <v>0</v>
      </c>
      <c r="Z49" s="956">
        <v>1</v>
      </c>
    </row>
    <row r="50" spans="1:26" ht="27" hidden="1">
      <c r="A50" s="509">
        <v>0</v>
      </c>
      <c r="B50" s="510">
        <v>0</v>
      </c>
      <c r="C50" s="512">
        <v>5</v>
      </c>
      <c r="D50" s="513" t="s">
        <v>654</v>
      </c>
      <c r="E50" s="899">
        <v>27</v>
      </c>
      <c r="F50" s="908" t="s">
        <v>325</v>
      </c>
      <c r="G50" s="909" t="s">
        <v>85</v>
      </c>
      <c r="H50" s="960">
        <v>1483.78</v>
      </c>
      <c r="I50" s="967">
        <v>959</v>
      </c>
      <c r="J50" s="921">
        <v>1422945.02</v>
      </c>
      <c r="K50" s="929">
        <v>959</v>
      </c>
      <c r="L50" s="1473" t="s">
        <v>597</v>
      </c>
      <c r="M50" s="921">
        <v>1422945.02</v>
      </c>
      <c r="N50" s="928">
        <v>0</v>
      </c>
      <c r="O50" s="928">
        <v>0</v>
      </c>
      <c r="P50" s="1462">
        <v>0</v>
      </c>
      <c r="Q50" s="954">
        <v>0</v>
      </c>
      <c r="R50" s="928">
        <v>0</v>
      </c>
      <c r="S50" s="954">
        <v>0</v>
      </c>
      <c r="T50" s="928">
        <v>188</v>
      </c>
      <c r="U50" s="954">
        <f t="shared" si="8"/>
        <v>278950.64</v>
      </c>
      <c r="V50" s="928">
        <f t="shared" si="9"/>
        <v>771</v>
      </c>
      <c r="W50" s="954">
        <f t="shared" si="10"/>
        <v>1143994.3799999999</v>
      </c>
      <c r="X50" s="955">
        <v>0</v>
      </c>
      <c r="Y50" s="955">
        <v>0</v>
      </c>
      <c r="Z50" s="956">
        <v>1</v>
      </c>
    </row>
    <row r="51" spans="1:26" ht="27" hidden="1">
      <c r="A51" s="509">
        <v>0</v>
      </c>
      <c r="B51" s="510">
        <v>0</v>
      </c>
      <c r="C51" s="512">
        <v>5</v>
      </c>
      <c r="D51" s="513" t="s">
        <v>654</v>
      </c>
      <c r="E51" s="899">
        <v>28</v>
      </c>
      <c r="F51" s="908" t="s">
        <v>326</v>
      </c>
      <c r="G51" s="909" t="s">
        <v>85</v>
      </c>
      <c r="H51" s="960">
        <v>1483.78</v>
      </c>
      <c r="I51" s="967">
        <v>1578</v>
      </c>
      <c r="J51" s="921">
        <v>2341404.84</v>
      </c>
      <c r="K51" s="929">
        <v>1578</v>
      </c>
      <c r="L51" s="1473" t="s">
        <v>597</v>
      </c>
      <c r="M51" s="921">
        <v>2341404.84</v>
      </c>
      <c r="N51" s="928">
        <v>0</v>
      </c>
      <c r="O51" s="928">
        <v>0</v>
      </c>
      <c r="P51" s="1462">
        <v>0</v>
      </c>
      <c r="Q51" s="954">
        <v>0</v>
      </c>
      <c r="R51" s="928">
        <v>0</v>
      </c>
      <c r="S51" s="954">
        <v>0</v>
      </c>
      <c r="T51" s="928">
        <v>710.1</v>
      </c>
      <c r="U51" s="954">
        <f t="shared" si="8"/>
        <v>1053632.1780000001</v>
      </c>
      <c r="V51" s="928">
        <f t="shared" si="9"/>
        <v>867.9</v>
      </c>
      <c r="W51" s="954">
        <f t="shared" si="10"/>
        <v>1287772.662</v>
      </c>
      <c r="X51" s="955">
        <v>0</v>
      </c>
      <c r="Y51" s="955">
        <v>0</v>
      </c>
      <c r="Z51" s="956">
        <v>1</v>
      </c>
    </row>
    <row r="52" spans="1:26" ht="27" hidden="1">
      <c r="A52" s="509">
        <v>0</v>
      </c>
      <c r="B52" s="510">
        <v>0</v>
      </c>
      <c r="C52" s="512">
        <v>5</v>
      </c>
      <c r="D52" s="513" t="s">
        <v>654</v>
      </c>
      <c r="E52" s="899">
        <v>29</v>
      </c>
      <c r="F52" s="908" t="s">
        <v>327</v>
      </c>
      <c r="G52" s="909" t="s">
        <v>85</v>
      </c>
      <c r="H52" s="960">
        <v>1483.78</v>
      </c>
      <c r="I52" s="967">
        <v>182</v>
      </c>
      <c r="J52" s="921">
        <v>270047.96000000002</v>
      </c>
      <c r="K52" s="929">
        <v>182</v>
      </c>
      <c r="L52" s="1473" t="s">
        <v>597</v>
      </c>
      <c r="M52" s="921">
        <v>270047.96000000002</v>
      </c>
      <c r="N52" s="928">
        <v>0</v>
      </c>
      <c r="O52" s="928">
        <v>0</v>
      </c>
      <c r="P52" s="1462">
        <v>0</v>
      </c>
      <c r="Q52" s="954">
        <v>0</v>
      </c>
      <c r="R52" s="928">
        <v>0</v>
      </c>
      <c r="S52" s="954">
        <v>0</v>
      </c>
      <c r="T52" s="928">
        <v>63.7</v>
      </c>
      <c r="U52" s="954">
        <f t="shared" si="8"/>
        <v>94516.786000000007</v>
      </c>
      <c r="V52" s="928">
        <f t="shared" si="9"/>
        <v>118.3</v>
      </c>
      <c r="W52" s="954">
        <f t="shared" si="10"/>
        <v>175531.174</v>
      </c>
      <c r="X52" s="955">
        <v>0</v>
      </c>
      <c r="Y52" s="955">
        <v>0</v>
      </c>
      <c r="Z52" s="956">
        <v>1</v>
      </c>
    </row>
    <row r="53" spans="1:26" ht="27" hidden="1">
      <c r="A53" s="509">
        <v>0</v>
      </c>
      <c r="B53" s="510">
        <v>0</v>
      </c>
      <c r="C53" s="512">
        <v>5</v>
      </c>
      <c r="D53" s="513" t="s">
        <v>654</v>
      </c>
      <c r="E53" s="899">
        <v>30</v>
      </c>
      <c r="F53" s="908" t="s">
        <v>328</v>
      </c>
      <c r="G53" s="909" t="s">
        <v>85</v>
      </c>
      <c r="H53" s="960">
        <v>1483.78</v>
      </c>
      <c r="I53" s="967">
        <v>324</v>
      </c>
      <c r="J53" s="921">
        <v>480744.72</v>
      </c>
      <c r="K53" s="929">
        <v>324</v>
      </c>
      <c r="L53" s="1473" t="s">
        <v>597</v>
      </c>
      <c r="M53" s="921">
        <v>480744.72</v>
      </c>
      <c r="N53" s="928">
        <v>0</v>
      </c>
      <c r="O53" s="928">
        <v>0</v>
      </c>
      <c r="P53" s="1462">
        <v>0</v>
      </c>
      <c r="Q53" s="954">
        <v>0</v>
      </c>
      <c r="R53" s="928">
        <v>0</v>
      </c>
      <c r="S53" s="954">
        <v>0</v>
      </c>
      <c r="T53" s="928">
        <v>162</v>
      </c>
      <c r="U53" s="954">
        <f t="shared" si="8"/>
        <v>240372.36</v>
      </c>
      <c r="V53" s="928">
        <f t="shared" si="9"/>
        <v>162</v>
      </c>
      <c r="W53" s="954">
        <f t="shared" si="10"/>
        <v>240372.36</v>
      </c>
      <c r="X53" s="955">
        <v>0</v>
      </c>
      <c r="Y53" s="955">
        <v>0</v>
      </c>
      <c r="Z53" s="956">
        <v>1</v>
      </c>
    </row>
    <row r="54" spans="1:26" ht="18.95" hidden="1" customHeight="1">
      <c r="A54" s="509">
        <v>0</v>
      </c>
      <c r="B54" s="510">
        <v>0</v>
      </c>
      <c r="C54" s="512">
        <v>5</v>
      </c>
      <c r="D54" s="513" t="s">
        <v>654</v>
      </c>
      <c r="E54" s="899">
        <v>31</v>
      </c>
      <c r="F54" s="908" t="s">
        <v>329</v>
      </c>
      <c r="G54" s="909" t="s">
        <v>85</v>
      </c>
      <c r="H54" s="960">
        <v>1483.78</v>
      </c>
      <c r="I54" s="967">
        <v>915</v>
      </c>
      <c r="J54" s="921">
        <v>1357658.7</v>
      </c>
      <c r="K54" s="929">
        <v>915</v>
      </c>
      <c r="L54" s="1473" t="s">
        <v>597</v>
      </c>
      <c r="M54" s="921">
        <v>1357658.7</v>
      </c>
      <c r="N54" s="928">
        <v>0</v>
      </c>
      <c r="O54" s="928">
        <v>0</v>
      </c>
      <c r="P54" s="1462">
        <v>0</v>
      </c>
      <c r="Q54" s="954">
        <v>0</v>
      </c>
      <c r="R54" s="928">
        <v>0</v>
      </c>
      <c r="S54" s="954">
        <v>0</v>
      </c>
      <c r="T54" s="928">
        <v>0</v>
      </c>
      <c r="U54" s="954">
        <f t="shared" si="8"/>
        <v>0</v>
      </c>
      <c r="V54" s="928">
        <f t="shared" si="9"/>
        <v>915</v>
      </c>
      <c r="W54" s="954">
        <f t="shared" si="10"/>
        <v>1357658.7</v>
      </c>
      <c r="X54" s="955">
        <v>0</v>
      </c>
      <c r="Y54" s="955">
        <v>0</v>
      </c>
      <c r="Z54" s="956">
        <v>1</v>
      </c>
    </row>
    <row r="55" spans="1:26" ht="18.95" hidden="1" customHeight="1">
      <c r="A55" s="509">
        <v>0</v>
      </c>
      <c r="B55" s="510">
        <v>0</v>
      </c>
      <c r="C55" s="512">
        <v>5</v>
      </c>
      <c r="D55" s="513" t="s">
        <v>654</v>
      </c>
      <c r="E55" s="899">
        <v>32</v>
      </c>
      <c r="F55" s="908" t="s">
        <v>330</v>
      </c>
      <c r="G55" s="909" t="s">
        <v>85</v>
      </c>
      <c r="H55" s="960">
        <v>1483.78</v>
      </c>
      <c r="I55" s="967">
        <v>173</v>
      </c>
      <c r="J55" s="921">
        <v>256693.94</v>
      </c>
      <c r="K55" s="929">
        <v>173</v>
      </c>
      <c r="L55" s="1473" t="s">
        <v>597</v>
      </c>
      <c r="M55" s="921">
        <v>256693.94</v>
      </c>
      <c r="N55" s="928">
        <v>0</v>
      </c>
      <c r="O55" s="928">
        <v>0</v>
      </c>
      <c r="P55" s="1462">
        <v>0</v>
      </c>
      <c r="Q55" s="954">
        <v>0</v>
      </c>
      <c r="R55" s="928">
        <v>0</v>
      </c>
      <c r="S55" s="954">
        <v>0</v>
      </c>
      <c r="T55" s="928">
        <v>0</v>
      </c>
      <c r="U55" s="954">
        <f t="shared" si="8"/>
        <v>0</v>
      </c>
      <c r="V55" s="928">
        <f t="shared" si="9"/>
        <v>173</v>
      </c>
      <c r="W55" s="954">
        <f t="shared" si="10"/>
        <v>256693.94</v>
      </c>
      <c r="X55" s="955">
        <v>0</v>
      </c>
      <c r="Y55" s="955">
        <v>0</v>
      </c>
      <c r="Z55" s="956">
        <v>1</v>
      </c>
    </row>
    <row r="56" spans="1:26" ht="18.95" hidden="1" customHeight="1">
      <c r="A56" s="509">
        <v>0</v>
      </c>
      <c r="B56" s="510">
        <v>0</v>
      </c>
      <c r="C56" s="512">
        <v>5</v>
      </c>
      <c r="D56" s="513" t="s">
        <v>654</v>
      </c>
      <c r="E56" s="899">
        <v>33</v>
      </c>
      <c r="F56" s="908" t="s">
        <v>331</v>
      </c>
      <c r="G56" s="909" t="s">
        <v>88</v>
      </c>
      <c r="H56" s="960">
        <v>298.16000000000003</v>
      </c>
      <c r="I56" s="967">
        <v>1320</v>
      </c>
      <c r="J56" s="921">
        <v>393571.2</v>
      </c>
      <c r="K56" s="929">
        <v>1320</v>
      </c>
      <c r="L56" s="1473" t="s">
        <v>597</v>
      </c>
      <c r="M56" s="921">
        <v>393571.2</v>
      </c>
      <c r="N56" s="928">
        <v>0</v>
      </c>
      <c r="O56" s="928">
        <v>0</v>
      </c>
      <c r="P56" s="1462">
        <v>0</v>
      </c>
      <c r="Q56" s="954">
        <v>0</v>
      </c>
      <c r="R56" s="928">
        <v>0</v>
      </c>
      <c r="S56" s="954">
        <v>0</v>
      </c>
      <c r="T56" s="928">
        <v>924</v>
      </c>
      <c r="U56" s="954">
        <f t="shared" si="8"/>
        <v>275499.84000000003</v>
      </c>
      <c r="V56" s="928">
        <f t="shared" si="9"/>
        <v>396</v>
      </c>
      <c r="W56" s="954">
        <f t="shared" si="10"/>
        <v>118071.36000000002</v>
      </c>
      <c r="X56" s="955">
        <v>0</v>
      </c>
      <c r="Y56" s="955">
        <v>0</v>
      </c>
      <c r="Z56" s="956">
        <v>1</v>
      </c>
    </row>
    <row r="57" spans="1:26" ht="27" hidden="1">
      <c r="A57" s="509">
        <v>0</v>
      </c>
      <c r="B57" s="510">
        <v>0</v>
      </c>
      <c r="C57" s="512">
        <v>5</v>
      </c>
      <c r="D57" s="513" t="s">
        <v>654</v>
      </c>
      <c r="E57" s="899">
        <v>34</v>
      </c>
      <c r="F57" s="908" t="s">
        <v>332</v>
      </c>
      <c r="G57" s="909" t="s">
        <v>88</v>
      </c>
      <c r="H57" s="960">
        <v>1943.4</v>
      </c>
      <c r="I57" s="967">
        <v>14</v>
      </c>
      <c r="J57" s="921">
        <v>27207.599999999999</v>
      </c>
      <c r="K57" s="929">
        <v>14</v>
      </c>
      <c r="L57" s="1473" t="s">
        <v>597</v>
      </c>
      <c r="M57" s="921">
        <v>27207.599999999999</v>
      </c>
      <c r="N57" s="928">
        <v>0</v>
      </c>
      <c r="O57" s="928">
        <v>0</v>
      </c>
      <c r="P57" s="1462">
        <v>0</v>
      </c>
      <c r="Q57" s="954">
        <v>0</v>
      </c>
      <c r="R57" s="928">
        <v>0</v>
      </c>
      <c r="S57" s="954">
        <v>0</v>
      </c>
      <c r="T57" s="928">
        <v>14</v>
      </c>
      <c r="U57" s="954">
        <f t="shared" si="8"/>
        <v>27207.600000000002</v>
      </c>
      <c r="V57" s="928">
        <f t="shared" si="9"/>
        <v>0</v>
      </c>
      <c r="W57" s="954">
        <f t="shared" si="10"/>
        <v>0</v>
      </c>
      <c r="X57" s="955">
        <v>0</v>
      </c>
      <c r="Y57" s="955">
        <v>0</v>
      </c>
      <c r="Z57" s="956">
        <v>1</v>
      </c>
    </row>
    <row r="58" spans="1:26" ht="18.95" hidden="1" customHeight="1">
      <c r="A58" s="509">
        <v>0</v>
      </c>
      <c r="B58" s="510">
        <v>0</v>
      </c>
      <c r="C58" s="512">
        <v>5</v>
      </c>
      <c r="D58" s="513" t="s">
        <v>654</v>
      </c>
      <c r="E58" s="899">
        <v>35</v>
      </c>
      <c r="F58" s="908" t="s">
        <v>333</v>
      </c>
      <c r="G58" s="909" t="s">
        <v>85</v>
      </c>
      <c r="H58" s="960">
        <v>34.61</v>
      </c>
      <c r="I58" s="967">
        <v>8800</v>
      </c>
      <c r="J58" s="921">
        <v>304568</v>
      </c>
      <c r="K58" s="929">
        <v>8800</v>
      </c>
      <c r="L58" s="1473" t="s">
        <v>597</v>
      </c>
      <c r="M58" s="921">
        <v>304568</v>
      </c>
      <c r="N58" s="928">
        <v>0</v>
      </c>
      <c r="O58" s="928">
        <v>0</v>
      </c>
      <c r="P58" s="1462">
        <v>0</v>
      </c>
      <c r="Q58" s="954">
        <v>0</v>
      </c>
      <c r="R58" s="928">
        <v>0</v>
      </c>
      <c r="S58" s="954">
        <v>0</v>
      </c>
      <c r="T58" s="928">
        <v>0</v>
      </c>
      <c r="U58" s="954">
        <f t="shared" si="8"/>
        <v>0</v>
      </c>
      <c r="V58" s="928">
        <f t="shared" si="9"/>
        <v>8800</v>
      </c>
      <c r="W58" s="954">
        <f t="shared" si="10"/>
        <v>304568</v>
      </c>
      <c r="X58" s="955">
        <v>0</v>
      </c>
      <c r="Y58" s="955">
        <v>0</v>
      </c>
      <c r="Z58" s="956">
        <v>1</v>
      </c>
    </row>
    <row r="59" spans="1:26" ht="18.95" hidden="1" customHeight="1">
      <c r="A59" s="509">
        <v>0</v>
      </c>
      <c r="B59" s="510">
        <v>0</v>
      </c>
      <c r="C59" s="512">
        <v>5</v>
      </c>
      <c r="D59" s="513" t="s">
        <v>654</v>
      </c>
      <c r="E59" s="899">
        <v>36</v>
      </c>
      <c r="F59" s="908" t="s">
        <v>334</v>
      </c>
      <c r="G59" s="909" t="s">
        <v>86</v>
      </c>
      <c r="H59" s="960">
        <v>106.62</v>
      </c>
      <c r="I59" s="967">
        <v>1200</v>
      </c>
      <c r="J59" s="921">
        <v>127944</v>
      </c>
      <c r="K59" s="929">
        <v>1200</v>
      </c>
      <c r="L59" s="1473" t="s">
        <v>597</v>
      </c>
      <c r="M59" s="921">
        <v>127944</v>
      </c>
      <c r="N59" s="928">
        <v>0</v>
      </c>
      <c r="O59" s="928">
        <v>0</v>
      </c>
      <c r="P59" s="1462">
        <v>0</v>
      </c>
      <c r="Q59" s="954">
        <v>0</v>
      </c>
      <c r="R59" s="928">
        <v>0</v>
      </c>
      <c r="S59" s="954">
        <v>0</v>
      </c>
      <c r="T59" s="928">
        <v>420</v>
      </c>
      <c r="U59" s="954">
        <f t="shared" si="8"/>
        <v>44780.4</v>
      </c>
      <c r="V59" s="928">
        <f t="shared" si="9"/>
        <v>780</v>
      </c>
      <c r="W59" s="954">
        <f t="shared" si="10"/>
        <v>83163.600000000006</v>
      </c>
      <c r="X59" s="955">
        <v>0</v>
      </c>
      <c r="Y59" s="955">
        <v>0</v>
      </c>
      <c r="Z59" s="956">
        <v>1</v>
      </c>
    </row>
    <row r="60" spans="1:26" ht="18.95" hidden="1" customHeight="1">
      <c r="A60" s="509">
        <v>0</v>
      </c>
      <c r="B60" s="510">
        <v>0</v>
      </c>
      <c r="C60" s="512">
        <v>5</v>
      </c>
      <c r="D60" s="513" t="s">
        <v>654</v>
      </c>
      <c r="E60" s="899">
        <v>37</v>
      </c>
      <c r="F60" s="908" t="s">
        <v>335</v>
      </c>
      <c r="G60" s="909" t="s">
        <v>85</v>
      </c>
      <c r="H60" s="960">
        <v>761.21</v>
      </c>
      <c r="I60" s="967">
        <v>44</v>
      </c>
      <c r="J60" s="921">
        <v>33493.24</v>
      </c>
      <c r="K60" s="929">
        <v>44</v>
      </c>
      <c r="L60" s="1473" t="s">
        <v>597</v>
      </c>
      <c r="M60" s="921">
        <v>33493.24</v>
      </c>
      <c r="N60" s="928">
        <v>0</v>
      </c>
      <c r="O60" s="928">
        <v>0</v>
      </c>
      <c r="P60" s="1462">
        <v>0</v>
      </c>
      <c r="Q60" s="954">
        <v>0</v>
      </c>
      <c r="R60" s="928">
        <v>0</v>
      </c>
      <c r="S60" s="954">
        <v>0</v>
      </c>
      <c r="T60" s="928">
        <v>0</v>
      </c>
      <c r="U60" s="954">
        <f t="shared" si="8"/>
        <v>0</v>
      </c>
      <c r="V60" s="928">
        <f t="shared" si="9"/>
        <v>44</v>
      </c>
      <c r="W60" s="954">
        <f t="shared" si="10"/>
        <v>33493.240000000005</v>
      </c>
      <c r="X60" s="955">
        <v>0</v>
      </c>
      <c r="Y60" s="955">
        <v>0</v>
      </c>
      <c r="Z60" s="956">
        <v>1</v>
      </c>
    </row>
    <row r="61" spans="1:26" ht="27" hidden="1">
      <c r="A61" s="509">
        <v>0</v>
      </c>
      <c r="B61" s="510">
        <v>0</v>
      </c>
      <c r="C61" s="512">
        <v>5</v>
      </c>
      <c r="D61" s="513" t="s">
        <v>654</v>
      </c>
      <c r="E61" s="899">
        <v>38</v>
      </c>
      <c r="F61" s="908" t="s">
        <v>336</v>
      </c>
      <c r="G61" s="909" t="s">
        <v>85</v>
      </c>
      <c r="H61" s="960">
        <v>941.82</v>
      </c>
      <c r="I61" s="967">
        <v>8</v>
      </c>
      <c r="J61" s="921">
        <v>7534.56</v>
      </c>
      <c r="K61" s="929">
        <v>8</v>
      </c>
      <c r="L61" s="1473" t="s">
        <v>597</v>
      </c>
      <c r="M61" s="921">
        <v>7534.56</v>
      </c>
      <c r="N61" s="928">
        <v>0</v>
      </c>
      <c r="O61" s="928">
        <v>0</v>
      </c>
      <c r="P61" s="1462">
        <v>0</v>
      </c>
      <c r="Q61" s="954">
        <v>0</v>
      </c>
      <c r="R61" s="928">
        <v>0</v>
      </c>
      <c r="S61" s="954">
        <v>0</v>
      </c>
      <c r="T61" s="928">
        <v>0</v>
      </c>
      <c r="U61" s="954">
        <f t="shared" si="8"/>
        <v>0</v>
      </c>
      <c r="V61" s="928">
        <f t="shared" si="9"/>
        <v>8</v>
      </c>
      <c r="W61" s="954">
        <f t="shared" si="10"/>
        <v>7534.56</v>
      </c>
      <c r="X61" s="955">
        <v>0</v>
      </c>
      <c r="Y61" s="955">
        <v>0</v>
      </c>
      <c r="Z61" s="956">
        <v>1</v>
      </c>
    </row>
    <row r="62" spans="1:26" ht="18.95" hidden="1" customHeight="1">
      <c r="A62" s="509">
        <v>0</v>
      </c>
      <c r="B62" s="510">
        <v>0</v>
      </c>
      <c r="C62" s="512">
        <v>5</v>
      </c>
      <c r="D62" s="513" t="s">
        <v>654</v>
      </c>
      <c r="E62" s="899">
        <v>39</v>
      </c>
      <c r="F62" s="908" t="s">
        <v>337</v>
      </c>
      <c r="G62" s="909" t="s">
        <v>85</v>
      </c>
      <c r="H62" s="960">
        <v>110.15</v>
      </c>
      <c r="I62" s="967">
        <v>4</v>
      </c>
      <c r="J62" s="921">
        <v>440.6</v>
      </c>
      <c r="K62" s="929">
        <v>4</v>
      </c>
      <c r="L62" s="1473" t="s">
        <v>597</v>
      </c>
      <c r="M62" s="921">
        <v>440.6</v>
      </c>
      <c r="N62" s="928">
        <v>0</v>
      </c>
      <c r="O62" s="928">
        <v>0</v>
      </c>
      <c r="P62" s="1462">
        <v>0</v>
      </c>
      <c r="Q62" s="954">
        <v>0</v>
      </c>
      <c r="R62" s="928">
        <v>0</v>
      </c>
      <c r="S62" s="954">
        <v>0</v>
      </c>
      <c r="T62" s="928">
        <v>0</v>
      </c>
      <c r="U62" s="954">
        <f t="shared" si="8"/>
        <v>0</v>
      </c>
      <c r="V62" s="928">
        <f t="shared" si="9"/>
        <v>4</v>
      </c>
      <c r="W62" s="954">
        <f t="shared" si="10"/>
        <v>440.6</v>
      </c>
      <c r="X62" s="955">
        <v>0</v>
      </c>
      <c r="Y62" s="955">
        <v>0</v>
      </c>
      <c r="Z62" s="956">
        <v>1</v>
      </c>
    </row>
    <row r="63" spans="1:26" ht="18.95" hidden="1" customHeight="1">
      <c r="A63" s="509">
        <v>0</v>
      </c>
      <c r="B63" s="510">
        <v>0</v>
      </c>
      <c r="C63" s="512">
        <v>5</v>
      </c>
      <c r="D63" s="513" t="s">
        <v>654</v>
      </c>
      <c r="E63" s="899">
        <v>40</v>
      </c>
      <c r="F63" s="908" t="s">
        <v>338</v>
      </c>
      <c r="G63" s="909" t="s">
        <v>86</v>
      </c>
      <c r="H63" s="960">
        <v>107.87</v>
      </c>
      <c r="I63" s="967">
        <v>4</v>
      </c>
      <c r="J63" s="921">
        <v>431.48</v>
      </c>
      <c r="K63" s="929">
        <v>226.87</v>
      </c>
      <c r="L63" s="1473" t="s">
        <v>651</v>
      </c>
      <c r="M63" s="921">
        <v>24472.47</v>
      </c>
      <c r="N63" s="972">
        <v>0</v>
      </c>
      <c r="O63" s="972">
        <v>0</v>
      </c>
      <c r="P63" s="1477">
        <v>0</v>
      </c>
      <c r="Q63" s="974">
        <v>0</v>
      </c>
      <c r="R63" s="972">
        <v>0</v>
      </c>
      <c r="S63" s="974">
        <v>0</v>
      </c>
      <c r="T63" s="972">
        <v>68.069999999999993</v>
      </c>
      <c r="U63" s="974">
        <f t="shared" si="8"/>
        <v>7342.7108999999991</v>
      </c>
      <c r="V63" s="972">
        <f t="shared" si="9"/>
        <v>158.80000000000001</v>
      </c>
      <c r="W63" s="974">
        <f t="shared" si="10"/>
        <v>17129.756000000001</v>
      </c>
      <c r="X63" s="958">
        <v>0</v>
      </c>
      <c r="Y63" s="958">
        <v>0</v>
      </c>
      <c r="Z63" s="959">
        <v>1</v>
      </c>
    </row>
    <row r="64" spans="1:26" ht="18.95" hidden="1" customHeight="1">
      <c r="A64" s="509">
        <v>0</v>
      </c>
      <c r="B64" s="510">
        <v>0</v>
      </c>
      <c r="C64" s="512">
        <v>5</v>
      </c>
      <c r="D64" s="513" t="s">
        <v>654</v>
      </c>
      <c r="E64" s="899">
        <v>41</v>
      </c>
      <c r="F64" s="908" t="s">
        <v>334</v>
      </c>
      <c r="G64" s="909" t="s">
        <v>86</v>
      </c>
      <c r="H64" s="960">
        <v>127.01</v>
      </c>
      <c r="I64" s="967">
        <v>132</v>
      </c>
      <c r="J64" s="921">
        <v>16765.32</v>
      </c>
      <c r="K64" s="929">
        <v>132</v>
      </c>
      <c r="L64" s="1473" t="s">
        <v>597</v>
      </c>
      <c r="M64" s="921">
        <v>16765.32</v>
      </c>
      <c r="N64" s="972">
        <v>0</v>
      </c>
      <c r="O64" s="972">
        <v>0</v>
      </c>
      <c r="P64" s="1477">
        <v>0</v>
      </c>
      <c r="Q64" s="974">
        <v>0</v>
      </c>
      <c r="R64" s="972">
        <v>0</v>
      </c>
      <c r="S64" s="974">
        <v>0</v>
      </c>
      <c r="T64" s="972">
        <v>66</v>
      </c>
      <c r="U64" s="974">
        <f t="shared" si="8"/>
        <v>8382.66</v>
      </c>
      <c r="V64" s="972">
        <f t="shared" si="9"/>
        <v>66</v>
      </c>
      <c r="W64" s="974">
        <f t="shared" si="10"/>
        <v>8382.66</v>
      </c>
      <c r="X64" s="958">
        <v>0</v>
      </c>
      <c r="Y64" s="958">
        <v>0</v>
      </c>
      <c r="Z64" s="959">
        <v>1</v>
      </c>
    </row>
    <row r="65" spans="1:26" ht="18.95" hidden="1" customHeight="1">
      <c r="A65" s="509">
        <v>0</v>
      </c>
      <c r="B65" s="510">
        <v>0</v>
      </c>
      <c r="C65" s="512">
        <v>5</v>
      </c>
      <c r="D65" s="513" t="s">
        <v>654</v>
      </c>
      <c r="E65" s="899">
        <v>42</v>
      </c>
      <c r="F65" s="908" t="s">
        <v>339</v>
      </c>
      <c r="G65" s="909" t="s">
        <v>86</v>
      </c>
      <c r="H65" s="960">
        <v>174.55</v>
      </c>
      <c r="I65" s="967">
        <v>27</v>
      </c>
      <c r="J65" s="921">
        <v>4712.8500000000004</v>
      </c>
      <c r="K65" s="929">
        <v>27</v>
      </c>
      <c r="L65" s="1473" t="s">
        <v>597</v>
      </c>
      <c r="M65" s="921">
        <v>4712.8500000000004</v>
      </c>
      <c r="N65" s="928">
        <v>0</v>
      </c>
      <c r="O65" s="928">
        <v>0</v>
      </c>
      <c r="P65" s="1462">
        <v>0</v>
      </c>
      <c r="Q65" s="954">
        <v>0</v>
      </c>
      <c r="R65" s="928">
        <v>0</v>
      </c>
      <c r="S65" s="954">
        <v>0</v>
      </c>
      <c r="T65" s="928">
        <v>14</v>
      </c>
      <c r="U65" s="954">
        <f t="shared" si="8"/>
        <v>2443.7000000000003</v>
      </c>
      <c r="V65" s="928">
        <f t="shared" si="9"/>
        <v>13</v>
      </c>
      <c r="W65" s="954">
        <f t="shared" si="10"/>
        <v>2269.15</v>
      </c>
      <c r="X65" s="955">
        <v>0</v>
      </c>
      <c r="Y65" s="955">
        <v>0</v>
      </c>
      <c r="Z65" s="956">
        <v>1</v>
      </c>
    </row>
    <row r="66" spans="1:26" ht="18.95" hidden="1" customHeight="1">
      <c r="A66" s="509">
        <v>0</v>
      </c>
      <c r="B66" s="510">
        <v>0</v>
      </c>
      <c r="C66" s="512">
        <v>5</v>
      </c>
      <c r="D66" s="513" t="s">
        <v>654</v>
      </c>
      <c r="E66" s="899">
        <v>43</v>
      </c>
      <c r="F66" s="908" t="s">
        <v>340</v>
      </c>
      <c r="G66" s="909" t="s">
        <v>85</v>
      </c>
      <c r="H66" s="960">
        <v>72.510000000000005</v>
      </c>
      <c r="I66" s="967">
        <v>66</v>
      </c>
      <c r="J66" s="921">
        <v>4785.66</v>
      </c>
      <c r="K66" s="929">
        <v>66</v>
      </c>
      <c r="L66" s="1473" t="s">
        <v>597</v>
      </c>
      <c r="M66" s="921">
        <v>4785.66</v>
      </c>
      <c r="N66" s="972">
        <v>0</v>
      </c>
      <c r="O66" s="972">
        <v>0</v>
      </c>
      <c r="P66" s="1462">
        <v>0</v>
      </c>
      <c r="Q66" s="974">
        <v>0</v>
      </c>
      <c r="R66" s="972">
        <v>0</v>
      </c>
      <c r="S66" s="974">
        <v>0</v>
      </c>
      <c r="T66" s="972">
        <v>33</v>
      </c>
      <c r="U66" s="974">
        <f t="shared" si="8"/>
        <v>2392.8300000000004</v>
      </c>
      <c r="V66" s="972">
        <f t="shared" si="9"/>
        <v>33</v>
      </c>
      <c r="W66" s="974">
        <f t="shared" si="10"/>
        <v>2392.8300000000004</v>
      </c>
      <c r="X66" s="958">
        <v>0</v>
      </c>
      <c r="Y66" s="958">
        <v>0</v>
      </c>
      <c r="Z66" s="959">
        <v>1</v>
      </c>
    </row>
    <row r="67" spans="1:26" ht="18.95" hidden="1" customHeight="1">
      <c r="A67" s="509">
        <v>0</v>
      </c>
      <c r="B67" s="510">
        <v>0</v>
      </c>
      <c r="C67" s="512">
        <v>5</v>
      </c>
      <c r="D67" s="513" t="s">
        <v>654</v>
      </c>
      <c r="E67" s="914">
        <v>44</v>
      </c>
      <c r="F67" s="897" t="s">
        <v>341</v>
      </c>
      <c r="G67" s="901" t="s">
        <v>86</v>
      </c>
      <c r="H67" s="975">
        <v>33.590000000000003</v>
      </c>
      <c r="I67" s="964">
        <v>4400</v>
      </c>
      <c r="J67" s="976">
        <v>147796</v>
      </c>
      <c r="K67" s="977">
        <v>4400</v>
      </c>
      <c r="L67" s="1476" t="s">
        <v>597</v>
      </c>
      <c r="M67" s="976">
        <v>147796</v>
      </c>
      <c r="N67" s="928">
        <v>0</v>
      </c>
      <c r="O67" s="928">
        <v>0</v>
      </c>
      <c r="P67" s="1462">
        <v>0</v>
      </c>
      <c r="Q67" s="954">
        <v>0</v>
      </c>
      <c r="R67" s="928">
        <v>0</v>
      </c>
      <c r="S67" s="954">
        <v>0</v>
      </c>
      <c r="T67" s="928">
        <v>1540</v>
      </c>
      <c r="U67" s="954">
        <f t="shared" si="8"/>
        <v>51728.600000000006</v>
      </c>
      <c r="V67" s="928">
        <f t="shared" si="9"/>
        <v>2860</v>
      </c>
      <c r="W67" s="954">
        <f t="shared" si="10"/>
        <v>96067.400000000009</v>
      </c>
      <c r="X67" s="955">
        <v>0</v>
      </c>
      <c r="Y67" s="955">
        <v>0</v>
      </c>
      <c r="Z67" s="956">
        <v>1</v>
      </c>
    </row>
    <row r="68" spans="1:26" ht="18.95" hidden="1" customHeight="1">
      <c r="A68" s="509">
        <v>0</v>
      </c>
      <c r="B68" s="510">
        <v>0</v>
      </c>
      <c r="C68" s="512">
        <v>5</v>
      </c>
      <c r="D68" s="513" t="s">
        <v>654</v>
      </c>
      <c r="E68" s="899">
        <v>45</v>
      </c>
      <c r="F68" s="908" t="s">
        <v>342</v>
      </c>
      <c r="G68" s="909" t="s">
        <v>86</v>
      </c>
      <c r="H68" s="960">
        <v>33.82</v>
      </c>
      <c r="I68" s="967">
        <v>6072</v>
      </c>
      <c r="J68" s="921">
        <v>205355.04</v>
      </c>
      <c r="K68" s="929">
        <v>6072</v>
      </c>
      <c r="L68" s="1473" t="s">
        <v>597</v>
      </c>
      <c r="M68" s="921">
        <v>205355.04</v>
      </c>
      <c r="N68" s="928">
        <v>0</v>
      </c>
      <c r="O68" s="928">
        <v>0</v>
      </c>
      <c r="P68" s="1462">
        <v>0</v>
      </c>
      <c r="Q68" s="954">
        <v>0</v>
      </c>
      <c r="R68" s="928">
        <v>0</v>
      </c>
      <c r="S68" s="954">
        <v>0</v>
      </c>
      <c r="T68" s="928">
        <v>3036</v>
      </c>
      <c r="U68" s="954">
        <f t="shared" si="8"/>
        <v>102677.52</v>
      </c>
      <c r="V68" s="928">
        <f t="shared" si="9"/>
        <v>3036</v>
      </c>
      <c r="W68" s="954">
        <f t="shared" si="10"/>
        <v>102677.52</v>
      </c>
      <c r="X68" s="955">
        <v>0</v>
      </c>
      <c r="Y68" s="955">
        <v>0</v>
      </c>
      <c r="Z68" s="956">
        <v>1</v>
      </c>
    </row>
    <row r="69" spans="1:26" ht="18.95" hidden="1" customHeight="1">
      <c r="A69" s="509">
        <v>0</v>
      </c>
      <c r="B69" s="510">
        <v>0</v>
      </c>
      <c r="C69" s="512">
        <v>5</v>
      </c>
      <c r="D69" s="513" t="s">
        <v>654</v>
      </c>
      <c r="E69" s="899">
        <v>46</v>
      </c>
      <c r="F69" s="908" t="s">
        <v>343</v>
      </c>
      <c r="G69" s="909" t="s">
        <v>86</v>
      </c>
      <c r="H69" s="960">
        <v>18.82</v>
      </c>
      <c r="I69" s="967">
        <v>2200</v>
      </c>
      <c r="J69" s="921">
        <v>41404</v>
      </c>
      <c r="K69" s="929">
        <v>2200</v>
      </c>
      <c r="L69" s="1473" t="s">
        <v>597</v>
      </c>
      <c r="M69" s="921">
        <v>41404</v>
      </c>
      <c r="N69" s="928">
        <v>0</v>
      </c>
      <c r="O69" s="928">
        <v>0</v>
      </c>
      <c r="P69" s="1462">
        <v>0</v>
      </c>
      <c r="Q69" s="954">
        <v>0</v>
      </c>
      <c r="R69" s="928">
        <v>0</v>
      </c>
      <c r="S69" s="954">
        <v>0</v>
      </c>
      <c r="T69" s="928">
        <v>1100</v>
      </c>
      <c r="U69" s="954">
        <f t="shared" si="8"/>
        <v>20702</v>
      </c>
      <c r="V69" s="928">
        <f t="shared" si="9"/>
        <v>1100</v>
      </c>
      <c r="W69" s="954">
        <f t="shared" si="10"/>
        <v>20702</v>
      </c>
      <c r="X69" s="955">
        <v>0</v>
      </c>
      <c r="Y69" s="955">
        <v>0</v>
      </c>
      <c r="Z69" s="956">
        <v>1</v>
      </c>
    </row>
    <row r="70" spans="1:26" ht="18.95" hidden="1" customHeight="1">
      <c r="A70" s="509">
        <v>0</v>
      </c>
      <c r="B70" s="510">
        <v>0</v>
      </c>
      <c r="C70" s="512">
        <v>5</v>
      </c>
      <c r="D70" s="513" t="s">
        <v>654</v>
      </c>
      <c r="E70" s="899">
        <v>47</v>
      </c>
      <c r="F70" s="908" t="s">
        <v>344</v>
      </c>
      <c r="G70" s="909" t="s">
        <v>85</v>
      </c>
      <c r="H70" s="960">
        <v>85.23</v>
      </c>
      <c r="I70" s="967">
        <v>44</v>
      </c>
      <c r="J70" s="921">
        <v>3750.12</v>
      </c>
      <c r="K70" s="929">
        <v>44</v>
      </c>
      <c r="L70" s="1473" t="s">
        <v>597</v>
      </c>
      <c r="M70" s="921">
        <v>3750.12</v>
      </c>
      <c r="N70" s="928">
        <v>0</v>
      </c>
      <c r="O70" s="928">
        <v>0</v>
      </c>
      <c r="P70" s="1462">
        <v>0</v>
      </c>
      <c r="Q70" s="954">
        <v>0</v>
      </c>
      <c r="R70" s="928">
        <v>0</v>
      </c>
      <c r="S70" s="954">
        <v>0</v>
      </c>
      <c r="T70" s="928">
        <v>0</v>
      </c>
      <c r="U70" s="954">
        <f t="shared" si="8"/>
        <v>0</v>
      </c>
      <c r="V70" s="928">
        <f t="shared" si="9"/>
        <v>44</v>
      </c>
      <c r="W70" s="954">
        <f t="shared" si="10"/>
        <v>3750.1200000000003</v>
      </c>
      <c r="X70" s="955">
        <v>0</v>
      </c>
      <c r="Y70" s="955">
        <v>0</v>
      </c>
      <c r="Z70" s="956">
        <v>1</v>
      </c>
    </row>
    <row r="71" spans="1:26" ht="18.95" hidden="1" customHeight="1">
      <c r="A71" s="509">
        <v>0</v>
      </c>
      <c r="B71" s="510">
        <v>0</v>
      </c>
      <c r="C71" s="512">
        <v>5</v>
      </c>
      <c r="D71" s="513" t="s">
        <v>654</v>
      </c>
      <c r="E71" s="899">
        <v>48</v>
      </c>
      <c r="F71" s="908" t="s">
        <v>345</v>
      </c>
      <c r="G71" s="909" t="s">
        <v>88</v>
      </c>
      <c r="H71" s="960">
        <v>130.9</v>
      </c>
      <c r="I71" s="967">
        <v>55</v>
      </c>
      <c r="J71" s="921">
        <v>7199.5</v>
      </c>
      <c r="K71" s="929">
        <v>55</v>
      </c>
      <c r="L71" s="1473" t="s">
        <v>597</v>
      </c>
      <c r="M71" s="921">
        <v>7199.5</v>
      </c>
      <c r="N71" s="928">
        <v>0</v>
      </c>
      <c r="O71" s="928">
        <v>0</v>
      </c>
      <c r="P71" s="1462">
        <v>0</v>
      </c>
      <c r="Q71" s="954">
        <v>0</v>
      </c>
      <c r="R71" s="928">
        <v>0</v>
      </c>
      <c r="S71" s="954">
        <v>0</v>
      </c>
      <c r="T71" s="928">
        <v>0</v>
      </c>
      <c r="U71" s="954">
        <f t="shared" si="8"/>
        <v>0</v>
      </c>
      <c r="V71" s="928">
        <f t="shared" si="9"/>
        <v>55</v>
      </c>
      <c r="W71" s="954">
        <f t="shared" si="10"/>
        <v>7199.5</v>
      </c>
      <c r="X71" s="955">
        <v>0</v>
      </c>
      <c r="Y71" s="955">
        <v>0</v>
      </c>
      <c r="Z71" s="956">
        <v>1</v>
      </c>
    </row>
    <row r="72" spans="1:26" s="12" customFormat="1" ht="18.95" hidden="1" customHeight="1">
      <c r="A72" s="509">
        <v>0</v>
      </c>
      <c r="B72" s="510">
        <v>0</v>
      </c>
      <c r="C72" s="512">
        <v>5</v>
      </c>
      <c r="D72" s="513" t="s">
        <v>654</v>
      </c>
      <c r="E72" s="899">
        <v>49</v>
      </c>
      <c r="F72" s="908" t="s">
        <v>346</v>
      </c>
      <c r="G72" s="909" t="s">
        <v>85</v>
      </c>
      <c r="H72" s="960">
        <v>104.01</v>
      </c>
      <c r="I72" s="967">
        <v>66</v>
      </c>
      <c r="J72" s="921">
        <v>6864.66</v>
      </c>
      <c r="K72" s="929">
        <v>66</v>
      </c>
      <c r="L72" s="1473" t="s">
        <v>597</v>
      </c>
      <c r="M72" s="921">
        <v>6864.66</v>
      </c>
      <c r="N72" s="928">
        <v>0</v>
      </c>
      <c r="O72" s="928">
        <v>0</v>
      </c>
      <c r="P72" s="1462">
        <v>0</v>
      </c>
      <c r="Q72" s="954">
        <v>0</v>
      </c>
      <c r="R72" s="928">
        <v>0</v>
      </c>
      <c r="S72" s="954">
        <v>0</v>
      </c>
      <c r="T72" s="928">
        <v>66</v>
      </c>
      <c r="U72" s="954">
        <f t="shared" si="8"/>
        <v>6864.6600000000008</v>
      </c>
      <c r="V72" s="928">
        <f t="shared" si="9"/>
        <v>0</v>
      </c>
      <c r="W72" s="954">
        <f t="shared" si="10"/>
        <v>0</v>
      </c>
      <c r="X72" s="955">
        <v>0</v>
      </c>
      <c r="Y72" s="955">
        <v>0</v>
      </c>
      <c r="Z72" s="956">
        <v>1</v>
      </c>
    </row>
    <row r="73" spans="1:26" s="12" customFormat="1" ht="18.95" hidden="1" customHeight="1">
      <c r="A73" s="509">
        <v>0</v>
      </c>
      <c r="B73" s="510">
        <v>0</v>
      </c>
      <c r="C73" s="512">
        <v>5</v>
      </c>
      <c r="D73" s="513" t="s">
        <v>654</v>
      </c>
      <c r="E73" s="899">
        <v>50</v>
      </c>
      <c r="F73" s="908" t="s">
        <v>347</v>
      </c>
      <c r="G73" s="909" t="s">
        <v>85</v>
      </c>
      <c r="H73" s="960">
        <v>286.33</v>
      </c>
      <c r="I73" s="967">
        <v>11</v>
      </c>
      <c r="J73" s="921">
        <v>3149.63</v>
      </c>
      <c r="K73" s="929">
        <v>11</v>
      </c>
      <c r="L73" s="1473" t="s">
        <v>597</v>
      </c>
      <c r="M73" s="921">
        <v>3149.63</v>
      </c>
      <c r="N73" s="928">
        <v>0</v>
      </c>
      <c r="O73" s="928">
        <v>0</v>
      </c>
      <c r="P73" s="1462">
        <v>0</v>
      </c>
      <c r="Q73" s="954">
        <v>0</v>
      </c>
      <c r="R73" s="928">
        <v>0</v>
      </c>
      <c r="S73" s="954">
        <v>0</v>
      </c>
      <c r="T73" s="928">
        <v>11</v>
      </c>
      <c r="U73" s="954">
        <f t="shared" si="8"/>
        <v>3149.6299999999997</v>
      </c>
      <c r="V73" s="928">
        <f t="shared" si="9"/>
        <v>0</v>
      </c>
      <c r="W73" s="954">
        <f t="shared" si="10"/>
        <v>0</v>
      </c>
      <c r="X73" s="955">
        <v>0</v>
      </c>
      <c r="Y73" s="955">
        <v>0</v>
      </c>
      <c r="Z73" s="956">
        <v>1</v>
      </c>
    </row>
    <row r="74" spans="1:26" s="12" customFormat="1" ht="18.95" hidden="1" customHeight="1">
      <c r="A74" s="509">
        <v>0</v>
      </c>
      <c r="B74" s="510">
        <v>0</v>
      </c>
      <c r="C74" s="512">
        <v>5</v>
      </c>
      <c r="D74" s="513" t="s">
        <v>654</v>
      </c>
      <c r="E74" s="899">
        <v>51</v>
      </c>
      <c r="F74" s="908" t="s">
        <v>348</v>
      </c>
      <c r="G74" s="909" t="s">
        <v>85</v>
      </c>
      <c r="H74" s="960">
        <v>120.83</v>
      </c>
      <c r="I74" s="967">
        <v>11</v>
      </c>
      <c r="J74" s="921">
        <v>1329.13</v>
      </c>
      <c r="K74" s="929">
        <v>11</v>
      </c>
      <c r="L74" s="1473" t="s">
        <v>597</v>
      </c>
      <c r="M74" s="921">
        <v>1329.13</v>
      </c>
      <c r="N74" s="928">
        <v>0</v>
      </c>
      <c r="O74" s="928">
        <v>0</v>
      </c>
      <c r="P74" s="1462">
        <v>0</v>
      </c>
      <c r="Q74" s="954">
        <v>0</v>
      </c>
      <c r="R74" s="928">
        <v>0</v>
      </c>
      <c r="S74" s="954">
        <v>0</v>
      </c>
      <c r="T74" s="928">
        <v>11</v>
      </c>
      <c r="U74" s="954">
        <f t="shared" si="8"/>
        <v>1329.1299999999999</v>
      </c>
      <c r="V74" s="928">
        <f t="shared" si="9"/>
        <v>0</v>
      </c>
      <c r="W74" s="954">
        <f t="shared" si="10"/>
        <v>0</v>
      </c>
      <c r="X74" s="955">
        <v>0</v>
      </c>
      <c r="Y74" s="955">
        <v>0</v>
      </c>
      <c r="Z74" s="956">
        <v>1</v>
      </c>
    </row>
    <row r="75" spans="1:26" s="12" customFormat="1" ht="27" hidden="1">
      <c r="A75" s="509">
        <v>0</v>
      </c>
      <c r="B75" s="510">
        <v>0</v>
      </c>
      <c r="C75" s="512">
        <v>5</v>
      </c>
      <c r="D75" s="513" t="s">
        <v>654</v>
      </c>
      <c r="E75" s="899">
        <v>52</v>
      </c>
      <c r="F75" s="908" t="s">
        <v>349</v>
      </c>
      <c r="G75" s="909" t="s">
        <v>85</v>
      </c>
      <c r="H75" s="960">
        <v>104.01</v>
      </c>
      <c r="I75" s="967">
        <v>11</v>
      </c>
      <c r="J75" s="921">
        <v>1144.1099999999999</v>
      </c>
      <c r="K75" s="929">
        <v>11</v>
      </c>
      <c r="L75" s="1473" t="s">
        <v>597</v>
      </c>
      <c r="M75" s="921">
        <v>1144.1099999999999</v>
      </c>
      <c r="N75" s="928">
        <v>0</v>
      </c>
      <c r="O75" s="928">
        <v>0</v>
      </c>
      <c r="P75" s="1462">
        <v>0</v>
      </c>
      <c r="Q75" s="954">
        <v>0</v>
      </c>
      <c r="R75" s="928">
        <v>0</v>
      </c>
      <c r="S75" s="954">
        <v>0</v>
      </c>
      <c r="T75" s="928">
        <v>11</v>
      </c>
      <c r="U75" s="954">
        <f t="shared" si="8"/>
        <v>1144.1100000000001</v>
      </c>
      <c r="V75" s="928">
        <f t="shared" si="9"/>
        <v>0</v>
      </c>
      <c r="W75" s="954">
        <f t="shared" si="10"/>
        <v>0</v>
      </c>
      <c r="X75" s="955">
        <v>0</v>
      </c>
      <c r="Y75" s="955">
        <v>0</v>
      </c>
      <c r="Z75" s="956">
        <v>1</v>
      </c>
    </row>
    <row r="76" spans="1:26" s="12" customFormat="1" ht="18.95" hidden="1" customHeight="1">
      <c r="A76" s="509">
        <v>0</v>
      </c>
      <c r="B76" s="510">
        <v>0</v>
      </c>
      <c r="C76" s="512">
        <v>5</v>
      </c>
      <c r="D76" s="513" t="s">
        <v>654</v>
      </c>
      <c r="E76" s="899">
        <v>53</v>
      </c>
      <c r="F76" s="908" t="s">
        <v>350</v>
      </c>
      <c r="G76" s="909" t="s">
        <v>85</v>
      </c>
      <c r="H76" s="960">
        <v>104.01</v>
      </c>
      <c r="I76" s="967">
        <v>11</v>
      </c>
      <c r="J76" s="921">
        <v>1144.1099999999999</v>
      </c>
      <c r="K76" s="929">
        <v>11</v>
      </c>
      <c r="L76" s="1473" t="s">
        <v>597</v>
      </c>
      <c r="M76" s="921">
        <v>1144.1099999999999</v>
      </c>
      <c r="N76" s="928">
        <v>0</v>
      </c>
      <c r="O76" s="928">
        <v>0</v>
      </c>
      <c r="P76" s="1462">
        <v>0</v>
      </c>
      <c r="Q76" s="954">
        <v>0</v>
      </c>
      <c r="R76" s="928">
        <v>0</v>
      </c>
      <c r="S76" s="954">
        <v>0</v>
      </c>
      <c r="T76" s="928">
        <v>11</v>
      </c>
      <c r="U76" s="954">
        <f t="shared" si="8"/>
        <v>1144.1100000000001</v>
      </c>
      <c r="V76" s="928">
        <f t="shared" si="9"/>
        <v>0</v>
      </c>
      <c r="W76" s="954">
        <f t="shared" si="10"/>
        <v>0</v>
      </c>
      <c r="X76" s="955">
        <v>0</v>
      </c>
      <c r="Y76" s="955">
        <v>0</v>
      </c>
      <c r="Z76" s="956">
        <v>1</v>
      </c>
    </row>
    <row r="77" spans="1:26" s="12" customFormat="1" ht="18.95" hidden="1" customHeight="1">
      <c r="A77" s="509">
        <v>0</v>
      </c>
      <c r="B77" s="510">
        <v>0</v>
      </c>
      <c r="C77" s="512">
        <v>5</v>
      </c>
      <c r="D77" s="513" t="s">
        <v>654</v>
      </c>
      <c r="E77" s="899">
        <v>54</v>
      </c>
      <c r="F77" s="908" t="s">
        <v>351</v>
      </c>
      <c r="G77" s="909" t="s">
        <v>86</v>
      </c>
      <c r="H77" s="960">
        <v>7.53</v>
      </c>
      <c r="I77" s="967">
        <v>1600</v>
      </c>
      <c r="J77" s="921">
        <v>12048</v>
      </c>
      <c r="K77" s="929">
        <v>1600</v>
      </c>
      <c r="L77" s="1473" t="s">
        <v>597</v>
      </c>
      <c r="M77" s="921">
        <v>12048</v>
      </c>
      <c r="N77" s="928">
        <v>0</v>
      </c>
      <c r="O77" s="928">
        <v>0</v>
      </c>
      <c r="P77" s="1462">
        <v>0</v>
      </c>
      <c r="Q77" s="954">
        <v>0</v>
      </c>
      <c r="R77" s="928">
        <v>0</v>
      </c>
      <c r="S77" s="954">
        <v>0</v>
      </c>
      <c r="T77" s="928">
        <v>1600</v>
      </c>
      <c r="U77" s="954">
        <f t="shared" si="8"/>
        <v>12048</v>
      </c>
      <c r="V77" s="928">
        <f t="shared" si="9"/>
        <v>0</v>
      </c>
      <c r="W77" s="954">
        <f t="shared" si="10"/>
        <v>0</v>
      </c>
      <c r="X77" s="955">
        <v>0</v>
      </c>
      <c r="Y77" s="955">
        <v>0</v>
      </c>
      <c r="Z77" s="956">
        <v>1</v>
      </c>
    </row>
    <row r="78" spans="1:26" s="12" customFormat="1" ht="27" hidden="1">
      <c r="A78" s="509">
        <v>0</v>
      </c>
      <c r="B78" s="510">
        <v>0</v>
      </c>
      <c r="C78" s="512">
        <v>5</v>
      </c>
      <c r="D78" s="513" t="s">
        <v>654</v>
      </c>
      <c r="E78" s="899">
        <v>55</v>
      </c>
      <c r="F78" s="908" t="s">
        <v>352</v>
      </c>
      <c r="G78" s="909" t="s">
        <v>88</v>
      </c>
      <c r="H78" s="960">
        <v>104.01</v>
      </c>
      <c r="I78" s="967">
        <v>17</v>
      </c>
      <c r="J78" s="921">
        <v>1768.17</v>
      </c>
      <c r="K78" s="929">
        <v>17</v>
      </c>
      <c r="L78" s="1473" t="s">
        <v>597</v>
      </c>
      <c r="M78" s="921">
        <v>1768.17</v>
      </c>
      <c r="N78" s="928">
        <v>0</v>
      </c>
      <c r="O78" s="928">
        <v>0</v>
      </c>
      <c r="P78" s="1462">
        <v>0</v>
      </c>
      <c r="Q78" s="954">
        <v>0</v>
      </c>
      <c r="R78" s="928">
        <v>0</v>
      </c>
      <c r="S78" s="954">
        <v>0</v>
      </c>
      <c r="T78" s="928">
        <v>17</v>
      </c>
      <c r="U78" s="954">
        <f t="shared" si="8"/>
        <v>1768.17</v>
      </c>
      <c r="V78" s="928">
        <f t="shared" si="9"/>
        <v>0</v>
      </c>
      <c r="W78" s="954">
        <f t="shared" si="10"/>
        <v>0</v>
      </c>
      <c r="X78" s="955">
        <v>0</v>
      </c>
      <c r="Y78" s="955">
        <v>0</v>
      </c>
      <c r="Z78" s="956">
        <v>1</v>
      </c>
    </row>
    <row r="79" spans="1:26" s="12" customFormat="1" ht="27" hidden="1">
      <c r="A79" s="509">
        <v>0</v>
      </c>
      <c r="B79" s="510">
        <v>0</v>
      </c>
      <c r="C79" s="512">
        <v>5</v>
      </c>
      <c r="D79" s="513" t="s">
        <v>654</v>
      </c>
      <c r="E79" s="899">
        <v>56</v>
      </c>
      <c r="F79" s="908" t="s">
        <v>353</v>
      </c>
      <c r="G79" s="909" t="s">
        <v>88</v>
      </c>
      <c r="H79" s="960">
        <v>26.74</v>
      </c>
      <c r="I79" s="967">
        <v>8250</v>
      </c>
      <c r="J79" s="921">
        <v>220605</v>
      </c>
      <c r="K79" s="929">
        <v>8250</v>
      </c>
      <c r="L79" s="1473" t="s">
        <v>597</v>
      </c>
      <c r="M79" s="921">
        <v>220605</v>
      </c>
      <c r="N79" s="928">
        <v>0</v>
      </c>
      <c r="O79" s="928">
        <v>0</v>
      </c>
      <c r="P79" s="1462">
        <v>0</v>
      </c>
      <c r="Q79" s="954">
        <v>0</v>
      </c>
      <c r="R79" s="928">
        <v>0</v>
      </c>
      <c r="S79" s="954">
        <v>0</v>
      </c>
      <c r="T79" s="928">
        <v>0</v>
      </c>
      <c r="U79" s="954">
        <f t="shared" si="8"/>
        <v>0</v>
      </c>
      <c r="V79" s="928">
        <f t="shared" si="9"/>
        <v>8250</v>
      </c>
      <c r="W79" s="954">
        <f t="shared" si="10"/>
        <v>220605</v>
      </c>
      <c r="X79" s="955">
        <v>0</v>
      </c>
      <c r="Y79" s="955">
        <v>0</v>
      </c>
      <c r="Z79" s="956">
        <v>1</v>
      </c>
    </row>
    <row r="80" spans="1:26" s="12" customFormat="1" ht="18.95" hidden="1" customHeight="1">
      <c r="A80" s="509">
        <v>0</v>
      </c>
      <c r="B80" s="510">
        <v>0</v>
      </c>
      <c r="C80" s="512">
        <v>5</v>
      </c>
      <c r="D80" s="513" t="s">
        <v>654</v>
      </c>
      <c r="E80" s="911">
        <v>57</v>
      </c>
      <c r="F80" s="912" t="s">
        <v>354</v>
      </c>
      <c r="G80" s="913" t="s">
        <v>422</v>
      </c>
      <c r="H80" s="968">
        <v>2.72</v>
      </c>
      <c r="I80" s="987">
        <v>27500</v>
      </c>
      <c r="J80" s="970">
        <v>74800</v>
      </c>
      <c r="K80" s="969">
        <v>27500</v>
      </c>
      <c r="L80" s="1478" t="s">
        <v>597</v>
      </c>
      <c r="M80" s="970">
        <v>74800</v>
      </c>
      <c r="N80" s="1245">
        <v>0</v>
      </c>
      <c r="O80" s="1245">
        <v>0</v>
      </c>
      <c r="P80" s="1479">
        <v>0</v>
      </c>
      <c r="Q80" s="1247">
        <v>0</v>
      </c>
      <c r="R80" s="1245">
        <v>0</v>
      </c>
      <c r="S80" s="1247">
        <v>0</v>
      </c>
      <c r="T80" s="1245">
        <v>13750</v>
      </c>
      <c r="U80" s="1247">
        <f t="shared" si="8"/>
        <v>37400</v>
      </c>
      <c r="V80" s="1245">
        <f t="shared" si="9"/>
        <v>13750</v>
      </c>
      <c r="W80" s="1247">
        <f t="shared" si="10"/>
        <v>37400</v>
      </c>
      <c r="X80" s="1248">
        <v>0</v>
      </c>
      <c r="Y80" s="1248">
        <v>0</v>
      </c>
      <c r="Z80" s="1249">
        <v>1</v>
      </c>
    </row>
    <row r="81" spans="1:26" s="12" customFormat="1" ht="18.95" hidden="1" customHeight="1">
      <c r="A81" s="509">
        <v>6</v>
      </c>
      <c r="B81" s="510">
        <v>1</v>
      </c>
      <c r="C81" s="512">
        <v>6</v>
      </c>
      <c r="D81" s="513" t="s">
        <v>654</v>
      </c>
      <c r="E81" s="999" t="s">
        <v>454</v>
      </c>
      <c r="F81" s="1000" t="s">
        <v>455</v>
      </c>
      <c r="G81" s="910" t="s">
        <v>88</v>
      </c>
      <c r="H81" s="1001">
        <v>19.98</v>
      </c>
      <c r="I81" s="1003">
        <v>0</v>
      </c>
      <c r="J81" s="1003">
        <v>0</v>
      </c>
      <c r="K81" s="935">
        <v>13370</v>
      </c>
      <c r="L81" s="1474" t="s">
        <v>651</v>
      </c>
      <c r="M81" s="936">
        <v>267132.59999999998</v>
      </c>
      <c r="N81" s="1245">
        <v>650</v>
      </c>
      <c r="O81" s="1245">
        <v>12987</v>
      </c>
      <c r="P81" s="1475">
        <v>4015</v>
      </c>
      <c r="Q81" s="1005">
        <v>80219.7</v>
      </c>
      <c r="R81" s="1003">
        <v>4665</v>
      </c>
      <c r="S81" s="1005">
        <v>93206.7</v>
      </c>
      <c r="T81" s="1003">
        <v>0</v>
      </c>
      <c r="U81" s="1005">
        <f t="shared" si="8"/>
        <v>0</v>
      </c>
      <c r="V81" s="1003">
        <f t="shared" si="9"/>
        <v>8705</v>
      </c>
      <c r="W81" s="1005">
        <f t="shared" si="10"/>
        <v>173925.9</v>
      </c>
      <c r="X81" s="1006">
        <v>0.30029917726252808</v>
      </c>
      <c r="Y81" s="1006">
        <v>0.34891548242333587</v>
      </c>
      <c r="Z81" s="1007">
        <v>0.65108451757666419</v>
      </c>
    </row>
    <row r="82" spans="1:26" s="12" customFormat="1" ht="18" customHeight="1">
      <c r="A82" s="509">
        <v>0</v>
      </c>
      <c r="B82" s="510">
        <v>0</v>
      </c>
      <c r="C82" s="512">
        <v>6</v>
      </c>
      <c r="D82" s="513"/>
      <c r="E82" s="915"/>
      <c r="F82" s="906" t="s">
        <v>87</v>
      </c>
      <c r="G82" s="1464"/>
      <c r="H82" s="1468"/>
      <c r="I82" s="1466"/>
      <c r="J82" s="1467">
        <v>16778276.030000001</v>
      </c>
      <c r="K82" s="1468"/>
      <c r="L82" s="1468"/>
      <c r="M82" s="1467">
        <v>17234447.400000002</v>
      </c>
      <c r="N82" s="1469"/>
      <c r="O82" s="1467">
        <v>12987</v>
      </c>
      <c r="P82" s="1470"/>
      <c r="Q82" s="1467">
        <v>80219.7</v>
      </c>
      <c r="R82" s="1469"/>
      <c r="S82" s="1467">
        <f>SUM(S41:S81)</f>
        <v>93206.7</v>
      </c>
      <c r="T82" s="1469" t="s">
        <v>649</v>
      </c>
      <c r="U82" s="1467">
        <f>SUM(U41:U81)</f>
        <v>7862631.8474000013</v>
      </c>
      <c r="V82" s="1470"/>
      <c r="W82" s="1467">
        <f>SUM(W41:W81)</f>
        <v>9278608.8447000012</v>
      </c>
      <c r="X82" s="945">
        <v>4.6546139912788838E-3</v>
      </c>
      <c r="Y82" s="946">
        <v>5.4081629562430867E-3</v>
      </c>
      <c r="Z82" s="947">
        <v>0.98993722305247789</v>
      </c>
    </row>
    <row r="83" spans="1:26" s="12" customFormat="1" ht="18" hidden="1" customHeight="1">
      <c r="A83" s="509">
        <v>0</v>
      </c>
      <c r="B83" s="510">
        <v>0</v>
      </c>
      <c r="C83" s="512">
        <v>6</v>
      </c>
      <c r="D83" s="513"/>
      <c r="E83" s="915">
        <v>5</v>
      </c>
      <c r="F83" s="916" t="s">
        <v>355</v>
      </c>
      <c r="G83" s="917"/>
      <c r="H83" s="983"/>
      <c r="I83" s="983"/>
      <c r="J83" s="983"/>
      <c r="K83" s="983"/>
      <c r="L83" s="1480"/>
      <c r="M83" s="983"/>
      <c r="N83" s="1471"/>
      <c r="O83" s="1471">
        <v>0</v>
      </c>
      <c r="P83" s="1471"/>
      <c r="Q83" s="1471"/>
      <c r="R83" s="1471"/>
      <c r="S83" s="1471"/>
      <c r="T83" s="1471" t="s">
        <v>649</v>
      </c>
      <c r="U83" s="1471"/>
      <c r="V83" s="1471"/>
      <c r="W83" s="1471"/>
      <c r="X83" s="950"/>
      <c r="Y83" s="950"/>
      <c r="Z83" s="985"/>
    </row>
    <row r="84" spans="1:26" ht="20.100000000000001" hidden="1" customHeight="1">
      <c r="A84" s="509">
        <v>0</v>
      </c>
      <c r="B84" s="510">
        <v>0</v>
      </c>
      <c r="C84" s="512">
        <v>6</v>
      </c>
      <c r="D84" s="513" t="s">
        <v>655</v>
      </c>
      <c r="E84" s="899">
        <v>58</v>
      </c>
      <c r="F84" s="908" t="s">
        <v>356</v>
      </c>
      <c r="G84" s="900" t="s">
        <v>88</v>
      </c>
      <c r="H84" s="963">
        <v>659.99</v>
      </c>
      <c r="I84" s="971">
        <v>14232</v>
      </c>
      <c r="J84" s="921">
        <v>9392977.6799999997</v>
      </c>
      <c r="K84" s="919">
        <v>14232</v>
      </c>
      <c r="L84" s="986" t="s">
        <v>597</v>
      </c>
      <c r="M84" s="953">
        <v>9392977.6799999997</v>
      </c>
      <c r="N84" s="963">
        <v>0</v>
      </c>
      <c r="O84" s="963">
        <v>0</v>
      </c>
      <c r="P84" s="1462">
        <v>0</v>
      </c>
      <c r="Q84" s="1461">
        <v>0</v>
      </c>
      <c r="R84" s="928">
        <v>0</v>
      </c>
      <c r="S84" s="1461">
        <v>0</v>
      </c>
      <c r="T84" s="928">
        <v>0</v>
      </c>
      <c r="U84" s="1461">
        <f t="shared" ref="U84:U99" si="11">T84*H84</f>
        <v>0</v>
      </c>
      <c r="V84" s="928">
        <f t="shared" ref="V84:V99" si="12">K84-T84-R84</f>
        <v>14232</v>
      </c>
      <c r="W84" s="954">
        <f t="shared" ref="W84:W99" si="13">V84*H84</f>
        <v>9392977.6799999997</v>
      </c>
      <c r="X84" s="933">
        <v>0</v>
      </c>
      <c r="Y84" s="933">
        <v>0</v>
      </c>
      <c r="Z84" s="934">
        <v>1</v>
      </c>
    </row>
    <row r="85" spans="1:26" ht="20.100000000000001" hidden="1" customHeight="1">
      <c r="A85" s="509">
        <v>0</v>
      </c>
      <c r="B85" s="510">
        <v>0</v>
      </c>
      <c r="C85" s="512">
        <v>6</v>
      </c>
      <c r="D85" s="513" t="s">
        <v>655</v>
      </c>
      <c r="E85" s="911">
        <v>59</v>
      </c>
      <c r="F85" s="912" t="s">
        <v>238</v>
      </c>
      <c r="G85" s="913" t="s">
        <v>88</v>
      </c>
      <c r="H85" s="960">
        <v>8.27</v>
      </c>
      <c r="I85" s="987">
        <v>31500</v>
      </c>
      <c r="J85" s="921">
        <v>260505</v>
      </c>
      <c r="K85" s="929">
        <v>31500</v>
      </c>
      <c r="L85" s="920" t="s">
        <v>597</v>
      </c>
      <c r="M85" s="921">
        <v>260505</v>
      </c>
      <c r="N85" s="968">
        <v>0</v>
      </c>
      <c r="O85" s="968">
        <v>0</v>
      </c>
      <c r="P85" s="1462">
        <v>0</v>
      </c>
      <c r="Q85" s="974">
        <v>0</v>
      </c>
      <c r="R85" s="928">
        <v>0</v>
      </c>
      <c r="S85" s="954">
        <v>0</v>
      </c>
      <c r="T85" s="928">
        <v>0</v>
      </c>
      <c r="U85" s="954">
        <f t="shared" si="11"/>
        <v>0</v>
      </c>
      <c r="V85" s="928">
        <f t="shared" si="12"/>
        <v>31500</v>
      </c>
      <c r="W85" s="954">
        <f t="shared" si="13"/>
        <v>260505</v>
      </c>
      <c r="X85" s="933">
        <v>0</v>
      </c>
      <c r="Y85" s="933">
        <v>0</v>
      </c>
      <c r="Z85" s="934">
        <v>1</v>
      </c>
    </row>
    <row r="86" spans="1:26" ht="20.100000000000001" hidden="1" customHeight="1">
      <c r="A86" s="509">
        <v>0</v>
      </c>
      <c r="B86" s="510">
        <v>0</v>
      </c>
      <c r="C86" s="512">
        <v>6</v>
      </c>
      <c r="D86" s="513" t="s">
        <v>655</v>
      </c>
      <c r="E86" s="899">
        <v>60</v>
      </c>
      <c r="F86" s="908" t="s">
        <v>357</v>
      </c>
      <c r="G86" s="909" t="s">
        <v>88</v>
      </c>
      <c r="H86" s="960">
        <v>10.4</v>
      </c>
      <c r="I86" s="967">
        <v>90000</v>
      </c>
      <c r="J86" s="921">
        <v>936000</v>
      </c>
      <c r="K86" s="929">
        <v>90000</v>
      </c>
      <c r="L86" s="920" t="s">
        <v>597</v>
      </c>
      <c r="M86" s="921">
        <v>936000</v>
      </c>
      <c r="N86" s="960">
        <v>0</v>
      </c>
      <c r="O86" s="960">
        <v>0</v>
      </c>
      <c r="P86" s="1462">
        <v>0</v>
      </c>
      <c r="Q86" s="974">
        <v>0</v>
      </c>
      <c r="R86" s="928">
        <v>0</v>
      </c>
      <c r="S86" s="954">
        <v>0</v>
      </c>
      <c r="T86" s="928">
        <v>0</v>
      </c>
      <c r="U86" s="954">
        <f t="shared" si="11"/>
        <v>0</v>
      </c>
      <c r="V86" s="928">
        <f t="shared" si="12"/>
        <v>90000</v>
      </c>
      <c r="W86" s="954">
        <f t="shared" si="13"/>
        <v>936000</v>
      </c>
      <c r="X86" s="933">
        <v>0</v>
      </c>
      <c r="Y86" s="933">
        <v>0</v>
      </c>
      <c r="Z86" s="934">
        <v>1</v>
      </c>
    </row>
    <row r="87" spans="1:26" ht="20.100000000000001" hidden="1" customHeight="1">
      <c r="A87" s="509">
        <v>0</v>
      </c>
      <c r="B87" s="510">
        <v>0</v>
      </c>
      <c r="C87" s="512">
        <v>6</v>
      </c>
      <c r="D87" s="513" t="s">
        <v>655</v>
      </c>
      <c r="E87" s="899">
        <v>61</v>
      </c>
      <c r="F87" s="908" t="s">
        <v>358</v>
      </c>
      <c r="G87" s="909" t="s">
        <v>86</v>
      </c>
      <c r="H87" s="960">
        <v>72.150000000000006</v>
      </c>
      <c r="I87" s="967">
        <v>250</v>
      </c>
      <c r="J87" s="921">
        <v>18037.5</v>
      </c>
      <c r="K87" s="929">
        <v>250</v>
      </c>
      <c r="L87" s="920" t="s">
        <v>597</v>
      </c>
      <c r="M87" s="921">
        <v>18037.5</v>
      </c>
      <c r="N87" s="960">
        <v>0</v>
      </c>
      <c r="O87" s="960">
        <v>0</v>
      </c>
      <c r="P87" s="1462">
        <v>0</v>
      </c>
      <c r="Q87" s="974">
        <v>0</v>
      </c>
      <c r="R87" s="928">
        <v>0</v>
      </c>
      <c r="S87" s="954">
        <v>0</v>
      </c>
      <c r="T87" s="928">
        <v>0</v>
      </c>
      <c r="U87" s="954">
        <f t="shared" si="11"/>
        <v>0</v>
      </c>
      <c r="V87" s="928">
        <f t="shared" si="12"/>
        <v>250</v>
      </c>
      <c r="W87" s="954">
        <f t="shared" si="13"/>
        <v>18037.5</v>
      </c>
      <c r="X87" s="933">
        <v>0</v>
      </c>
      <c r="Y87" s="933">
        <v>0</v>
      </c>
      <c r="Z87" s="934">
        <v>1</v>
      </c>
    </row>
    <row r="88" spans="1:26" ht="20.100000000000001" hidden="1" customHeight="1">
      <c r="A88" s="509">
        <v>0</v>
      </c>
      <c r="B88" s="510">
        <v>0</v>
      </c>
      <c r="C88" s="512">
        <v>6</v>
      </c>
      <c r="D88" s="513" t="s">
        <v>655</v>
      </c>
      <c r="E88" s="899">
        <v>62</v>
      </c>
      <c r="F88" s="908" t="s">
        <v>359</v>
      </c>
      <c r="G88" s="909" t="s">
        <v>360</v>
      </c>
      <c r="H88" s="960">
        <v>1283.31</v>
      </c>
      <c r="I88" s="967">
        <v>180</v>
      </c>
      <c r="J88" s="921">
        <v>230995.8</v>
      </c>
      <c r="K88" s="929">
        <v>180</v>
      </c>
      <c r="L88" s="920" t="s">
        <v>597</v>
      </c>
      <c r="M88" s="921">
        <v>230995.8</v>
      </c>
      <c r="N88" s="960">
        <v>0</v>
      </c>
      <c r="O88" s="960">
        <v>0</v>
      </c>
      <c r="P88" s="1462">
        <v>0</v>
      </c>
      <c r="Q88" s="974">
        <v>0</v>
      </c>
      <c r="R88" s="928">
        <v>0</v>
      </c>
      <c r="S88" s="954">
        <v>0</v>
      </c>
      <c r="T88" s="928">
        <v>0</v>
      </c>
      <c r="U88" s="954">
        <f t="shared" si="11"/>
        <v>0</v>
      </c>
      <c r="V88" s="928">
        <f t="shared" si="12"/>
        <v>180</v>
      </c>
      <c r="W88" s="954">
        <f t="shared" si="13"/>
        <v>230995.8</v>
      </c>
      <c r="X88" s="933">
        <v>0</v>
      </c>
      <c r="Y88" s="933">
        <v>0</v>
      </c>
      <c r="Z88" s="934">
        <v>1</v>
      </c>
    </row>
    <row r="89" spans="1:26" ht="20.100000000000001" hidden="1" customHeight="1">
      <c r="A89" s="509">
        <v>0</v>
      </c>
      <c r="B89" s="510">
        <v>0</v>
      </c>
      <c r="C89" s="512">
        <v>6</v>
      </c>
      <c r="D89" s="513" t="s">
        <v>655</v>
      </c>
      <c r="E89" s="899">
        <v>63</v>
      </c>
      <c r="F89" s="908" t="s">
        <v>361</v>
      </c>
      <c r="G89" s="909" t="s">
        <v>360</v>
      </c>
      <c r="H89" s="960">
        <v>1283.31</v>
      </c>
      <c r="I89" s="967">
        <v>30</v>
      </c>
      <c r="J89" s="921">
        <v>38499.300000000003</v>
      </c>
      <c r="K89" s="929">
        <v>30</v>
      </c>
      <c r="L89" s="920" t="s">
        <v>597</v>
      </c>
      <c r="M89" s="921">
        <v>38499.300000000003</v>
      </c>
      <c r="N89" s="960">
        <v>0</v>
      </c>
      <c r="O89" s="960">
        <v>0</v>
      </c>
      <c r="P89" s="1462">
        <v>0</v>
      </c>
      <c r="Q89" s="974">
        <v>0</v>
      </c>
      <c r="R89" s="928">
        <v>0</v>
      </c>
      <c r="S89" s="954">
        <v>0</v>
      </c>
      <c r="T89" s="928">
        <v>0</v>
      </c>
      <c r="U89" s="954">
        <f t="shared" si="11"/>
        <v>0</v>
      </c>
      <c r="V89" s="928">
        <f t="shared" si="12"/>
        <v>30</v>
      </c>
      <c r="W89" s="954">
        <f t="shared" si="13"/>
        <v>38499.299999999996</v>
      </c>
      <c r="X89" s="933">
        <v>0</v>
      </c>
      <c r="Y89" s="933">
        <v>0</v>
      </c>
      <c r="Z89" s="934">
        <v>1</v>
      </c>
    </row>
    <row r="90" spans="1:26" ht="20.100000000000001" hidden="1" customHeight="1">
      <c r="A90" s="509">
        <v>0</v>
      </c>
      <c r="B90" s="510">
        <v>0</v>
      </c>
      <c r="C90" s="512">
        <v>6</v>
      </c>
      <c r="D90" s="513" t="s">
        <v>655</v>
      </c>
      <c r="E90" s="899">
        <v>64</v>
      </c>
      <c r="F90" s="908" t="s">
        <v>362</v>
      </c>
      <c r="G90" s="909" t="s">
        <v>360</v>
      </c>
      <c r="H90" s="960">
        <v>1839.02</v>
      </c>
      <c r="I90" s="967">
        <v>30</v>
      </c>
      <c r="J90" s="921">
        <v>55170.6</v>
      </c>
      <c r="K90" s="929">
        <v>30</v>
      </c>
      <c r="L90" s="920" t="s">
        <v>597</v>
      </c>
      <c r="M90" s="921">
        <v>55170.6</v>
      </c>
      <c r="N90" s="960">
        <v>0</v>
      </c>
      <c r="O90" s="960">
        <v>0</v>
      </c>
      <c r="P90" s="1462">
        <v>0</v>
      </c>
      <c r="Q90" s="974">
        <v>0</v>
      </c>
      <c r="R90" s="928">
        <v>0</v>
      </c>
      <c r="S90" s="954">
        <v>0</v>
      </c>
      <c r="T90" s="928">
        <v>0</v>
      </c>
      <c r="U90" s="954">
        <f t="shared" si="11"/>
        <v>0</v>
      </c>
      <c r="V90" s="928">
        <f t="shared" si="12"/>
        <v>30</v>
      </c>
      <c r="W90" s="954">
        <f t="shared" si="13"/>
        <v>55170.6</v>
      </c>
      <c r="X90" s="933">
        <v>0</v>
      </c>
      <c r="Y90" s="933">
        <v>0</v>
      </c>
      <c r="Z90" s="934">
        <v>1</v>
      </c>
    </row>
    <row r="91" spans="1:26" ht="20.100000000000001" hidden="1" customHeight="1">
      <c r="A91" s="509">
        <v>0</v>
      </c>
      <c r="B91" s="510">
        <v>0</v>
      </c>
      <c r="C91" s="512">
        <v>6</v>
      </c>
      <c r="D91" s="513" t="s">
        <v>655</v>
      </c>
      <c r="E91" s="899">
        <v>65</v>
      </c>
      <c r="F91" s="908" t="s">
        <v>363</v>
      </c>
      <c r="G91" s="909" t="s">
        <v>360</v>
      </c>
      <c r="H91" s="960">
        <v>1542.64</v>
      </c>
      <c r="I91" s="967">
        <v>65</v>
      </c>
      <c r="J91" s="921">
        <v>100271.6</v>
      </c>
      <c r="K91" s="929">
        <v>65</v>
      </c>
      <c r="L91" s="920" t="s">
        <v>597</v>
      </c>
      <c r="M91" s="921">
        <v>100271.6</v>
      </c>
      <c r="N91" s="960">
        <v>0</v>
      </c>
      <c r="O91" s="960">
        <v>0</v>
      </c>
      <c r="P91" s="1462">
        <v>0</v>
      </c>
      <c r="Q91" s="974">
        <v>0</v>
      </c>
      <c r="R91" s="928">
        <v>0</v>
      </c>
      <c r="S91" s="954">
        <v>0</v>
      </c>
      <c r="T91" s="928">
        <v>0</v>
      </c>
      <c r="U91" s="954">
        <f t="shared" si="11"/>
        <v>0</v>
      </c>
      <c r="V91" s="928">
        <f t="shared" si="12"/>
        <v>65</v>
      </c>
      <c r="W91" s="954">
        <f t="shared" si="13"/>
        <v>100271.6</v>
      </c>
      <c r="X91" s="933">
        <v>0</v>
      </c>
      <c r="Y91" s="933">
        <v>0</v>
      </c>
      <c r="Z91" s="934">
        <v>1</v>
      </c>
    </row>
    <row r="92" spans="1:26" ht="20.100000000000001" hidden="1" customHeight="1">
      <c r="A92" s="509">
        <v>0</v>
      </c>
      <c r="B92" s="510">
        <v>0</v>
      </c>
      <c r="C92" s="512">
        <v>6</v>
      </c>
      <c r="D92" s="513" t="s">
        <v>655</v>
      </c>
      <c r="E92" s="899">
        <v>66</v>
      </c>
      <c r="F92" s="908" t="s">
        <v>364</v>
      </c>
      <c r="G92" s="909" t="s">
        <v>360</v>
      </c>
      <c r="H92" s="960">
        <v>4225.3900000000003</v>
      </c>
      <c r="I92" s="967">
        <v>2</v>
      </c>
      <c r="J92" s="921">
        <v>8450.7800000000007</v>
      </c>
      <c r="K92" s="929">
        <v>2</v>
      </c>
      <c r="L92" s="920" t="s">
        <v>597</v>
      </c>
      <c r="M92" s="921">
        <v>8450.7800000000007</v>
      </c>
      <c r="N92" s="960">
        <v>0</v>
      </c>
      <c r="O92" s="960">
        <v>0</v>
      </c>
      <c r="P92" s="1462">
        <v>0</v>
      </c>
      <c r="Q92" s="974">
        <v>0</v>
      </c>
      <c r="R92" s="928">
        <v>0</v>
      </c>
      <c r="S92" s="954">
        <v>0</v>
      </c>
      <c r="T92" s="928">
        <v>0</v>
      </c>
      <c r="U92" s="954">
        <f t="shared" si="11"/>
        <v>0</v>
      </c>
      <c r="V92" s="928">
        <f t="shared" si="12"/>
        <v>2</v>
      </c>
      <c r="W92" s="954">
        <f t="shared" si="13"/>
        <v>8450.7800000000007</v>
      </c>
      <c r="X92" s="933">
        <v>0</v>
      </c>
      <c r="Y92" s="933">
        <v>0</v>
      </c>
      <c r="Z92" s="934">
        <v>1</v>
      </c>
    </row>
    <row r="93" spans="1:26" ht="20.100000000000001" hidden="1" customHeight="1">
      <c r="A93" s="509">
        <v>0</v>
      </c>
      <c r="B93" s="510">
        <v>0</v>
      </c>
      <c r="C93" s="512">
        <v>6</v>
      </c>
      <c r="D93" s="513" t="s">
        <v>655</v>
      </c>
      <c r="E93" s="899">
        <v>67</v>
      </c>
      <c r="F93" s="908" t="s">
        <v>365</v>
      </c>
      <c r="G93" s="909" t="s">
        <v>360</v>
      </c>
      <c r="H93" s="960">
        <v>3521.48</v>
      </c>
      <c r="I93" s="967">
        <v>6</v>
      </c>
      <c r="J93" s="921">
        <v>21128.880000000001</v>
      </c>
      <c r="K93" s="929">
        <v>6</v>
      </c>
      <c r="L93" s="920" t="s">
        <v>597</v>
      </c>
      <c r="M93" s="921">
        <v>21128.880000000001</v>
      </c>
      <c r="N93" s="960">
        <v>0</v>
      </c>
      <c r="O93" s="960">
        <v>0</v>
      </c>
      <c r="P93" s="1462">
        <v>0</v>
      </c>
      <c r="Q93" s="974">
        <v>0</v>
      </c>
      <c r="R93" s="928">
        <v>0</v>
      </c>
      <c r="S93" s="954">
        <v>0</v>
      </c>
      <c r="T93" s="928">
        <v>0</v>
      </c>
      <c r="U93" s="954">
        <f t="shared" si="11"/>
        <v>0</v>
      </c>
      <c r="V93" s="928">
        <f t="shared" si="12"/>
        <v>6</v>
      </c>
      <c r="W93" s="954">
        <f t="shared" si="13"/>
        <v>21128.880000000001</v>
      </c>
      <c r="X93" s="933">
        <v>0</v>
      </c>
      <c r="Y93" s="933">
        <v>0</v>
      </c>
      <c r="Z93" s="934">
        <v>1</v>
      </c>
    </row>
    <row r="94" spans="1:26" ht="20.100000000000001" hidden="1" customHeight="1">
      <c r="A94" s="509">
        <v>0</v>
      </c>
      <c r="B94" s="510">
        <v>0</v>
      </c>
      <c r="C94" s="512">
        <v>6</v>
      </c>
      <c r="D94" s="513" t="s">
        <v>655</v>
      </c>
      <c r="E94" s="899">
        <v>68</v>
      </c>
      <c r="F94" s="908" t="s">
        <v>366</v>
      </c>
      <c r="G94" s="909" t="s">
        <v>360</v>
      </c>
      <c r="H94" s="960">
        <v>5040.4399999999996</v>
      </c>
      <c r="I94" s="967">
        <v>4</v>
      </c>
      <c r="J94" s="921">
        <v>20161.759999999998</v>
      </c>
      <c r="K94" s="929">
        <v>4</v>
      </c>
      <c r="L94" s="920" t="s">
        <v>597</v>
      </c>
      <c r="M94" s="921">
        <v>20161.759999999998</v>
      </c>
      <c r="N94" s="960">
        <v>0</v>
      </c>
      <c r="O94" s="960">
        <v>0</v>
      </c>
      <c r="P94" s="1462">
        <v>0</v>
      </c>
      <c r="Q94" s="974">
        <v>0</v>
      </c>
      <c r="R94" s="928">
        <v>0</v>
      </c>
      <c r="S94" s="954">
        <v>0</v>
      </c>
      <c r="T94" s="928">
        <v>0</v>
      </c>
      <c r="U94" s="954">
        <f t="shared" si="11"/>
        <v>0</v>
      </c>
      <c r="V94" s="928">
        <f t="shared" si="12"/>
        <v>4</v>
      </c>
      <c r="W94" s="954">
        <f t="shared" si="13"/>
        <v>20161.759999999998</v>
      </c>
      <c r="X94" s="933">
        <v>0</v>
      </c>
      <c r="Y94" s="933">
        <v>0</v>
      </c>
      <c r="Z94" s="934">
        <v>1</v>
      </c>
    </row>
    <row r="95" spans="1:26" ht="20.100000000000001" hidden="1" customHeight="1">
      <c r="A95" s="509">
        <v>0</v>
      </c>
      <c r="B95" s="510">
        <v>0</v>
      </c>
      <c r="C95" s="512">
        <v>6</v>
      </c>
      <c r="D95" s="513" t="s">
        <v>655</v>
      </c>
      <c r="E95" s="899">
        <v>69</v>
      </c>
      <c r="F95" s="908" t="s">
        <v>367</v>
      </c>
      <c r="G95" s="909" t="s">
        <v>360</v>
      </c>
      <c r="H95" s="960">
        <v>5892.53</v>
      </c>
      <c r="I95" s="967">
        <v>1</v>
      </c>
      <c r="J95" s="921">
        <v>5892.53</v>
      </c>
      <c r="K95" s="929">
        <v>1</v>
      </c>
      <c r="L95" s="920" t="s">
        <v>597</v>
      </c>
      <c r="M95" s="921">
        <v>5892.53</v>
      </c>
      <c r="N95" s="960">
        <v>0</v>
      </c>
      <c r="O95" s="960">
        <v>0</v>
      </c>
      <c r="P95" s="1462">
        <v>0</v>
      </c>
      <c r="Q95" s="974">
        <v>0</v>
      </c>
      <c r="R95" s="928">
        <v>0</v>
      </c>
      <c r="S95" s="954">
        <v>0</v>
      </c>
      <c r="T95" s="928">
        <v>0</v>
      </c>
      <c r="U95" s="954">
        <f t="shared" si="11"/>
        <v>0</v>
      </c>
      <c r="V95" s="928">
        <f t="shared" si="12"/>
        <v>1</v>
      </c>
      <c r="W95" s="954">
        <f t="shared" si="13"/>
        <v>5892.53</v>
      </c>
      <c r="X95" s="933">
        <v>0</v>
      </c>
      <c r="Y95" s="933">
        <v>0</v>
      </c>
      <c r="Z95" s="934">
        <v>1</v>
      </c>
    </row>
    <row r="96" spans="1:26" ht="20.100000000000001" hidden="1" customHeight="1">
      <c r="A96" s="509">
        <v>0</v>
      </c>
      <c r="B96" s="510">
        <v>0</v>
      </c>
      <c r="C96" s="512">
        <v>6</v>
      </c>
      <c r="D96" s="513" t="s">
        <v>655</v>
      </c>
      <c r="E96" s="899">
        <v>70</v>
      </c>
      <c r="F96" s="908" t="s">
        <v>368</v>
      </c>
      <c r="G96" s="909" t="s">
        <v>360</v>
      </c>
      <c r="H96" s="960">
        <v>5216.41</v>
      </c>
      <c r="I96" s="967">
        <v>8</v>
      </c>
      <c r="J96" s="921">
        <v>41731.279999999999</v>
      </c>
      <c r="K96" s="929">
        <v>8</v>
      </c>
      <c r="L96" s="920" t="s">
        <v>597</v>
      </c>
      <c r="M96" s="921">
        <v>41731.279999999999</v>
      </c>
      <c r="N96" s="960">
        <v>0</v>
      </c>
      <c r="O96" s="960">
        <v>0</v>
      </c>
      <c r="P96" s="1462">
        <v>0</v>
      </c>
      <c r="Q96" s="974">
        <v>0</v>
      </c>
      <c r="R96" s="928">
        <v>0</v>
      </c>
      <c r="S96" s="954">
        <v>0</v>
      </c>
      <c r="T96" s="928">
        <v>0</v>
      </c>
      <c r="U96" s="954">
        <f t="shared" si="11"/>
        <v>0</v>
      </c>
      <c r="V96" s="928">
        <f t="shared" si="12"/>
        <v>8</v>
      </c>
      <c r="W96" s="954">
        <f t="shared" si="13"/>
        <v>41731.279999999999</v>
      </c>
      <c r="X96" s="933">
        <v>0</v>
      </c>
      <c r="Y96" s="933">
        <v>0</v>
      </c>
      <c r="Z96" s="934">
        <v>1</v>
      </c>
    </row>
    <row r="97" spans="1:26" ht="20.100000000000001" hidden="1" customHeight="1">
      <c r="A97" s="509">
        <v>0</v>
      </c>
      <c r="B97" s="510">
        <v>0</v>
      </c>
      <c r="C97" s="512">
        <v>6</v>
      </c>
      <c r="D97" s="513" t="s">
        <v>655</v>
      </c>
      <c r="E97" s="899">
        <v>71</v>
      </c>
      <c r="F97" s="908" t="s">
        <v>369</v>
      </c>
      <c r="G97" s="909" t="s">
        <v>360</v>
      </c>
      <c r="H97" s="960">
        <v>2141.4499999999998</v>
      </c>
      <c r="I97" s="967">
        <v>22</v>
      </c>
      <c r="J97" s="921">
        <v>47111.9</v>
      </c>
      <c r="K97" s="929">
        <v>22</v>
      </c>
      <c r="L97" s="920" t="s">
        <v>597</v>
      </c>
      <c r="M97" s="921">
        <v>47111.9</v>
      </c>
      <c r="N97" s="960">
        <v>0</v>
      </c>
      <c r="O97" s="960">
        <v>0</v>
      </c>
      <c r="P97" s="1462">
        <v>0</v>
      </c>
      <c r="Q97" s="974">
        <v>0</v>
      </c>
      <c r="R97" s="928">
        <v>0</v>
      </c>
      <c r="S97" s="954">
        <v>0</v>
      </c>
      <c r="T97" s="928">
        <v>0</v>
      </c>
      <c r="U97" s="954">
        <f t="shared" si="11"/>
        <v>0</v>
      </c>
      <c r="V97" s="928">
        <f t="shared" si="12"/>
        <v>22</v>
      </c>
      <c r="W97" s="954">
        <f t="shared" si="13"/>
        <v>47111.899999999994</v>
      </c>
      <c r="X97" s="933">
        <v>0</v>
      </c>
      <c r="Y97" s="933">
        <v>0</v>
      </c>
      <c r="Z97" s="934">
        <v>1</v>
      </c>
    </row>
    <row r="98" spans="1:26" ht="20.100000000000001" hidden="1" customHeight="1">
      <c r="A98" s="509">
        <v>0</v>
      </c>
      <c r="B98" s="510">
        <v>0</v>
      </c>
      <c r="C98" s="512">
        <v>6</v>
      </c>
      <c r="D98" s="513" t="s">
        <v>655</v>
      </c>
      <c r="E98" s="899">
        <v>72</v>
      </c>
      <c r="F98" s="908" t="s">
        <v>370</v>
      </c>
      <c r="G98" s="909" t="s">
        <v>360</v>
      </c>
      <c r="H98" s="960">
        <v>52.22</v>
      </c>
      <c r="I98" s="967">
        <v>16875</v>
      </c>
      <c r="J98" s="921">
        <v>881212.5</v>
      </c>
      <c r="K98" s="929">
        <v>16875</v>
      </c>
      <c r="L98" s="920" t="s">
        <v>597</v>
      </c>
      <c r="M98" s="921">
        <v>881212.5</v>
      </c>
      <c r="N98" s="960">
        <v>0</v>
      </c>
      <c r="O98" s="960">
        <v>0</v>
      </c>
      <c r="P98" s="1462">
        <v>0</v>
      </c>
      <c r="Q98" s="974">
        <v>0</v>
      </c>
      <c r="R98" s="928">
        <v>0</v>
      </c>
      <c r="S98" s="954">
        <v>0</v>
      </c>
      <c r="T98" s="928">
        <v>0</v>
      </c>
      <c r="U98" s="954">
        <f t="shared" si="11"/>
        <v>0</v>
      </c>
      <c r="V98" s="928">
        <f t="shared" si="12"/>
        <v>16875</v>
      </c>
      <c r="W98" s="954">
        <f t="shared" si="13"/>
        <v>881212.5</v>
      </c>
      <c r="X98" s="933">
        <v>0</v>
      </c>
      <c r="Y98" s="933">
        <v>0</v>
      </c>
      <c r="Z98" s="934">
        <v>1</v>
      </c>
    </row>
    <row r="99" spans="1:26" ht="20.100000000000001" hidden="1" customHeight="1">
      <c r="A99" s="509">
        <v>0</v>
      </c>
      <c r="B99" s="510">
        <v>0</v>
      </c>
      <c r="C99" s="512">
        <v>6</v>
      </c>
      <c r="D99" s="513" t="s">
        <v>655</v>
      </c>
      <c r="E99" s="899">
        <v>73</v>
      </c>
      <c r="F99" s="908" t="s">
        <v>371</v>
      </c>
      <c r="G99" s="910" t="s">
        <v>89</v>
      </c>
      <c r="H99" s="979">
        <v>56.7</v>
      </c>
      <c r="I99" s="967">
        <v>109</v>
      </c>
      <c r="J99" s="921">
        <v>6180.3</v>
      </c>
      <c r="K99" s="980">
        <v>109</v>
      </c>
      <c r="L99" s="920" t="s">
        <v>597</v>
      </c>
      <c r="M99" s="982">
        <v>6180.3</v>
      </c>
      <c r="N99" s="960">
        <v>0</v>
      </c>
      <c r="O99" s="960">
        <v>0</v>
      </c>
      <c r="P99" s="1462">
        <v>0</v>
      </c>
      <c r="Q99" s="1005">
        <v>0</v>
      </c>
      <c r="R99" s="928">
        <v>0</v>
      </c>
      <c r="S99" s="954">
        <v>0</v>
      </c>
      <c r="T99" s="928">
        <v>0</v>
      </c>
      <c r="U99" s="954">
        <f t="shared" si="11"/>
        <v>0</v>
      </c>
      <c r="V99" s="928">
        <f t="shared" si="12"/>
        <v>109</v>
      </c>
      <c r="W99" s="954">
        <f t="shared" si="13"/>
        <v>6180.3</v>
      </c>
      <c r="X99" s="937">
        <v>0</v>
      </c>
      <c r="Y99" s="937">
        <v>0</v>
      </c>
      <c r="Z99" s="938">
        <v>1</v>
      </c>
    </row>
    <row r="100" spans="1:26" ht="18" customHeight="1">
      <c r="A100" s="509">
        <v>0</v>
      </c>
      <c r="B100" s="510">
        <v>0</v>
      </c>
      <c r="C100" s="512">
        <v>6</v>
      </c>
      <c r="D100" s="513"/>
      <c r="E100" s="915"/>
      <c r="F100" s="916" t="s">
        <v>355</v>
      </c>
      <c r="G100" s="1464"/>
      <c r="H100" s="1465"/>
      <c r="I100" s="1466"/>
      <c r="J100" s="1467">
        <v>12064327.41</v>
      </c>
      <c r="K100" s="1468"/>
      <c r="L100" s="1468"/>
      <c r="M100" s="1467">
        <v>12064327.41</v>
      </c>
      <c r="N100" s="1469"/>
      <c r="O100" s="1467">
        <v>0</v>
      </c>
      <c r="P100" s="1470"/>
      <c r="Q100" s="1467">
        <v>0</v>
      </c>
      <c r="R100" s="1469"/>
      <c r="S100" s="1467">
        <v>0</v>
      </c>
      <c r="T100" s="1469" t="s">
        <v>649</v>
      </c>
      <c r="U100" s="1467">
        <f>SUM(U84:U99)</f>
        <v>0</v>
      </c>
      <c r="V100" s="1470"/>
      <c r="W100" s="1467">
        <f>SUM(W84:W99)</f>
        <v>12064327.41</v>
      </c>
      <c r="X100" s="945">
        <v>0</v>
      </c>
      <c r="Y100" s="946">
        <v>0</v>
      </c>
      <c r="Z100" s="947">
        <v>1</v>
      </c>
    </row>
    <row r="101" spans="1:26" ht="18" hidden="1" customHeight="1">
      <c r="A101" s="509">
        <v>0</v>
      </c>
      <c r="B101" s="510">
        <v>0</v>
      </c>
      <c r="C101" s="512">
        <v>6</v>
      </c>
      <c r="D101" s="513"/>
      <c r="E101" s="915">
        <v>6</v>
      </c>
      <c r="F101" s="916" t="s">
        <v>241</v>
      </c>
      <c r="G101" s="917"/>
      <c r="H101" s="917"/>
      <c r="I101" s="983"/>
      <c r="J101" s="983"/>
      <c r="K101" s="983"/>
      <c r="L101" s="983"/>
      <c r="M101" s="983"/>
      <c r="N101" s="1471"/>
      <c r="O101" s="1471"/>
      <c r="P101" s="1471"/>
      <c r="Q101" s="1471"/>
      <c r="R101" s="1471"/>
      <c r="S101" s="1471"/>
      <c r="T101" s="1471" t="s">
        <v>649</v>
      </c>
      <c r="U101" s="1471"/>
      <c r="V101" s="1471"/>
      <c r="W101" s="1471"/>
      <c r="X101" s="950"/>
      <c r="Y101" s="950"/>
      <c r="Z101" s="985"/>
    </row>
    <row r="102" spans="1:26" s="1350" customFormat="1" ht="20.100000000000001" hidden="1" customHeight="1">
      <c r="A102" s="1344">
        <v>7</v>
      </c>
      <c r="B102" s="1345">
        <v>1</v>
      </c>
      <c r="C102" s="1346">
        <v>7</v>
      </c>
      <c r="D102" s="1347" t="s">
        <v>656</v>
      </c>
      <c r="E102" s="899">
        <v>74</v>
      </c>
      <c r="F102" s="908" t="s">
        <v>241</v>
      </c>
      <c r="G102" s="1356" t="s">
        <v>91</v>
      </c>
      <c r="H102" s="960">
        <v>1018905.14</v>
      </c>
      <c r="I102" s="967">
        <v>1</v>
      </c>
      <c r="J102" s="921">
        <v>1018905.14</v>
      </c>
      <c r="K102" s="967">
        <v>1</v>
      </c>
      <c r="L102" s="1481" t="s">
        <v>597</v>
      </c>
      <c r="M102" s="921">
        <v>1018905.14</v>
      </c>
      <c r="N102" s="967">
        <v>0.05</v>
      </c>
      <c r="O102" s="967">
        <v>50945.259999999995</v>
      </c>
      <c r="P102" s="1462">
        <v>0.03</v>
      </c>
      <c r="Q102" s="1005">
        <v>30567.15</v>
      </c>
      <c r="R102" s="928">
        <v>0.08</v>
      </c>
      <c r="S102" s="954">
        <v>81512.41</v>
      </c>
      <c r="T102" s="928">
        <v>0.15</v>
      </c>
      <c r="U102" s="954">
        <f t="shared" ref="U102" si="14">T102*H102</f>
        <v>152835.77100000001</v>
      </c>
      <c r="V102" s="928">
        <f t="shared" ref="V102" si="15">K102-T102-R102</f>
        <v>0.77</v>
      </c>
      <c r="W102" s="954">
        <f t="shared" ref="W102" si="16">V102*H102</f>
        <v>784556.95779999997</v>
      </c>
      <c r="X102" s="937">
        <v>2.9999995877928343E-2</v>
      </c>
      <c r="Y102" s="937">
        <v>7.9999998822265245E-2</v>
      </c>
      <c r="Z102" s="938">
        <v>0.92000000117773473</v>
      </c>
    </row>
    <row r="103" spans="1:26" ht="18" customHeight="1">
      <c r="A103" s="509">
        <v>0</v>
      </c>
      <c r="B103" s="510">
        <v>0</v>
      </c>
      <c r="C103" s="512">
        <v>7</v>
      </c>
      <c r="D103" s="513"/>
      <c r="E103" s="915"/>
      <c r="F103" s="916" t="s">
        <v>241</v>
      </c>
      <c r="G103" s="1464"/>
      <c r="H103" s="1465"/>
      <c r="I103" s="1466"/>
      <c r="J103" s="1467">
        <v>1018905.14</v>
      </c>
      <c r="K103" s="1468"/>
      <c r="L103" s="1468"/>
      <c r="M103" s="1467">
        <v>1018905.14</v>
      </c>
      <c r="N103" s="1469"/>
      <c r="O103" s="1467">
        <v>50945.259999999995</v>
      </c>
      <c r="P103" s="1470"/>
      <c r="Q103" s="1467">
        <v>30567.15</v>
      </c>
      <c r="R103" s="1469"/>
      <c r="S103" s="1467">
        <v>81512.41</v>
      </c>
      <c r="T103" s="1469"/>
      <c r="U103" s="1467">
        <f>SUM(U102)</f>
        <v>152835.77100000001</v>
      </c>
      <c r="V103" s="1470"/>
      <c r="W103" s="1467">
        <f>SUM(W102)</f>
        <v>784556.95779999997</v>
      </c>
      <c r="X103" s="945">
        <v>2.9999995877928343E-2</v>
      </c>
      <c r="Y103" s="946">
        <v>7.9999998822265245E-2</v>
      </c>
      <c r="Z103" s="947">
        <v>0.92000000117773473</v>
      </c>
    </row>
    <row r="104" spans="1:26" ht="18" hidden="1" customHeight="1">
      <c r="A104" s="509">
        <v>0</v>
      </c>
      <c r="B104" s="510">
        <v>0</v>
      </c>
      <c r="C104" s="512">
        <v>7</v>
      </c>
      <c r="D104" s="513"/>
      <c r="E104" s="915">
        <v>7</v>
      </c>
      <c r="F104" s="916" t="s">
        <v>372</v>
      </c>
      <c r="G104" s="917"/>
      <c r="H104" s="917"/>
      <c r="I104" s="983"/>
      <c r="J104" s="983"/>
      <c r="K104" s="983"/>
      <c r="L104" s="983"/>
      <c r="M104" s="983"/>
      <c r="N104" s="1471"/>
      <c r="O104" s="1471"/>
      <c r="P104" s="1471"/>
      <c r="Q104" s="1471"/>
      <c r="R104" s="1471"/>
      <c r="S104" s="1471"/>
      <c r="T104" s="1471" t="s">
        <v>649</v>
      </c>
      <c r="U104" s="1471"/>
      <c r="V104" s="1471"/>
      <c r="W104" s="1471"/>
      <c r="X104" s="950"/>
      <c r="Y104" s="950"/>
      <c r="Z104" s="985"/>
    </row>
    <row r="105" spans="1:26" s="1350" customFormat="1" ht="20.100000000000001" hidden="1" customHeight="1">
      <c r="A105" s="1344">
        <v>8</v>
      </c>
      <c r="B105" s="1345">
        <v>1</v>
      </c>
      <c r="C105" s="1346">
        <v>8</v>
      </c>
      <c r="D105" s="1347" t="s">
        <v>657</v>
      </c>
      <c r="E105" s="899">
        <v>75</v>
      </c>
      <c r="F105" s="908" t="s">
        <v>373</v>
      </c>
      <c r="G105" s="900" t="s">
        <v>239</v>
      </c>
      <c r="H105" s="963">
        <v>49.55</v>
      </c>
      <c r="I105" s="971">
        <v>11316.9</v>
      </c>
      <c r="J105" s="953">
        <v>560752.4</v>
      </c>
      <c r="K105" s="919">
        <v>11316.9</v>
      </c>
      <c r="L105" s="1357" t="s">
        <v>597</v>
      </c>
      <c r="M105" s="921">
        <v>560752.4</v>
      </c>
      <c r="N105" s="960">
        <v>446.4</v>
      </c>
      <c r="O105" s="960">
        <v>22119.119999999999</v>
      </c>
      <c r="P105" s="1462">
        <v>122.4</v>
      </c>
      <c r="Q105" s="1461">
        <v>6064.92</v>
      </c>
      <c r="R105" s="928">
        <v>568.79999999999995</v>
      </c>
      <c r="S105" s="954">
        <v>28184.04</v>
      </c>
      <c r="T105" s="928">
        <v>300</v>
      </c>
      <c r="U105" s="954">
        <f t="shared" ref="U105:U110" si="17">T105*H105</f>
        <v>14865</v>
      </c>
      <c r="V105" s="928">
        <f t="shared" ref="V105:V110" si="18">K105-T105-R105</f>
        <v>10448.1</v>
      </c>
      <c r="W105" s="954">
        <f t="shared" ref="W105:W110" si="19">V105*H105</f>
        <v>517703.35499999998</v>
      </c>
      <c r="X105" s="933">
        <v>1.0815682643533938E-2</v>
      </c>
      <c r="Y105" s="933">
        <v>5.0261113461128298E-2</v>
      </c>
      <c r="Z105" s="934">
        <v>0.94973888653887173</v>
      </c>
    </row>
    <row r="106" spans="1:26" s="1350" customFormat="1" ht="20.100000000000001" hidden="1" customHeight="1">
      <c r="A106" s="1344">
        <v>0</v>
      </c>
      <c r="B106" s="1345">
        <v>0</v>
      </c>
      <c r="C106" s="1346">
        <v>8</v>
      </c>
      <c r="D106" s="1347" t="s">
        <v>657</v>
      </c>
      <c r="E106" s="899">
        <v>76</v>
      </c>
      <c r="F106" s="908" t="s">
        <v>374</v>
      </c>
      <c r="G106" s="909" t="s">
        <v>360</v>
      </c>
      <c r="H106" s="960">
        <v>527727.62</v>
      </c>
      <c r="I106" s="967">
        <v>1</v>
      </c>
      <c r="J106" s="921">
        <v>527727.62</v>
      </c>
      <c r="K106" s="929">
        <v>1</v>
      </c>
      <c r="L106" s="988" t="s">
        <v>597</v>
      </c>
      <c r="M106" s="921">
        <v>527727.62</v>
      </c>
      <c r="N106" s="960">
        <v>0</v>
      </c>
      <c r="O106" s="960">
        <v>0</v>
      </c>
      <c r="P106" s="1462">
        <v>0</v>
      </c>
      <c r="Q106" s="974">
        <v>0</v>
      </c>
      <c r="R106" s="928">
        <v>0</v>
      </c>
      <c r="S106" s="954">
        <v>0</v>
      </c>
      <c r="T106" s="928">
        <v>0</v>
      </c>
      <c r="U106" s="954">
        <f t="shared" si="17"/>
        <v>0</v>
      </c>
      <c r="V106" s="928">
        <f t="shared" si="18"/>
        <v>1</v>
      </c>
      <c r="W106" s="954">
        <f t="shared" si="19"/>
        <v>527727.62</v>
      </c>
      <c r="X106" s="933">
        <v>0</v>
      </c>
      <c r="Y106" s="933">
        <v>0</v>
      </c>
      <c r="Z106" s="934">
        <v>1</v>
      </c>
    </row>
    <row r="107" spans="1:26" s="1350" customFormat="1" ht="20.100000000000001" hidden="1" customHeight="1">
      <c r="A107" s="1344">
        <v>0</v>
      </c>
      <c r="B107" s="1345">
        <v>0</v>
      </c>
      <c r="C107" s="1346">
        <v>8</v>
      </c>
      <c r="D107" s="1347" t="s">
        <v>657</v>
      </c>
      <c r="E107" s="899">
        <v>77</v>
      </c>
      <c r="F107" s="908" t="s">
        <v>375</v>
      </c>
      <c r="G107" s="909" t="s">
        <v>360</v>
      </c>
      <c r="H107" s="960">
        <v>277857.94</v>
      </c>
      <c r="I107" s="967">
        <v>2</v>
      </c>
      <c r="J107" s="921">
        <v>555715.88</v>
      </c>
      <c r="K107" s="929">
        <v>2</v>
      </c>
      <c r="L107" s="988" t="s">
        <v>597</v>
      </c>
      <c r="M107" s="921">
        <v>555715.88</v>
      </c>
      <c r="N107" s="960">
        <v>0</v>
      </c>
      <c r="O107" s="960">
        <v>0</v>
      </c>
      <c r="P107" s="1462">
        <v>0</v>
      </c>
      <c r="Q107" s="974">
        <v>0</v>
      </c>
      <c r="R107" s="928">
        <v>0</v>
      </c>
      <c r="S107" s="954">
        <v>0</v>
      </c>
      <c r="T107" s="928">
        <v>0</v>
      </c>
      <c r="U107" s="954">
        <f t="shared" si="17"/>
        <v>0</v>
      </c>
      <c r="V107" s="928">
        <f t="shared" si="18"/>
        <v>2</v>
      </c>
      <c r="W107" s="954">
        <f t="shared" si="19"/>
        <v>555715.88</v>
      </c>
      <c r="X107" s="933">
        <v>0</v>
      </c>
      <c r="Y107" s="933">
        <v>0</v>
      </c>
      <c r="Z107" s="934">
        <v>1</v>
      </c>
    </row>
    <row r="108" spans="1:26" s="1350" customFormat="1" ht="20.100000000000001" hidden="1" customHeight="1">
      <c r="A108" s="1344">
        <v>9</v>
      </c>
      <c r="B108" s="1345">
        <v>1</v>
      </c>
      <c r="C108" s="1346">
        <v>9</v>
      </c>
      <c r="D108" s="1347" t="s">
        <v>657</v>
      </c>
      <c r="E108" s="899">
        <v>78</v>
      </c>
      <c r="F108" s="908" t="s">
        <v>376</v>
      </c>
      <c r="G108" s="909" t="s">
        <v>240</v>
      </c>
      <c r="H108" s="960">
        <v>1535.17</v>
      </c>
      <c r="I108" s="967">
        <v>18</v>
      </c>
      <c r="J108" s="921">
        <v>27633.06</v>
      </c>
      <c r="K108" s="929">
        <v>18</v>
      </c>
      <c r="L108" s="988" t="s">
        <v>597</v>
      </c>
      <c r="M108" s="921">
        <v>27633.06</v>
      </c>
      <c r="N108" s="960">
        <v>8</v>
      </c>
      <c r="O108" s="960">
        <v>12281.36</v>
      </c>
      <c r="P108" s="1462">
        <v>2</v>
      </c>
      <c r="Q108" s="974">
        <v>3070.34</v>
      </c>
      <c r="R108" s="928">
        <v>10</v>
      </c>
      <c r="S108" s="954">
        <v>15351.7</v>
      </c>
      <c r="T108" s="928">
        <v>4</v>
      </c>
      <c r="U108" s="954">
        <f t="shared" si="17"/>
        <v>6140.68</v>
      </c>
      <c r="V108" s="928">
        <f t="shared" si="18"/>
        <v>4</v>
      </c>
      <c r="W108" s="954">
        <f t="shared" si="19"/>
        <v>6140.68</v>
      </c>
      <c r="X108" s="933">
        <v>0.1111111111111111</v>
      </c>
      <c r="Y108" s="933">
        <v>0.55555555555555558</v>
      </c>
      <c r="Z108" s="934">
        <v>0.44444444444444442</v>
      </c>
    </row>
    <row r="109" spans="1:26" s="1350" customFormat="1" ht="20.100000000000001" hidden="1" customHeight="1">
      <c r="A109" s="1344">
        <v>10</v>
      </c>
      <c r="B109" s="1345">
        <v>1</v>
      </c>
      <c r="C109" s="1346">
        <v>10</v>
      </c>
      <c r="D109" s="1347" t="s">
        <v>657</v>
      </c>
      <c r="E109" s="899">
        <v>79</v>
      </c>
      <c r="F109" s="908" t="s">
        <v>377</v>
      </c>
      <c r="G109" s="909" t="s">
        <v>421</v>
      </c>
      <c r="H109" s="960">
        <v>15.2</v>
      </c>
      <c r="I109" s="967">
        <v>33004.019999999997</v>
      </c>
      <c r="J109" s="921">
        <v>501661.1</v>
      </c>
      <c r="K109" s="929">
        <v>33004.019999999997</v>
      </c>
      <c r="L109" s="988" t="s">
        <v>597</v>
      </c>
      <c r="M109" s="921">
        <v>501661.1</v>
      </c>
      <c r="N109" s="960">
        <v>1909.12</v>
      </c>
      <c r="O109" s="960">
        <v>29018.620000000003</v>
      </c>
      <c r="P109" s="1462">
        <v>583.05999999999995</v>
      </c>
      <c r="Q109" s="974">
        <v>8862.51</v>
      </c>
      <c r="R109" s="928">
        <v>2492.1799999999998</v>
      </c>
      <c r="S109" s="954">
        <v>37881.130000000005</v>
      </c>
      <c r="T109" s="928">
        <v>1180</v>
      </c>
      <c r="U109" s="954">
        <f t="shared" si="17"/>
        <v>17936</v>
      </c>
      <c r="V109" s="928">
        <f t="shared" si="18"/>
        <v>29331.839999999997</v>
      </c>
      <c r="W109" s="954">
        <f t="shared" si="19"/>
        <v>445843.96799999994</v>
      </c>
      <c r="X109" s="933">
        <v>1.7666328922055149E-2</v>
      </c>
      <c r="Y109" s="933">
        <v>7.5511396040075673E-2</v>
      </c>
      <c r="Z109" s="934">
        <v>0.92448860395992427</v>
      </c>
    </row>
    <row r="110" spans="1:26" s="1350" customFormat="1" ht="20.100000000000001" hidden="1" customHeight="1">
      <c r="A110" s="1344">
        <v>0</v>
      </c>
      <c r="B110" s="1345">
        <v>0</v>
      </c>
      <c r="C110" s="1346">
        <v>10</v>
      </c>
      <c r="D110" s="1347" t="s">
        <v>657</v>
      </c>
      <c r="E110" s="911">
        <v>80</v>
      </c>
      <c r="F110" s="912" t="s">
        <v>378</v>
      </c>
      <c r="G110" s="913" t="s">
        <v>379</v>
      </c>
      <c r="H110" s="968">
        <v>139.30000000000001</v>
      </c>
      <c r="I110" s="987">
        <v>540</v>
      </c>
      <c r="J110" s="970">
        <v>75222</v>
      </c>
      <c r="K110" s="969">
        <v>540</v>
      </c>
      <c r="L110" s="989" t="s">
        <v>597</v>
      </c>
      <c r="M110" s="970">
        <v>75222</v>
      </c>
      <c r="N110" s="968">
        <v>0</v>
      </c>
      <c r="O110" s="968">
        <v>0</v>
      </c>
      <c r="P110" s="1462">
        <v>0</v>
      </c>
      <c r="Q110" s="1247">
        <v>0</v>
      </c>
      <c r="R110" s="928">
        <v>0</v>
      </c>
      <c r="S110" s="954">
        <v>0</v>
      </c>
      <c r="T110" s="928">
        <v>0</v>
      </c>
      <c r="U110" s="954">
        <f t="shared" si="17"/>
        <v>0</v>
      </c>
      <c r="V110" s="928">
        <f t="shared" si="18"/>
        <v>540</v>
      </c>
      <c r="W110" s="954">
        <f t="shared" si="19"/>
        <v>75222</v>
      </c>
      <c r="X110" s="937">
        <v>0</v>
      </c>
      <c r="Y110" s="937">
        <v>0</v>
      </c>
      <c r="Z110" s="938">
        <v>1</v>
      </c>
    </row>
    <row r="111" spans="1:26" ht="18" customHeight="1">
      <c r="A111" s="509"/>
      <c r="B111" s="510"/>
      <c r="C111" s="512"/>
      <c r="D111" s="513"/>
      <c r="E111" s="915"/>
      <c r="F111" s="916" t="s">
        <v>372</v>
      </c>
      <c r="G111" s="1464"/>
      <c r="H111" s="1465"/>
      <c r="I111" s="1466"/>
      <c r="J111" s="1467">
        <f>SUM(J105:J110)</f>
        <v>2248712.06</v>
      </c>
      <c r="K111" s="1468"/>
      <c r="L111" s="1468"/>
      <c r="M111" s="1467">
        <f>SUM(M105:M110)</f>
        <v>2248712.06</v>
      </c>
      <c r="N111" s="1469"/>
      <c r="O111" s="1467">
        <v>63419.1</v>
      </c>
      <c r="P111" s="1470"/>
      <c r="Q111" s="1467">
        <v>17997.77</v>
      </c>
      <c r="R111" s="1469"/>
      <c r="S111" s="1467">
        <f>SUM(S105:S110)</f>
        <v>81416.87000000001</v>
      </c>
      <c r="T111" s="1469"/>
      <c r="U111" s="1467">
        <f>SUM(U105:U110)</f>
        <v>38941.68</v>
      </c>
      <c r="V111" s="1470"/>
      <c r="W111" s="1467">
        <f>SUM(W105:W110)</f>
        <v>2128353.5029999996</v>
      </c>
      <c r="X111" s="945">
        <v>8.0035902862547904E-3</v>
      </c>
      <c r="Y111" s="946">
        <v>3.6206000513911957E-2</v>
      </c>
      <c r="Z111" s="947">
        <v>0.96379399948608802</v>
      </c>
    </row>
    <row r="112" spans="1:26" ht="14.25" hidden="1">
      <c r="A112" s="509"/>
      <c r="B112" s="510"/>
      <c r="C112" s="512"/>
      <c r="D112" s="513"/>
      <c r="E112" s="3"/>
      <c r="F112" s="307" t="s">
        <v>219</v>
      </c>
      <c r="G112" s="884"/>
      <c r="H112" s="885"/>
      <c r="I112" s="886"/>
      <c r="J112" s="887"/>
      <c r="K112" s="888"/>
      <c r="L112" s="888"/>
      <c r="M112" s="889"/>
      <c r="N112" s="1482"/>
      <c r="O112" s="1482"/>
      <c r="P112" s="1483"/>
      <c r="Q112" s="1482"/>
      <c r="R112" s="1483"/>
      <c r="S112" s="1484"/>
      <c r="T112" s="1483"/>
      <c r="U112" s="1484"/>
      <c r="V112" s="1485"/>
      <c r="W112" s="1482"/>
      <c r="X112" s="894"/>
      <c r="Y112" s="895"/>
      <c r="Z112" s="896"/>
    </row>
    <row r="113" spans="1:26" s="1358" customFormat="1" ht="18" customHeight="1">
      <c r="D113" s="1347"/>
      <c r="E113" s="1486"/>
      <c r="F113" s="1487" t="s">
        <v>6</v>
      </c>
      <c r="G113" s="1488"/>
      <c r="H113" s="1488"/>
      <c r="I113" s="1829">
        <f>J111+J103+J100+J82+J39+J31+J13</f>
        <v>108397839.64</v>
      </c>
      <c r="J113" s="1828"/>
      <c r="K113" s="1489"/>
      <c r="L113" s="1829">
        <f>M111+M103+M100+M82+M39+M31+M13</f>
        <v>106631000.67</v>
      </c>
      <c r="M113" s="1828"/>
      <c r="N113" s="1827">
        <v>4270358.2499999991</v>
      </c>
      <c r="O113" s="1828"/>
      <c r="P113" s="1827">
        <v>1766556.24</v>
      </c>
      <c r="Q113" s="1828"/>
      <c r="R113" s="1827">
        <f>S111+S103+S100+S82+S39+S31+S13</f>
        <v>6036914.4900000012</v>
      </c>
      <c r="S113" s="1828"/>
      <c r="T113" s="1827">
        <f>U111+U103+U100+U82+U39+U31+U13-5</f>
        <v>23006488.933499999</v>
      </c>
      <c r="U113" s="1828"/>
      <c r="V113" s="1827">
        <f>W111+W103+W100+W82+W39+W31+W13</f>
        <v>77587597.261100009</v>
      </c>
      <c r="W113" s="1828"/>
      <c r="X113" s="1359">
        <v>1.6567004237980579E-2</v>
      </c>
      <c r="Y113" s="1360">
        <v>5.6615003629975791E-2</v>
      </c>
      <c r="Z113" s="1361">
        <v>0.79592219427870059</v>
      </c>
    </row>
    <row r="114" spans="1:26" s="33" customFormat="1" ht="12.75" customHeight="1">
      <c r="A114" s="1"/>
      <c r="B114" s="1"/>
      <c r="C114" s="1"/>
      <c r="D114" s="1"/>
      <c r="E114" s="2"/>
      <c r="F114" s="1"/>
      <c r="G114" s="2"/>
      <c r="H114" s="2"/>
      <c r="I114" s="2"/>
      <c r="J114" s="16"/>
      <c r="K114" s="389"/>
      <c r="L114" s="389"/>
      <c r="M114" s="389"/>
      <c r="N114" s="16"/>
      <c r="O114" s="220"/>
      <c r="P114" s="282"/>
      <c r="Q114" s="16"/>
      <c r="R114" s="16"/>
      <c r="S114" s="16"/>
      <c r="T114" s="16"/>
      <c r="U114" s="16"/>
      <c r="V114" s="220"/>
      <c r="W114" s="281"/>
      <c r="X114" s="16"/>
      <c r="Y114" s="16"/>
      <c r="Z114" s="16"/>
    </row>
    <row r="115" spans="1:26" s="33" customFormat="1" ht="12.75" customHeight="1">
      <c r="A115" s="1"/>
      <c r="B115" s="1"/>
      <c r="C115" s="1"/>
      <c r="D115" s="1"/>
      <c r="E115" s="2"/>
      <c r="F115" s="1"/>
      <c r="G115" s="2"/>
      <c r="H115" s="2"/>
      <c r="I115" s="2"/>
      <c r="J115" s="16"/>
      <c r="K115" s="390"/>
      <c r="L115" s="390"/>
      <c r="M115" s="390"/>
      <c r="N115" s="16"/>
      <c r="O115" s="16"/>
      <c r="P115" s="16"/>
      <c r="Q115" s="16"/>
      <c r="R115" s="16"/>
      <c r="S115" s="283"/>
      <c r="T115" s="283"/>
      <c r="U115" s="283"/>
      <c r="V115" s="281"/>
      <c r="W115" s="16"/>
      <c r="X115" s="16"/>
      <c r="Y115" s="16"/>
      <c r="Z115" s="16"/>
    </row>
    <row r="116" spans="1:26" s="33" customFormat="1" ht="12.75" customHeight="1">
      <c r="A116" s="1"/>
      <c r="B116" s="1"/>
      <c r="C116" s="1"/>
      <c r="D116" s="1"/>
      <c r="E116" s="2"/>
      <c r="F116" s="1"/>
      <c r="G116" s="2"/>
      <c r="H116" s="2"/>
      <c r="I116" s="2"/>
      <c r="J116" s="16"/>
      <c r="K116" s="391"/>
      <c r="L116" s="391"/>
      <c r="M116" s="391"/>
      <c r="N116" s="16"/>
      <c r="O116" s="16"/>
      <c r="P116" s="16"/>
      <c r="Q116" s="282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s="33" customFormat="1" ht="12.75" customHeight="1">
      <c r="A117" s="1"/>
      <c r="B117" s="1"/>
      <c r="C117" s="1"/>
      <c r="D117" s="1"/>
      <c r="E117" s="2"/>
      <c r="F117" s="1"/>
      <c r="G117" s="2"/>
      <c r="H117" s="2"/>
      <c r="I117" s="2"/>
      <c r="J117" s="16"/>
      <c r="K117" s="16"/>
      <c r="L117" s="16"/>
      <c r="M117" s="16"/>
      <c r="N117" s="16"/>
      <c r="O117" s="16"/>
      <c r="P117" s="16"/>
      <c r="Q117" s="282"/>
      <c r="R117" s="16"/>
      <c r="S117" s="282"/>
      <c r="T117" s="282"/>
      <c r="U117" s="282"/>
      <c r="V117" s="16"/>
      <c r="W117" s="16"/>
      <c r="X117" s="16"/>
      <c r="Y117" s="16"/>
      <c r="Z117" s="16"/>
    </row>
    <row r="118" spans="1:26" s="33" customFormat="1" ht="12.75" customHeight="1">
      <c r="A118" s="1"/>
      <c r="B118" s="1"/>
      <c r="C118" s="1"/>
      <c r="D118" s="1"/>
      <c r="E118" s="2"/>
      <c r="F118" s="1"/>
      <c r="G118" s="2"/>
      <c r="H118" s="2"/>
      <c r="I118" s="2"/>
      <c r="J118" s="16"/>
      <c r="K118" s="16"/>
      <c r="L118" s="16"/>
      <c r="M118" s="16"/>
      <c r="N118" s="16"/>
      <c r="O118" s="16"/>
      <c r="P118" s="16"/>
      <c r="Q118" s="282"/>
      <c r="R118" s="283"/>
      <c r="S118" s="390"/>
      <c r="T118" s="390"/>
      <c r="U118" s="390"/>
      <c r="V118" s="16"/>
      <c r="W118" s="16"/>
      <c r="X118" s="16"/>
      <c r="Y118" s="16"/>
      <c r="Z118" s="16"/>
    </row>
    <row r="119" spans="1:26" s="33" customFormat="1" ht="12.75" customHeight="1">
      <c r="A119" s="1"/>
      <c r="B119" s="1"/>
      <c r="C119" s="1"/>
      <c r="D119" s="1"/>
      <c r="E119" s="2"/>
      <c r="F119" s="1"/>
      <c r="G119" s="2"/>
      <c r="H119" s="2"/>
      <c r="I119" s="2"/>
      <c r="J119" s="16"/>
      <c r="K119" s="16"/>
      <c r="L119" s="16"/>
      <c r="M119" s="16"/>
      <c r="N119" s="16"/>
      <c r="O119" s="16"/>
      <c r="P119" s="16"/>
      <c r="Q119" s="282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s="33" customFormat="1" ht="12.75" customHeight="1">
      <c r="A120" s="1"/>
      <c r="B120" s="1"/>
      <c r="C120" s="1"/>
      <c r="D120" s="1"/>
      <c r="E120" s="2"/>
      <c r="F120" s="1"/>
      <c r="G120" s="2"/>
      <c r="H120" s="2"/>
      <c r="I120" s="2"/>
      <c r="J120" s="16"/>
      <c r="K120" s="16"/>
      <c r="L120" s="16"/>
      <c r="M120" s="16"/>
      <c r="N120" s="16"/>
      <c r="O120" s="16"/>
      <c r="P120" s="16"/>
      <c r="Q120" s="282"/>
      <c r="R120" s="16"/>
      <c r="S120" s="282"/>
      <c r="T120" s="282"/>
      <c r="U120" s="282"/>
      <c r="V120" s="16"/>
      <c r="W120" s="16"/>
      <c r="X120" s="16"/>
      <c r="Y120" s="16"/>
      <c r="Z120" s="16"/>
    </row>
    <row r="121" spans="1:26" s="33" customFormat="1" ht="12.75" customHeight="1">
      <c r="A121" s="1"/>
      <c r="B121" s="1"/>
      <c r="C121" s="1"/>
      <c r="D121" s="1"/>
      <c r="E121" s="2"/>
      <c r="F121" s="1"/>
      <c r="G121" s="2"/>
      <c r="H121" s="2"/>
      <c r="I121" s="2"/>
      <c r="J121" s="16"/>
      <c r="K121" s="16"/>
      <c r="L121" s="16"/>
      <c r="M121" s="16"/>
      <c r="N121" s="16"/>
      <c r="O121" s="16"/>
      <c r="P121" s="16"/>
      <c r="Q121" s="220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s="33" customFormat="1" ht="12.75" customHeight="1">
      <c r="A122" s="1"/>
      <c r="B122" s="1"/>
      <c r="C122" s="1"/>
      <c r="D122" s="1"/>
      <c r="E122" s="2"/>
      <c r="F122" s="1"/>
      <c r="G122" s="2"/>
      <c r="H122" s="2"/>
      <c r="I122" s="2"/>
      <c r="J122" s="16"/>
      <c r="K122" s="16"/>
      <c r="L122" s="16"/>
      <c r="M122" s="16"/>
      <c r="N122" s="16"/>
      <c r="O122" s="16"/>
      <c r="P122" s="16"/>
      <c r="Q122" s="220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s="33" customFormat="1" ht="12.75" customHeight="1">
      <c r="A123" s="1"/>
      <c r="B123" s="1"/>
      <c r="C123" s="1"/>
      <c r="D123" s="1"/>
      <c r="E123" s="2"/>
      <c r="F123" s="1"/>
      <c r="G123" s="2"/>
      <c r="H123" s="2"/>
      <c r="I123" s="2"/>
      <c r="J123" s="16"/>
      <c r="K123" s="16"/>
      <c r="L123" s="16"/>
      <c r="M123" s="16"/>
      <c r="N123" s="16"/>
      <c r="O123" s="282"/>
      <c r="P123" s="16"/>
      <c r="Q123" s="282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s="33" customFormat="1" ht="12.75" customHeight="1">
      <c r="A124" s="1"/>
      <c r="B124" s="1"/>
      <c r="C124" s="1"/>
      <c r="D124" s="1"/>
      <c r="E124" s="2"/>
      <c r="F124" s="1"/>
      <c r="G124" s="2"/>
      <c r="H124" s="2"/>
      <c r="I124" s="2"/>
      <c r="J124" s="16"/>
      <c r="K124" s="16"/>
      <c r="L124" s="16"/>
      <c r="M124" s="16"/>
      <c r="N124" s="16"/>
      <c r="O124" s="16"/>
      <c r="P124" s="16"/>
      <c r="Q124" s="282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s="33" customFormat="1" ht="12.75" customHeight="1">
      <c r="A125" s="1"/>
      <c r="B125" s="1"/>
      <c r="C125" s="1"/>
      <c r="D125" s="1"/>
      <c r="E125" s="2"/>
      <c r="F125" s="1"/>
      <c r="G125" s="2"/>
      <c r="H125" s="2"/>
      <c r="I125" s="2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s="33" customFormat="1" ht="12.75" customHeight="1">
      <c r="A126" s="1"/>
      <c r="B126" s="1"/>
      <c r="C126" s="1"/>
      <c r="D126" s="1"/>
      <c r="E126" s="2"/>
      <c r="F126" s="1"/>
      <c r="G126" s="2"/>
      <c r="H126" s="2"/>
      <c r="I126" s="2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s="33" customFormat="1" ht="12.75" customHeight="1">
      <c r="A127" s="1"/>
      <c r="B127" s="1"/>
      <c r="C127" s="1"/>
      <c r="D127" s="1"/>
      <c r="E127" s="2"/>
      <c r="F127" s="1"/>
      <c r="G127" s="2"/>
      <c r="H127" s="2"/>
      <c r="I127" s="2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s="33" customFormat="1" ht="12.75" customHeight="1">
      <c r="A128" s="1"/>
      <c r="B128" s="1"/>
      <c r="C128" s="1"/>
      <c r="D128" s="1"/>
      <c r="E128" s="2"/>
      <c r="F128" s="1"/>
      <c r="G128" s="2"/>
      <c r="H128" s="2"/>
      <c r="I128" s="2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s="33" customFormat="1" ht="12.75" customHeight="1">
      <c r="A129" s="1"/>
      <c r="B129" s="1"/>
      <c r="C129" s="1"/>
      <c r="D129" s="1"/>
      <c r="E129" s="2"/>
      <c r="F129" s="1"/>
      <c r="G129" s="2"/>
      <c r="H129" s="2"/>
      <c r="I129" s="2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s="33" customFormat="1" ht="12.75" customHeight="1">
      <c r="A130" s="1"/>
      <c r="B130" s="1"/>
      <c r="C130" s="1"/>
      <c r="D130" s="1"/>
      <c r="E130" s="2"/>
      <c r="F130" s="1"/>
      <c r="G130" s="2"/>
      <c r="H130" s="2"/>
      <c r="I130" s="2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s="33" customFormat="1" ht="12.75" customHeight="1">
      <c r="A131" s="1"/>
      <c r="B131" s="1"/>
      <c r="C131" s="1"/>
      <c r="D131" s="1"/>
      <c r="E131" s="2"/>
      <c r="F131" s="1"/>
      <c r="G131" s="2"/>
      <c r="H131" s="2"/>
      <c r="I131" s="2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s="33" customFormat="1" ht="12.75" customHeight="1">
      <c r="A132" s="1"/>
      <c r="B132" s="1"/>
      <c r="C132" s="1"/>
      <c r="D132" s="1"/>
      <c r="E132" s="2"/>
      <c r="F132" s="1"/>
      <c r="G132" s="2"/>
      <c r="H132" s="2"/>
      <c r="I132" s="2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s="33" customFormat="1" ht="12.75" customHeight="1">
      <c r="A133" s="1"/>
      <c r="B133" s="1"/>
      <c r="C133" s="1"/>
      <c r="D133" s="1"/>
      <c r="E133" s="2"/>
      <c r="F133" s="1"/>
      <c r="G133" s="2"/>
      <c r="H133" s="2"/>
      <c r="I133" s="2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s="33" customFormat="1" ht="12.75" customHeight="1">
      <c r="A134" s="1"/>
      <c r="B134" s="1"/>
      <c r="C134" s="1"/>
      <c r="D134" s="1"/>
      <c r="E134" s="2"/>
      <c r="F134" s="1"/>
      <c r="G134" s="2"/>
      <c r="H134" s="2"/>
      <c r="I134" s="2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s="33" customFormat="1" ht="12.75" customHeight="1">
      <c r="A135" s="1"/>
      <c r="B135" s="1"/>
      <c r="C135" s="1"/>
      <c r="D135" s="1"/>
      <c r="E135" s="2"/>
      <c r="F135" s="1"/>
      <c r="G135" s="2"/>
      <c r="H135" s="2"/>
      <c r="I135" s="2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s="33" customFormat="1" ht="12.75" customHeight="1">
      <c r="A136" s="1"/>
      <c r="B136" s="1"/>
      <c r="C136" s="1"/>
      <c r="D136" s="1"/>
      <c r="E136" s="2"/>
      <c r="F136" s="1"/>
      <c r="G136" s="2"/>
      <c r="H136" s="2"/>
      <c r="I136" s="2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s="33" customFormat="1" ht="12.75" customHeight="1">
      <c r="A137" s="1"/>
      <c r="B137" s="1"/>
      <c r="C137" s="1"/>
      <c r="D137" s="1"/>
      <c r="E137" s="2"/>
      <c r="F137" s="1"/>
      <c r="G137" s="2"/>
      <c r="H137" s="2"/>
      <c r="I137" s="2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s="33" customFormat="1" ht="12.75" customHeight="1">
      <c r="A138" s="1"/>
      <c r="B138" s="1"/>
      <c r="C138" s="1"/>
      <c r="D138" s="1"/>
      <c r="E138" s="2"/>
      <c r="F138" s="1"/>
      <c r="G138" s="2"/>
      <c r="H138" s="2"/>
      <c r="I138" s="2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s="33" customFormat="1" ht="12.75" customHeight="1">
      <c r="A139" s="1"/>
      <c r="B139" s="1"/>
      <c r="C139" s="1"/>
      <c r="D139" s="1"/>
      <c r="E139" s="2"/>
      <c r="F139" s="1"/>
      <c r="G139" s="2"/>
      <c r="H139" s="2"/>
      <c r="I139" s="2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s="33" customFormat="1" ht="12.75" customHeight="1">
      <c r="A140" s="1"/>
      <c r="B140" s="1"/>
      <c r="C140" s="1"/>
      <c r="D140" s="1"/>
      <c r="E140" s="2"/>
      <c r="F140" s="1"/>
      <c r="G140" s="2"/>
      <c r="H140" s="2"/>
      <c r="I140" s="2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s="33" customFormat="1" ht="12.75" customHeight="1">
      <c r="A141" s="1"/>
      <c r="B141" s="1"/>
      <c r="C141" s="1"/>
      <c r="D141" s="1"/>
      <c r="E141" s="2"/>
      <c r="F141" s="1"/>
      <c r="G141" s="2"/>
      <c r="H141" s="2"/>
      <c r="I141" s="2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s="33" customFormat="1" ht="12.75" customHeight="1">
      <c r="A142" s="1"/>
      <c r="B142" s="1"/>
      <c r="C142" s="1"/>
      <c r="D142" s="1"/>
      <c r="E142" s="2"/>
      <c r="F142" s="1"/>
      <c r="G142" s="2"/>
      <c r="H142" s="2"/>
      <c r="I142" s="2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s="33" customFormat="1" ht="12.75" customHeight="1">
      <c r="A143" s="1"/>
      <c r="B143" s="1"/>
      <c r="C143" s="1"/>
      <c r="D143" s="1"/>
      <c r="E143" s="2"/>
      <c r="F143" s="1"/>
      <c r="G143" s="2"/>
      <c r="H143" s="2"/>
      <c r="I143" s="2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s="33" customFormat="1" ht="12.75" customHeight="1">
      <c r="A144" s="1"/>
      <c r="B144" s="1"/>
      <c r="C144" s="1"/>
      <c r="D144" s="1"/>
      <c r="E144" s="2"/>
      <c r="F144" s="1"/>
      <c r="G144" s="2"/>
      <c r="H144" s="2"/>
      <c r="I144" s="2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s="33" customFormat="1" ht="12.75" customHeight="1">
      <c r="A145" s="1"/>
      <c r="B145" s="1"/>
      <c r="C145" s="1"/>
      <c r="D145" s="1"/>
      <c r="E145" s="2"/>
      <c r="F145" s="1"/>
      <c r="G145" s="2"/>
      <c r="H145" s="2"/>
      <c r="I145" s="2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s="33" customFormat="1" ht="12.75" customHeight="1">
      <c r="A146" s="1"/>
      <c r="B146" s="1"/>
      <c r="C146" s="1"/>
      <c r="D146" s="1"/>
      <c r="E146" s="2"/>
      <c r="F146" s="1"/>
      <c r="G146" s="2"/>
      <c r="H146" s="2"/>
      <c r="I146" s="2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s="33" customFormat="1" ht="12.75" customHeight="1">
      <c r="A147" s="1"/>
      <c r="B147" s="1"/>
      <c r="C147" s="1"/>
      <c r="D147" s="1"/>
      <c r="E147" s="2"/>
      <c r="F147" s="1"/>
      <c r="G147" s="2"/>
      <c r="H147" s="2"/>
      <c r="I147" s="2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s="33" customFormat="1" ht="12.75" customHeight="1">
      <c r="A148" s="1"/>
      <c r="B148" s="1"/>
      <c r="C148" s="1"/>
      <c r="D148" s="1"/>
      <c r="E148" s="2"/>
      <c r="F148" s="1"/>
      <c r="G148" s="2"/>
      <c r="H148" s="2"/>
      <c r="I148" s="2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s="33" customFormat="1" ht="12.75" customHeight="1">
      <c r="A149" s="1"/>
      <c r="B149" s="1"/>
      <c r="C149" s="1"/>
      <c r="D149" s="1"/>
      <c r="E149" s="2"/>
      <c r="F149" s="1"/>
      <c r="G149" s="2"/>
      <c r="H149" s="2"/>
      <c r="I149" s="2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s="33" customFormat="1" ht="12.75" customHeight="1">
      <c r="A150" s="1"/>
      <c r="B150" s="1"/>
      <c r="C150" s="1"/>
      <c r="D150" s="1"/>
      <c r="E150" s="2"/>
      <c r="F150" s="1"/>
      <c r="G150" s="2"/>
      <c r="H150" s="2"/>
      <c r="I150" s="2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s="33" customFormat="1" ht="12.75" customHeight="1">
      <c r="A151" s="1"/>
      <c r="B151" s="1"/>
      <c r="C151" s="1"/>
      <c r="D151" s="1"/>
      <c r="E151" s="2"/>
      <c r="F151" s="1"/>
      <c r="G151" s="2"/>
      <c r="H151" s="2"/>
      <c r="I151" s="2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s="33" customFormat="1" ht="12.75" customHeight="1">
      <c r="A152" s="1"/>
      <c r="B152" s="1"/>
      <c r="C152" s="1"/>
      <c r="D152" s="1"/>
      <c r="E152" s="2"/>
      <c r="F152" s="1"/>
      <c r="G152" s="2"/>
      <c r="H152" s="2"/>
      <c r="I152" s="2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s="33" customFormat="1" ht="12.75" customHeight="1">
      <c r="A153" s="1"/>
      <c r="B153" s="1"/>
      <c r="C153" s="1"/>
      <c r="D153" s="1"/>
      <c r="E153" s="2"/>
      <c r="F153" s="1"/>
      <c r="G153" s="2"/>
      <c r="H153" s="2"/>
      <c r="I153" s="2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s="33" customFormat="1" ht="12.75" customHeight="1">
      <c r="A154" s="1"/>
      <c r="B154" s="1"/>
      <c r="C154" s="1"/>
      <c r="D154" s="1"/>
      <c r="E154" s="2"/>
      <c r="F154" s="1"/>
      <c r="G154" s="2"/>
      <c r="H154" s="2"/>
      <c r="I154" s="2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s="33" customFormat="1" ht="12.75" customHeight="1">
      <c r="A155" s="1"/>
      <c r="B155" s="1"/>
      <c r="C155" s="1"/>
      <c r="D155" s="1"/>
      <c r="E155" s="2"/>
      <c r="F155" s="1"/>
      <c r="G155" s="2"/>
      <c r="H155" s="2"/>
      <c r="I155" s="2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s="33" customFormat="1" ht="12.75" customHeight="1">
      <c r="A156" s="1"/>
      <c r="B156" s="1"/>
      <c r="C156" s="1"/>
      <c r="D156" s="1"/>
      <c r="E156" s="2"/>
      <c r="F156" s="1"/>
      <c r="G156" s="2"/>
      <c r="H156" s="2"/>
      <c r="I156" s="2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s="33" customFormat="1" ht="12.75" customHeight="1">
      <c r="A157" s="1"/>
      <c r="B157" s="1"/>
      <c r="C157" s="1"/>
      <c r="D157" s="1"/>
      <c r="E157" s="2"/>
      <c r="F157" s="1"/>
      <c r="G157" s="2"/>
      <c r="H157" s="2"/>
      <c r="I157" s="2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s="33" customFormat="1" ht="12.75" customHeight="1">
      <c r="A158" s="1"/>
      <c r="B158" s="1"/>
      <c r="C158" s="1"/>
      <c r="D158" s="1"/>
      <c r="E158" s="2"/>
      <c r="F158" s="1"/>
      <c r="G158" s="2"/>
      <c r="H158" s="2"/>
      <c r="I158" s="2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s="33" customFormat="1" ht="12.75" customHeight="1">
      <c r="A159" s="1"/>
      <c r="B159" s="1"/>
      <c r="C159" s="1"/>
      <c r="D159" s="1"/>
      <c r="E159" s="2"/>
      <c r="F159" s="1"/>
      <c r="G159" s="2"/>
      <c r="H159" s="2"/>
      <c r="I159" s="2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s="33" customFormat="1" ht="12.75" customHeight="1">
      <c r="A160" s="1"/>
      <c r="B160" s="1"/>
      <c r="C160" s="1"/>
      <c r="D160" s="1"/>
      <c r="E160" s="2"/>
      <c r="F160" s="1"/>
      <c r="G160" s="2"/>
      <c r="H160" s="2"/>
      <c r="I160" s="2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s="33" customFormat="1" ht="12.75" customHeight="1">
      <c r="A161" s="1"/>
      <c r="B161" s="1"/>
      <c r="C161" s="1"/>
      <c r="D161" s="1"/>
      <c r="E161" s="2"/>
      <c r="F161" s="1"/>
      <c r="G161" s="2"/>
      <c r="H161" s="2"/>
      <c r="I161" s="2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s="33" customFormat="1" ht="12.75" customHeight="1">
      <c r="A162" s="1"/>
      <c r="B162" s="1"/>
      <c r="C162" s="1"/>
      <c r="D162" s="1"/>
      <c r="E162" s="2"/>
      <c r="F162" s="1"/>
      <c r="G162" s="2"/>
      <c r="H162" s="2"/>
      <c r="I162" s="2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s="33" customFormat="1" ht="12.75" customHeight="1">
      <c r="A163" s="1"/>
      <c r="B163" s="1"/>
      <c r="C163" s="1"/>
      <c r="D163" s="1"/>
      <c r="E163" s="2"/>
      <c r="F163" s="1"/>
      <c r="G163" s="2"/>
      <c r="H163" s="2"/>
      <c r="I163" s="2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s="33" customFormat="1" ht="12.75" customHeight="1">
      <c r="A164" s="1"/>
      <c r="B164" s="1"/>
      <c r="C164" s="1"/>
      <c r="D164" s="1"/>
      <c r="E164" s="2"/>
      <c r="F164" s="1"/>
      <c r="G164" s="2"/>
      <c r="H164" s="2"/>
      <c r="I164" s="2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s="33" customFormat="1" ht="12.75" customHeight="1">
      <c r="A165" s="1"/>
      <c r="B165" s="1"/>
      <c r="C165" s="1"/>
      <c r="D165" s="1"/>
      <c r="E165" s="2"/>
      <c r="F165" s="1"/>
      <c r="G165" s="2"/>
      <c r="H165" s="2"/>
      <c r="I165" s="2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s="33" customFormat="1" ht="12.75" customHeight="1">
      <c r="A166" s="1"/>
      <c r="B166" s="1"/>
      <c r="C166" s="1"/>
      <c r="D166" s="1"/>
      <c r="E166" s="2"/>
      <c r="F166" s="1"/>
      <c r="G166" s="2"/>
      <c r="H166" s="2"/>
      <c r="I166" s="2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s="33" customFormat="1" ht="12.75" customHeight="1">
      <c r="A167" s="1"/>
      <c r="B167" s="1"/>
      <c r="C167" s="1"/>
      <c r="D167" s="1"/>
      <c r="E167" s="2"/>
      <c r="F167" s="1"/>
      <c r="G167" s="2"/>
      <c r="H167" s="2"/>
      <c r="I167" s="2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s="33" customFormat="1" ht="12.75" customHeight="1">
      <c r="A168" s="1"/>
      <c r="B168" s="1"/>
      <c r="C168" s="1"/>
      <c r="D168" s="1"/>
      <c r="E168" s="2"/>
      <c r="F168" s="1"/>
      <c r="G168" s="2"/>
      <c r="H168" s="2"/>
      <c r="I168" s="2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s="33" customFormat="1" ht="12.75" customHeight="1">
      <c r="A169" s="1"/>
      <c r="B169" s="1"/>
      <c r="C169" s="1"/>
      <c r="D169" s="1"/>
      <c r="E169" s="2"/>
      <c r="F169" s="1"/>
      <c r="G169" s="2"/>
      <c r="H169" s="2"/>
      <c r="I169" s="2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s="33" customFormat="1" ht="12.75" customHeight="1">
      <c r="A170" s="1"/>
      <c r="B170" s="1"/>
      <c r="C170" s="1"/>
      <c r="D170" s="1"/>
      <c r="E170" s="2"/>
      <c r="F170" s="1"/>
      <c r="G170" s="2"/>
      <c r="H170" s="2"/>
      <c r="I170" s="2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s="33" customFormat="1" ht="12.75" customHeight="1">
      <c r="A171" s="1"/>
      <c r="B171" s="1"/>
      <c r="C171" s="1"/>
      <c r="D171" s="1"/>
      <c r="E171" s="2"/>
      <c r="F171" s="1"/>
      <c r="G171" s="2"/>
      <c r="H171" s="2"/>
      <c r="I171" s="2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s="33" customFormat="1" ht="12.75" customHeight="1">
      <c r="A172" s="1"/>
      <c r="B172" s="1"/>
      <c r="C172" s="1"/>
      <c r="D172" s="1"/>
      <c r="E172" s="2"/>
      <c r="F172" s="1"/>
      <c r="G172" s="2"/>
      <c r="H172" s="2"/>
      <c r="I172" s="2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s="33" customFormat="1" ht="12.75" customHeight="1">
      <c r="A173" s="1"/>
      <c r="B173" s="1"/>
      <c r="C173" s="1"/>
      <c r="D173" s="1"/>
      <c r="E173" s="2"/>
      <c r="F173" s="1"/>
      <c r="G173" s="2"/>
      <c r="H173" s="2"/>
      <c r="I173" s="2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s="33" customFormat="1" ht="12.75" customHeight="1">
      <c r="A174" s="1"/>
      <c r="B174" s="1"/>
      <c r="C174" s="1"/>
      <c r="D174" s="1"/>
      <c r="E174" s="2"/>
      <c r="F174" s="1"/>
      <c r="G174" s="2"/>
      <c r="H174" s="2"/>
      <c r="I174" s="2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s="33" customFormat="1" ht="12.75" customHeight="1">
      <c r="A175" s="1"/>
      <c r="B175" s="1"/>
      <c r="C175" s="1"/>
      <c r="D175" s="1"/>
      <c r="E175" s="2"/>
      <c r="F175" s="1"/>
      <c r="G175" s="2"/>
      <c r="H175" s="2"/>
      <c r="I175" s="2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s="33" customFormat="1" ht="12.75" customHeight="1">
      <c r="A176" s="1"/>
      <c r="B176" s="1"/>
      <c r="C176" s="1"/>
      <c r="D176" s="1"/>
      <c r="E176" s="2"/>
      <c r="F176" s="1"/>
      <c r="G176" s="2"/>
      <c r="H176" s="2"/>
      <c r="I176" s="2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s="33" customFormat="1" ht="12.75" customHeight="1">
      <c r="A177" s="1"/>
      <c r="B177" s="1"/>
      <c r="C177" s="1"/>
      <c r="D177" s="1"/>
      <c r="E177" s="2"/>
      <c r="F177" s="1"/>
      <c r="G177" s="2"/>
      <c r="H177" s="2"/>
      <c r="I177" s="2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s="33" customFormat="1" ht="12.75" customHeight="1">
      <c r="A178" s="1"/>
      <c r="B178" s="1"/>
      <c r="C178" s="1"/>
      <c r="D178" s="1"/>
      <c r="E178" s="2"/>
      <c r="F178" s="1"/>
      <c r="G178" s="2"/>
      <c r="H178" s="2"/>
      <c r="I178" s="2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s="33" customFormat="1" ht="12.75" customHeight="1">
      <c r="A179" s="1"/>
      <c r="B179" s="1"/>
      <c r="C179" s="1"/>
      <c r="D179" s="1"/>
      <c r="E179" s="2"/>
      <c r="F179" s="1"/>
      <c r="G179" s="2"/>
      <c r="H179" s="2"/>
      <c r="I179" s="2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s="33" customFormat="1" ht="12.75" customHeight="1">
      <c r="A180" s="1"/>
      <c r="B180" s="1"/>
      <c r="C180" s="1"/>
      <c r="D180" s="1"/>
      <c r="E180" s="2"/>
      <c r="F180" s="1"/>
      <c r="G180" s="2"/>
      <c r="H180" s="2"/>
      <c r="I180" s="2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s="33" customFormat="1" ht="12.75" customHeight="1">
      <c r="A181" s="1"/>
      <c r="B181" s="1"/>
      <c r="C181" s="1"/>
      <c r="D181" s="1"/>
      <c r="E181" s="2"/>
      <c r="F181" s="1"/>
      <c r="G181" s="2"/>
      <c r="H181" s="2"/>
      <c r="I181" s="2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s="33" customFormat="1" ht="12.75" customHeight="1">
      <c r="A182" s="1"/>
      <c r="B182" s="1"/>
      <c r="C182" s="1"/>
      <c r="D182" s="1"/>
      <c r="E182" s="2"/>
      <c r="F182" s="1"/>
      <c r="G182" s="2"/>
      <c r="H182" s="2"/>
      <c r="I182" s="2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s="33" customFormat="1" ht="12.75" customHeight="1">
      <c r="A183" s="1"/>
      <c r="B183" s="1"/>
      <c r="C183" s="1"/>
      <c r="D183" s="1"/>
      <c r="E183" s="2"/>
      <c r="F183" s="1"/>
      <c r="G183" s="2"/>
      <c r="H183" s="2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s="33" customFormat="1" ht="12.75" customHeight="1">
      <c r="A184" s="1"/>
      <c r="B184" s="1"/>
      <c r="C184" s="1"/>
      <c r="D184" s="1"/>
      <c r="E184" s="2"/>
      <c r="F184" s="1"/>
      <c r="G184" s="2"/>
      <c r="H184" s="2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s="33" customFormat="1" ht="12.75" customHeight="1">
      <c r="A185" s="1"/>
      <c r="B185" s="1"/>
      <c r="C185" s="1"/>
      <c r="D185" s="1"/>
      <c r="E185" s="2"/>
      <c r="F185" s="1"/>
      <c r="G185" s="2"/>
      <c r="H185" s="2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s="33" customFormat="1" ht="12.75" customHeight="1">
      <c r="A186" s="1"/>
      <c r="B186" s="1"/>
      <c r="C186" s="1"/>
      <c r="D186" s="1"/>
      <c r="E186" s="2"/>
      <c r="F186" s="1"/>
      <c r="G186" s="2"/>
      <c r="H186" s="2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s="33" customFormat="1" ht="12.75" customHeight="1">
      <c r="A187" s="1"/>
      <c r="B187" s="1"/>
      <c r="C187" s="1"/>
      <c r="D187" s="1"/>
      <c r="E187" s="2"/>
      <c r="F187" s="1"/>
      <c r="G187" s="2"/>
      <c r="H187" s="2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s="33" customFormat="1" ht="12.75" customHeight="1">
      <c r="A188" s="1"/>
      <c r="B188" s="1"/>
      <c r="C188" s="1"/>
      <c r="D188" s="1"/>
      <c r="E188" s="2"/>
      <c r="F188" s="1"/>
      <c r="G188" s="2"/>
      <c r="H188" s="2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s="33" customFormat="1" ht="12.75" customHeight="1">
      <c r="A189" s="1"/>
      <c r="B189" s="1"/>
      <c r="C189" s="1"/>
      <c r="D189" s="1"/>
      <c r="E189" s="2"/>
      <c r="F189" s="1"/>
      <c r="G189" s="2"/>
      <c r="H189" s="2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/>
    <row r="191" spans="1:26" ht="12.75" customHeight="1"/>
    <row r="192" spans="1:26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</sheetData>
  <autoFilter ref="A8:Z113" xr:uid="{00000000-0009-0000-0000-00001F000000}"/>
  <mergeCells count="20">
    <mergeCell ref="E2:W4"/>
    <mergeCell ref="E5:W5"/>
    <mergeCell ref="V113:W113"/>
    <mergeCell ref="N6:O6"/>
    <mergeCell ref="P6:Q6"/>
    <mergeCell ref="R6:S6"/>
    <mergeCell ref="V6:W6"/>
    <mergeCell ref="E6:E7"/>
    <mergeCell ref="F6:F7"/>
    <mergeCell ref="G6:G7"/>
    <mergeCell ref="X6:Z6"/>
    <mergeCell ref="I113:J113"/>
    <mergeCell ref="L113:M113"/>
    <mergeCell ref="N113:O113"/>
    <mergeCell ref="P113:Q113"/>
    <mergeCell ref="R113:S113"/>
    <mergeCell ref="H6:J6"/>
    <mergeCell ref="K6:M6"/>
    <mergeCell ref="T6:U6"/>
    <mergeCell ref="T113:U113"/>
  </mergeCells>
  <conditionalFormatting sqref="Z16:Z24 Z83 Z14 Z26:Z30 Z81">
    <cfRule type="cellIs" dxfId="195" priority="97" operator="greaterThan">
      <formula>1</formula>
    </cfRule>
    <cfRule type="cellIs" dxfId="194" priority="98" operator="greaterThan">
      <formula>100</formula>
    </cfRule>
  </conditionalFormatting>
  <conditionalFormatting sqref="Z32">
    <cfRule type="cellIs" dxfId="193" priority="95" operator="greaterThan">
      <formula>1</formula>
    </cfRule>
    <cfRule type="cellIs" dxfId="192" priority="96" operator="greaterThan">
      <formula>100</formula>
    </cfRule>
  </conditionalFormatting>
  <conditionalFormatting sqref="Z15">
    <cfRule type="cellIs" dxfId="191" priority="93" operator="greaterThan">
      <formula>1</formula>
    </cfRule>
    <cfRule type="cellIs" dxfId="190" priority="94" operator="greaterThan">
      <formula>100</formula>
    </cfRule>
  </conditionalFormatting>
  <conditionalFormatting sqref="Z33:Z37">
    <cfRule type="cellIs" dxfId="189" priority="91" operator="greaterThan">
      <formula>1</formula>
    </cfRule>
    <cfRule type="cellIs" dxfId="188" priority="92" operator="greaterThan">
      <formula>100</formula>
    </cfRule>
  </conditionalFormatting>
  <conditionalFormatting sqref="Z40">
    <cfRule type="cellIs" dxfId="187" priority="89" operator="greaterThan">
      <formula>1</formula>
    </cfRule>
    <cfRule type="cellIs" dxfId="186" priority="90" operator="greaterThan">
      <formula>100</formula>
    </cfRule>
  </conditionalFormatting>
  <conditionalFormatting sqref="Z46:Z80">
    <cfRule type="cellIs" dxfId="185" priority="87" operator="greaterThan">
      <formula>1</formula>
    </cfRule>
    <cfRule type="cellIs" dxfId="184" priority="88" operator="greaterThan">
      <formula>100</formula>
    </cfRule>
  </conditionalFormatting>
  <conditionalFormatting sqref="Z41:Z45">
    <cfRule type="cellIs" dxfId="183" priority="85" operator="greaterThan">
      <formula>1</formula>
    </cfRule>
    <cfRule type="cellIs" dxfId="182" priority="86" operator="greaterThan">
      <formula>100</formula>
    </cfRule>
  </conditionalFormatting>
  <conditionalFormatting sqref="Z105:Z110">
    <cfRule type="cellIs" dxfId="181" priority="75" operator="greaterThan">
      <formula>1</formula>
    </cfRule>
    <cfRule type="cellIs" dxfId="180" priority="76" operator="greaterThan">
      <formula>100</formula>
    </cfRule>
  </conditionalFormatting>
  <conditionalFormatting sqref="Z84:Z97 Z99">
    <cfRule type="cellIs" dxfId="179" priority="83" operator="greaterThan">
      <formula>1</formula>
    </cfRule>
    <cfRule type="cellIs" dxfId="178" priority="84" operator="greaterThan">
      <formula>100</formula>
    </cfRule>
  </conditionalFormatting>
  <conditionalFormatting sqref="Z101">
    <cfRule type="cellIs" dxfId="177" priority="81" operator="greaterThan">
      <formula>1</formula>
    </cfRule>
    <cfRule type="cellIs" dxfId="176" priority="82" operator="greaterThan">
      <formula>100</formula>
    </cfRule>
  </conditionalFormatting>
  <conditionalFormatting sqref="Z104">
    <cfRule type="cellIs" dxfId="175" priority="79" operator="greaterThan">
      <formula>1</formula>
    </cfRule>
    <cfRule type="cellIs" dxfId="174" priority="80" operator="greaterThan">
      <formula>100</formula>
    </cfRule>
  </conditionalFormatting>
  <conditionalFormatting sqref="Z102">
    <cfRule type="cellIs" dxfId="173" priority="77" operator="greaterThan">
      <formula>1</formula>
    </cfRule>
    <cfRule type="cellIs" dxfId="172" priority="78" operator="greaterThan">
      <formula>100</formula>
    </cfRule>
  </conditionalFormatting>
  <conditionalFormatting sqref="X15:X24 X33:X37 X41:X80 X102 X9 X13 X84:X97 X99 X26:Y30 X81:Y81 X105:X110">
    <cfRule type="cellIs" dxfId="171" priority="74" operator="equal">
      <formula>0</formula>
    </cfRule>
  </conditionalFormatting>
  <conditionalFormatting sqref="X13">
    <cfRule type="cellIs" dxfId="170" priority="73" operator="equal">
      <formula>0</formula>
    </cfRule>
  </conditionalFormatting>
  <conditionalFormatting sqref="Y9 Y13">
    <cfRule type="cellIs" dxfId="169" priority="72" operator="equal">
      <formula>0</formula>
    </cfRule>
  </conditionalFormatting>
  <conditionalFormatting sqref="Y13">
    <cfRule type="cellIs" dxfId="168" priority="71" operator="equal">
      <formula>0</formula>
    </cfRule>
  </conditionalFormatting>
  <conditionalFormatting sqref="Z9 Z13">
    <cfRule type="cellIs" dxfId="167" priority="70" operator="equal">
      <formula>0</formula>
    </cfRule>
  </conditionalFormatting>
  <conditionalFormatting sqref="Z13">
    <cfRule type="cellIs" dxfId="166" priority="69" operator="equal">
      <formula>0</formula>
    </cfRule>
  </conditionalFormatting>
  <conditionalFormatting sqref="Y15:Y24">
    <cfRule type="cellIs" dxfId="165" priority="68" operator="equal">
      <formula>0</formula>
    </cfRule>
  </conditionalFormatting>
  <conditionalFormatting sqref="Y33:Y37">
    <cfRule type="cellIs" dxfId="164" priority="67" operator="equal">
      <formula>0</formula>
    </cfRule>
  </conditionalFormatting>
  <conditionalFormatting sqref="Y41:Y80">
    <cfRule type="cellIs" dxfId="163" priority="66" operator="equal">
      <formula>0</formula>
    </cfRule>
  </conditionalFormatting>
  <conditionalFormatting sqref="Y84:Y97 Y99">
    <cfRule type="cellIs" dxfId="162" priority="65" operator="equal">
      <formula>0</formula>
    </cfRule>
  </conditionalFormatting>
  <conditionalFormatting sqref="Y102">
    <cfRule type="cellIs" dxfId="161" priority="64" operator="equal">
      <formula>0</formula>
    </cfRule>
  </conditionalFormatting>
  <conditionalFormatting sqref="Y105:Y110">
    <cfRule type="cellIs" dxfId="160" priority="63" operator="equal">
      <formula>0</formula>
    </cfRule>
  </conditionalFormatting>
  <conditionalFormatting sqref="Z11:Z12">
    <cfRule type="cellIs" dxfId="159" priority="61" operator="greaterThan">
      <formula>1</formula>
    </cfRule>
    <cfRule type="cellIs" dxfId="158" priority="62" operator="greaterThan">
      <formula>100</formula>
    </cfRule>
  </conditionalFormatting>
  <conditionalFormatting sqref="X11:X12">
    <cfRule type="cellIs" dxfId="157" priority="60" operator="equal">
      <formula>0</formula>
    </cfRule>
  </conditionalFormatting>
  <conditionalFormatting sqref="Y11:Y12">
    <cfRule type="cellIs" dxfId="156" priority="59" operator="equal">
      <formula>0</formula>
    </cfRule>
  </conditionalFormatting>
  <conditionalFormatting sqref="Z10">
    <cfRule type="cellIs" dxfId="155" priority="57" operator="greaterThan">
      <formula>1</formula>
    </cfRule>
    <cfRule type="cellIs" dxfId="154" priority="58" operator="greaterThan">
      <formula>100</formula>
    </cfRule>
  </conditionalFormatting>
  <conditionalFormatting sqref="X10">
    <cfRule type="cellIs" dxfId="153" priority="56" operator="equal">
      <formula>0</formula>
    </cfRule>
  </conditionalFormatting>
  <conditionalFormatting sqref="Y10">
    <cfRule type="cellIs" dxfId="152" priority="55" operator="equal">
      <formula>0</formula>
    </cfRule>
  </conditionalFormatting>
  <conditionalFormatting sqref="Z98">
    <cfRule type="cellIs" dxfId="151" priority="7" operator="greaterThan">
      <formula>1</formula>
    </cfRule>
    <cfRule type="cellIs" dxfId="150" priority="8" operator="greaterThan">
      <formula>100</formula>
    </cfRule>
  </conditionalFormatting>
  <conditionalFormatting sqref="X98">
    <cfRule type="cellIs" dxfId="149" priority="6" operator="equal">
      <formula>0</formula>
    </cfRule>
  </conditionalFormatting>
  <conditionalFormatting sqref="Y98">
    <cfRule type="cellIs" dxfId="148" priority="5" operator="equal">
      <formula>0</formula>
    </cfRule>
  </conditionalFormatting>
  <conditionalFormatting sqref="X31">
    <cfRule type="cellIs" dxfId="147" priority="54" operator="equal">
      <formula>0</formula>
    </cfRule>
  </conditionalFormatting>
  <conditionalFormatting sqref="X31">
    <cfRule type="cellIs" dxfId="146" priority="53" operator="equal">
      <formula>0</formula>
    </cfRule>
  </conditionalFormatting>
  <conditionalFormatting sqref="Y31">
    <cfRule type="cellIs" dxfId="145" priority="52" operator="equal">
      <formula>0</formula>
    </cfRule>
  </conditionalFormatting>
  <conditionalFormatting sqref="Y31">
    <cfRule type="cellIs" dxfId="144" priority="51" operator="equal">
      <formula>0</formula>
    </cfRule>
  </conditionalFormatting>
  <conditionalFormatting sqref="Z31">
    <cfRule type="cellIs" dxfId="143" priority="50" operator="equal">
      <formula>0</formula>
    </cfRule>
  </conditionalFormatting>
  <conditionalFormatting sqref="Z31">
    <cfRule type="cellIs" dxfId="142" priority="49" operator="equal">
      <formula>0</formula>
    </cfRule>
  </conditionalFormatting>
  <conditionalFormatting sqref="X39">
    <cfRule type="cellIs" dxfId="141" priority="48" operator="equal">
      <formula>0</formula>
    </cfRule>
  </conditionalFormatting>
  <conditionalFormatting sqref="X39">
    <cfRule type="cellIs" dxfId="140" priority="47" operator="equal">
      <formula>0</formula>
    </cfRule>
  </conditionalFormatting>
  <conditionalFormatting sqref="Y39">
    <cfRule type="cellIs" dxfId="139" priority="46" operator="equal">
      <formula>0</formula>
    </cfRule>
  </conditionalFormatting>
  <conditionalFormatting sqref="Y39">
    <cfRule type="cellIs" dxfId="138" priority="45" operator="equal">
      <formula>0</formula>
    </cfRule>
  </conditionalFormatting>
  <conditionalFormatting sqref="Z39">
    <cfRule type="cellIs" dxfId="137" priority="44" operator="equal">
      <formula>0</formula>
    </cfRule>
  </conditionalFormatting>
  <conditionalFormatting sqref="Z39">
    <cfRule type="cellIs" dxfId="136" priority="43" operator="equal">
      <formula>0</formula>
    </cfRule>
  </conditionalFormatting>
  <conditionalFormatting sqref="X82">
    <cfRule type="cellIs" dxfId="135" priority="42" operator="equal">
      <formula>0</formula>
    </cfRule>
  </conditionalFormatting>
  <conditionalFormatting sqref="X82">
    <cfRule type="cellIs" dxfId="134" priority="41" operator="equal">
      <formula>0</formula>
    </cfRule>
  </conditionalFormatting>
  <conditionalFormatting sqref="Y82">
    <cfRule type="cellIs" dxfId="133" priority="40" operator="equal">
      <formula>0</formula>
    </cfRule>
  </conditionalFormatting>
  <conditionalFormatting sqref="Y82">
    <cfRule type="cellIs" dxfId="132" priority="39" operator="equal">
      <formula>0</formula>
    </cfRule>
  </conditionalFormatting>
  <conditionalFormatting sqref="Z82">
    <cfRule type="cellIs" dxfId="131" priority="38" operator="equal">
      <formula>0</formula>
    </cfRule>
  </conditionalFormatting>
  <conditionalFormatting sqref="Z82">
    <cfRule type="cellIs" dxfId="130" priority="37" operator="equal">
      <formula>0</formula>
    </cfRule>
  </conditionalFormatting>
  <conditionalFormatting sqref="X100">
    <cfRule type="cellIs" dxfId="129" priority="36" operator="equal">
      <formula>0</formula>
    </cfRule>
  </conditionalFormatting>
  <conditionalFormatting sqref="X100">
    <cfRule type="cellIs" dxfId="128" priority="35" operator="equal">
      <formula>0</formula>
    </cfRule>
  </conditionalFormatting>
  <conditionalFormatting sqref="Y100">
    <cfRule type="cellIs" dxfId="127" priority="34" operator="equal">
      <formula>0</formula>
    </cfRule>
  </conditionalFormatting>
  <conditionalFormatting sqref="Y100">
    <cfRule type="cellIs" dxfId="126" priority="33" operator="equal">
      <formula>0</formula>
    </cfRule>
  </conditionalFormatting>
  <conditionalFormatting sqref="Z100">
    <cfRule type="cellIs" dxfId="125" priority="32" operator="equal">
      <formula>0</formula>
    </cfRule>
  </conditionalFormatting>
  <conditionalFormatting sqref="Z100">
    <cfRule type="cellIs" dxfId="124" priority="31" operator="equal">
      <formula>0</formula>
    </cfRule>
  </conditionalFormatting>
  <conditionalFormatting sqref="X103">
    <cfRule type="cellIs" dxfId="123" priority="30" operator="equal">
      <formula>0</formula>
    </cfRule>
  </conditionalFormatting>
  <conditionalFormatting sqref="X103">
    <cfRule type="cellIs" dxfId="122" priority="29" operator="equal">
      <formula>0</formula>
    </cfRule>
  </conditionalFormatting>
  <conditionalFormatting sqref="Y103">
    <cfRule type="cellIs" dxfId="121" priority="28" operator="equal">
      <formula>0</formula>
    </cfRule>
  </conditionalFormatting>
  <conditionalFormatting sqref="Y103">
    <cfRule type="cellIs" dxfId="120" priority="27" operator="equal">
      <formula>0</formula>
    </cfRule>
  </conditionalFormatting>
  <conditionalFormatting sqref="Z103">
    <cfRule type="cellIs" dxfId="119" priority="26" operator="equal">
      <formula>0</formula>
    </cfRule>
  </conditionalFormatting>
  <conditionalFormatting sqref="Z103">
    <cfRule type="cellIs" dxfId="118" priority="25" operator="equal">
      <formula>0</formula>
    </cfRule>
  </conditionalFormatting>
  <conditionalFormatting sqref="X111">
    <cfRule type="cellIs" dxfId="117" priority="24" operator="equal">
      <formula>0</formula>
    </cfRule>
  </conditionalFormatting>
  <conditionalFormatting sqref="X111">
    <cfRule type="cellIs" dxfId="116" priority="23" operator="equal">
      <formula>0</formula>
    </cfRule>
  </conditionalFormatting>
  <conditionalFormatting sqref="Y111">
    <cfRule type="cellIs" dxfId="115" priority="22" operator="equal">
      <formula>0</formula>
    </cfRule>
  </conditionalFormatting>
  <conditionalFormatting sqref="Y111">
    <cfRule type="cellIs" dxfId="114" priority="21" operator="equal">
      <formula>0</formula>
    </cfRule>
  </conditionalFormatting>
  <conditionalFormatting sqref="Z111">
    <cfRule type="cellIs" dxfId="113" priority="20" operator="equal">
      <formula>0</formula>
    </cfRule>
  </conditionalFormatting>
  <conditionalFormatting sqref="Z111">
    <cfRule type="cellIs" dxfId="112" priority="19" operator="equal">
      <formula>0</formula>
    </cfRule>
  </conditionalFormatting>
  <conditionalFormatting sqref="X113">
    <cfRule type="cellIs" dxfId="111" priority="18" operator="equal">
      <formula>0</formula>
    </cfRule>
  </conditionalFormatting>
  <conditionalFormatting sqref="X113">
    <cfRule type="cellIs" dxfId="110" priority="17" operator="equal">
      <formula>0</formula>
    </cfRule>
  </conditionalFormatting>
  <conditionalFormatting sqref="Y113">
    <cfRule type="cellIs" dxfId="109" priority="16" operator="equal">
      <formula>0</formula>
    </cfRule>
  </conditionalFormatting>
  <conditionalFormatting sqref="Y113">
    <cfRule type="cellIs" dxfId="108" priority="15" operator="equal">
      <formula>0</formula>
    </cfRule>
  </conditionalFormatting>
  <conditionalFormatting sqref="Z113">
    <cfRule type="cellIs" dxfId="107" priority="14" operator="equal">
      <formula>0</formula>
    </cfRule>
  </conditionalFormatting>
  <conditionalFormatting sqref="Z113">
    <cfRule type="cellIs" dxfId="106" priority="13" operator="equal">
      <formula>0</formula>
    </cfRule>
  </conditionalFormatting>
  <conditionalFormatting sqref="Z38">
    <cfRule type="cellIs" dxfId="105" priority="11" operator="greaterThan">
      <formula>1</formula>
    </cfRule>
    <cfRule type="cellIs" dxfId="104" priority="12" operator="greaterThan">
      <formula>100</formula>
    </cfRule>
  </conditionalFormatting>
  <conditionalFormatting sqref="X38">
    <cfRule type="cellIs" dxfId="103" priority="10" operator="equal">
      <formula>0</formula>
    </cfRule>
  </conditionalFormatting>
  <conditionalFormatting sqref="Y38">
    <cfRule type="cellIs" dxfId="102" priority="9" operator="equal">
      <formula>0</formula>
    </cfRule>
  </conditionalFormatting>
  <conditionalFormatting sqref="Z25">
    <cfRule type="cellIs" dxfId="101" priority="3" operator="greaterThan">
      <formula>1</formula>
    </cfRule>
    <cfRule type="cellIs" dxfId="100" priority="4" operator="greaterThan">
      <formula>100</formula>
    </cfRule>
  </conditionalFormatting>
  <conditionalFormatting sqref="X25">
    <cfRule type="cellIs" dxfId="99" priority="2" operator="equal">
      <formula>0</formula>
    </cfRule>
  </conditionalFormatting>
  <conditionalFormatting sqref="Y25">
    <cfRule type="cellIs" dxfId="98" priority="1" operator="equal">
      <formula>0</formula>
    </cfRule>
  </conditionalFormatting>
  <printOptions horizontalCentered="1"/>
  <pageMargins left="0.39370078740157483" right="0.39370078740157483" top="0.78740157480314965" bottom="0.39370078740157483" header="0" footer="0.19685039370078741"/>
  <pageSetup fitToHeight="0" orientation="landscape" r:id="rId1"/>
  <headerFooter alignWithMargins="0">
    <oddFooter>&amp;C&amp;P de &amp;N</oddFooter>
  </headerFooter>
  <rowBreaks count="2" manualBreakCount="2">
    <brk id="44" max="16383" man="1"/>
    <brk id="82" max="16383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C10:I22"/>
  <sheetViews>
    <sheetView topLeftCell="A9" workbookViewId="0">
      <selection activeCell="D27" sqref="D27"/>
    </sheetView>
  </sheetViews>
  <sheetFormatPr baseColWidth="10" defaultRowHeight="12.75"/>
  <cols>
    <col min="4" max="4" width="17" customWidth="1"/>
    <col min="5" max="6" width="13.85546875" bestFit="1" customWidth="1"/>
    <col min="7" max="7" width="12.85546875" bestFit="1" customWidth="1"/>
    <col min="8" max="9" width="13.85546875" bestFit="1" customWidth="1"/>
  </cols>
  <sheetData>
    <row r="10" spans="3:9">
      <c r="C10" s="1957" t="s">
        <v>658</v>
      </c>
      <c r="D10" s="1957"/>
      <c r="E10" s="1957"/>
      <c r="F10" s="1957"/>
      <c r="G10" s="1957"/>
      <c r="H10" s="1957"/>
      <c r="I10" s="1957"/>
    </row>
    <row r="11" spans="3:9">
      <c r="C11" s="1957"/>
      <c r="D11" s="1957"/>
      <c r="E11" s="1957"/>
      <c r="F11" s="1957"/>
      <c r="G11" s="1957"/>
      <c r="H11" s="1957"/>
      <c r="I11" s="1957"/>
    </row>
    <row r="12" spans="3:9">
      <c r="C12" s="1957"/>
      <c r="D12" s="1957"/>
      <c r="E12" s="1957"/>
      <c r="F12" s="1957"/>
      <c r="G12" s="1957"/>
      <c r="H12" s="1957"/>
      <c r="I12" s="1957"/>
    </row>
    <row r="13" spans="3:9">
      <c r="C13" s="1957" t="s">
        <v>659</v>
      </c>
      <c r="D13" s="1957"/>
      <c r="E13" s="1957"/>
      <c r="F13" s="1957"/>
      <c r="G13" s="1957"/>
      <c r="H13" s="1957"/>
      <c r="I13" s="1957"/>
    </row>
    <row r="14" spans="3:9" ht="51">
      <c r="C14" s="1498" t="s">
        <v>1</v>
      </c>
      <c r="D14" s="1499" t="s">
        <v>380</v>
      </c>
      <c r="E14" s="1496" t="s">
        <v>660</v>
      </c>
      <c r="F14" s="1496" t="s">
        <v>661</v>
      </c>
      <c r="G14" s="1497" t="s">
        <v>662</v>
      </c>
      <c r="H14" s="1497" t="s">
        <v>663</v>
      </c>
      <c r="I14" s="1497" t="s">
        <v>664</v>
      </c>
    </row>
    <row r="15" spans="3:9" ht="25.5">
      <c r="C15" s="1500" t="s">
        <v>382</v>
      </c>
      <c r="D15" s="1501" t="s">
        <v>84</v>
      </c>
      <c r="E15" s="1504">
        <v>512540.75</v>
      </c>
      <c r="F15" s="1504">
        <v>712817.99</v>
      </c>
      <c r="G15" s="1504">
        <v>395104.4</v>
      </c>
      <c r="H15" s="1504">
        <v>49434.319600000003</v>
      </c>
      <c r="I15" s="1504">
        <v>268284.29880000011</v>
      </c>
    </row>
    <row r="16" spans="3:9">
      <c r="C16" s="1500" t="s">
        <v>383</v>
      </c>
      <c r="D16" s="1501" t="s">
        <v>308</v>
      </c>
      <c r="E16" s="1504">
        <v>57368959.560000002</v>
      </c>
      <c r="F16" s="1504">
        <v>54945671.980000004</v>
      </c>
      <c r="G16" s="1504">
        <v>5385674.1100000003</v>
      </c>
      <c r="H16" s="1504">
        <v>14902650.315499997</v>
      </c>
      <c r="I16" s="1504">
        <v>34657347.556599997</v>
      </c>
    </row>
    <row r="17" spans="3:9" ht="25.5">
      <c r="C17" s="1500" t="s">
        <v>381</v>
      </c>
      <c r="D17" s="1501" t="s">
        <v>309</v>
      </c>
      <c r="E17" s="1504">
        <v>18406118.689999998</v>
      </c>
      <c r="F17" s="1504">
        <v>18406118.689999998</v>
      </c>
      <c r="G17" s="1504">
        <v>0</v>
      </c>
      <c r="H17" s="1504">
        <v>0</v>
      </c>
      <c r="I17" s="1504">
        <v>18406118.690199997</v>
      </c>
    </row>
    <row r="18" spans="3:9">
      <c r="C18" s="1500" t="s">
        <v>667</v>
      </c>
      <c r="D18" s="1501" t="s">
        <v>87</v>
      </c>
      <c r="E18" s="1504">
        <v>16778276.030000001</v>
      </c>
      <c r="F18" s="1504">
        <v>17234447.400000002</v>
      </c>
      <c r="G18" s="1504">
        <v>93206.7</v>
      </c>
      <c r="H18" s="1504">
        <v>7862631.8474000013</v>
      </c>
      <c r="I18" s="1504">
        <v>9278608.8447000012</v>
      </c>
    </row>
    <row r="19" spans="3:9" ht="25.5">
      <c r="C19" s="1500" t="s">
        <v>668</v>
      </c>
      <c r="D19" s="1502" t="s">
        <v>355</v>
      </c>
      <c r="E19" s="1504">
        <v>12064327.41</v>
      </c>
      <c r="F19" s="1504">
        <v>12064327.41</v>
      </c>
      <c r="G19" s="1504">
        <v>0</v>
      </c>
      <c r="H19" s="1504">
        <v>0</v>
      </c>
      <c r="I19" s="1504">
        <v>12064327.41</v>
      </c>
    </row>
    <row r="20" spans="3:9" ht="38.25">
      <c r="C20" s="1500" t="s">
        <v>666</v>
      </c>
      <c r="D20" s="1502" t="s">
        <v>241</v>
      </c>
      <c r="E20" s="1504">
        <v>1018905.14</v>
      </c>
      <c r="F20" s="1504">
        <v>1018905.14</v>
      </c>
      <c r="G20" s="1504">
        <v>81512.41</v>
      </c>
      <c r="H20" s="1504">
        <v>152835.77100000001</v>
      </c>
      <c r="I20" s="1504">
        <v>784556.95779999997</v>
      </c>
    </row>
    <row r="21" spans="3:9" ht="25.5">
      <c r="C21" s="1500" t="s">
        <v>665</v>
      </c>
      <c r="D21" s="1502" t="s">
        <v>372</v>
      </c>
      <c r="E21" s="1504">
        <v>2248712.06</v>
      </c>
      <c r="F21" s="1504">
        <v>2248712.06</v>
      </c>
      <c r="G21" s="1504">
        <v>81416.87000000001</v>
      </c>
      <c r="H21" s="1504">
        <v>38941.68</v>
      </c>
      <c r="I21" s="1504">
        <v>2128353.5029999996</v>
      </c>
    </row>
    <row r="22" spans="3:9" ht="13.5" customHeight="1">
      <c r="C22" s="1955" t="s">
        <v>6</v>
      </c>
      <c r="D22" s="1956"/>
      <c r="E22" s="1503">
        <f>SUM(E15:E21)</f>
        <v>108397839.64</v>
      </c>
      <c r="F22" s="1503">
        <f>SUM(F15:F21)</f>
        <v>106631000.67</v>
      </c>
      <c r="G22" s="1503">
        <f>SUM(G15:G21)</f>
        <v>6036914.4900000012</v>
      </c>
      <c r="H22" s="1503">
        <f>SUM(H15:H21)</f>
        <v>23006493.933499999</v>
      </c>
      <c r="I22" s="1503">
        <f>SUM(I15:I21)</f>
        <v>77587597.261100009</v>
      </c>
    </row>
  </sheetData>
  <mergeCells count="3">
    <mergeCell ref="C22:D22"/>
    <mergeCell ref="C10:I12"/>
    <mergeCell ref="C13:I1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32" filterMode="1">
    <pageSetUpPr fitToPage="1"/>
  </sheetPr>
  <dimension ref="A1:AJ233"/>
  <sheetViews>
    <sheetView showGridLines="0" topLeftCell="E1" zoomScale="85" zoomScaleNormal="85" zoomScaleSheetLayoutView="100" workbookViewId="0">
      <selection activeCell="E1" sqref="E1:X114"/>
    </sheetView>
  </sheetViews>
  <sheetFormatPr baseColWidth="10" defaultColWidth="12.7109375" defaultRowHeight="12.75"/>
  <cols>
    <col min="1" max="1" width="7.85546875" style="1" hidden="1" customWidth="1"/>
    <col min="2" max="2" width="2.140625" style="1" hidden="1" customWidth="1"/>
    <col min="3" max="3" width="7.85546875" style="1" hidden="1" customWidth="1"/>
    <col min="4" max="4" width="41" style="1" hidden="1" customWidth="1"/>
    <col min="5" max="5" width="4" style="2" bestFit="1" customWidth="1"/>
    <col min="6" max="6" width="41.7109375" style="1" customWidth="1"/>
    <col min="7" max="7" width="8.140625" style="2" customWidth="1"/>
    <col min="8" max="8" width="12.85546875" style="2" bestFit="1" customWidth="1"/>
    <col min="9" max="9" width="10.7109375" style="2" customWidth="1"/>
    <col min="10" max="10" width="13.5703125" style="1" bestFit="1" customWidth="1"/>
    <col min="11" max="11" width="10.7109375" style="1" customWidth="1"/>
    <col min="12" max="12" width="7.5703125" style="1" bestFit="1" customWidth="1"/>
    <col min="13" max="13" width="13.28515625" style="1" bestFit="1" customWidth="1"/>
    <col min="14" max="14" width="10.7109375" style="1" customWidth="1"/>
    <col min="15" max="15" width="14.42578125" style="1" bestFit="1" customWidth="1"/>
    <col min="16" max="16" width="10.7109375" style="1" customWidth="1"/>
    <col min="17" max="17" width="14.42578125" style="1" bestFit="1" customWidth="1"/>
    <col min="18" max="18" width="10.7109375" style="1" customWidth="1"/>
    <col min="19" max="19" width="14.7109375" style="1" bestFit="1" customWidth="1"/>
    <col min="20" max="20" width="10.7109375" style="1" customWidth="1"/>
    <col min="21" max="21" width="13.5703125" style="1" bestFit="1" customWidth="1"/>
    <col min="22" max="22" width="12.85546875" style="1" bestFit="1" customWidth="1"/>
    <col min="23" max="23" width="8.5703125" style="1" bestFit="1" customWidth="1"/>
    <col min="24" max="24" width="9.42578125" style="1" bestFit="1" customWidth="1"/>
    <col min="25" max="25" width="12.7109375" style="1"/>
    <col min="26" max="26" width="6.28515625" style="33" customWidth="1"/>
    <col min="27" max="16384" width="12.7109375" style="1"/>
  </cols>
  <sheetData>
    <row r="1" spans="1:36">
      <c r="F1" s="880" t="s">
        <v>558</v>
      </c>
      <c r="J1" s="516">
        <f>+I114</f>
        <v>108397839.64</v>
      </c>
      <c r="K1" s="516"/>
      <c r="L1" s="516"/>
      <c r="M1" s="516"/>
      <c r="O1" s="516">
        <f>+N114</f>
        <v>4270358.2499999991</v>
      </c>
      <c r="Q1" s="516">
        <f>+P114</f>
        <v>1686336.54</v>
      </c>
      <c r="S1" s="516">
        <f>+R114</f>
        <v>5956694.790000001</v>
      </c>
      <c r="U1" s="516">
        <f>+T114</f>
        <v>100674305.88000001</v>
      </c>
    </row>
    <row r="2" spans="1:36" ht="15" customHeight="1">
      <c r="E2" s="206"/>
      <c r="F2" s="845"/>
      <c r="G2" s="1830" t="s">
        <v>74</v>
      </c>
      <c r="H2" s="1831"/>
      <c r="I2" s="1831"/>
      <c r="J2" s="1831"/>
      <c r="K2" s="1831"/>
      <c r="L2" s="1831"/>
      <c r="M2" s="1831"/>
      <c r="N2" s="1831"/>
      <c r="O2" s="1831"/>
      <c r="P2" s="1831"/>
      <c r="Q2" s="1831"/>
      <c r="R2" s="1831"/>
      <c r="S2" s="1832"/>
      <c r="T2" s="1833"/>
      <c r="U2" s="1834"/>
      <c r="V2" s="1834"/>
      <c r="W2" s="1834"/>
      <c r="X2" s="1835"/>
      <c r="Y2" s="225"/>
    </row>
    <row r="3" spans="1:36" ht="15" customHeight="1">
      <c r="E3" s="716"/>
      <c r="F3" s="846"/>
      <c r="G3" s="1836" t="str">
        <f>+Datos!C24</f>
        <v>SEPTIEMBRE 2021</v>
      </c>
      <c r="H3" s="1837"/>
      <c r="I3" s="1838"/>
      <c r="J3" s="1838"/>
      <c r="K3" s="1838"/>
      <c r="L3" s="1838"/>
      <c r="M3" s="1838"/>
      <c r="N3" s="1838"/>
      <c r="O3" s="1838"/>
      <c r="P3" s="1838"/>
      <c r="Q3" s="1838"/>
      <c r="R3" s="1838"/>
      <c r="S3" s="1839"/>
      <c r="T3" s="717"/>
      <c r="U3" s="225"/>
      <c r="V3" s="225"/>
      <c r="W3" s="225"/>
      <c r="X3" s="718"/>
      <c r="Y3" s="225"/>
    </row>
    <row r="4" spans="1:36" ht="15" customHeight="1">
      <c r="E4" s="32"/>
      <c r="F4" s="1008" t="s">
        <v>7</v>
      </c>
      <c r="G4" s="1840" t="str">
        <f>+Certificado!C3</f>
        <v>PROYECTO: CONSTRUCCION Y REHABILITACION TRAMO CARRETERO
VILLA MONTES - LA VERTIENTE - PALO MARCADO</v>
      </c>
      <c r="H4" s="1841"/>
      <c r="I4" s="1841"/>
      <c r="J4" s="1841"/>
      <c r="K4" s="1841"/>
      <c r="L4" s="1841"/>
      <c r="M4" s="1841"/>
      <c r="N4" s="1841"/>
      <c r="O4" s="1841"/>
      <c r="P4" s="1841"/>
      <c r="Q4" s="1841"/>
      <c r="R4" s="1841"/>
      <c r="S4" s="1842"/>
      <c r="T4" s="709"/>
      <c r="V4" s="711" t="s">
        <v>77</v>
      </c>
      <c r="W4" s="314"/>
      <c r="X4" s="710"/>
      <c r="Y4" s="517"/>
    </row>
    <row r="5" spans="1:36" ht="15" customHeight="1">
      <c r="E5" s="416"/>
      <c r="F5" s="417"/>
      <c r="G5" s="1843" t="s">
        <v>13</v>
      </c>
      <c r="H5" s="1844"/>
      <c r="I5" s="1844"/>
      <c r="J5" s="1844"/>
      <c r="K5" s="1844"/>
      <c r="L5" s="1844"/>
      <c r="M5" s="1844"/>
      <c r="N5" s="1844"/>
      <c r="O5" s="1844"/>
      <c r="P5" s="1844"/>
      <c r="Q5" s="1844"/>
      <c r="R5" s="1844"/>
      <c r="S5" s="1845"/>
      <c r="T5" s="706"/>
      <c r="U5" s="707"/>
      <c r="V5" s="707"/>
      <c r="W5" s="707"/>
      <c r="X5" s="708"/>
      <c r="Y5" s="766"/>
    </row>
    <row r="6" spans="1:36" ht="12" customHeight="1">
      <c r="E6" s="310"/>
      <c r="F6" s="422"/>
      <c r="G6" s="423"/>
      <c r="H6" s="423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2"/>
      <c r="U6" s="312"/>
      <c r="V6" s="312"/>
      <c r="W6" s="312"/>
      <c r="X6" s="313"/>
      <c r="Y6" s="517"/>
    </row>
    <row r="7" spans="1:36" s="31" customFormat="1" ht="15" customHeight="1">
      <c r="E7" s="1962" t="s">
        <v>1</v>
      </c>
      <c r="F7" s="1963" t="s">
        <v>380</v>
      </c>
      <c r="G7" s="1964" t="s">
        <v>193</v>
      </c>
      <c r="H7" s="1966" t="s">
        <v>457</v>
      </c>
      <c r="I7" s="1967"/>
      <c r="J7" s="1968"/>
      <c r="K7" s="1966" t="s">
        <v>458</v>
      </c>
      <c r="L7" s="1967"/>
      <c r="M7" s="1968"/>
      <c r="N7" s="1960" t="s">
        <v>195</v>
      </c>
      <c r="O7" s="1960"/>
      <c r="P7" s="1960" t="s">
        <v>196</v>
      </c>
      <c r="Q7" s="1960"/>
      <c r="R7" s="1960" t="s">
        <v>197</v>
      </c>
      <c r="S7" s="1960"/>
      <c r="T7" s="1960" t="s">
        <v>198</v>
      </c>
      <c r="U7" s="1960"/>
      <c r="V7" s="1847" t="s">
        <v>34</v>
      </c>
      <c r="W7" s="1847"/>
      <c r="X7" s="1847"/>
      <c r="Y7" s="518"/>
      <c r="Z7" s="34"/>
    </row>
    <row r="8" spans="1:36" s="31" customFormat="1" ht="27">
      <c r="E8" s="1962"/>
      <c r="F8" s="1963"/>
      <c r="G8" s="1965"/>
      <c r="H8" s="991" t="s">
        <v>194</v>
      </c>
      <c r="I8" s="992" t="s">
        <v>178</v>
      </c>
      <c r="J8" s="992" t="s">
        <v>36</v>
      </c>
      <c r="K8" s="992" t="s">
        <v>178</v>
      </c>
      <c r="L8" s="992" t="s">
        <v>459</v>
      </c>
      <c r="M8" s="992" t="s">
        <v>36</v>
      </c>
      <c r="N8" s="1278" t="s">
        <v>178</v>
      </c>
      <c r="O8" s="1279" t="s">
        <v>36</v>
      </c>
      <c r="P8" s="1278" t="s">
        <v>178</v>
      </c>
      <c r="Q8" s="1278" t="s">
        <v>36</v>
      </c>
      <c r="R8" s="1278" t="s">
        <v>178</v>
      </c>
      <c r="S8" s="1279" t="s">
        <v>36</v>
      </c>
      <c r="T8" s="1278" t="s">
        <v>178</v>
      </c>
      <c r="U8" s="1279" t="s">
        <v>36</v>
      </c>
      <c r="V8" s="1279" t="s">
        <v>199</v>
      </c>
      <c r="W8" s="1279" t="s">
        <v>83</v>
      </c>
      <c r="X8" s="1279" t="s">
        <v>413</v>
      </c>
      <c r="Y8" s="520"/>
      <c r="Z8" s="34"/>
    </row>
    <row r="9" spans="1:36" s="1290" customFormat="1" ht="30" customHeight="1">
      <c r="A9" s="509"/>
      <c r="B9" s="510"/>
      <c r="C9" s="510">
        <v>0</v>
      </c>
      <c r="D9" s="511"/>
      <c r="E9" s="1281" t="s">
        <v>382</v>
      </c>
      <c r="F9" s="1282" t="s">
        <v>84</v>
      </c>
      <c r="G9" s="1283"/>
      <c r="H9" s="1283"/>
      <c r="I9" s="1284"/>
      <c r="J9" s="1284"/>
      <c r="K9" s="1284"/>
      <c r="L9" s="1284"/>
      <c r="M9" s="1284"/>
      <c r="N9" s="1285"/>
      <c r="O9" s="1286"/>
      <c r="P9" s="1285"/>
      <c r="Q9" s="1285"/>
      <c r="R9" s="1285"/>
      <c r="S9" s="1286"/>
      <c r="T9" s="1285"/>
      <c r="U9" s="1286"/>
      <c r="V9" s="1286"/>
      <c r="W9" s="1286"/>
      <c r="X9" s="1287"/>
      <c r="Y9" s="1288" t="s">
        <v>413</v>
      </c>
      <c r="Z9" s="1289"/>
    </row>
    <row r="10" spans="1:36" ht="20.100000000000001" hidden="1" customHeight="1">
      <c r="A10" s="509">
        <f>+IF(B10&gt;0,B10+C9,IF(C10&gt;C9,C10,0))</f>
        <v>0</v>
      </c>
      <c r="B10" s="510">
        <f>+IF(P10&gt;=0.01,1,0)</f>
        <v>0</v>
      </c>
      <c r="C10" s="512">
        <f>+B10+C9</f>
        <v>0</v>
      </c>
      <c r="D10" s="513" t="str">
        <f>+E9&amp;". "&amp;F9</f>
        <v>1. MOVIMIENTO DE TIERRAS</v>
      </c>
      <c r="E10" s="899">
        <v>1</v>
      </c>
      <c r="F10" s="897" t="s">
        <v>296</v>
      </c>
      <c r="G10" s="900" t="s">
        <v>236</v>
      </c>
      <c r="H10" s="918">
        <v>5442.14</v>
      </c>
      <c r="I10" s="918">
        <v>94.18</v>
      </c>
      <c r="J10" s="918">
        <f>ROUND(I10*H10,2)</f>
        <v>512540.75</v>
      </c>
      <c r="K10" s="919">
        <v>94.18</v>
      </c>
      <c r="L10" s="920" t="str">
        <f>IF(I10=K10,"-","CM 3")</f>
        <v>-</v>
      </c>
      <c r="M10" s="921">
        <f>ROUND(K10*H10,2)</f>
        <v>512540.75</v>
      </c>
      <c r="N10" s="918">
        <f>+'Cant. Ejec,'!K6</f>
        <v>72.599999999999994</v>
      </c>
      <c r="O10" s="918">
        <f>+'Cant. Ejec,'!L6</f>
        <v>395104.4</v>
      </c>
      <c r="P10" s="922">
        <f>+'Cant. Ejec,'!M6</f>
        <v>0</v>
      </c>
      <c r="Q10" s="923">
        <f>+ROUND(H10*P10,2)</f>
        <v>0</v>
      </c>
      <c r="R10" s="918">
        <f>N10+P10</f>
        <v>72.599999999999994</v>
      </c>
      <c r="S10" s="924">
        <f>O10+Q10</f>
        <v>395104.4</v>
      </c>
      <c r="T10" s="918">
        <f>K10-R10</f>
        <v>21.580000000000013</v>
      </c>
      <c r="U10" s="924">
        <f>+M10-S10</f>
        <v>117436.34999999998</v>
      </c>
      <c r="V10" s="925">
        <f>(Q10/M10)</f>
        <v>0</v>
      </c>
      <c r="W10" s="926">
        <f>(S10/M10)</f>
        <v>0.77087412074064354</v>
      </c>
      <c r="X10" s="927">
        <f>(100%-W10)</f>
        <v>0.22912587925935646</v>
      </c>
      <c r="Y10" s="519">
        <f>+R10/K10</f>
        <v>0.77086430239966008</v>
      </c>
      <c r="Z10" s="212" t="str">
        <f>IF((S10+U10)=M10,"ok","MAL")</f>
        <v>ok</v>
      </c>
      <c r="AA10" s="1">
        <v>10.6</v>
      </c>
      <c r="AB10" s="395">
        <f>+AA10-T10</f>
        <v>-10.980000000000013</v>
      </c>
    </row>
    <row r="11" spans="1:36" ht="20.100000000000001" hidden="1" customHeight="1">
      <c r="A11" s="509">
        <f>+IF(B11&gt;0,B11+C10,IF(C11&gt;C10,C11,0))</f>
        <v>0</v>
      </c>
      <c r="B11" s="510">
        <f t="shared" ref="B11:B74" si="0">+IF(P11&gt;=0.01,1,0)</f>
        <v>0</v>
      </c>
      <c r="C11" s="512">
        <f>+B11+C10</f>
        <v>0</v>
      </c>
      <c r="D11" s="513" t="str">
        <f>+D10</f>
        <v>1. MOVIMIENTO DE TIERRAS</v>
      </c>
      <c r="E11" s="899" t="s">
        <v>439</v>
      </c>
      <c r="F11" s="897" t="s">
        <v>440</v>
      </c>
      <c r="G11" s="901" t="s">
        <v>85</v>
      </c>
      <c r="H11" s="918">
        <v>28.92</v>
      </c>
      <c r="I11" s="928">
        <v>0</v>
      </c>
      <c r="J11" s="928">
        <f>ROUND(I11*H11,2)</f>
        <v>0</v>
      </c>
      <c r="K11" s="929">
        <v>583.88</v>
      </c>
      <c r="L11" s="920" t="str">
        <f>IF(I11=K11,"-","CM 3")</f>
        <v>CM 3</v>
      </c>
      <c r="M11" s="921">
        <f>ROUND(K11*H11,2)</f>
        <v>16885.810000000001</v>
      </c>
      <c r="N11" s="928">
        <f>+'Cant. Ejec,'!K7</f>
        <v>0</v>
      </c>
      <c r="O11" s="928">
        <f>+'Cant. Ejec,'!L7</f>
        <v>0</v>
      </c>
      <c r="P11" s="930">
        <f>+'Cant. Ejec,'!M7</f>
        <v>0</v>
      </c>
      <c r="Q11" s="931">
        <f>+ROUND(H11*P11,2)</f>
        <v>0</v>
      </c>
      <c r="R11" s="918">
        <f t="shared" ref="R11:S12" si="1">N11+P11</f>
        <v>0</v>
      </c>
      <c r="S11" s="932">
        <f t="shared" si="1"/>
        <v>0</v>
      </c>
      <c r="T11" s="918">
        <f>K11-R11</f>
        <v>583.88</v>
      </c>
      <c r="U11" s="932">
        <f>+M11-S11</f>
        <v>16885.810000000001</v>
      </c>
      <c r="V11" s="933">
        <f>(Q11/M11)</f>
        <v>0</v>
      </c>
      <c r="W11" s="933">
        <f>(S11/M11)</f>
        <v>0</v>
      </c>
      <c r="X11" s="934">
        <f>(100%-W11)</f>
        <v>1</v>
      </c>
      <c r="Y11" s="519">
        <f t="shared" ref="Y11:Y74" si="2">+R11/K11</f>
        <v>0</v>
      </c>
      <c r="Z11" s="212" t="str">
        <f t="shared" ref="Z11:Z74" si="3">IF((S11+U11)=M11,"ok","MAL")</f>
        <v>ok</v>
      </c>
      <c r="AB11" s="395"/>
    </row>
    <row r="12" spans="1:36" ht="20.100000000000001" hidden="1" customHeight="1">
      <c r="A12" s="509">
        <f>+IF(B12&gt;0,B12+C11,IF(C12&gt;C11,C12,0))</f>
        <v>0</v>
      </c>
      <c r="B12" s="510">
        <f t="shared" si="0"/>
        <v>0</v>
      </c>
      <c r="C12" s="512">
        <f>+B12+C11</f>
        <v>0</v>
      </c>
      <c r="D12" s="513" t="str">
        <f>+D11</f>
        <v>1. MOVIMIENTO DE TIERRAS</v>
      </c>
      <c r="E12" s="899" t="s">
        <v>441</v>
      </c>
      <c r="F12" s="897" t="s">
        <v>442</v>
      </c>
      <c r="G12" s="901" t="s">
        <v>85</v>
      </c>
      <c r="H12" s="918">
        <v>49.94</v>
      </c>
      <c r="I12" s="928">
        <v>0</v>
      </c>
      <c r="J12" s="928">
        <f>ROUND(I12*H12,2)</f>
        <v>0</v>
      </c>
      <c r="K12" s="929">
        <v>2284.02</v>
      </c>
      <c r="L12" s="920" t="str">
        <f>IF(I12=K12,"-","CM 3")</f>
        <v>CM 3</v>
      </c>
      <c r="M12" s="921">
        <f>ROUND(K12*H12,2)</f>
        <v>114063.96</v>
      </c>
      <c r="N12" s="928">
        <f>+'Cant. Ejec,'!K8</f>
        <v>0</v>
      </c>
      <c r="O12" s="928">
        <f>+'Cant. Ejec,'!L8</f>
        <v>0</v>
      </c>
      <c r="P12" s="930">
        <f>+'Cant. Ejec,'!M8</f>
        <v>0</v>
      </c>
      <c r="Q12" s="931">
        <f>+ROUND(H12*P12,2)</f>
        <v>0</v>
      </c>
      <c r="R12" s="918">
        <f t="shared" si="1"/>
        <v>0</v>
      </c>
      <c r="S12" s="932">
        <f t="shared" si="1"/>
        <v>0</v>
      </c>
      <c r="T12" s="918">
        <f>K12-R12</f>
        <v>2284.02</v>
      </c>
      <c r="U12" s="932">
        <f>+M12-S12</f>
        <v>114063.96</v>
      </c>
      <c r="V12" s="933">
        <f>(Q12/M12)</f>
        <v>0</v>
      </c>
      <c r="W12" s="933">
        <f>(S12/M12)</f>
        <v>0</v>
      </c>
      <c r="X12" s="934">
        <f>(100%-W12)</f>
        <v>1</v>
      </c>
      <c r="Y12" s="519">
        <f t="shared" si="2"/>
        <v>0</v>
      </c>
      <c r="Z12" s="212" t="str">
        <f t="shared" si="3"/>
        <v>ok</v>
      </c>
      <c r="AA12" s="1274">
        <f>+K12/12</f>
        <v>190.33500000000001</v>
      </c>
      <c r="AB12" s="395"/>
    </row>
    <row r="13" spans="1:36" ht="20.100000000000001" hidden="1" customHeight="1">
      <c r="A13" s="509">
        <f t="shared" ref="A13:A76" si="4">+IF(B13&gt;0,B13+C12,IF(C13&gt;C12,C13,0))</f>
        <v>0</v>
      </c>
      <c r="B13" s="510">
        <f t="shared" si="0"/>
        <v>0</v>
      </c>
      <c r="C13" s="512">
        <f t="shared" ref="C13:C76" si="5">+B13+C12</f>
        <v>0</v>
      </c>
      <c r="D13" s="513" t="str">
        <f>+D12</f>
        <v>1. MOVIMIENTO DE TIERRAS</v>
      </c>
      <c r="E13" s="899" t="s">
        <v>443</v>
      </c>
      <c r="F13" s="897" t="s">
        <v>592</v>
      </c>
      <c r="G13" s="902" t="s">
        <v>444</v>
      </c>
      <c r="H13" s="918">
        <v>2.72</v>
      </c>
      <c r="I13" s="928">
        <v>0</v>
      </c>
      <c r="J13" s="928">
        <f>ROUND(I13*H13,2)</f>
        <v>0</v>
      </c>
      <c r="K13" s="935">
        <v>25488.04</v>
      </c>
      <c r="L13" s="920" t="str">
        <f>IF(I13=K13,"-","CM 3")</f>
        <v>CM 3</v>
      </c>
      <c r="M13" s="936">
        <f>ROUND(K13*H13,2)</f>
        <v>69327.47</v>
      </c>
      <c r="N13" s="928">
        <f>+'Cant. Ejec,'!K9</f>
        <v>0</v>
      </c>
      <c r="O13" s="928">
        <f>+'Cant. Ejec,'!L9</f>
        <v>0</v>
      </c>
      <c r="P13" s="930">
        <f>+'Cant. Ejec,'!M9</f>
        <v>0</v>
      </c>
      <c r="Q13" s="931">
        <f>+ROUND(H13*P13,2)</f>
        <v>0</v>
      </c>
      <c r="R13" s="918">
        <f>N13+P13</f>
        <v>0</v>
      </c>
      <c r="S13" s="932">
        <f>O13+Q13</f>
        <v>0</v>
      </c>
      <c r="T13" s="918">
        <f>K13-R13</f>
        <v>25488.04</v>
      </c>
      <c r="U13" s="932">
        <f>+M13-S13</f>
        <v>69327.47</v>
      </c>
      <c r="V13" s="937">
        <f>(Q13/M13)</f>
        <v>0</v>
      </c>
      <c r="W13" s="937">
        <f>(S13/M13)</f>
        <v>0</v>
      </c>
      <c r="X13" s="938">
        <f>(100%-W13)</f>
        <v>1</v>
      </c>
      <c r="Y13" s="519">
        <f t="shared" si="2"/>
        <v>0</v>
      </c>
      <c r="Z13" s="212" t="str">
        <f t="shared" si="3"/>
        <v>ok</v>
      </c>
      <c r="AA13" s="1">
        <f>+AA12/8</f>
        <v>23.791875000000001</v>
      </c>
      <c r="AB13" s="395"/>
    </row>
    <row r="14" spans="1:36" ht="20.100000000000001" hidden="1" customHeight="1">
      <c r="A14" s="509">
        <f t="shared" si="4"/>
        <v>0</v>
      </c>
      <c r="B14" s="510">
        <f t="shared" si="0"/>
        <v>0</v>
      </c>
      <c r="C14" s="512">
        <f t="shared" si="5"/>
        <v>0</v>
      </c>
      <c r="D14" s="513" t="str">
        <f>+D13</f>
        <v>1. MOVIMIENTO DE TIERRAS</v>
      </c>
      <c r="E14" s="903"/>
      <c r="F14" s="904" t="s">
        <v>237</v>
      </c>
      <c r="G14" s="905"/>
      <c r="H14" s="939"/>
      <c r="I14" s="940"/>
      <c r="J14" s="941">
        <f>SUM(J10)</f>
        <v>512540.75</v>
      </c>
      <c r="K14" s="942"/>
      <c r="L14" s="942"/>
      <c r="M14" s="941">
        <f>SUM(M10:M13)</f>
        <v>712817.99</v>
      </c>
      <c r="N14" s="943"/>
      <c r="O14" s="941">
        <f>SUM(O10:O13)</f>
        <v>395104.4</v>
      </c>
      <c r="P14" s="944"/>
      <c r="Q14" s="941">
        <f>SUM(Q10:Q13)</f>
        <v>0</v>
      </c>
      <c r="R14" s="943"/>
      <c r="S14" s="941">
        <f>SUM(S10:S13)</f>
        <v>395104.4</v>
      </c>
      <c r="T14" s="944"/>
      <c r="U14" s="941">
        <f>SUM(U10:U13)</f>
        <v>317713.58999999997</v>
      </c>
      <c r="V14" s="945">
        <f>(Q14/M14)</f>
        <v>0</v>
      </c>
      <c r="W14" s="946">
        <f>(S14/M14)</f>
        <v>0.5542851128097932</v>
      </c>
      <c r="X14" s="947">
        <f>(U14/M14)</f>
        <v>0.4457148871902068</v>
      </c>
      <c r="Y14" s="519"/>
      <c r="Z14" s="212" t="str">
        <f t="shared" si="3"/>
        <v>ok</v>
      </c>
      <c r="AB14" s="395"/>
      <c r="AH14" s="1">
        <v>5</v>
      </c>
      <c r="AI14" s="1">
        <v>5</v>
      </c>
      <c r="AJ14" s="1">
        <v>5</v>
      </c>
    </row>
    <row r="15" spans="1:36" ht="20.100000000000001" hidden="1" customHeight="1">
      <c r="A15" s="509">
        <f t="shared" si="4"/>
        <v>0</v>
      </c>
      <c r="B15" s="510">
        <f t="shared" si="0"/>
        <v>0</v>
      </c>
      <c r="C15" s="512">
        <f t="shared" si="5"/>
        <v>0</v>
      </c>
      <c r="D15" s="513"/>
      <c r="E15" s="898" t="s">
        <v>383</v>
      </c>
      <c r="F15" s="906" t="s">
        <v>308</v>
      </c>
      <c r="G15" s="907"/>
      <c r="H15" s="907"/>
      <c r="I15" s="948"/>
      <c r="J15" s="948"/>
      <c r="K15" s="949"/>
      <c r="L15" s="949"/>
      <c r="M15" s="949"/>
      <c r="N15" s="950"/>
      <c r="O15" s="950"/>
      <c r="P15" s="950"/>
      <c r="Q15" s="950"/>
      <c r="R15" s="950"/>
      <c r="S15" s="950"/>
      <c r="T15" s="950"/>
      <c r="U15" s="950"/>
      <c r="V15" s="951"/>
      <c r="W15" s="951"/>
      <c r="X15" s="952"/>
      <c r="Y15" s="519"/>
      <c r="Z15" s="212" t="str">
        <f t="shared" si="3"/>
        <v>ok</v>
      </c>
      <c r="AB15" s="395"/>
      <c r="AH15" s="1">
        <v>7.5</v>
      </c>
      <c r="AI15" s="1">
        <v>7.5</v>
      </c>
      <c r="AJ15" s="1">
        <v>7.5</v>
      </c>
    </row>
    <row r="16" spans="1:36" ht="20.100000000000001" hidden="1" customHeight="1">
      <c r="A16" s="509">
        <f t="shared" si="4"/>
        <v>0</v>
      </c>
      <c r="B16" s="510">
        <f t="shared" si="0"/>
        <v>0</v>
      </c>
      <c r="C16" s="512">
        <f t="shared" si="5"/>
        <v>0</v>
      </c>
      <c r="D16" s="513" t="str">
        <f>+E15&amp;". "&amp;F15</f>
        <v>2. PAVIMENTACION</v>
      </c>
      <c r="E16" s="899">
        <v>2</v>
      </c>
      <c r="F16" s="897" t="s">
        <v>297</v>
      </c>
      <c r="G16" s="900" t="s">
        <v>86</v>
      </c>
      <c r="H16" s="928">
        <v>1.46</v>
      </c>
      <c r="I16" s="928">
        <v>266002</v>
      </c>
      <c r="J16" s="928">
        <f t="shared" ref="J16:J31" si="6">ROUND(I16*H16,2)</f>
        <v>388362.92</v>
      </c>
      <c r="K16" s="919">
        <v>266002</v>
      </c>
      <c r="L16" s="920" t="str">
        <f t="shared" ref="L16:L31" si="7">IF(I16=K16,"-","CM 3")</f>
        <v>-</v>
      </c>
      <c r="M16" s="953">
        <f t="shared" ref="M16:M31" si="8">ROUND(K16*H16,2)</f>
        <v>388362.92</v>
      </c>
      <c r="N16" s="918">
        <f>+'Cant. Ejec,'!K11</f>
        <v>0</v>
      </c>
      <c r="O16" s="918">
        <f>+'Cant. Ejec,'!L11</f>
        <v>0</v>
      </c>
      <c r="P16" s="922">
        <f>+'Cant. Ejec,'!M11</f>
        <v>0</v>
      </c>
      <c r="Q16" s="923">
        <f t="shared" ref="Q16:Q31" si="9">+ROUND(H16*P16,2)</f>
        <v>0</v>
      </c>
      <c r="R16" s="918">
        <f>N16+P16</f>
        <v>0</v>
      </c>
      <c r="S16" s="924">
        <f>O16+Q16</f>
        <v>0</v>
      </c>
      <c r="T16" s="918">
        <f>K16-R16</f>
        <v>266002</v>
      </c>
      <c r="U16" s="924">
        <f>+M16-S16</f>
        <v>388362.92</v>
      </c>
      <c r="V16" s="933">
        <f>(Q16/M16)</f>
        <v>0</v>
      </c>
      <c r="W16" s="933">
        <f>(S16/M16)</f>
        <v>0</v>
      </c>
      <c r="X16" s="934">
        <f>(100%-W16)</f>
        <v>1</v>
      </c>
      <c r="Y16" s="519">
        <f t="shared" si="2"/>
        <v>0</v>
      </c>
      <c r="Z16" s="212" t="str">
        <f t="shared" si="3"/>
        <v>ok</v>
      </c>
      <c r="AB16" s="395"/>
      <c r="AH16" s="1">
        <v>5</v>
      </c>
      <c r="AI16" s="1">
        <v>2.5</v>
      </c>
      <c r="AJ16" s="1">
        <v>10</v>
      </c>
    </row>
    <row r="17" spans="1:36" ht="20.100000000000001" hidden="1" customHeight="1">
      <c r="A17" s="509">
        <f t="shared" si="4"/>
        <v>0</v>
      </c>
      <c r="B17" s="510">
        <f t="shared" si="0"/>
        <v>0</v>
      </c>
      <c r="C17" s="512">
        <f t="shared" si="5"/>
        <v>0</v>
      </c>
      <c r="D17" s="513" t="str">
        <f t="shared" ref="D17:D29" si="10">+D16</f>
        <v>2. PAVIMENTACION</v>
      </c>
      <c r="E17" s="899">
        <v>3</v>
      </c>
      <c r="F17" s="897" t="s">
        <v>298</v>
      </c>
      <c r="G17" s="901" t="s">
        <v>85</v>
      </c>
      <c r="H17" s="928">
        <v>96.9</v>
      </c>
      <c r="I17" s="928">
        <v>34368.400000000001</v>
      </c>
      <c r="J17" s="928">
        <f t="shared" si="6"/>
        <v>3330297.96</v>
      </c>
      <c r="K17" s="929">
        <v>0</v>
      </c>
      <c r="L17" s="920" t="str">
        <f t="shared" si="7"/>
        <v>CM 3</v>
      </c>
      <c r="M17" s="921">
        <f t="shared" si="8"/>
        <v>0</v>
      </c>
      <c r="N17" s="928">
        <f>+'Cant. Ejec,'!K12</f>
        <v>0</v>
      </c>
      <c r="O17" s="928">
        <f>+'Cant. Ejec,'!L12</f>
        <v>0</v>
      </c>
      <c r="P17" s="930">
        <f>+'Cant. Ejec,'!M12</f>
        <v>0</v>
      </c>
      <c r="Q17" s="931">
        <f t="shared" si="9"/>
        <v>0</v>
      </c>
      <c r="R17" s="928">
        <f t="shared" ref="R17:S31" si="11">N17+P17</f>
        <v>0</v>
      </c>
      <c r="S17" s="954">
        <f t="shared" si="11"/>
        <v>0</v>
      </c>
      <c r="T17" s="928">
        <f t="shared" ref="T17:T31" si="12">K17-R17</f>
        <v>0</v>
      </c>
      <c r="U17" s="954">
        <f t="shared" ref="U17:U31" si="13">+M17-S17</f>
        <v>0</v>
      </c>
      <c r="V17" s="955">
        <v>0</v>
      </c>
      <c r="W17" s="955">
        <v>0</v>
      </c>
      <c r="X17" s="956">
        <f t="shared" ref="X17:X31" si="14">(100%-W17)</f>
        <v>1</v>
      </c>
      <c r="Y17" s="519" t="e">
        <f t="shared" si="2"/>
        <v>#DIV/0!</v>
      </c>
      <c r="Z17" s="212" t="str">
        <f t="shared" si="3"/>
        <v>ok</v>
      </c>
      <c r="AB17" s="395"/>
      <c r="AH17" s="1">
        <v>5</v>
      </c>
      <c r="AI17" s="1">
        <v>5</v>
      </c>
      <c r="AJ17" s="1">
        <v>7.5</v>
      </c>
    </row>
    <row r="18" spans="1:36" ht="20.100000000000001" hidden="1" customHeight="1">
      <c r="A18" s="509">
        <f t="shared" si="4"/>
        <v>0</v>
      </c>
      <c r="B18" s="510">
        <f t="shared" si="0"/>
        <v>0</v>
      </c>
      <c r="C18" s="512">
        <f t="shared" si="5"/>
        <v>0</v>
      </c>
      <c r="D18" s="513" t="str">
        <f t="shared" si="10"/>
        <v>2. PAVIMENTACION</v>
      </c>
      <c r="E18" s="899">
        <v>4</v>
      </c>
      <c r="F18" s="897" t="s">
        <v>299</v>
      </c>
      <c r="G18" s="901" t="s">
        <v>85</v>
      </c>
      <c r="H18" s="928">
        <v>96.9</v>
      </c>
      <c r="I18" s="928">
        <v>18832</v>
      </c>
      <c r="J18" s="928">
        <f t="shared" si="6"/>
        <v>1824820.8</v>
      </c>
      <c r="K18" s="929">
        <v>0</v>
      </c>
      <c r="L18" s="920" t="str">
        <f t="shared" si="7"/>
        <v>CM 3</v>
      </c>
      <c r="M18" s="921">
        <f t="shared" si="8"/>
        <v>0</v>
      </c>
      <c r="N18" s="928">
        <f>+'Cant. Ejec,'!K13</f>
        <v>0</v>
      </c>
      <c r="O18" s="928">
        <f>+'Cant. Ejec,'!L13</f>
        <v>0</v>
      </c>
      <c r="P18" s="930">
        <f>+'Cant. Ejec,'!M13</f>
        <v>0</v>
      </c>
      <c r="Q18" s="931">
        <f t="shared" si="9"/>
        <v>0</v>
      </c>
      <c r="R18" s="928">
        <f t="shared" si="11"/>
        <v>0</v>
      </c>
      <c r="S18" s="954">
        <f t="shared" si="11"/>
        <v>0</v>
      </c>
      <c r="T18" s="928">
        <f t="shared" si="12"/>
        <v>0</v>
      </c>
      <c r="U18" s="954">
        <f t="shared" si="13"/>
        <v>0</v>
      </c>
      <c r="V18" s="955">
        <v>0</v>
      </c>
      <c r="W18" s="955">
        <v>0</v>
      </c>
      <c r="X18" s="956">
        <f t="shared" si="14"/>
        <v>1</v>
      </c>
      <c r="Y18" s="519" t="e">
        <f t="shared" si="2"/>
        <v>#DIV/0!</v>
      </c>
      <c r="Z18" s="212" t="str">
        <f t="shared" si="3"/>
        <v>ok</v>
      </c>
      <c r="AB18" s="395"/>
      <c r="AH18" s="1">
        <v>7.5</v>
      </c>
      <c r="AI18" s="1">
        <v>5</v>
      </c>
      <c r="AJ18" s="1">
        <v>7.5</v>
      </c>
    </row>
    <row r="19" spans="1:36" ht="20.100000000000001" hidden="1" customHeight="1">
      <c r="A19" s="509">
        <f t="shared" si="4"/>
        <v>0</v>
      </c>
      <c r="B19" s="510">
        <f t="shared" si="0"/>
        <v>0</v>
      </c>
      <c r="C19" s="512">
        <f t="shared" si="5"/>
        <v>0</v>
      </c>
      <c r="D19" s="513" t="str">
        <f t="shared" si="10"/>
        <v>2. PAVIMENTACION</v>
      </c>
      <c r="E19" s="899">
        <v>5</v>
      </c>
      <c r="F19" s="897" t="s">
        <v>300</v>
      </c>
      <c r="G19" s="901" t="s">
        <v>422</v>
      </c>
      <c r="H19" s="928">
        <v>3.74</v>
      </c>
      <c r="I19" s="928">
        <v>439169.3</v>
      </c>
      <c r="J19" s="928">
        <f t="shared" si="6"/>
        <v>1642493.18</v>
      </c>
      <c r="K19" s="929">
        <v>439169.3</v>
      </c>
      <c r="L19" s="920" t="str">
        <f t="shared" si="7"/>
        <v>-</v>
      </c>
      <c r="M19" s="921">
        <f t="shared" si="8"/>
        <v>1642493.18</v>
      </c>
      <c r="N19" s="928">
        <f>+'Cant. Ejec,'!K14</f>
        <v>346422.9</v>
      </c>
      <c r="O19" s="928">
        <f>+'Cant. Ejec,'!L14</f>
        <v>1295621.6499999999</v>
      </c>
      <c r="P19" s="930">
        <f>+'Cant. Ejec,'!M14</f>
        <v>0</v>
      </c>
      <c r="Q19" s="931">
        <f t="shared" si="9"/>
        <v>0</v>
      </c>
      <c r="R19" s="928">
        <f t="shared" si="11"/>
        <v>346422.9</v>
      </c>
      <c r="S19" s="954">
        <f t="shared" si="11"/>
        <v>1295621.6499999999</v>
      </c>
      <c r="T19" s="928">
        <f t="shared" si="12"/>
        <v>92746.399999999965</v>
      </c>
      <c r="U19" s="954">
        <f t="shared" si="13"/>
        <v>346871.53</v>
      </c>
      <c r="V19" s="955">
        <f t="shared" ref="V19:V31" si="15">(Q19/M19)</f>
        <v>0</v>
      </c>
      <c r="W19" s="955">
        <f t="shared" ref="W19:W31" si="16">(S19/M19)</f>
        <v>0.78881402113340893</v>
      </c>
      <c r="X19" s="956">
        <f t="shared" si="14"/>
        <v>0.21118597886659107</v>
      </c>
      <c r="Y19" s="519">
        <f t="shared" si="2"/>
        <v>0.78881401773757875</v>
      </c>
      <c r="Z19" s="212" t="str">
        <f t="shared" si="3"/>
        <v>ok</v>
      </c>
      <c r="AB19" s="395"/>
      <c r="AH19" s="1">
        <v>7.5</v>
      </c>
      <c r="AI19" s="1">
        <v>7.5</v>
      </c>
      <c r="AJ19" s="1">
        <v>7.5</v>
      </c>
    </row>
    <row r="20" spans="1:36" ht="27" hidden="1">
      <c r="A20" s="509">
        <f t="shared" si="4"/>
        <v>0</v>
      </c>
      <c r="B20" s="510">
        <f t="shared" si="0"/>
        <v>0</v>
      </c>
      <c r="C20" s="512">
        <f t="shared" si="5"/>
        <v>0</v>
      </c>
      <c r="D20" s="513" t="str">
        <f t="shared" si="10"/>
        <v>2. PAVIMENTACION</v>
      </c>
      <c r="E20" s="899">
        <v>6</v>
      </c>
      <c r="F20" s="897" t="s">
        <v>301</v>
      </c>
      <c r="G20" s="901" t="s">
        <v>85</v>
      </c>
      <c r="H20" s="928">
        <v>191.25</v>
      </c>
      <c r="I20" s="928">
        <v>41713.949999999997</v>
      </c>
      <c r="J20" s="928">
        <f t="shared" si="6"/>
        <v>7977792.9400000004</v>
      </c>
      <c r="K20" s="929">
        <v>53551.299999999996</v>
      </c>
      <c r="L20" s="920" t="str">
        <f t="shared" si="7"/>
        <v>CM 3</v>
      </c>
      <c r="M20" s="921">
        <f t="shared" si="8"/>
        <v>10241686.130000001</v>
      </c>
      <c r="N20" s="928">
        <f>+'Cant. Ejec,'!K15</f>
        <v>0</v>
      </c>
      <c r="O20" s="928">
        <f>+'Cant. Ejec,'!L15</f>
        <v>0</v>
      </c>
      <c r="P20" s="930">
        <f>+'Cant. Ejec,'!M15</f>
        <v>0</v>
      </c>
      <c r="Q20" s="931">
        <f t="shared" si="9"/>
        <v>0</v>
      </c>
      <c r="R20" s="928">
        <f t="shared" si="11"/>
        <v>0</v>
      </c>
      <c r="S20" s="954">
        <f t="shared" si="11"/>
        <v>0</v>
      </c>
      <c r="T20" s="928">
        <f t="shared" si="12"/>
        <v>53551.299999999996</v>
      </c>
      <c r="U20" s="954">
        <f t="shared" si="13"/>
        <v>10241686.130000001</v>
      </c>
      <c r="V20" s="955">
        <f t="shared" si="15"/>
        <v>0</v>
      </c>
      <c r="W20" s="955">
        <f t="shared" si="16"/>
        <v>0</v>
      </c>
      <c r="X20" s="956">
        <f t="shared" si="14"/>
        <v>1</v>
      </c>
      <c r="Y20" s="519">
        <f t="shared" si="2"/>
        <v>0</v>
      </c>
      <c r="Z20" s="212" t="str">
        <f t="shared" si="3"/>
        <v>ok</v>
      </c>
      <c r="AB20" s="395"/>
      <c r="AH20" s="1">
        <v>7.5</v>
      </c>
      <c r="AI20" s="1">
        <v>7.5</v>
      </c>
      <c r="AJ20" s="1">
        <v>7.5</v>
      </c>
    </row>
    <row r="21" spans="1:36" ht="27" hidden="1">
      <c r="A21" s="509">
        <f t="shared" si="4"/>
        <v>0</v>
      </c>
      <c r="B21" s="510">
        <f t="shared" si="0"/>
        <v>0</v>
      </c>
      <c r="C21" s="512">
        <f t="shared" si="5"/>
        <v>0</v>
      </c>
      <c r="D21" s="513" t="str">
        <f t="shared" si="10"/>
        <v>2. PAVIMENTACION</v>
      </c>
      <c r="E21" s="899">
        <v>7</v>
      </c>
      <c r="F21" s="897" t="s">
        <v>302</v>
      </c>
      <c r="G21" s="901" t="s">
        <v>85</v>
      </c>
      <c r="H21" s="928">
        <v>594.04999999999995</v>
      </c>
      <c r="I21" s="928">
        <v>17411.04</v>
      </c>
      <c r="J21" s="928">
        <f t="shared" si="6"/>
        <v>10343028.310000001</v>
      </c>
      <c r="K21" s="929">
        <v>13021.47</v>
      </c>
      <c r="L21" s="920" t="str">
        <f t="shared" si="7"/>
        <v>CM 3</v>
      </c>
      <c r="M21" s="921">
        <f t="shared" si="8"/>
        <v>7735404.25</v>
      </c>
      <c r="N21" s="928">
        <f>+'Cant. Ejec,'!K16</f>
        <v>0</v>
      </c>
      <c r="O21" s="928">
        <f>+'Cant. Ejec,'!L16</f>
        <v>0</v>
      </c>
      <c r="P21" s="930">
        <f>+'Cant. Ejec,'!M16</f>
        <v>0</v>
      </c>
      <c r="Q21" s="931">
        <f t="shared" si="9"/>
        <v>0</v>
      </c>
      <c r="R21" s="928">
        <f t="shared" si="11"/>
        <v>0</v>
      </c>
      <c r="S21" s="954">
        <f t="shared" si="11"/>
        <v>0</v>
      </c>
      <c r="T21" s="928">
        <f t="shared" si="12"/>
        <v>13021.47</v>
      </c>
      <c r="U21" s="954">
        <f t="shared" si="13"/>
        <v>7735404.25</v>
      </c>
      <c r="V21" s="955">
        <f t="shared" si="15"/>
        <v>0</v>
      </c>
      <c r="W21" s="955">
        <f t="shared" si="16"/>
        <v>0</v>
      </c>
      <c r="X21" s="956">
        <f t="shared" si="14"/>
        <v>1</v>
      </c>
      <c r="Y21" s="519">
        <f t="shared" si="2"/>
        <v>0</v>
      </c>
      <c r="Z21" s="212" t="str">
        <f t="shared" si="3"/>
        <v>ok</v>
      </c>
      <c r="AB21" s="395"/>
      <c r="AH21" s="1">
        <v>5</v>
      </c>
      <c r="AI21" s="1">
        <v>7.5</v>
      </c>
      <c r="AJ21" s="1">
        <v>7.5</v>
      </c>
    </row>
    <row r="22" spans="1:36" ht="20.100000000000001" hidden="1" customHeight="1">
      <c r="A22" s="509">
        <f t="shared" si="4"/>
        <v>0</v>
      </c>
      <c r="B22" s="510">
        <f t="shared" si="0"/>
        <v>0</v>
      </c>
      <c r="C22" s="512">
        <f t="shared" si="5"/>
        <v>0</v>
      </c>
      <c r="D22" s="513" t="str">
        <f t="shared" si="10"/>
        <v>2. PAVIMENTACION</v>
      </c>
      <c r="E22" s="899">
        <v>8</v>
      </c>
      <c r="F22" s="897" t="s">
        <v>303</v>
      </c>
      <c r="G22" s="901" t="s">
        <v>23</v>
      </c>
      <c r="H22" s="928">
        <v>12.04</v>
      </c>
      <c r="I22" s="928">
        <v>399003</v>
      </c>
      <c r="J22" s="928">
        <f t="shared" si="6"/>
        <v>4803996.12</v>
      </c>
      <c r="K22" s="929">
        <v>399003</v>
      </c>
      <c r="L22" s="920" t="str">
        <f t="shared" si="7"/>
        <v>-</v>
      </c>
      <c r="M22" s="921">
        <f t="shared" si="8"/>
        <v>4803996.12</v>
      </c>
      <c r="N22" s="928">
        <f>+'Cant. Ejec,'!K17</f>
        <v>0</v>
      </c>
      <c r="O22" s="928">
        <f>+'Cant. Ejec,'!L17</f>
        <v>0</v>
      </c>
      <c r="P22" s="930">
        <f>+'Cant. Ejec,'!M17</f>
        <v>0</v>
      </c>
      <c r="Q22" s="931">
        <f t="shared" si="9"/>
        <v>0</v>
      </c>
      <c r="R22" s="928">
        <f t="shared" si="11"/>
        <v>0</v>
      </c>
      <c r="S22" s="954">
        <f t="shared" si="11"/>
        <v>0</v>
      </c>
      <c r="T22" s="928">
        <f t="shared" si="12"/>
        <v>399003</v>
      </c>
      <c r="U22" s="954">
        <f t="shared" si="13"/>
        <v>4803996.12</v>
      </c>
      <c r="V22" s="955">
        <f t="shared" si="15"/>
        <v>0</v>
      </c>
      <c r="W22" s="955">
        <f t="shared" si="16"/>
        <v>0</v>
      </c>
      <c r="X22" s="956">
        <f t="shared" si="14"/>
        <v>1</v>
      </c>
      <c r="Y22" s="519">
        <f t="shared" si="2"/>
        <v>0</v>
      </c>
      <c r="Z22" s="212" t="str">
        <f t="shared" si="3"/>
        <v>ok</v>
      </c>
      <c r="AA22" s="1">
        <v>23</v>
      </c>
      <c r="AB22" s="395">
        <f>SUM(Z22:AA22)</f>
        <v>23</v>
      </c>
      <c r="AH22" s="1">
        <v>7.5</v>
      </c>
      <c r="AI22" s="1">
        <v>2.5</v>
      </c>
      <c r="AJ22" s="1">
        <v>5</v>
      </c>
    </row>
    <row r="23" spans="1:36" ht="27" hidden="1">
      <c r="A23" s="509">
        <f t="shared" si="4"/>
        <v>0</v>
      </c>
      <c r="B23" s="510">
        <f t="shared" si="0"/>
        <v>0</v>
      </c>
      <c r="C23" s="512">
        <f t="shared" si="5"/>
        <v>0</v>
      </c>
      <c r="D23" s="513" t="str">
        <f t="shared" si="10"/>
        <v>2. PAVIMENTACION</v>
      </c>
      <c r="E23" s="899">
        <v>9</v>
      </c>
      <c r="F23" s="897" t="s">
        <v>304</v>
      </c>
      <c r="G23" s="901" t="s">
        <v>305</v>
      </c>
      <c r="H23" s="928">
        <v>9167.4599999999991</v>
      </c>
      <c r="I23" s="928">
        <v>2437.5500000000002</v>
      </c>
      <c r="J23" s="928">
        <f t="shared" si="6"/>
        <v>22346142.120000001</v>
      </c>
      <c r="K23" s="929">
        <v>1920.67</v>
      </c>
      <c r="L23" s="920" t="str">
        <f t="shared" si="7"/>
        <v>CM 3</v>
      </c>
      <c r="M23" s="921">
        <f t="shared" si="8"/>
        <v>17607665.399999999</v>
      </c>
      <c r="N23" s="928">
        <f>+'Cant. Ejec,'!K18</f>
        <v>0</v>
      </c>
      <c r="O23" s="928">
        <f>+'Cant. Ejec,'!L18</f>
        <v>0</v>
      </c>
      <c r="P23" s="930">
        <f>+'Cant. Ejec,'!M18</f>
        <v>0</v>
      </c>
      <c r="Q23" s="931">
        <f t="shared" si="9"/>
        <v>0</v>
      </c>
      <c r="R23" s="928">
        <f t="shared" si="11"/>
        <v>0</v>
      </c>
      <c r="S23" s="954">
        <f t="shared" si="11"/>
        <v>0</v>
      </c>
      <c r="T23" s="928">
        <f t="shared" si="12"/>
        <v>1920.67</v>
      </c>
      <c r="U23" s="954">
        <f t="shared" si="13"/>
        <v>17607665.399999999</v>
      </c>
      <c r="V23" s="955">
        <f t="shared" si="15"/>
        <v>0</v>
      </c>
      <c r="W23" s="955">
        <f t="shared" si="16"/>
        <v>0</v>
      </c>
      <c r="X23" s="956">
        <f t="shared" si="14"/>
        <v>1</v>
      </c>
      <c r="Y23" s="519">
        <f t="shared" si="2"/>
        <v>0</v>
      </c>
      <c r="Z23" s="212" t="str">
        <f t="shared" si="3"/>
        <v>ok</v>
      </c>
      <c r="AB23" s="395">
        <f>SUM(Q23:AA23)</f>
        <v>17609587.07</v>
      </c>
      <c r="AH23" s="1">
        <v>7.5</v>
      </c>
      <c r="AI23" s="1">
        <v>5</v>
      </c>
      <c r="AJ23" s="1">
        <v>5</v>
      </c>
    </row>
    <row r="24" spans="1:36" ht="20.100000000000001" hidden="1" customHeight="1">
      <c r="A24" s="509">
        <f t="shared" si="4"/>
        <v>0</v>
      </c>
      <c r="B24" s="510">
        <f t="shared" si="0"/>
        <v>0</v>
      </c>
      <c r="C24" s="512">
        <f t="shared" si="5"/>
        <v>0</v>
      </c>
      <c r="D24" s="513" t="str">
        <f t="shared" si="10"/>
        <v>2. PAVIMENTACION</v>
      </c>
      <c r="E24" s="899">
        <v>10</v>
      </c>
      <c r="F24" s="897" t="s">
        <v>306</v>
      </c>
      <c r="G24" s="901" t="s">
        <v>422</v>
      </c>
      <c r="H24" s="928">
        <v>2.72</v>
      </c>
      <c r="I24" s="928">
        <v>510143.47</v>
      </c>
      <c r="J24" s="928">
        <f t="shared" si="6"/>
        <v>1387590.24</v>
      </c>
      <c r="K24" s="929">
        <v>381529.09</v>
      </c>
      <c r="L24" s="920" t="str">
        <f t="shared" si="7"/>
        <v>CM 3</v>
      </c>
      <c r="M24" s="921">
        <f t="shared" si="8"/>
        <v>1037759.12</v>
      </c>
      <c r="N24" s="928">
        <f>+'Cant. Ejec,'!K19</f>
        <v>0</v>
      </c>
      <c r="O24" s="928">
        <f>+'Cant. Ejec,'!L19</f>
        <v>0</v>
      </c>
      <c r="P24" s="930">
        <f>+'Cant. Ejec,'!M19</f>
        <v>0</v>
      </c>
      <c r="Q24" s="931">
        <f t="shared" si="9"/>
        <v>0</v>
      </c>
      <c r="R24" s="928">
        <f t="shared" si="11"/>
        <v>0</v>
      </c>
      <c r="S24" s="954">
        <f t="shared" si="11"/>
        <v>0</v>
      </c>
      <c r="T24" s="928">
        <f t="shared" si="12"/>
        <v>381529.09</v>
      </c>
      <c r="U24" s="954">
        <f t="shared" si="13"/>
        <v>1037759.12</v>
      </c>
      <c r="V24" s="955">
        <f t="shared" si="15"/>
        <v>0</v>
      </c>
      <c r="W24" s="955">
        <f t="shared" si="16"/>
        <v>0</v>
      </c>
      <c r="X24" s="956">
        <f t="shared" si="14"/>
        <v>1</v>
      </c>
      <c r="Y24" s="519">
        <f t="shared" si="2"/>
        <v>0</v>
      </c>
      <c r="Z24" s="212" t="str">
        <f t="shared" si="3"/>
        <v>ok</v>
      </c>
      <c r="AB24" s="395"/>
      <c r="AH24" s="31">
        <f>SUM(AH14:AH23)</f>
        <v>65</v>
      </c>
      <c r="AI24" s="31">
        <f>SUM(AI14:AI23)</f>
        <v>55</v>
      </c>
      <c r="AJ24" s="31">
        <f>SUM(AJ14:AJ23)</f>
        <v>70</v>
      </c>
    </row>
    <row r="25" spans="1:36" ht="20.100000000000001" hidden="1" customHeight="1">
      <c r="A25" s="509">
        <f t="shared" si="4"/>
        <v>0</v>
      </c>
      <c r="B25" s="510">
        <f t="shared" si="0"/>
        <v>0</v>
      </c>
      <c r="C25" s="512">
        <f t="shared" si="5"/>
        <v>0</v>
      </c>
      <c r="D25" s="513" t="str">
        <f t="shared" si="10"/>
        <v>2. PAVIMENTACION</v>
      </c>
      <c r="E25" s="899">
        <v>11</v>
      </c>
      <c r="F25" s="897" t="s">
        <v>307</v>
      </c>
      <c r="G25" s="901" t="s">
        <v>422</v>
      </c>
      <c r="H25" s="928">
        <v>2.72</v>
      </c>
      <c r="I25" s="928">
        <v>1222218.74</v>
      </c>
      <c r="J25" s="928">
        <f t="shared" si="6"/>
        <v>3324434.97</v>
      </c>
      <c r="K25" s="929">
        <v>1569052.7600000002</v>
      </c>
      <c r="L25" s="920" t="str">
        <f t="shared" si="7"/>
        <v>CM 3</v>
      </c>
      <c r="M25" s="921">
        <f t="shared" si="8"/>
        <v>4267823.51</v>
      </c>
      <c r="N25" s="928">
        <f>+'Cant. Ejec,'!K20</f>
        <v>0</v>
      </c>
      <c r="O25" s="928">
        <f>+'Cant. Ejec,'!L20</f>
        <v>0</v>
      </c>
      <c r="P25" s="930">
        <f>+'Cant. Ejec,'!M20</f>
        <v>0</v>
      </c>
      <c r="Q25" s="931">
        <f t="shared" si="9"/>
        <v>0</v>
      </c>
      <c r="R25" s="928">
        <f t="shared" si="11"/>
        <v>0</v>
      </c>
      <c r="S25" s="954">
        <f t="shared" si="11"/>
        <v>0</v>
      </c>
      <c r="T25" s="928">
        <f t="shared" si="12"/>
        <v>1569052.7600000002</v>
      </c>
      <c r="U25" s="954">
        <f t="shared" si="13"/>
        <v>4267823.51</v>
      </c>
      <c r="V25" s="957">
        <f t="shared" si="15"/>
        <v>0</v>
      </c>
      <c r="W25" s="958">
        <f t="shared" si="16"/>
        <v>0</v>
      </c>
      <c r="X25" s="959">
        <f t="shared" si="14"/>
        <v>1</v>
      </c>
      <c r="Y25" s="519">
        <f t="shared" si="2"/>
        <v>0</v>
      </c>
      <c r="Z25" s="212" t="str">
        <f t="shared" si="3"/>
        <v>ok</v>
      </c>
      <c r="AB25" s="395"/>
    </row>
    <row r="26" spans="1:36" s="1290" customFormat="1" ht="30" customHeight="1">
      <c r="A26" s="509">
        <f t="shared" si="4"/>
        <v>1</v>
      </c>
      <c r="B26" s="510">
        <f t="shared" si="0"/>
        <v>1</v>
      </c>
      <c r="C26" s="512">
        <f t="shared" si="5"/>
        <v>1</v>
      </c>
      <c r="D26" s="513" t="str">
        <f t="shared" si="10"/>
        <v>2. PAVIMENTACION</v>
      </c>
      <c r="E26" s="1291" t="s">
        <v>445</v>
      </c>
      <c r="F26" s="1292" t="s">
        <v>446</v>
      </c>
      <c r="G26" s="1293" t="s">
        <v>85</v>
      </c>
      <c r="H26" s="1294">
        <v>13.94</v>
      </c>
      <c r="I26" s="1294">
        <v>0</v>
      </c>
      <c r="J26" s="1294">
        <f t="shared" si="6"/>
        <v>0</v>
      </c>
      <c r="K26" s="1295">
        <v>50718</v>
      </c>
      <c r="L26" s="1296" t="str">
        <f t="shared" si="7"/>
        <v>CM 3</v>
      </c>
      <c r="M26" s="1297">
        <f t="shared" si="8"/>
        <v>707008.92</v>
      </c>
      <c r="N26" s="1298">
        <f>+'Cant. Ejec,'!K21</f>
        <v>16677.5</v>
      </c>
      <c r="O26" s="1298">
        <f>+'Cant. Ejec,'!L21</f>
        <v>232484.35</v>
      </c>
      <c r="P26" s="1299">
        <f>+'Cant. Ejec,'!M21</f>
        <v>13098</v>
      </c>
      <c r="Q26" s="1300">
        <f t="shared" si="9"/>
        <v>182586.12</v>
      </c>
      <c r="R26" s="1294">
        <f t="shared" si="11"/>
        <v>29775.5</v>
      </c>
      <c r="S26" s="1301">
        <f t="shared" si="11"/>
        <v>415070.47</v>
      </c>
      <c r="T26" s="1294">
        <f t="shared" si="12"/>
        <v>20942.5</v>
      </c>
      <c r="U26" s="1301">
        <f t="shared" si="13"/>
        <v>291938.45000000007</v>
      </c>
      <c r="V26" s="1302">
        <f t="shared" si="15"/>
        <v>0.25825150834023419</v>
      </c>
      <c r="W26" s="1303">
        <f t="shared" si="16"/>
        <v>0.58707953783666544</v>
      </c>
      <c r="X26" s="1304">
        <f t="shared" si="14"/>
        <v>0.41292046216333456</v>
      </c>
      <c r="Y26" s="1305">
        <f t="shared" si="2"/>
        <v>0.58707953783666544</v>
      </c>
      <c r="Z26" s="1306" t="str">
        <f t="shared" si="3"/>
        <v>ok</v>
      </c>
      <c r="AA26" s="1290">
        <f>18000/12</f>
        <v>1500</v>
      </c>
      <c r="AB26" s="1307">
        <f>+AA26/8</f>
        <v>187.5</v>
      </c>
    </row>
    <row r="27" spans="1:36" s="1290" customFormat="1" ht="30" customHeight="1">
      <c r="A27" s="509">
        <f t="shared" si="4"/>
        <v>2</v>
      </c>
      <c r="B27" s="510">
        <f t="shared" si="0"/>
        <v>1</v>
      </c>
      <c r="C27" s="512">
        <f t="shared" si="5"/>
        <v>2</v>
      </c>
      <c r="D27" s="513" t="str">
        <f t="shared" si="10"/>
        <v>2. PAVIMENTACION</v>
      </c>
      <c r="E27" s="1291" t="s">
        <v>447</v>
      </c>
      <c r="F27" s="1292" t="s">
        <v>448</v>
      </c>
      <c r="G27" s="1293" t="s">
        <v>85</v>
      </c>
      <c r="H27" s="1294">
        <v>13.94</v>
      </c>
      <c r="I27" s="1294">
        <v>0</v>
      </c>
      <c r="J27" s="1294">
        <f t="shared" si="6"/>
        <v>0</v>
      </c>
      <c r="K27" s="1295">
        <v>5984</v>
      </c>
      <c r="L27" s="1296" t="str">
        <f t="shared" si="7"/>
        <v>CM 3</v>
      </c>
      <c r="M27" s="1297">
        <f t="shared" si="8"/>
        <v>83416.960000000006</v>
      </c>
      <c r="N27" s="1298">
        <f>+'Cant. Ejec,'!K22</f>
        <v>1600</v>
      </c>
      <c r="O27" s="1298">
        <f>+'Cant. Ejec,'!L22</f>
        <v>22304</v>
      </c>
      <c r="P27" s="1299">
        <f>+'Cant. Ejec,'!M22</f>
        <v>80</v>
      </c>
      <c r="Q27" s="1300">
        <f t="shared" si="9"/>
        <v>1115.2</v>
      </c>
      <c r="R27" s="1294">
        <f t="shared" si="11"/>
        <v>1680</v>
      </c>
      <c r="S27" s="1301">
        <f t="shared" si="11"/>
        <v>23419.200000000001</v>
      </c>
      <c r="T27" s="1294">
        <f t="shared" si="12"/>
        <v>4304</v>
      </c>
      <c r="U27" s="1301">
        <f t="shared" si="13"/>
        <v>59997.760000000009</v>
      </c>
      <c r="V27" s="1308">
        <f t="shared" si="15"/>
        <v>1.3368983957219251E-2</v>
      </c>
      <c r="W27" s="1308">
        <f t="shared" si="16"/>
        <v>0.28074866310160429</v>
      </c>
      <c r="X27" s="1309">
        <f t="shared" si="14"/>
        <v>0.71925133689839571</v>
      </c>
      <c r="Y27" s="1305">
        <f t="shared" si="2"/>
        <v>0.28074866310160429</v>
      </c>
      <c r="Z27" s="1306" t="str">
        <f t="shared" si="3"/>
        <v>ok</v>
      </c>
      <c r="AA27" s="1310">
        <f>+T27</f>
        <v>4304</v>
      </c>
      <c r="AB27" s="1307">
        <f>+AA27/12</f>
        <v>358.66666666666669</v>
      </c>
      <c r="AC27" s="1290">
        <f>+AB27/8</f>
        <v>44.833333333333336</v>
      </c>
    </row>
    <row r="28" spans="1:36" s="1290" customFormat="1" ht="30" customHeight="1">
      <c r="A28" s="509">
        <f t="shared" si="4"/>
        <v>3</v>
      </c>
      <c r="B28" s="510">
        <f t="shared" si="0"/>
        <v>1</v>
      </c>
      <c r="C28" s="512">
        <f t="shared" si="5"/>
        <v>3</v>
      </c>
      <c r="D28" s="513" t="str">
        <f t="shared" si="10"/>
        <v>2. PAVIMENTACION</v>
      </c>
      <c r="E28" s="1291" t="s">
        <v>449</v>
      </c>
      <c r="F28" s="1292" t="s">
        <v>593</v>
      </c>
      <c r="G28" s="1293" t="s">
        <v>85</v>
      </c>
      <c r="H28" s="1294">
        <v>127.8</v>
      </c>
      <c r="I28" s="1294">
        <v>0</v>
      </c>
      <c r="J28" s="1294">
        <f t="shared" si="6"/>
        <v>0</v>
      </c>
      <c r="K28" s="1295">
        <v>7047.74</v>
      </c>
      <c r="L28" s="1296" t="str">
        <f t="shared" si="7"/>
        <v>CM 3</v>
      </c>
      <c r="M28" s="1297">
        <f t="shared" si="8"/>
        <v>900701.17</v>
      </c>
      <c r="N28" s="1298">
        <f>+'Cant. Ejec,'!K23</f>
        <v>1600</v>
      </c>
      <c r="O28" s="1298">
        <f>+'Cant. Ejec,'!L23</f>
        <v>204480</v>
      </c>
      <c r="P28" s="1299">
        <f>+'Cant. Ejec,'!M23</f>
        <v>80</v>
      </c>
      <c r="Q28" s="1300">
        <f t="shared" si="9"/>
        <v>10224</v>
      </c>
      <c r="R28" s="1294">
        <f t="shared" si="11"/>
        <v>1680</v>
      </c>
      <c r="S28" s="1301">
        <f t="shared" si="11"/>
        <v>214704</v>
      </c>
      <c r="T28" s="1294">
        <f t="shared" si="12"/>
        <v>5367.74</v>
      </c>
      <c r="U28" s="1301">
        <f t="shared" si="13"/>
        <v>685997.17</v>
      </c>
      <c r="V28" s="1308">
        <f t="shared" si="15"/>
        <v>1.1351156566167222E-2</v>
      </c>
      <c r="W28" s="1308">
        <f t="shared" si="16"/>
        <v>0.23837428788951168</v>
      </c>
      <c r="X28" s="1309">
        <f t="shared" si="14"/>
        <v>0.76162571211048835</v>
      </c>
      <c r="Y28" s="1305">
        <f t="shared" si="2"/>
        <v>0.23837428736020341</v>
      </c>
      <c r="Z28" s="1306" t="str">
        <f t="shared" si="3"/>
        <v>ok</v>
      </c>
      <c r="AA28" s="1310">
        <f>+T28</f>
        <v>5367.74</v>
      </c>
      <c r="AB28" s="1307">
        <f>+AA28/12</f>
        <v>447.31166666666667</v>
      </c>
      <c r="AC28" s="1290">
        <f>+AB28/8</f>
        <v>55.913958333333333</v>
      </c>
      <c r="AD28" s="1311"/>
      <c r="AE28" s="1290">
        <v>24</v>
      </c>
      <c r="AH28" s="1311"/>
      <c r="AI28" s="1311"/>
    </row>
    <row r="29" spans="1:36" s="1290" customFormat="1" ht="30" customHeight="1">
      <c r="A29" s="509">
        <f t="shared" si="4"/>
        <v>4</v>
      </c>
      <c r="B29" s="510">
        <f t="shared" si="0"/>
        <v>1</v>
      </c>
      <c r="C29" s="512">
        <f t="shared" si="5"/>
        <v>4</v>
      </c>
      <c r="D29" s="513" t="str">
        <f t="shared" si="10"/>
        <v>2. PAVIMENTACION</v>
      </c>
      <c r="E29" s="1291" t="s">
        <v>450</v>
      </c>
      <c r="F29" s="1292" t="s">
        <v>451</v>
      </c>
      <c r="G29" s="1293" t="s">
        <v>85</v>
      </c>
      <c r="H29" s="1294">
        <v>83.8</v>
      </c>
      <c r="I29" s="1294">
        <v>0</v>
      </c>
      <c r="J29" s="1294">
        <f t="shared" si="6"/>
        <v>0</v>
      </c>
      <c r="K29" s="1295">
        <v>63040</v>
      </c>
      <c r="L29" s="1296" t="str">
        <f t="shared" si="7"/>
        <v>CM 3</v>
      </c>
      <c r="M29" s="1297">
        <f t="shared" si="8"/>
        <v>5282752</v>
      </c>
      <c r="N29" s="1298">
        <f>+'Cant. Ejec,'!K24</f>
        <v>23680</v>
      </c>
      <c r="O29" s="1298">
        <f>+'Cant. Ejec,'!L24</f>
        <v>1984384</v>
      </c>
      <c r="P29" s="1299">
        <f>+'Cant. Ejec,'!M24</f>
        <v>17200</v>
      </c>
      <c r="Q29" s="1300">
        <f t="shared" si="9"/>
        <v>1441360</v>
      </c>
      <c r="R29" s="1294">
        <f t="shared" si="11"/>
        <v>40880</v>
      </c>
      <c r="S29" s="1301">
        <f t="shared" si="11"/>
        <v>3425744</v>
      </c>
      <c r="T29" s="1294">
        <f t="shared" si="12"/>
        <v>22160</v>
      </c>
      <c r="U29" s="1301">
        <f t="shared" si="13"/>
        <v>1857008</v>
      </c>
      <c r="V29" s="1308">
        <f t="shared" si="15"/>
        <v>0.27284263959390864</v>
      </c>
      <c r="W29" s="1308">
        <f t="shared" si="16"/>
        <v>0.64847715736040612</v>
      </c>
      <c r="X29" s="1309">
        <f t="shared" si="14"/>
        <v>0.35152284263959388</v>
      </c>
      <c r="Y29" s="1305">
        <f t="shared" si="2"/>
        <v>0.64847715736040612</v>
      </c>
      <c r="Z29" s="1306" t="str">
        <f t="shared" si="3"/>
        <v>ok</v>
      </c>
      <c r="AB29" s="1307"/>
      <c r="AE29" s="1290">
        <v>187</v>
      </c>
    </row>
    <row r="30" spans="1:36" s="1290" customFormat="1" ht="30" customHeight="1">
      <c r="A30" s="509">
        <f>+IF(B30&gt;0,B30+C29,IF(C30&gt;C29,C30,0))</f>
        <v>0</v>
      </c>
      <c r="B30" s="510">
        <f t="shared" si="0"/>
        <v>0</v>
      </c>
      <c r="C30" s="512">
        <f>+B30+C29</f>
        <v>4</v>
      </c>
      <c r="D30" s="513" t="str">
        <f>+D29</f>
        <v>2. PAVIMENTACION</v>
      </c>
      <c r="E30" s="1291" t="s">
        <v>452</v>
      </c>
      <c r="F30" s="1292" t="s">
        <v>594</v>
      </c>
      <c r="G30" s="1293" t="s">
        <v>444</v>
      </c>
      <c r="H30" s="1294">
        <v>3.74</v>
      </c>
      <c r="I30" s="1294">
        <v>0</v>
      </c>
      <c r="J30" s="1294">
        <f t="shared" si="6"/>
        <v>0</v>
      </c>
      <c r="K30" s="1295">
        <v>32761.170000000002</v>
      </c>
      <c r="L30" s="1296" t="str">
        <f t="shared" si="7"/>
        <v>CM 3</v>
      </c>
      <c r="M30" s="1297">
        <f t="shared" si="8"/>
        <v>122526.78</v>
      </c>
      <c r="N30" s="1298">
        <f>+'Cant. Ejec,'!K25</f>
        <v>1335.68</v>
      </c>
      <c r="O30" s="1298">
        <f>+'Cant. Ejec,'!L25</f>
        <v>4995.4399999999996</v>
      </c>
      <c r="P30" s="1299">
        <f>+'Cant. Ejec,'!M25</f>
        <v>0</v>
      </c>
      <c r="Q30" s="1300">
        <f t="shared" si="9"/>
        <v>0</v>
      </c>
      <c r="R30" s="1294">
        <f t="shared" si="11"/>
        <v>1335.68</v>
      </c>
      <c r="S30" s="1301">
        <f t="shared" si="11"/>
        <v>4995.4399999999996</v>
      </c>
      <c r="T30" s="1294">
        <f t="shared" si="12"/>
        <v>31425.49</v>
      </c>
      <c r="U30" s="1301">
        <f t="shared" si="13"/>
        <v>117531.34</v>
      </c>
      <c r="V30" s="1308">
        <f t="shared" si="15"/>
        <v>0</v>
      </c>
      <c r="W30" s="1308">
        <f t="shared" si="16"/>
        <v>4.0770189178235154E-2</v>
      </c>
      <c r="X30" s="1309">
        <f t="shared" si="14"/>
        <v>0.95922981082176484</v>
      </c>
      <c r="Y30" s="1305">
        <f t="shared" si="2"/>
        <v>4.0770216692505183E-2</v>
      </c>
      <c r="Z30" s="1306" t="str">
        <f t="shared" si="3"/>
        <v>ok</v>
      </c>
      <c r="AB30" s="1307"/>
      <c r="AE30" s="1290">
        <v>45</v>
      </c>
    </row>
    <row r="31" spans="1:36" s="1290" customFormat="1" ht="30" customHeight="1">
      <c r="A31" s="509">
        <f>+IF(B31&gt;0,B31+C30,IF(C31&gt;C30,C31,0))</f>
        <v>5</v>
      </c>
      <c r="B31" s="510">
        <f t="shared" si="0"/>
        <v>1</v>
      </c>
      <c r="C31" s="512">
        <f>+B31+C30</f>
        <v>5</v>
      </c>
      <c r="D31" s="513" t="str">
        <f>+D30</f>
        <v>2. PAVIMENTACION</v>
      </c>
      <c r="E31" s="1291" t="s">
        <v>453</v>
      </c>
      <c r="F31" s="1292" t="s">
        <v>595</v>
      </c>
      <c r="G31" s="1312" t="s">
        <v>444</v>
      </c>
      <c r="H31" s="1294">
        <v>2.72</v>
      </c>
      <c r="I31" s="1294">
        <v>0</v>
      </c>
      <c r="J31" s="1294">
        <f t="shared" si="6"/>
        <v>0</v>
      </c>
      <c r="K31" s="1313">
        <v>45616</v>
      </c>
      <c r="L31" s="1296" t="str">
        <f t="shared" si="7"/>
        <v>CM 3</v>
      </c>
      <c r="M31" s="1314">
        <f t="shared" si="8"/>
        <v>124075.52</v>
      </c>
      <c r="N31" s="1298">
        <f>+'Cant. Ejec,'!K26</f>
        <v>1335.68</v>
      </c>
      <c r="O31" s="1298">
        <f>+'Cant. Ejec,'!L26</f>
        <v>3633.05</v>
      </c>
      <c r="P31" s="1299">
        <f>+'Cant. Ejec,'!M26</f>
        <v>914.08</v>
      </c>
      <c r="Q31" s="1315">
        <f t="shared" si="9"/>
        <v>2486.3000000000002</v>
      </c>
      <c r="R31" s="1294">
        <f t="shared" si="11"/>
        <v>2249.7600000000002</v>
      </c>
      <c r="S31" s="1301">
        <f t="shared" si="11"/>
        <v>6119.35</v>
      </c>
      <c r="T31" s="1294">
        <f t="shared" si="12"/>
        <v>43366.239999999998</v>
      </c>
      <c r="U31" s="1301">
        <f t="shared" si="13"/>
        <v>117956.17</v>
      </c>
      <c r="V31" s="1316">
        <f t="shared" si="15"/>
        <v>2.0038602296407866E-2</v>
      </c>
      <c r="W31" s="1316">
        <f t="shared" si="16"/>
        <v>4.9319559571460996E-2</v>
      </c>
      <c r="X31" s="1317">
        <f t="shared" si="14"/>
        <v>0.95068044042853905</v>
      </c>
      <c r="Y31" s="1305">
        <f t="shared" si="2"/>
        <v>4.9319537004559807E-2</v>
      </c>
      <c r="Z31" s="1306" t="str">
        <f t="shared" si="3"/>
        <v>ok</v>
      </c>
      <c r="AB31" s="1307"/>
      <c r="AE31" s="1290">
        <v>56</v>
      </c>
    </row>
    <row r="32" spans="1:36" ht="18" hidden="1" customHeight="1">
      <c r="A32" s="509">
        <f t="shared" si="4"/>
        <v>0</v>
      </c>
      <c r="B32" s="510">
        <f t="shared" si="0"/>
        <v>0</v>
      </c>
      <c r="C32" s="512">
        <f t="shared" si="5"/>
        <v>5</v>
      </c>
      <c r="D32" s="513"/>
      <c r="E32" s="903"/>
      <c r="F32" s="904" t="s">
        <v>237</v>
      </c>
      <c r="G32" s="905"/>
      <c r="H32" s="939"/>
      <c r="I32" s="940"/>
      <c r="J32" s="941">
        <f>SUM(J16:J25)</f>
        <v>57368959.560000002</v>
      </c>
      <c r="K32" s="942"/>
      <c r="L32" s="942"/>
      <c r="M32" s="942">
        <f>SUM(M16:M31)</f>
        <v>54945671.980000004</v>
      </c>
      <c r="N32" s="943"/>
      <c r="O32" s="941">
        <f>SUM(O16:O31)</f>
        <v>3747902.4899999998</v>
      </c>
      <c r="P32" s="944"/>
      <c r="Q32" s="941">
        <f>SUM(Q16:Q31)</f>
        <v>1637771.62</v>
      </c>
      <c r="R32" s="943"/>
      <c r="S32" s="941">
        <f>SUM(S16:S31)</f>
        <v>5385674.1100000003</v>
      </c>
      <c r="T32" s="944"/>
      <c r="U32" s="941">
        <f>SUM(U16:U31)</f>
        <v>49559997.869999997</v>
      </c>
      <c r="V32" s="945">
        <f>(Q32/M32)</f>
        <v>2.9807108749095691E-2</v>
      </c>
      <c r="W32" s="946">
        <f>(S32/M32)</f>
        <v>9.8018168054444091E-2</v>
      </c>
      <c r="X32" s="947">
        <f>(U32/M32)</f>
        <v>0.90198183194555581</v>
      </c>
      <c r="Y32" s="519" t="e">
        <f t="shared" si="2"/>
        <v>#DIV/0!</v>
      </c>
      <c r="Z32" s="212" t="str">
        <f t="shared" si="3"/>
        <v>ok</v>
      </c>
      <c r="AB32" s="395"/>
      <c r="AE32" s="1">
        <f>SUM(AE28:AE31)</f>
        <v>312</v>
      </c>
    </row>
    <row r="33" spans="1:28" ht="18" hidden="1" customHeight="1">
      <c r="A33" s="509">
        <f t="shared" si="4"/>
        <v>0</v>
      </c>
      <c r="B33" s="510">
        <f t="shared" si="0"/>
        <v>0</v>
      </c>
      <c r="C33" s="512">
        <f t="shared" si="5"/>
        <v>5</v>
      </c>
      <c r="D33" s="513"/>
      <c r="E33" s="898" t="s">
        <v>381</v>
      </c>
      <c r="F33" s="906" t="s">
        <v>309</v>
      </c>
      <c r="G33" s="907"/>
      <c r="H33" s="907"/>
      <c r="I33" s="948"/>
      <c r="J33" s="948"/>
      <c r="K33" s="949"/>
      <c r="L33" s="949"/>
      <c r="M33" s="949"/>
      <c r="N33" s="950"/>
      <c r="O33" s="950"/>
      <c r="P33" s="950"/>
      <c r="Q33" s="950"/>
      <c r="R33" s="950"/>
      <c r="S33" s="950"/>
      <c r="T33" s="950"/>
      <c r="U33" s="950"/>
      <c r="V33" s="951"/>
      <c r="W33" s="951"/>
      <c r="X33" s="952"/>
      <c r="Y33" s="519" t="e">
        <f t="shared" si="2"/>
        <v>#DIV/0!</v>
      </c>
      <c r="Z33" s="212" t="str">
        <f t="shared" si="3"/>
        <v>ok</v>
      </c>
      <c r="AB33" s="395"/>
    </row>
    <row r="34" spans="1:28" ht="20.100000000000001" hidden="1" customHeight="1">
      <c r="A34" s="509">
        <f t="shared" si="4"/>
        <v>0</v>
      </c>
      <c r="B34" s="510">
        <f t="shared" si="0"/>
        <v>0</v>
      </c>
      <c r="C34" s="512">
        <f t="shared" si="5"/>
        <v>5</v>
      </c>
      <c r="D34" s="513" t="str">
        <f>+E33&amp;". "&amp;F33</f>
        <v>3. REHABILITACION Y MANTENIMIENTO</v>
      </c>
      <c r="E34" s="899">
        <v>12</v>
      </c>
      <c r="F34" s="897" t="s">
        <v>310</v>
      </c>
      <c r="G34" s="900" t="s">
        <v>88</v>
      </c>
      <c r="H34" s="963">
        <v>18.399999999999999</v>
      </c>
      <c r="I34" s="964">
        <v>61360</v>
      </c>
      <c r="J34" s="921">
        <f>ROUND(I34*H34,2)</f>
        <v>1129024</v>
      </c>
      <c r="K34" s="919">
        <v>61360</v>
      </c>
      <c r="L34" s="965" t="str">
        <f t="shared" ref="L34:L39" si="17">IF(I34=K34,"-","CM 3")</f>
        <v>-</v>
      </c>
      <c r="M34" s="953">
        <f t="shared" ref="M34:M39" si="18">ROUND(K34*H34,2)</f>
        <v>1129024</v>
      </c>
      <c r="N34" s="918">
        <f>+'Cant. Ejec,'!K28</f>
        <v>0</v>
      </c>
      <c r="O34" s="918">
        <f>+'Cant. Ejec,'!L28</f>
        <v>0</v>
      </c>
      <c r="P34" s="930">
        <f>+'Cant. Ejec,'!M28</f>
        <v>0</v>
      </c>
      <c r="Q34" s="931">
        <f t="shared" ref="Q34:Q39" si="19">+ROUND(H34*P34,2)</f>
        <v>0</v>
      </c>
      <c r="R34" s="918">
        <f>N34+P34</f>
        <v>0</v>
      </c>
      <c r="S34" s="932">
        <f>O34+Q34</f>
        <v>0</v>
      </c>
      <c r="T34" s="918">
        <f>K34-R34</f>
        <v>61360</v>
      </c>
      <c r="U34" s="932">
        <f>+M34-S34</f>
        <v>1129024</v>
      </c>
      <c r="V34" s="933">
        <f>(Q34/M34)</f>
        <v>0</v>
      </c>
      <c r="W34" s="933">
        <f>(S34/M34)</f>
        <v>0</v>
      </c>
      <c r="X34" s="934">
        <f t="shared" ref="X34:X39" si="20">(100%-W34)</f>
        <v>1</v>
      </c>
      <c r="Y34" s="519">
        <f t="shared" si="2"/>
        <v>0</v>
      </c>
      <c r="Z34" s="212" t="str">
        <f t="shared" si="3"/>
        <v>ok</v>
      </c>
      <c r="AB34" s="395"/>
    </row>
    <row r="35" spans="1:28" ht="20.100000000000001" hidden="1" customHeight="1">
      <c r="A35" s="509">
        <f t="shared" si="4"/>
        <v>0</v>
      </c>
      <c r="B35" s="510">
        <f t="shared" si="0"/>
        <v>0</v>
      </c>
      <c r="C35" s="512">
        <f t="shared" si="5"/>
        <v>5</v>
      </c>
      <c r="D35" s="513" t="str">
        <f t="shared" ref="D35:D39" si="21">+D34</f>
        <v>3. REHABILITACION Y MANTENIMIENTO</v>
      </c>
      <c r="E35" s="899">
        <v>13</v>
      </c>
      <c r="F35" s="897" t="s">
        <v>311</v>
      </c>
      <c r="G35" s="901" t="s">
        <v>86</v>
      </c>
      <c r="H35" s="960">
        <v>129.19</v>
      </c>
      <c r="I35" s="964">
        <v>9907</v>
      </c>
      <c r="J35" s="921">
        <f t="shared" ref="J35:J38" si="22">ROUND(I35*H35,2)</f>
        <v>1279885.33</v>
      </c>
      <c r="K35" s="929">
        <v>9907</v>
      </c>
      <c r="L35" s="966" t="str">
        <f t="shared" si="17"/>
        <v>-</v>
      </c>
      <c r="M35" s="921">
        <f t="shared" si="18"/>
        <v>1279885.33</v>
      </c>
      <c r="N35" s="928">
        <f>+'Cant. Ejec,'!K29</f>
        <v>0</v>
      </c>
      <c r="O35" s="928">
        <f>+'Cant. Ejec,'!L29</f>
        <v>0</v>
      </c>
      <c r="P35" s="930">
        <f>+'Cant. Ejec,'!M29</f>
        <v>0</v>
      </c>
      <c r="Q35" s="931">
        <f t="shared" si="19"/>
        <v>0</v>
      </c>
      <c r="R35" s="928">
        <f t="shared" ref="R35:S39" si="23">N35+P35</f>
        <v>0</v>
      </c>
      <c r="S35" s="954">
        <f t="shared" si="23"/>
        <v>0</v>
      </c>
      <c r="T35" s="928">
        <f t="shared" ref="T35:T39" si="24">K35-R35</f>
        <v>9907</v>
      </c>
      <c r="U35" s="954">
        <f t="shared" ref="U35:U39" si="25">+M35-S35</f>
        <v>1279885.33</v>
      </c>
      <c r="V35" s="955">
        <f t="shared" ref="V35:V39" si="26">(Q35/M35)</f>
        <v>0</v>
      </c>
      <c r="W35" s="955">
        <f t="shared" ref="W35:W39" si="27">(S35/M35)</f>
        <v>0</v>
      </c>
      <c r="X35" s="956">
        <f t="shared" si="20"/>
        <v>1</v>
      </c>
      <c r="Y35" s="519">
        <f t="shared" si="2"/>
        <v>0</v>
      </c>
      <c r="Z35" s="212" t="str">
        <f t="shared" si="3"/>
        <v>ok</v>
      </c>
      <c r="AB35" s="395"/>
    </row>
    <row r="36" spans="1:28" ht="27" hidden="1" customHeight="1">
      <c r="A36" s="509">
        <f t="shared" si="4"/>
        <v>0</v>
      </c>
      <c r="B36" s="510">
        <f t="shared" si="0"/>
        <v>0</v>
      </c>
      <c r="C36" s="512">
        <f t="shared" si="5"/>
        <v>5</v>
      </c>
      <c r="D36" s="513" t="str">
        <f t="shared" si="21"/>
        <v>3. REHABILITACION Y MANTENIMIENTO</v>
      </c>
      <c r="E36" s="899">
        <v>14</v>
      </c>
      <c r="F36" s="908" t="s">
        <v>559</v>
      </c>
      <c r="G36" s="909" t="s">
        <v>305</v>
      </c>
      <c r="H36" s="960">
        <v>8520.98</v>
      </c>
      <c r="I36" s="967">
        <v>6.14</v>
      </c>
      <c r="J36" s="921">
        <f t="shared" si="22"/>
        <v>52318.82</v>
      </c>
      <c r="K36" s="929">
        <v>6.14</v>
      </c>
      <c r="L36" s="966" t="str">
        <f t="shared" si="17"/>
        <v>-</v>
      </c>
      <c r="M36" s="921">
        <f t="shared" si="18"/>
        <v>52318.82</v>
      </c>
      <c r="N36" s="928">
        <f>+'Cant. Ejec,'!K30</f>
        <v>0</v>
      </c>
      <c r="O36" s="928">
        <f>+'Cant. Ejec,'!L30</f>
        <v>0</v>
      </c>
      <c r="P36" s="930">
        <f>+'Cant. Ejec,'!M30</f>
        <v>0</v>
      </c>
      <c r="Q36" s="931">
        <f t="shared" si="19"/>
        <v>0</v>
      </c>
      <c r="R36" s="928">
        <f t="shared" si="23"/>
        <v>0</v>
      </c>
      <c r="S36" s="954">
        <f t="shared" si="23"/>
        <v>0</v>
      </c>
      <c r="T36" s="928">
        <f t="shared" si="24"/>
        <v>6.14</v>
      </c>
      <c r="U36" s="954">
        <f t="shared" si="25"/>
        <v>52318.82</v>
      </c>
      <c r="V36" s="955">
        <f t="shared" si="26"/>
        <v>0</v>
      </c>
      <c r="W36" s="955">
        <f t="shared" si="27"/>
        <v>0</v>
      </c>
      <c r="X36" s="956">
        <f t="shared" si="20"/>
        <v>1</v>
      </c>
      <c r="Y36" s="519">
        <f t="shared" si="2"/>
        <v>0</v>
      </c>
      <c r="Z36" s="212" t="str">
        <f t="shared" si="3"/>
        <v>ok</v>
      </c>
      <c r="AA36" s="1">
        <v>109039.37000000001</v>
      </c>
      <c r="AB36" s="395">
        <f t="shared" ref="AB36:AB99" si="28">+AA36-T36</f>
        <v>109033.23000000001</v>
      </c>
    </row>
    <row r="37" spans="1:28" ht="27" hidden="1">
      <c r="A37" s="509">
        <f t="shared" si="4"/>
        <v>0</v>
      </c>
      <c r="B37" s="510">
        <f t="shared" si="0"/>
        <v>0</v>
      </c>
      <c r="C37" s="512">
        <f t="shared" si="5"/>
        <v>5</v>
      </c>
      <c r="D37" s="513" t="str">
        <f t="shared" si="21"/>
        <v>3. REHABILITACION Y MANTENIMIENTO</v>
      </c>
      <c r="E37" s="899">
        <v>15</v>
      </c>
      <c r="F37" s="908" t="s">
        <v>313</v>
      </c>
      <c r="G37" s="909" t="s">
        <v>305</v>
      </c>
      <c r="H37" s="960">
        <v>8520.98</v>
      </c>
      <c r="I37" s="967">
        <v>69.349999999999994</v>
      </c>
      <c r="J37" s="921">
        <f t="shared" si="22"/>
        <v>590929.96</v>
      </c>
      <c r="K37" s="929">
        <v>69.349999999999994</v>
      </c>
      <c r="L37" s="966" t="str">
        <f t="shared" si="17"/>
        <v>-</v>
      </c>
      <c r="M37" s="921">
        <f t="shared" si="18"/>
        <v>590929.96</v>
      </c>
      <c r="N37" s="928">
        <f>+'Cant. Ejec,'!K31</f>
        <v>0</v>
      </c>
      <c r="O37" s="928">
        <f>+'Cant. Ejec,'!L31</f>
        <v>0</v>
      </c>
      <c r="P37" s="930">
        <f>+'Cant. Ejec,'!M31</f>
        <v>0</v>
      </c>
      <c r="Q37" s="931">
        <f t="shared" si="19"/>
        <v>0</v>
      </c>
      <c r="R37" s="928">
        <f t="shared" si="23"/>
        <v>0</v>
      </c>
      <c r="S37" s="954">
        <f t="shared" si="23"/>
        <v>0</v>
      </c>
      <c r="T37" s="928">
        <f t="shared" si="24"/>
        <v>69.349999999999994</v>
      </c>
      <c r="U37" s="954">
        <f t="shared" si="25"/>
        <v>590929.96</v>
      </c>
      <c r="V37" s="955">
        <f t="shared" si="26"/>
        <v>0</v>
      </c>
      <c r="W37" s="955">
        <f t="shared" si="27"/>
        <v>0</v>
      </c>
      <c r="X37" s="956">
        <f t="shared" si="20"/>
        <v>1</v>
      </c>
      <c r="Y37" s="519">
        <f t="shared" si="2"/>
        <v>0</v>
      </c>
      <c r="Z37" s="212" t="str">
        <f t="shared" si="3"/>
        <v>ok</v>
      </c>
      <c r="AA37" s="1">
        <v>7944.42</v>
      </c>
      <c r="AB37" s="395">
        <f t="shared" si="28"/>
        <v>7875.07</v>
      </c>
    </row>
    <row r="38" spans="1:28" ht="20.100000000000001" hidden="1" customHeight="1">
      <c r="A38" s="509">
        <f t="shared" si="4"/>
        <v>0</v>
      </c>
      <c r="B38" s="510">
        <f t="shared" si="0"/>
        <v>0</v>
      </c>
      <c r="C38" s="512">
        <f t="shared" si="5"/>
        <v>5</v>
      </c>
      <c r="D38" s="513" t="str">
        <f t="shared" si="21"/>
        <v>3. REHABILITACION Y MANTENIMIENTO</v>
      </c>
      <c r="E38" s="899">
        <v>16</v>
      </c>
      <c r="F38" s="908" t="s">
        <v>314</v>
      </c>
      <c r="G38" s="909" t="s">
        <v>86</v>
      </c>
      <c r="H38" s="960">
        <v>65.069999999999993</v>
      </c>
      <c r="I38" s="967">
        <v>180894</v>
      </c>
      <c r="J38" s="921">
        <f t="shared" si="22"/>
        <v>11770772.58</v>
      </c>
      <c r="K38" s="929">
        <v>180894</v>
      </c>
      <c r="L38" s="966" t="str">
        <f t="shared" si="17"/>
        <v>-</v>
      </c>
      <c r="M38" s="921">
        <f t="shared" si="18"/>
        <v>11770772.58</v>
      </c>
      <c r="N38" s="928">
        <f>+'Cant. Ejec,'!K32</f>
        <v>0</v>
      </c>
      <c r="O38" s="928">
        <f>+'Cant. Ejec,'!L32</f>
        <v>0</v>
      </c>
      <c r="P38" s="930">
        <f>+'Cant. Ejec,'!M32</f>
        <v>0</v>
      </c>
      <c r="Q38" s="931">
        <f t="shared" si="19"/>
        <v>0</v>
      </c>
      <c r="R38" s="928">
        <f t="shared" si="23"/>
        <v>0</v>
      </c>
      <c r="S38" s="954">
        <f t="shared" si="23"/>
        <v>0</v>
      </c>
      <c r="T38" s="928">
        <f t="shared" si="24"/>
        <v>180894</v>
      </c>
      <c r="U38" s="954">
        <f t="shared" si="25"/>
        <v>11770772.58</v>
      </c>
      <c r="V38" s="955">
        <f t="shared" si="26"/>
        <v>0</v>
      </c>
      <c r="W38" s="955">
        <f t="shared" si="27"/>
        <v>0</v>
      </c>
      <c r="X38" s="956">
        <f t="shared" si="20"/>
        <v>1</v>
      </c>
      <c r="Y38" s="519">
        <f t="shared" si="2"/>
        <v>0</v>
      </c>
      <c r="Z38" s="212" t="str">
        <f t="shared" si="3"/>
        <v>ok</v>
      </c>
      <c r="AA38" s="1">
        <v>90669.700000000012</v>
      </c>
      <c r="AB38" s="395">
        <f t="shared" si="28"/>
        <v>-90224.299999999988</v>
      </c>
    </row>
    <row r="39" spans="1:28" ht="20.100000000000001" hidden="1" customHeight="1">
      <c r="A39" s="509">
        <f t="shared" si="4"/>
        <v>0</v>
      </c>
      <c r="B39" s="510">
        <f t="shared" si="0"/>
        <v>0</v>
      </c>
      <c r="C39" s="512">
        <f t="shared" si="5"/>
        <v>5</v>
      </c>
      <c r="D39" s="513" t="str">
        <f t="shared" si="21"/>
        <v>3. REHABILITACION Y MANTENIMIENTO</v>
      </c>
      <c r="E39" s="911">
        <v>17</v>
      </c>
      <c r="F39" s="912" t="s">
        <v>315</v>
      </c>
      <c r="G39" s="913" t="s">
        <v>86</v>
      </c>
      <c r="H39" s="968">
        <v>36.15</v>
      </c>
      <c r="I39" s="967">
        <v>99120</v>
      </c>
      <c r="J39" s="921">
        <f>ROUND(I39*H39,2)</f>
        <v>3583188</v>
      </c>
      <c r="K39" s="969">
        <v>99120</v>
      </c>
      <c r="L39" s="966" t="str">
        <f t="shared" si="17"/>
        <v>-</v>
      </c>
      <c r="M39" s="970">
        <f t="shared" si="18"/>
        <v>3583188</v>
      </c>
      <c r="N39" s="928">
        <f>+'Cant. Ejec,'!K33</f>
        <v>0</v>
      </c>
      <c r="O39" s="928">
        <f>+'Cant. Ejec,'!L33</f>
        <v>0</v>
      </c>
      <c r="P39" s="930">
        <f>+'Cant. Ejec,'!M33</f>
        <v>0</v>
      </c>
      <c r="Q39" s="931">
        <f t="shared" si="19"/>
        <v>0</v>
      </c>
      <c r="R39" s="928">
        <f t="shared" si="23"/>
        <v>0</v>
      </c>
      <c r="S39" s="954">
        <f t="shared" si="23"/>
        <v>0</v>
      </c>
      <c r="T39" s="928">
        <f t="shared" si="24"/>
        <v>99120</v>
      </c>
      <c r="U39" s="954">
        <f t="shared" si="25"/>
        <v>3583188</v>
      </c>
      <c r="V39" s="955">
        <f t="shared" si="26"/>
        <v>0</v>
      </c>
      <c r="W39" s="955">
        <f t="shared" si="27"/>
        <v>0</v>
      </c>
      <c r="X39" s="956">
        <f t="shared" si="20"/>
        <v>1</v>
      </c>
      <c r="Y39" s="519">
        <f t="shared" si="2"/>
        <v>0</v>
      </c>
      <c r="Z39" s="212" t="str">
        <f t="shared" si="3"/>
        <v>ok</v>
      </c>
      <c r="AA39" s="1">
        <v>614495.43000000005</v>
      </c>
      <c r="AB39" s="395">
        <f t="shared" si="28"/>
        <v>515375.43000000005</v>
      </c>
    </row>
    <row r="40" spans="1:28" ht="18" hidden="1" customHeight="1">
      <c r="A40" s="509">
        <f t="shared" si="4"/>
        <v>0</v>
      </c>
      <c r="B40" s="510">
        <f t="shared" si="0"/>
        <v>0</v>
      </c>
      <c r="C40" s="512">
        <f t="shared" si="5"/>
        <v>5</v>
      </c>
      <c r="D40" s="513"/>
      <c r="E40" s="903"/>
      <c r="F40" s="904" t="s">
        <v>237</v>
      </c>
      <c r="G40" s="905"/>
      <c r="H40" s="939"/>
      <c r="I40" s="940"/>
      <c r="J40" s="941">
        <f>SUM(J34:J39)</f>
        <v>18406118.689999998</v>
      </c>
      <c r="K40" s="942"/>
      <c r="L40" s="942"/>
      <c r="M40" s="941">
        <f>SUM(M34:M39)</f>
        <v>18406118.689999998</v>
      </c>
      <c r="N40" s="943"/>
      <c r="O40" s="941">
        <f>SUM(O34:O39)</f>
        <v>0</v>
      </c>
      <c r="P40" s="944"/>
      <c r="Q40" s="941">
        <f>SUM(Q34:Q39)</f>
        <v>0</v>
      </c>
      <c r="R40" s="943"/>
      <c r="S40" s="941">
        <f>SUM(S34:S39)</f>
        <v>0</v>
      </c>
      <c r="T40" s="944"/>
      <c r="U40" s="941">
        <f>SUM(U34:U39)</f>
        <v>18406118.689999998</v>
      </c>
      <c r="V40" s="945">
        <f>(Q40/M40)</f>
        <v>0</v>
      </c>
      <c r="W40" s="946">
        <f>(S40/M40)</f>
        <v>0</v>
      </c>
      <c r="X40" s="947">
        <f>(U40/M40)</f>
        <v>1</v>
      </c>
      <c r="Y40" s="519" t="e">
        <f t="shared" si="2"/>
        <v>#DIV/0!</v>
      </c>
      <c r="Z40" s="212" t="str">
        <f t="shared" si="3"/>
        <v>ok</v>
      </c>
      <c r="AA40" s="1">
        <v>38577</v>
      </c>
      <c r="AB40" s="395">
        <f t="shared" si="28"/>
        <v>38577</v>
      </c>
    </row>
    <row r="41" spans="1:28" s="31" customFormat="1" ht="18" hidden="1" customHeight="1">
      <c r="A41" s="509">
        <f t="shared" si="4"/>
        <v>0</v>
      </c>
      <c r="B41" s="510">
        <f t="shared" si="0"/>
        <v>0</v>
      </c>
      <c r="C41" s="512">
        <f t="shared" si="5"/>
        <v>5</v>
      </c>
      <c r="D41" s="513"/>
      <c r="E41" s="898">
        <v>4</v>
      </c>
      <c r="F41" s="906" t="s">
        <v>87</v>
      </c>
      <c r="G41" s="907"/>
      <c r="H41" s="907"/>
      <c r="I41" s="948"/>
      <c r="J41" s="948"/>
      <c r="K41" s="949"/>
      <c r="L41" s="949"/>
      <c r="M41" s="949"/>
      <c r="N41" s="950"/>
      <c r="O41" s="950"/>
      <c r="P41" s="950"/>
      <c r="Q41" s="950"/>
      <c r="R41" s="950"/>
      <c r="S41" s="950"/>
      <c r="T41" s="950"/>
      <c r="U41" s="950"/>
      <c r="V41" s="951"/>
      <c r="W41" s="951"/>
      <c r="X41" s="952"/>
      <c r="Y41" s="519" t="e">
        <f t="shared" si="2"/>
        <v>#DIV/0!</v>
      </c>
      <c r="Z41" s="212" t="str">
        <f t="shared" si="3"/>
        <v>ok</v>
      </c>
      <c r="AB41" s="424">
        <f>+AA41-T14</f>
        <v>0</v>
      </c>
    </row>
    <row r="42" spans="1:28" ht="20.100000000000001" hidden="1" customHeight="1">
      <c r="A42" s="509">
        <f t="shared" si="4"/>
        <v>0</v>
      </c>
      <c r="B42" s="510">
        <f t="shared" si="0"/>
        <v>0</v>
      </c>
      <c r="C42" s="512">
        <f t="shared" si="5"/>
        <v>5</v>
      </c>
      <c r="D42" s="513" t="str">
        <f>+E41&amp;". "&amp;F41</f>
        <v>4. OBRAS DE DRENAJE</v>
      </c>
      <c r="E42" s="899">
        <v>18</v>
      </c>
      <c r="F42" s="897" t="s">
        <v>316</v>
      </c>
      <c r="G42" s="900" t="s">
        <v>236</v>
      </c>
      <c r="H42" s="963">
        <v>5170.03</v>
      </c>
      <c r="I42" s="971">
        <v>5</v>
      </c>
      <c r="J42" s="953">
        <f t="shared" ref="J42:J100" si="29">ROUND(I42*H42,2)</f>
        <v>25850.15</v>
      </c>
      <c r="K42" s="919">
        <v>5</v>
      </c>
      <c r="L42" s="965" t="str">
        <f t="shared" ref="L42:L82" si="30">IF(I42=K42,"-","CM 3")</f>
        <v>-</v>
      </c>
      <c r="M42" s="953">
        <f t="shared" ref="M42:M82" si="31">ROUND(K42*H42,2)</f>
        <v>25850.15</v>
      </c>
      <c r="N42" s="918">
        <f>+'Cant. Ejec,'!K35</f>
        <v>0</v>
      </c>
      <c r="O42" s="918">
        <f>+'Cant. Ejec,'!L35</f>
        <v>0</v>
      </c>
      <c r="P42" s="930">
        <f>+'Cant. Ejec,'!M35</f>
        <v>0</v>
      </c>
      <c r="Q42" s="923">
        <f t="shared" ref="Q42:Q82" si="32">+ROUND(H42*P42,2)</f>
        <v>0</v>
      </c>
      <c r="R42" s="918">
        <f>N42+P42</f>
        <v>0</v>
      </c>
      <c r="S42" s="932">
        <f>O42+Q42</f>
        <v>0</v>
      </c>
      <c r="T42" s="918">
        <f>K42-R42</f>
        <v>5</v>
      </c>
      <c r="U42" s="932">
        <f>+M42-S42</f>
        <v>25850.15</v>
      </c>
      <c r="V42" s="933">
        <f>(Q42/M42)</f>
        <v>0</v>
      </c>
      <c r="W42" s="933">
        <f>(S42/M42)</f>
        <v>0</v>
      </c>
      <c r="X42" s="934">
        <f t="shared" ref="X42:X82" si="33">(100%-W42)</f>
        <v>1</v>
      </c>
      <c r="Y42" s="519">
        <f t="shared" si="2"/>
        <v>0</v>
      </c>
      <c r="Z42" s="212" t="str">
        <f t="shared" si="3"/>
        <v>ok</v>
      </c>
      <c r="AB42" s="395">
        <f>+AA42-T15</f>
        <v>0</v>
      </c>
    </row>
    <row r="43" spans="1:28" ht="27" hidden="1">
      <c r="A43" s="509">
        <f t="shared" si="4"/>
        <v>0</v>
      </c>
      <c r="B43" s="510">
        <f t="shared" si="0"/>
        <v>0</v>
      </c>
      <c r="C43" s="512">
        <f t="shared" si="5"/>
        <v>5</v>
      </c>
      <c r="D43" s="513" t="str">
        <f>+D42</f>
        <v>4. OBRAS DE DRENAJE</v>
      </c>
      <c r="E43" s="899">
        <v>19</v>
      </c>
      <c r="F43" s="897" t="s">
        <v>317</v>
      </c>
      <c r="G43" s="909" t="s">
        <v>85</v>
      </c>
      <c r="H43" s="960">
        <v>34.61</v>
      </c>
      <c r="I43" s="967">
        <v>15078</v>
      </c>
      <c r="J43" s="921">
        <f t="shared" si="29"/>
        <v>521849.58</v>
      </c>
      <c r="K43" s="929">
        <v>15078</v>
      </c>
      <c r="L43" s="966" t="str">
        <f t="shared" si="30"/>
        <v>-</v>
      </c>
      <c r="M43" s="921">
        <f t="shared" si="31"/>
        <v>521849.58</v>
      </c>
      <c r="N43" s="928">
        <f>+'Cant. Ejec,'!K36</f>
        <v>0</v>
      </c>
      <c r="O43" s="928">
        <f>+'Cant. Ejec,'!L36</f>
        <v>0</v>
      </c>
      <c r="P43" s="930">
        <f>+'Cant. Ejec,'!M36</f>
        <v>0</v>
      </c>
      <c r="Q43" s="931">
        <f t="shared" si="32"/>
        <v>0</v>
      </c>
      <c r="R43" s="928">
        <f t="shared" ref="R43:S82" si="34">N43+P43</f>
        <v>0</v>
      </c>
      <c r="S43" s="954">
        <f t="shared" si="34"/>
        <v>0</v>
      </c>
      <c r="T43" s="928">
        <f t="shared" ref="T43:T82" si="35">K43-R43</f>
        <v>15078</v>
      </c>
      <c r="U43" s="954">
        <f t="shared" ref="U43:U82" si="36">+M43-S43</f>
        <v>521849.58</v>
      </c>
      <c r="V43" s="955">
        <f t="shared" ref="V43:V82" si="37">(Q43/M43)</f>
        <v>0</v>
      </c>
      <c r="W43" s="955">
        <f t="shared" ref="W43:W82" si="38">(S43/M43)</f>
        <v>0</v>
      </c>
      <c r="X43" s="956">
        <f t="shared" si="33"/>
        <v>1</v>
      </c>
      <c r="Y43" s="519">
        <f t="shared" si="2"/>
        <v>0</v>
      </c>
      <c r="Z43" s="212" t="str">
        <f t="shared" si="3"/>
        <v>ok</v>
      </c>
      <c r="AA43" s="1">
        <v>66957</v>
      </c>
      <c r="AB43" s="395">
        <f t="shared" si="28"/>
        <v>51879</v>
      </c>
    </row>
    <row r="44" spans="1:28" ht="20.100000000000001" hidden="1" customHeight="1">
      <c r="A44" s="509">
        <f t="shared" si="4"/>
        <v>0</v>
      </c>
      <c r="B44" s="510">
        <f t="shared" si="0"/>
        <v>0</v>
      </c>
      <c r="C44" s="512">
        <f t="shared" si="5"/>
        <v>5</v>
      </c>
      <c r="D44" s="513" t="str">
        <f t="shared" ref="D44:D82" si="39">+D43</f>
        <v>4. OBRAS DE DRENAJE</v>
      </c>
      <c r="E44" s="899">
        <v>20</v>
      </c>
      <c r="F44" s="908" t="s">
        <v>318</v>
      </c>
      <c r="G44" s="909" t="s">
        <v>85</v>
      </c>
      <c r="H44" s="960">
        <v>72.510000000000005</v>
      </c>
      <c r="I44" s="967">
        <v>4958</v>
      </c>
      <c r="J44" s="921">
        <f t="shared" si="29"/>
        <v>359504.58</v>
      </c>
      <c r="K44" s="929">
        <v>4958</v>
      </c>
      <c r="L44" s="966" t="str">
        <f t="shared" si="30"/>
        <v>-</v>
      </c>
      <c r="M44" s="921">
        <f t="shared" si="31"/>
        <v>359504.58</v>
      </c>
      <c r="N44" s="928">
        <f>+'Cant. Ejec,'!K37</f>
        <v>0</v>
      </c>
      <c r="O44" s="928">
        <f>+'Cant. Ejec,'!L37</f>
        <v>0</v>
      </c>
      <c r="P44" s="930">
        <f>+'Cant. Ejec,'!M37</f>
        <v>0</v>
      </c>
      <c r="Q44" s="931">
        <f t="shared" si="32"/>
        <v>0</v>
      </c>
      <c r="R44" s="928">
        <f t="shared" si="34"/>
        <v>0</v>
      </c>
      <c r="S44" s="954">
        <f t="shared" si="34"/>
        <v>0</v>
      </c>
      <c r="T44" s="928">
        <f t="shared" si="35"/>
        <v>4958</v>
      </c>
      <c r="U44" s="954">
        <f t="shared" si="36"/>
        <v>359504.58</v>
      </c>
      <c r="V44" s="955">
        <f t="shared" si="37"/>
        <v>0</v>
      </c>
      <c r="W44" s="955">
        <f t="shared" si="38"/>
        <v>0</v>
      </c>
      <c r="X44" s="956">
        <f t="shared" si="33"/>
        <v>1</v>
      </c>
      <c r="Y44" s="519">
        <f t="shared" si="2"/>
        <v>0</v>
      </c>
      <c r="Z44" s="212" t="str">
        <f t="shared" si="3"/>
        <v>ok</v>
      </c>
      <c r="AA44" s="1">
        <v>31321.13</v>
      </c>
      <c r="AB44" s="395">
        <f t="shared" si="28"/>
        <v>26363.13</v>
      </c>
    </row>
    <row r="45" spans="1:28" ht="27" hidden="1">
      <c r="A45" s="509">
        <f t="shared" si="4"/>
        <v>0</v>
      </c>
      <c r="B45" s="510">
        <f t="shared" si="0"/>
        <v>0</v>
      </c>
      <c r="C45" s="512">
        <f t="shared" si="5"/>
        <v>5</v>
      </c>
      <c r="D45" s="513" t="str">
        <f t="shared" si="39"/>
        <v>4. OBRAS DE DRENAJE</v>
      </c>
      <c r="E45" s="999">
        <v>21</v>
      </c>
      <c r="F45" s="1000" t="s">
        <v>319</v>
      </c>
      <c r="G45" s="910" t="s">
        <v>85</v>
      </c>
      <c r="H45" s="1001">
        <v>2112.84</v>
      </c>
      <c r="I45" s="1002">
        <v>1786</v>
      </c>
      <c r="J45" s="936">
        <f t="shared" si="29"/>
        <v>3773532.24</v>
      </c>
      <c r="K45" s="935">
        <v>1786</v>
      </c>
      <c r="L45" s="981" t="str">
        <f t="shared" si="30"/>
        <v>-</v>
      </c>
      <c r="M45" s="936">
        <f t="shared" si="31"/>
        <v>3773532.24</v>
      </c>
      <c r="N45" s="1003">
        <f>+'Cant. Ejec,'!K38</f>
        <v>0</v>
      </c>
      <c r="O45" s="1003">
        <f>+'Cant. Ejec,'!L38</f>
        <v>0</v>
      </c>
      <c r="P45" s="1004">
        <f>+'Cant. Ejec,'!M38</f>
        <v>0</v>
      </c>
      <c r="Q45" s="962">
        <f t="shared" si="32"/>
        <v>0</v>
      </c>
      <c r="R45" s="1003">
        <f t="shared" si="34"/>
        <v>0</v>
      </c>
      <c r="S45" s="1005">
        <f t="shared" si="34"/>
        <v>0</v>
      </c>
      <c r="T45" s="1003">
        <f t="shared" si="35"/>
        <v>1786</v>
      </c>
      <c r="U45" s="1005">
        <f t="shared" si="36"/>
        <v>3773532.24</v>
      </c>
      <c r="V45" s="1006">
        <f t="shared" si="37"/>
        <v>0</v>
      </c>
      <c r="W45" s="1006">
        <f t="shared" si="38"/>
        <v>0</v>
      </c>
      <c r="X45" s="1007">
        <f t="shared" si="33"/>
        <v>1</v>
      </c>
      <c r="Y45" s="519">
        <f t="shared" si="2"/>
        <v>0</v>
      </c>
      <c r="Z45" s="212" t="str">
        <f t="shared" si="3"/>
        <v>ok</v>
      </c>
      <c r="AA45" s="1">
        <v>7612</v>
      </c>
      <c r="AB45" s="395">
        <f t="shared" si="28"/>
        <v>5826</v>
      </c>
    </row>
    <row r="46" spans="1:28" ht="18.95" hidden="1" customHeight="1">
      <c r="A46" s="509">
        <f t="shared" si="4"/>
        <v>0</v>
      </c>
      <c r="B46" s="510">
        <f t="shared" si="0"/>
        <v>0</v>
      </c>
      <c r="C46" s="512">
        <f t="shared" si="5"/>
        <v>5</v>
      </c>
      <c r="D46" s="513" t="str">
        <f t="shared" si="39"/>
        <v>4. OBRAS DE DRENAJE</v>
      </c>
      <c r="E46" s="914">
        <v>22</v>
      </c>
      <c r="F46" s="897" t="s">
        <v>320</v>
      </c>
      <c r="G46" s="901" t="s">
        <v>90</v>
      </c>
      <c r="H46" s="975">
        <v>17.21</v>
      </c>
      <c r="I46" s="964">
        <v>224933</v>
      </c>
      <c r="J46" s="976">
        <f t="shared" si="29"/>
        <v>3871096.93</v>
      </c>
      <c r="K46" s="977">
        <v>224933</v>
      </c>
      <c r="L46" s="978" t="str">
        <f t="shared" si="30"/>
        <v>-</v>
      </c>
      <c r="M46" s="976">
        <f t="shared" si="31"/>
        <v>3871096.93</v>
      </c>
      <c r="N46" s="928">
        <f>+'Cant. Ejec,'!K39</f>
        <v>0</v>
      </c>
      <c r="O46" s="928">
        <f>+'Cant. Ejec,'!L39</f>
        <v>0</v>
      </c>
      <c r="P46" s="930">
        <f>+'Cant. Ejec,'!M39</f>
        <v>0</v>
      </c>
      <c r="Q46" s="931">
        <f t="shared" si="32"/>
        <v>0</v>
      </c>
      <c r="R46" s="928">
        <f t="shared" si="34"/>
        <v>0</v>
      </c>
      <c r="S46" s="954">
        <f t="shared" si="34"/>
        <v>0</v>
      </c>
      <c r="T46" s="928">
        <f t="shared" si="35"/>
        <v>224933</v>
      </c>
      <c r="U46" s="954">
        <f t="shared" si="36"/>
        <v>3871096.93</v>
      </c>
      <c r="V46" s="955">
        <f t="shared" si="37"/>
        <v>0</v>
      </c>
      <c r="W46" s="955">
        <f t="shared" si="38"/>
        <v>0</v>
      </c>
      <c r="X46" s="956">
        <f t="shared" si="33"/>
        <v>1</v>
      </c>
      <c r="Y46" s="519">
        <f t="shared" si="2"/>
        <v>0</v>
      </c>
      <c r="Z46" s="212" t="str">
        <f t="shared" si="3"/>
        <v>ok</v>
      </c>
      <c r="AA46" s="1">
        <v>164595.1</v>
      </c>
      <c r="AB46" s="395">
        <f t="shared" si="28"/>
        <v>-60337.899999999994</v>
      </c>
    </row>
    <row r="47" spans="1:28" ht="27" hidden="1">
      <c r="A47" s="509">
        <f t="shared" si="4"/>
        <v>0</v>
      </c>
      <c r="B47" s="510">
        <f t="shared" si="0"/>
        <v>0</v>
      </c>
      <c r="C47" s="512">
        <f t="shared" si="5"/>
        <v>5</v>
      </c>
      <c r="D47" s="513" t="str">
        <f t="shared" si="39"/>
        <v>4. OBRAS DE DRENAJE</v>
      </c>
      <c r="E47" s="899">
        <v>23</v>
      </c>
      <c r="F47" s="908" t="s">
        <v>321</v>
      </c>
      <c r="G47" s="909" t="s">
        <v>85</v>
      </c>
      <c r="H47" s="960">
        <v>1634.17</v>
      </c>
      <c r="I47" s="967">
        <v>20</v>
      </c>
      <c r="J47" s="921">
        <f t="shared" si="29"/>
        <v>32683.4</v>
      </c>
      <c r="K47" s="929">
        <v>20</v>
      </c>
      <c r="L47" s="966" t="str">
        <f t="shared" si="30"/>
        <v>-</v>
      </c>
      <c r="M47" s="921">
        <f t="shared" si="31"/>
        <v>32683.4</v>
      </c>
      <c r="N47" s="928">
        <f>+'Cant. Ejec,'!K40</f>
        <v>0</v>
      </c>
      <c r="O47" s="928">
        <f>+'Cant. Ejec,'!L40</f>
        <v>0</v>
      </c>
      <c r="P47" s="930">
        <f>+'Cant. Ejec,'!M40</f>
        <v>0</v>
      </c>
      <c r="Q47" s="931">
        <f t="shared" si="32"/>
        <v>0</v>
      </c>
      <c r="R47" s="928">
        <f t="shared" si="34"/>
        <v>0</v>
      </c>
      <c r="S47" s="954">
        <f t="shared" si="34"/>
        <v>0</v>
      </c>
      <c r="T47" s="928">
        <f t="shared" si="35"/>
        <v>20</v>
      </c>
      <c r="U47" s="954">
        <f t="shared" si="36"/>
        <v>32683.4</v>
      </c>
      <c r="V47" s="955">
        <f t="shared" si="37"/>
        <v>0</v>
      </c>
      <c r="W47" s="955">
        <f t="shared" si="38"/>
        <v>0</v>
      </c>
      <c r="X47" s="956">
        <f t="shared" si="33"/>
        <v>1</v>
      </c>
      <c r="Y47" s="519">
        <f t="shared" si="2"/>
        <v>0</v>
      </c>
      <c r="Z47" s="212" t="str">
        <f t="shared" si="3"/>
        <v>ok</v>
      </c>
      <c r="AA47" s="1">
        <v>164595.1</v>
      </c>
      <c r="AB47" s="395">
        <f t="shared" si="28"/>
        <v>164575.1</v>
      </c>
    </row>
    <row r="48" spans="1:28" ht="18.95" hidden="1" customHeight="1">
      <c r="A48" s="509">
        <f t="shared" si="4"/>
        <v>0</v>
      </c>
      <c r="B48" s="510">
        <f t="shared" si="0"/>
        <v>0</v>
      </c>
      <c r="C48" s="512">
        <f t="shared" si="5"/>
        <v>5</v>
      </c>
      <c r="D48" s="513" t="str">
        <f t="shared" si="39"/>
        <v>4. OBRAS DE DRENAJE</v>
      </c>
      <c r="E48" s="899">
        <v>24</v>
      </c>
      <c r="F48" s="908" t="s">
        <v>322</v>
      </c>
      <c r="G48" s="909" t="s">
        <v>85</v>
      </c>
      <c r="H48" s="960">
        <v>1729.01</v>
      </c>
      <c r="I48" s="967">
        <v>116</v>
      </c>
      <c r="J48" s="921">
        <f t="shared" si="29"/>
        <v>200565.16</v>
      </c>
      <c r="K48" s="929">
        <v>116</v>
      </c>
      <c r="L48" s="966" t="str">
        <f t="shared" si="30"/>
        <v>-</v>
      </c>
      <c r="M48" s="921">
        <f t="shared" si="31"/>
        <v>200565.16</v>
      </c>
      <c r="N48" s="928">
        <f>+'Cant. Ejec,'!K41</f>
        <v>0</v>
      </c>
      <c r="O48" s="928">
        <f>+'Cant. Ejec,'!L41</f>
        <v>0</v>
      </c>
      <c r="P48" s="930">
        <f>+'Cant. Ejec,'!M41</f>
        <v>0</v>
      </c>
      <c r="Q48" s="931">
        <f t="shared" si="32"/>
        <v>0</v>
      </c>
      <c r="R48" s="928">
        <f t="shared" si="34"/>
        <v>0</v>
      </c>
      <c r="S48" s="954">
        <f t="shared" si="34"/>
        <v>0</v>
      </c>
      <c r="T48" s="928">
        <f t="shared" si="35"/>
        <v>116</v>
      </c>
      <c r="U48" s="954">
        <f t="shared" si="36"/>
        <v>200565.16</v>
      </c>
      <c r="V48" s="955">
        <f t="shared" si="37"/>
        <v>0</v>
      </c>
      <c r="W48" s="955">
        <f t="shared" si="38"/>
        <v>0</v>
      </c>
      <c r="X48" s="956">
        <f t="shared" si="33"/>
        <v>1</v>
      </c>
      <c r="Y48" s="519">
        <f t="shared" si="2"/>
        <v>0</v>
      </c>
      <c r="Z48" s="212" t="str">
        <f t="shared" si="3"/>
        <v>ok</v>
      </c>
      <c r="AA48" s="1">
        <v>6090</v>
      </c>
      <c r="AB48" s="395">
        <f t="shared" si="28"/>
        <v>5974</v>
      </c>
    </row>
    <row r="49" spans="1:28" ht="18.95" hidden="1" customHeight="1">
      <c r="A49" s="509">
        <f t="shared" si="4"/>
        <v>0</v>
      </c>
      <c r="B49" s="510">
        <f t="shared" si="0"/>
        <v>0</v>
      </c>
      <c r="C49" s="512">
        <f t="shared" si="5"/>
        <v>5</v>
      </c>
      <c r="D49" s="513" t="str">
        <f t="shared" si="39"/>
        <v>4. OBRAS DE DRENAJE</v>
      </c>
      <c r="E49" s="899">
        <v>25</v>
      </c>
      <c r="F49" s="908" t="s">
        <v>323</v>
      </c>
      <c r="G49" s="909" t="s">
        <v>88</v>
      </c>
      <c r="H49" s="960">
        <v>2244.69</v>
      </c>
      <c r="I49" s="967">
        <v>63</v>
      </c>
      <c r="J49" s="921">
        <f t="shared" si="29"/>
        <v>141415.47</v>
      </c>
      <c r="K49" s="929">
        <v>63</v>
      </c>
      <c r="L49" s="966" t="str">
        <f t="shared" si="30"/>
        <v>-</v>
      </c>
      <c r="M49" s="921">
        <f t="shared" si="31"/>
        <v>141415.47</v>
      </c>
      <c r="N49" s="928">
        <f>+'Cant. Ejec,'!K42</f>
        <v>0</v>
      </c>
      <c r="O49" s="928">
        <f>+'Cant. Ejec,'!L42</f>
        <v>0</v>
      </c>
      <c r="P49" s="930">
        <f>+'Cant. Ejec,'!M42</f>
        <v>0</v>
      </c>
      <c r="Q49" s="931">
        <f t="shared" si="32"/>
        <v>0</v>
      </c>
      <c r="R49" s="928">
        <f t="shared" si="34"/>
        <v>0</v>
      </c>
      <c r="S49" s="954">
        <f t="shared" si="34"/>
        <v>0</v>
      </c>
      <c r="T49" s="928">
        <f t="shared" si="35"/>
        <v>63</v>
      </c>
      <c r="U49" s="954">
        <f t="shared" si="36"/>
        <v>141415.47</v>
      </c>
      <c r="V49" s="955">
        <f t="shared" si="37"/>
        <v>0</v>
      </c>
      <c r="W49" s="955">
        <f t="shared" si="38"/>
        <v>0</v>
      </c>
      <c r="X49" s="956">
        <f t="shared" si="33"/>
        <v>1</v>
      </c>
      <c r="Y49" s="519">
        <f t="shared" si="2"/>
        <v>0</v>
      </c>
      <c r="Z49" s="212" t="str">
        <f t="shared" si="3"/>
        <v>ok</v>
      </c>
      <c r="AA49" s="1">
        <v>181054.6</v>
      </c>
      <c r="AB49" s="395">
        <f t="shared" si="28"/>
        <v>180991.6</v>
      </c>
    </row>
    <row r="50" spans="1:28" ht="27" hidden="1">
      <c r="A50" s="509">
        <f t="shared" si="4"/>
        <v>0</v>
      </c>
      <c r="B50" s="510">
        <f t="shared" si="0"/>
        <v>0</v>
      </c>
      <c r="C50" s="512">
        <f t="shared" si="5"/>
        <v>5</v>
      </c>
      <c r="D50" s="513" t="str">
        <f t="shared" si="39"/>
        <v>4. OBRAS DE DRENAJE</v>
      </c>
      <c r="E50" s="899">
        <v>26</v>
      </c>
      <c r="F50" s="908" t="s">
        <v>324</v>
      </c>
      <c r="G50" s="909" t="s">
        <v>85</v>
      </c>
      <c r="H50" s="960">
        <v>1393.68</v>
      </c>
      <c r="I50" s="967">
        <v>52</v>
      </c>
      <c r="J50" s="921">
        <f t="shared" si="29"/>
        <v>72471.360000000001</v>
      </c>
      <c r="K50" s="929">
        <v>170.39</v>
      </c>
      <c r="L50" s="966" t="str">
        <f t="shared" si="30"/>
        <v>CM 3</v>
      </c>
      <c r="M50" s="921">
        <f t="shared" si="31"/>
        <v>237469.14</v>
      </c>
      <c r="N50" s="928">
        <f>+'Cant. Ejec,'!K43</f>
        <v>0</v>
      </c>
      <c r="O50" s="928">
        <f>+'Cant. Ejec,'!L43</f>
        <v>0</v>
      </c>
      <c r="P50" s="930">
        <f>+'Cant. Ejec,'!M43</f>
        <v>0</v>
      </c>
      <c r="Q50" s="931">
        <f t="shared" si="32"/>
        <v>0</v>
      </c>
      <c r="R50" s="928">
        <f t="shared" si="34"/>
        <v>0</v>
      </c>
      <c r="S50" s="954">
        <f t="shared" si="34"/>
        <v>0</v>
      </c>
      <c r="T50" s="928">
        <f t="shared" si="35"/>
        <v>170.39</v>
      </c>
      <c r="U50" s="954">
        <f t="shared" si="36"/>
        <v>237469.14</v>
      </c>
      <c r="V50" s="955">
        <f t="shared" si="37"/>
        <v>0</v>
      </c>
      <c r="W50" s="955">
        <f t="shared" si="38"/>
        <v>0</v>
      </c>
      <c r="X50" s="956">
        <f t="shared" si="33"/>
        <v>1</v>
      </c>
      <c r="Y50" s="519">
        <f t="shared" si="2"/>
        <v>0</v>
      </c>
      <c r="Z50" s="212" t="str">
        <f t="shared" si="3"/>
        <v>ok</v>
      </c>
      <c r="AA50" s="1">
        <v>65838.05</v>
      </c>
      <c r="AB50" s="395">
        <f t="shared" si="28"/>
        <v>65667.66</v>
      </c>
    </row>
    <row r="51" spans="1:28" ht="27" hidden="1">
      <c r="A51" s="509">
        <f t="shared" si="4"/>
        <v>0</v>
      </c>
      <c r="B51" s="510">
        <f t="shared" si="0"/>
        <v>0</v>
      </c>
      <c r="C51" s="512">
        <f t="shared" si="5"/>
        <v>5</v>
      </c>
      <c r="D51" s="513" t="str">
        <f t="shared" si="39"/>
        <v>4. OBRAS DE DRENAJE</v>
      </c>
      <c r="E51" s="899">
        <v>27</v>
      </c>
      <c r="F51" s="908" t="s">
        <v>325</v>
      </c>
      <c r="G51" s="909" t="s">
        <v>85</v>
      </c>
      <c r="H51" s="960">
        <v>1483.78</v>
      </c>
      <c r="I51" s="967">
        <v>959</v>
      </c>
      <c r="J51" s="921">
        <f t="shared" si="29"/>
        <v>1422945.02</v>
      </c>
      <c r="K51" s="929">
        <v>959</v>
      </c>
      <c r="L51" s="966" t="str">
        <f t="shared" si="30"/>
        <v>-</v>
      </c>
      <c r="M51" s="921">
        <f t="shared" si="31"/>
        <v>1422945.02</v>
      </c>
      <c r="N51" s="928">
        <f>+'Cant. Ejec,'!K44</f>
        <v>0</v>
      </c>
      <c r="O51" s="928">
        <f>+'Cant. Ejec,'!L44</f>
        <v>0</v>
      </c>
      <c r="P51" s="930">
        <f>+'Cant. Ejec,'!M44</f>
        <v>0</v>
      </c>
      <c r="Q51" s="931">
        <f t="shared" si="32"/>
        <v>0</v>
      </c>
      <c r="R51" s="928">
        <f t="shared" si="34"/>
        <v>0</v>
      </c>
      <c r="S51" s="954">
        <f t="shared" si="34"/>
        <v>0</v>
      </c>
      <c r="T51" s="928">
        <f t="shared" si="35"/>
        <v>959</v>
      </c>
      <c r="U51" s="954">
        <f t="shared" si="36"/>
        <v>1422945.02</v>
      </c>
      <c r="V51" s="955">
        <f t="shared" si="37"/>
        <v>0</v>
      </c>
      <c r="W51" s="955">
        <f t="shared" si="38"/>
        <v>0</v>
      </c>
      <c r="X51" s="956">
        <f t="shared" si="33"/>
        <v>1</v>
      </c>
      <c r="Y51" s="519">
        <f t="shared" si="2"/>
        <v>0</v>
      </c>
      <c r="Z51" s="212" t="str">
        <f t="shared" si="3"/>
        <v>ok</v>
      </c>
      <c r="AB51" s="395">
        <f t="shared" si="28"/>
        <v>-959</v>
      </c>
    </row>
    <row r="52" spans="1:28" ht="27" hidden="1">
      <c r="A52" s="509">
        <f t="shared" si="4"/>
        <v>0</v>
      </c>
      <c r="B52" s="510">
        <f t="shared" si="0"/>
        <v>0</v>
      </c>
      <c r="C52" s="512">
        <f t="shared" si="5"/>
        <v>5</v>
      </c>
      <c r="D52" s="513" t="str">
        <f t="shared" si="39"/>
        <v>4. OBRAS DE DRENAJE</v>
      </c>
      <c r="E52" s="899">
        <v>28</v>
      </c>
      <c r="F52" s="908" t="s">
        <v>326</v>
      </c>
      <c r="G52" s="909" t="s">
        <v>85</v>
      </c>
      <c r="H52" s="960">
        <v>1483.78</v>
      </c>
      <c r="I52" s="967">
        <v>1578</v>
      </c>
      <c r="J52" s="921">
        <f t="shared" si="29"/>
        <v>2341404.84</v>
      </c>
      <c r="K52" s="929">
        <v>1578</v>
      </c>
      <c r="L52" s="966" t="str">
        <f t="shared" si="30"/>
        <v>-</v>
      </c>
      <c r="M52" s="921">
        <f t="shared" si="31"/>
        <v>2341404.84</v>
      </c>
      <c r="N52" s="928">
        <f>+'Cant. Ejec,'!K45</f>
        <v>0</v>
      </c>
      <c r="O52" s="928">
        <f>+'Cant. Ejec,'!L45</f>
        <v>0</v>
      </c>
      <c r="P52" s="930">
        <f>+'Cant. Ejec,'!M45</f>
        <v>0</v>
      </c>
      <c r="Q52" s="931">
        <f t="shared" si="32"/>
        <v>0</v>
      </c>
      <c r="R52" s="928">
        <f t="shared" si="34"/>
        <v>0</v>
      </c>
      <c r="S52" s="954">
        <f t="shared" si="34"/>
        <v>0</v>
      </c>
      <c r="T52" s="928">
        <f t="shared" si="35"/>
        <v>1578</v>
      </c>
      <c r="U52" s="954">
        <f t="shared" si="36"/>
        <v>2341404.84</v>
      </c>
      <c r="V52" s="955">
        <f t="shared" si="37"/>
        <v>0</v>
      </c>
      <c r="W52" s="955">
        <f t="shared" si="38"/>
        <v>0</v>
      </c>
      <c r="X52" s="956">
        <f t="shared" si="33"/>
        <v>1</v>
      </c>
      <c r="Y52" s="519">
        <f t="shared" si="2"/>
        <v>0</v>
      </c>
      <c r="Z52" s="212" t="str">
        <f t="shared" si="3"/>
        <v>ok</v>
      </c>
      <c r="AB52" s="395">
        <f t="shared" si="28"/>
        <v>-1578</v>
      </c>
    </row>
    <row r="53" spans="1:28" ht="27" hidden="1">
      <c r="A53" s="509">
        <f t="shared" si="4"/>
        <v>0</v>
      </c>
      <c r="B53" s="510">
        <f t="shared" si="0"/>
        <v>0</v>
      </c>
      <c r="C53" s="512">
        <f t="shared" si="5"/>
        <v>5</v>
      </c>
      <c r="D53" s="513" t="str">
        <f t="shared" si="39"/>
        <v>4. OBRAS DE DRENAJE</v>
      </c>
      <c r="E53" s="899">
        <v>29</v>
      </c>
      <c r="F53" s="908" t="s">
        <v>327</v>
      </c>
      <c r="G53" s="909" t="s">
        <v>85</v>
      </c>
      <c r="H53" s="960">
        <v>1483.78</v>
      </c>
      <c r="I53" s="967">
        <v>182</v>
      </c>
      <c r="J53" s="921">
        <f t="shared" si="29"/>
        <v>270047.96000000002</v>
      </c>
      <c r="K53" s="929">
        <v>182</v>
      </c>
      <c r="L53" s="966" t="str">
        <f t="shared" si="30"/>
        <v>-</v>
      </c>
      <c r="M53" s="921">
        <f t="shared" si="31"/>
        <v>270047.96000000002</v>
      </c>
      <c r="N53" s="928">
        <f>+'Cant. Ejec,'!K46</f>
        <v>0</v>
      </c>
      <c r="O53" s="928">
        <f>+'Cant. Ejec,'!L46</f>
        <v>0</v>
      </c>
      <c r="P53" s="930">
        <f>+'Cant. Ejec,'!M46</f>
        <v>0</v>
      </c>
      <c r="Q53" s="931">
        <f t="shared" si="32"/>
        <v>0</v>
      </c>
      <c r="R53" s="928">
        <f t="shared" si="34"/>
        <v>0</v>
      </c>
      <c r="S53" s="954">
        <f t="shared" si="34"/>
        <v>0</v>
      </c>
      <c r="T53" s="928">
        <f t="shared" si="35"/>
        <v>182</v>
      </c>
      <c r="U53" s="954">
        <f t="shared" si="36"/>
        <v>270047.96000000002</v>
      </c>
      <c r="V53" s="955">
        <f t="shared" si="37"/>
        <v>0</v>
      </c>
      <c r="W53" s="955">
        <f t="shared" si="38"/>
        <v>0</v>
      </c>
      <c r="X53" s="956">
        <f t="shared" si="33"/>
        <v>1</v>
      </c>
      <c r="Y53" s="519">
        <f t="shared" si="2"/>
        <v>0</v>
      </c>
      <c r="Z53" s="212" t="str">
        <f t="shared" si="3"/>
        <v>ok</v>
      </c>
      <c r="AA53" s="1">
        <v>0</v>
      </c>
      <c r="AB53" s="395">
        <f t="shared" si="28"/>
        <v>-182</v>
      </c>
    </row>
    <row r="54" spans="1:28" ht="27" hidden="1">
      <c r="A54" s="509">
        <f t="shared" si="4"/>
        <v>0</v>
      </c>
      <c r="B54" s="510">
        <f t="shared" si="0"/>
        <v>0</v>
      </c>
      <c r="C54" s="512">
        <f t="shared" si="5"/>
        <v>5</v>
      </c>
      <c r="D54" s="513" t="str">
        <f t="shared" si="39"/>
        <v>4. OBRAS DE DRENAJE</v>
      </c>
      <c r="E54" s="899">
        <v>30</v>
      </c>
      <c r="F54" s="908" t="s">
        <v>328</v>
      </c>
      <c r="G54" s="909" t="s">
        <v>85</v>
      </c>
      <c r="H54" s="960">
        <v>1483.78</v>
      </c>
      <c r="I54" s="967">
        <v>324</v>
      </c>
      <c r="J54" s="921">
        <f t="shared" si="29"/>
        <v>480744.72</v>
      </c>
      <c r="K54" s="929">
        <v>324</v>
      </c>
      <c r="L54" s="966" t="str">
        <f t="shared" si="30"/>
        <v>-</v>
      </c>
      <c r="M54" s="921">
        <f t="shared" si="31"/>
        <v>480744.72</v>
      </c>
      <c r="N54" s="928">
        <f>+'Cant. Ejec,'!K47</f>
        <v>0</v>
      </c>
      <c r="O54" s="928">
        <f>+'Cant. Ejec,'!L47</f>
        <v>0</v>
      </c>
      <c r="P54" s="930">
        <f>+'Cant. Ejec,'!M47</f>
        <v>0</v>
      </c>
      <c r="Q54" s="931">
        <f t="shared" si="32"/>
        <v>0</v>
      </c>
      <c r="R54" s="928">
        <f t="shared" si="34"/>
        <v>0</v>
      </c>
      <c r="S54" s="954">
        <f t="shared" si="34"/>
        <v>0</v>
      </c>
      <c r="T54" s="928">
        <f t="shared" si="35"/>
        <v>324</v>
      </c>
      <c r="U54" s="954">
        <f t="shared" si="36"/>
        <v>480744.72</v>
      </c>
      <c r="V54" s="955">
        <f t="shared" si="37"/>
        <v>0</v>
      </c>
      <c r="W54" s="955">
        <f t="shared" si="38"/>
        <v>0</v>
      </c>
      <c r="X54" s="956">
        <f t="shared" si="33"/>
        <v>1</v>
      </c>
      <c r="Y54" s="519">
        <f t="shared" si="2"/>
        <v>0</v>
      </c>
      <c r="Z54" s="212" t="str">
        <f t="shared" si="3"/>
        <v>ok</v>
      </c>
      <c r="AA54" s="1">
        <v>235</v>
      </c>
      <c r="AB54" s="395">
        <f t="shared" si="28"/>
        <v>-89</v>
      </c>
    </row>
    <row r="55" spans="1:28" ht="18.95" hidden="1" customHeight="1">
      <c r="A55" s="509">
        <f t="shared" si="4"/>
        <v>0</v>
      </c>
      <c r="B55" s="510">
        <f t="shared" si="0"/>
        <v>0</v>
      </c>
      <c r="C55" s="512">
        <f t="shared" si="5"/>
        <v>5</v>
      </c>
      <c r="D55" s="513" t="str">
        <f t="shared" si="39"/>
        <v>4. OBRAS DE DRENAJE</v>
      </c>
      <c r="E55" s="899">
        <v>31</v>
      </c>
      <c r="F55" s="908" t="s">
        <v>329</v>
      </c>
      <c r="G55" s="909" t="s">
        <v>85</v>
      </c>
      <c r="H55" s="960">
        <v>1483.78</v>
      </c>
      <c r="I55" s="967">
        <v>915</v>
      </c>
      <c r="J55" s="921">
        <f t="shared" si="29"/>
        <v>1357658.7</v>
      </c>
      <c r="K55" s="929">
        <v>915</v>
      </c>
      <c r="L55" s="966" t="str">
        <f t="shared" si="30"/>
        <v>-</v>
      </c>
      <c r="M55" s="921">
        <f t="shared" si="31"/>
        <v>1357658.7</v>
      </c>
      <c r="N55" s="928">
        <f>+'Cant. Ejec,'!K48</f>
        <v>0</v>
      </c>
      <c r="O55" s="928">
        <f>+'Cant. Ejec,'!L48</f>
        <v>0</v>
      </c>
      <c r="P55" s="930">
        <f>+'Cant. Ejec,'!M48</f>
        <v>0</v>
      </c>
      <c r="Q55" s="931">
        <f t="shared" si="32"/>
        <v>0</v>
      </c>
      <c r="R55" s="928">
        <f t="shared" si="34"/>
        <v>0</v>
      </c>
      <c r="S55" s="954">
        <f t="shared" si="34"/>
        <v>0</v>
      </c>
      <c r="T55" s="928">
        <f t="shared" si="35"/>
        <v>915</v>
      </c>
      <c r="U55" s="954">
        <f t="shared" si="36"/>
        <v>1357658.7</v>
      </c>
      <c r="V55" s="955">
        <f t="shared" si="37"/>
        <v>0</v>
      </c>
      <c r="W55" s="955">
        <f t="shared" si="38"/>
        <v>0</v>
      </c>
      <c r="X55" s="956">
        <f t="shared" si="33"/>
        <v>1</v>
      </c>
      <c r="Y55" s="519">
        <f t="shared" si="2"/>
        <v>0</v>
      </c>
      <c r="Z55" s="212" t="str">
        <f t="shared" si="3"/>
        <v>ok</v>
      </c>
      <c r="AA55" s="1">
        <v>470</v>
      </c>
      <c r="AB55" s="395">
        <f t="shared" si="28"/>
        <v>-445</v>
      </c>
    </row>
    <row r="56" spans="1:28" ht="18.95" hidden="1" customHeight="1">
      <c r="A56" s="509">
        <f t="shared" si="4"/>
        <v>0</v>
      </c>
      <c r="B56" s="510">
        <f t="shared" si="0"/>
        <v>0</v>
      </c>
      <c r="C56" s="512">
        <f t="shared" si="5"/>
        <v>5</v>
      </c>
      <c r="D56" s="513" t="str">
        <f t="shared" si="39"/>
        <v>4. OBRAS DE DRENAJE</v>
      </c>
      <c r="E56" s="899">
        <v>32</v>
      </c>
      <c r="F56" s="908" t="s">
        <v>330</v>
      </c>
      <c r="G56" s="909" t="s">
        <v>85</v>
      </c>
      <c r="H56" s="960">
        <v>1483.78</v>
      </c>
      <c r="I56" s="967">
        <v>173</v>
      </c>
      <c r="J56" s="921">
        <f t="shared" si="29"/>
        <v>256693.94</v>
      </c>
      <c r="K56" s="929">
        <v>173</v>
      </c>
      <c r="L56" s="966" t="str">
        <f t="shared" si="30"/>
        <v>-</v>
      </c>
      <c r="M56" s="921">
        <f t="shared" si="31"/>
        <v>256693.94</v>
      </c>
      <c r="N56" s="928">
        <f>+'Cant. Ejec,'!K49</f>
        <v>0</v>
      </c>
      <c r="O56" s="928">
        <f>+'Cant. Ejec,'!L49</f>
        <v>0</v>
      </c>
      <c r="P56" s="930">
        <f>+'Cant. Ejec,'!M49</f>
        <v>0</v>
      </c>
      <c r="Q56" s="931">
        <f t="shared" si="32"/>
        <v>0</v>
      </c>
      <c r="R56" s="928">
        <f t="shared" si="34"/>
        <v>0</v>
      </c>
      <c r="S56" s="954">
        <f t="shared" si="34"/>
        <v>0</v>
      </c>
      <c r="T56" s="928">
        <f t="shared" si="35"/>
        <v>173</v>
      </c>
      <c r="U56" s="954">
        <f t="shared" si="36"/>
        <v>256693.94</v>
      </c>
      <c r="V56" s="955">
        <f t="shared" si="37"/>
        <v>0</v>
      </c>
      <c r="W56" s="955">
        <f t="shared" si="38"/>
        <v>0</v>
      </c>
      <c r="X56" s="956">
        <f t="shared" si="33"/>
        <v>1</v>
      </c>
      <c r="Y56" s="519">
        <f t="shared" si="2"/>
        <v>0</v>
      </c>
      <c r="Z56" s="212" t="str">
        <f t="shared" si="3"/>
        <v>ok</v>
      </c>
      <c r="AB56" s="395"/>
    </row>
    <row r="57" spans="1:28" ht="18.95" hidden="1" customHeight="1">
      <c r="A57" s="509">
        <f t="shared" si="4"/>
        <v>0</v>
      </c>
      <c r="B57" s="510">
        <f t="shared" si="0"/>
        <v>0</v>
      </c>
      <c r="C57" s="512">
        <f t="shared" si="5"/>
        <v>5</v>
      </c>
      <c r="D57" s="513" t="str">
        <f t="shared" si="39"/>
        <v>4. OBRAS DE DRENAJE</v>
      </c>
      <c r="E57" s="899">
        <v>33</v>
      </c>
      <c r="F57" s="908" t="s">
        <v>331</v>
      </c>
      <c r="G57" s="909" t="s">
        <v>88</v>
      </c>
      <c r="H57" s="960">
        <v>298.16000000000003</v>
      </c>
      <c r="I57" s="967">
        <v>1320</v>
      </c>
      <c r="J57" s="921">
        <f t="shared" si="29"/>
        <v>393571.2</v>
      </c>
      <c r="K57" s="929">
        <v>1320</v>
      </c>
      <c r="L57" s="966" t="str">
        <f t="shared" si="30"/>
        <v>-</v>
      </c>
      <c r="M57" s="921">
        <f t="shared" si="31"/>
        <v>393571.2</v>
      </c>
      <c r="N57" s="928">
        <f>+'Cant. Ejec,'!K50</f>
        <v>0</v>
      </c>
      <c r="O57" s="928">
        <f>+'Cant. Ejec,'!L50</f>
        <v>0</v>
      </c>
      <c r="P57" s="930">
        <f>+'Cant. Ejec,'!M50</f>
        <v>0</v>
      </c>
      <c r="Q57" s="931">
        <f t="shared" si="32"/>
        <v>0</v>
      </c>
      <c r="R57" s="928">
        <f t="shared" si="34"/>
        <v>0</v>
      </c>
      <c r="S57" s="954">
        <f t="shared" si="34"/>
        <v>0</v>
      </c>
      <c r="T57" s="928">
        <f t="shared" si="35"/>
        <v>1320</v>
      </c>
      <c r="U57" s="954">
        <f t="shared" si="36"/>
        <v>393571.2</v>
      </c>
      <c r="V57" s="955">
        <f t="shared" si="37"/>
        <v>0</v>
      </c>
      <c r="W57" s="955">
        <f t="shared" si="38"/>
        <v>0</v>
      </c>
      <c r="X57" s="956">
        <f t="shared" si="33"/>
        <v>1</v>
      </c>
      <c r="Y57" s="519">
        <f t="shared" si="2"/>
        <v>0</v>
      </c>
      <c r="Z57" s="212" t="str">
        <f t="shared" si="3"/>
        <v>ok</v>
      </c>
      <c r="AA57" s="1">
        <v>639</v>
      </c>
      <c r="AB57" s="395">
        <f t="shared" si="28"/>
        <v>-681</v>
      </c>
    </row>
    <row r="58" spans="1:28" ht="27" hidden="1">
      <c r="A58" s="509">
        <f t="shared" si="4"/>
        <v>0</v>
      </c>
      <c r="B58" s="510">
        <f t="shared" si="0"/>
        <v>0</v>
      </c>
      <c r="C58" s="512">
        <f t="shared" si="5"/>
        <v>5</v>
      </c>
      <c r="D58" s="513" t="str">
        <f t="shared" si="39"/>
        <v>4. OBRAS DE DRENAJE</v>
      </c>
      <c r="E58" s="899">
        <v>34</v>
      </c>
      <c r="F58" s="908" t="s">
        <v>332</v>
      </c>
      <c r="G58" s="909" t="s">
        <v>88</v>
      </c>
      <c r="H58" s="960">
        <v>1943.4</v>
      </c>
      <c r="I58" s="967">
        <v>14</v>
      </c>
      <c r="J58" s="921">
        <f t="shared" si="29"/>
        <v>27207.599999999999</v>
      </c>
      <c r="K58" s="929">
        <v>14</v>
      </c>
      <c r="L58" s="966" t="str">
        <f t="shared" si="30"/>
        <v>-</v>
      </c>
      <c r="M58" s="921">
        <f t="shared" si="31"/>
        <v>27207.599999999999</v>
      </c>
      <c r="N58" s="928">
        <f>+'Cant. Ejec,'!K51</f>
        <v>0</v>
      </c>
      <c r="O58" s="928">
        <f>+'Cant. Ejec,'!L51</f>
        <v>0</v>
      </c>
      <c r="P58" s="930">
        <f>+'Cant. Ejec,'!M51</f>
        <v>0</v>
      </c>
      <c r="Q58" s="931">
        <f t="shared" si="32"/>
        <v>0</v>
      </c>
      <c r="R58" s="928">
        <f t="shared" si="34"/>
        <v>0</v>
      </c>
      <c r="S58" s="954">
        <f t="shared" si="34"/>
        <v>0</v>
      </c>
      <c r="T58" s="928">
        <f t="shared" si="35"/>
        <v>14</v>
      </c>
      <c r="U58" s="954">
        <f t="shared" si="36"/>
        <v>27207.599999999999</v>
      </c>
      <c r="V58" s="955">
        <f t="shared" si="37"/>
        <v>0</v>
      </c>
      <c r="W58" s="955">
        <f t="shared" si="38"/>
        <v>0</v>
      </c>
      <c r="X58" s="956">
        <f t="shared" si="33"/>
        <v>1</v>
      </c>
      <c r="Y58" s="519">
        <f t="shared" si="2"/>
        <v>0</v>
      </c>
      <c r="Z58" s="212" t="str">
        <f t="shared" si="3"/>
        <v>ok</v>
      </c>
      <c r="AA58" s="1">
        <v>67223.95</v>
      </c>
      <c r="AB58" s="395">
        <f t="shared" si="28"/>
        <v>67209.95</v>
      </c>
    </row>
    <row r="59" spans="1:28" ht="18.95" hidden="1" customHeight="1">
      <c r="A59" s="509">
        <f t="shared" si="4"/>
        <v>0</v>
      </c>
      <c r="B59" s="510">
        <f t="shared" si="0"/>
        <v>0</v>
      </c>
      <c r="C59" s="512">
        <f t="shared" si="5"/>
        <v>5</v>
      </c>
      <c r="D59" s="513" t="str">
        <f t="shared" si="39"/>
        <v>4. OBRAS DE DRENAJE</v>
      </c>
      <c r="E59" s="899">
        <v>35</v>
      </c>
      <c r="F59" s="908" t="s">
        <v>333</v>
      </c>
      <c r="G59" s="909" t="s">
        <v>85</v>
      </c>
      <c r="H59" s="960">
        <v>34.61</v>
      </c>
      <c r="I59" s="967">
        <v>8800</v>
      </c>
      <c r="J59" s="921">
        <f t="shared" si="29"/>
        <v>304568</v>
      </c>
      <c r="K59" s="929">
        <v>8800</v>
      </c>
      <c r="L59" s="966" t="str">
        <f t="shared" si="30"/>
        <v>-</v>
      </c>
      <c r="M59" s="921">
        <f t="shared" si="31"/>
        <v>304568</v>
      </c>
      <c r="N59" s="928">
        <f>+'Cant. Ejec,'!K52</f>
        <v>0</v>
      </c>
      <c r="O59" s="928">
        <f>+'Cant. Ejec,'!L52</f>
        <v>0</v>
      </c>
      <c r="P59" s="930">
        <f>+'Cant. Ejec,'!M52</f>
        <v>0</v>
      </c>
      <c r="Q59" s="931">
        <f t="shared" si="32"/>
        <v>0</v>
      </c>
      <c r="R59" s="928">
        <f t="shared" si="34"/>
        <v>0</v>
      </c>
      <c r="S59" s="954">
        <f t="shared" si="34"/>
        <v>0</v>
      </c>
      <c r="T59" s="928">
        <f t="shared" si="35"/>
        <v>8800</v>
      </c>
      <c r="U59" s="954">
        <f t="shared" si="36"/>
        <v>304568</v>
      </c>
      <c r="V59" s="955">
        <f t="shared" si="37"/>
        <v>0</v>
      </c>
      <c r="W59" s="955">
        <f t="shared" si="38"/>
        <v>0</v>
      </c>
      <c r="X59" s="956">
        <f t="shared" si="33"/>
        <v>1</v>
      </c>
      <c r="Y59" s="519">
        <f t="shared" si="2"/>
        <v>0</v>
      </c>
      <c r="Z59" s="212" t="str">
        <f t="shared" si="3"/>
        <v>ok</v>
      </c>
      <c r="AA59" s="1">
        <v>766.59</v>
      </c>
      <c r="AB59" s="395">
        <f t="shared" si="28"/>
        <v>-8033.41</v>
      </c>
    </row>
    <row r="60" spans="1:28" ht="18.95" hidden="1" customHeight="1">
      <c r="A60" s="509">
        <f t="shared" si="4"/>
        <v>0</v>
      </c>
      <c r="B60" s="510">
        <f t="shared" si="0"/>
        <v>0</v>
      </c>
      <c r="C60" s="512">
        <f t="shared" si="5"/>
        <v>5</v>
      </c>
      <c r="D60" s="513" t="str">
        <f t="shared" si="39"/>
        <v>4. OBRAS DE DRENAJE</v>
      </c>
      <c r="E60" s="899">
        <v>36</v>
      </c>
      <c r="F60" s="908" t="s">
        <v>334</v>
      </c>
      <c r="G60" s="909" t="s">
        <v>86</v>
      </c>
      <c r="H60" s="960">
        <v>106.62</v>
      </c>
      <c r="I60" s="967">
        <v>1200</v>
      </c>
      <c r="J60" s="921">
        <f t="shared" si="29"/>
        <v>127944</v>
      </c>
      <c r="K60" s="929">
        <v>1200</v>
      </c>
      <c r="L60" s="966" t="str">
        <f t="shared" si="30"/>
        <v>-</v>
      </c>
      <c r="M60" s="921">
        <f t="shared" si="31"/>
        <v>127944</v>
      </c>
      <c r="N60" s="928">
        <f>+'Cant. Ejec,'!K53</f>
        <v>0</v>
      </c>
      <c r="O60" s="928">
        <f>+'Cant. Ejec,'!L53</f>
        <v>0</v>
      </c>
      <c r="P60" s="930">
        <f>+'Cant. Ejec,'!M53</f>
        <v>0</v>
      </c>
      <c r="Q60" s="931">
        <f t="shared" si="32"/>
        <v>0</v>
      </c>
      <c r="R60" s="928">
        <f t="shared" si="34"/>
        <v>0</v>
      </c>
      <c r="S60" s="954">
        <f t="shared" si="34"/>
        <v>0</v>
      </c>
      <c r="T60" s="928">
        <f t="shared" si="35"/>
        <v>1200</v>
      </c>
      <c r="U60" s="954">
        <f t="shared" si="36"/>
        <v>127944</v>
      </c>
      <c r="V60" s="955">
        <f t="shared" si="37"/>
        <v>0</v>
      </c>
      <c r="W60" s="955">
        <f t="shared" si="38"/>
        <v>0</v>
      </c>
      <c r="X60" s="956">
        <f t="shared" si="33"/>
        <v>1</v>
      </c>
      <c r="Y60" s="519">
        <f t="shared" si="2"/>
        <v>0</v>
      </c>
      <c r="Z60" s="212" t="str">
        <f t="shared" si="3"/>
        <v>ok</v>
      </c>
      <c r="AA60" s="1">
        <v>130.56</v>
      </c>
      <c r="AB60" s="395">
        <f t="shared" si="28"/>
        <v>-1069.44</v>
      </c>
    </row>
    <row r="61" spans="1:28" ht="18.95" hidden="1" customHeight="1">
      <c r="A61" s="509">
        <f t="shared" si="4"/>
        <v>0</v>
      </c>
      <c r="B61" s="510">
        <f t="shared" si="0"/>
        <v>0</v>
      </c>
      <c r="C61" s="512">
        <f t="shared" si="5"/>
        <v>5</v>
      </c>
      <c r="D61" s="513" t="str">
        <f t="shared" si="39"/>
        <v>4. OBRAS DE DRENAJE</v>
      </c>
      <c r="E61" s="899">
        <v>37</v>
      </c>
      <c r="F61" s="908" t="s">
        <v>335</v>
      </c>
      <c r="G61" s="909" t="s">
        <v>85</v>
      </c>
      <c r="H61" s="960">
        <v>761.21</v>
      </c>
      <c r="I61" s="967">
        <v>44</v>
      </c>
      <c r="J61" s="921">
        <f t="shared" si="29"/>
        <v>33493.24</v>
      </c>
      <c r="K61" s="929">
        <v>44</v>
      </c>
      <c r="L61" s="966" t="str">
        <f t="shared" si="30"/>
        <v>-</v>
      </c>
      <c r="M61" s="921">
        <f t="shared" si="31"/>
        <v>33493.24</v>
      </c>
      <c r="N61" s="928">
        <f>+'Cant. Ejec,'!K54</f>
        <v>0</v>
      </c>
      <c r="O61" s="928">
        <f>+'Cant. Ejec,'!L54</f>
        <v>0</v>
      </c>
      <c r="P61" s="930">
        <f>+'Cant. Ejec,'!M54</f>
        <v>0</v>
      </c>
      <c r="Q61" s="931">
        <f t="shared" si="32"/>
        <v>0</v>
      </c>
      <c r="R61" s="928">
        <f t="shared" si="34"/>
        <v>0</v>
      </c>
      <c r="S61" s="954">
        <f t="shared" si="34"/>
        <v>0</v>
      </c>
      <c r="T61" s="928">
        <f t="shared" si="35"/>
        <v>44</v>
      </c>
      <c r="U61" s="954">
        <f t="shared" si="36"/>
        <v>33493.24</v>
      </c>
      <c r="V61" s="955">
        <f t="shared" si="37"/>
        <v>0</v>
      </c>
      <c r="W61" s="955">
        <f t="shared" si="38"/>
        <v>0</v>
      </c>
      <c r="X61" s="956">
        <f t="shared" si="33"/>
        <v>1</v>
      </c>
      <c r="Y61" s="519">
        <f t="shared" si="2"/>
        <v>0</v>
      </c>
      <c r="Z61" s="212" t="str">
        <f t="shared" si="3"/>
        <v>ok</v>
      </c>
      <c r="AA61" s="1">
        <v>6503.2</v>
      </c>
      <c r="AB61" s="395">
        <f t="shared" si="28"/>
        <v>6459.2</v>
      </c>
    </row>
    <row r="62" spans="1:28" ht="27" hidden="1">
      <c r="A62" s="509">
        <f t="shared" si="4"/>
        <v>0</v>
      </c>
      <c r="B62" s="510">
        <f t="shared" si="0"/>
        <v>0</v>
      </c>
      <c r="C62" s="512">
        <f t="shared" si="5"/>
        <v>5</v>
      </c>
      <c r="D62" s="513" t="str">
        <f t="shared" si="39"/>
        <v>4. OBRAS DE DRENAJE</v>
      </c>
      <c r="E62" s="899">
        <v>38</v>
      </c>
      <c r="F62" s="908" t="s">
        <v>336</v>
      </c>
      <c r="G62" s="909" t="s">
        <v>85</v>
      </c>
      <c r="H62" s="960">
        <v>941.82</v>
      </c>
      <c r="I62" s="967">
        <v>8</v>
      </c>
      <c r="J62" s="921">
        <f t="shared" si="29"/>
        <v>7534.56</v>
      </c>
      <c r="K62" s="929">
        <v>8</v>
      </c>
      <c r="L62" s="966" t="str">
        <f t="shared" si="30"/>
        <v>-</v>
      </c>
      <c r="M62" s="921">
        <f t="shared" si="31"/>
        <v>7534.56</v>
      </c>
      <c r="N62" s="928">
        <f>+'Cant. Ejec,'!K55</f>
        <v>0</v>
      </c>
      <c r="O62" s="928">
        <f>+'Cant. Ejec,'!L55</f>
        <v>0</v>
      </c>
      <c r="P62" s="930">
        <f>+'Cant. Ejec,'!M55</f>
        <v>0</v>
      </c>
      <c r="Q62" s="931">
        <f t="shared" si="32"/>
        <v>0</v>
      </c>
      <c r="R62" s="928">
        <f t="shared" si="34"/>
        <v>0</v>
      </c>
      <c r="S62" s="954">
        <f t="shared" si="34"/>
        <v>0</v>
      </c>
      <c r="T62" s="928">
        <f t="shared" si="35"/>
        <v>8</v>
      </c>
      <c r="U62" s="954">
        <f t="shared" si="36"/>
        <v>7534.56</v>
      </c>
      <c r="V62" s="955">
        <f t="shared" si="37"/>
        <v>0</v>
      </c>
      <c r="W62" s="955">
        <f t="shared" si="38"/>
        <v>0</v>
      </c>
      <c r="X62" s="956">
        <f t="shared" si="33"/>
        <v>1</v>
      </c>
      <c r="Y62" s="519">
        <f t="shared" si="2"/>
        <v>0</v>
      </c>
      <c r="Z62" s="212" t="str">
        <f t="shared" si="3"/>
        <v>ok</v>
      </c>
      <c r="AA62" s="1">
        <v>460</v>
      </c>
      <c r="AB62" s="395">
        <f t="shared" si="28"/>
        <v>452</v>
      </c>
    </row>
    <row r="63" spans="1:28" ht="18.95" hidden="1" customHeight="1">
      <c r="A63" s="509">
        <f t="shared" si="4"/>
        <v>0</v>
      </c>
      <c r="B63" s="510">
        <f t="shared" si="0"/>
        <v>0</v>
      </c>
      <c r="C63" s="512">
        <f t="shared" si="5"/>
        <v>5</v>
      </c>
      <c r="D63" s="513" t="str">
        <f t="shared" si="39"/>
        <v>4. OBRAS DE DRENAJE</v>
      </c>
      <c r="E63" s="899">
        <v>39</v>
      </c>
      <c r="F63" s="908" t="s">
        <v>337</v>
      </c>
      <c r="G63" s="909" t="s">
        <v>85</v>
      </c>
      <c r="H63" s="960">
        <v>110.15</v>
      </c>
      <c r="I63" s="967">
        <v>4</v>
      </c>
      <c r="J63" s="921">
        <f t="shared" si="29"/>
        <v>440.6</v>
      </c>
      <c r="K63" s="929">
        <v>4</v>
      </c>
      <c r="L63" s="966" t="str">
        <f t="shared" si="30"/>
        <v>-</v>
      </c>
      <c r="M63" s="921">
        <f t="shared" si="31"/>
        <v>440.6</v>
      </c>
      <c r="N63" s="928">
        <f>+'Cant. Ejec,'!K56</f>
        <v>0</v>
      </c>
      <c r="O63" s="928">
        <f>+'Cant. Ejec,'!L56</f>
        <v>0</v>
      </c>
      <c r="P63" s="930">
        <f>+'Cant. Ejec,'!M56</f>
        <v>0</v>
      </c>
      <c r="Q63" s="931">
        <f t="shared" si="32"/>
        <v>0</v>
      </c>
      <c r="R63" s="928">
        <f t="shared" si="34"/>
        <v>0</v>
      </c>
      <c r="S63" s="954">
        <f t="shared" si="34"/>
        <v>0</v>
      </c>
      <c r="T63" s="928">
        <f t="shared" si="35"/>
        <v>4</v>
      </c>
      <c r="U63" s="954">
        <f t="shared" si="36"/>
        <v>440.6</v>
      </c>
      <c r="V63" s="955">
        <f t="shared" si="37"/>
        <v>0</v>
      </c>
      <c r="W63" s="955">
        <f t="shared" si="38"/>
        <v>0</v>
      </c>
      <c r="X63" s="956">
        <f t="shared" si="33"/>
        <v>1</v>
      </c>
      <c r="Y63" s="519">
        <f t="shared" si="2"/>
        <v>0</v>
      </c>
      <c r="Z63" s="212" t="str">
        <f t="shared" si="3"/>
        <v>ok</v>
      </c>
      <c r="AA63" s="1">
        <v>356</v>
      </c>
      <c r="AB63" s="395">
        <f t="shared" si="28"/>
        <v>352</v>
      </c>
    </row>
    <row r="64" spans="1:28" ht="18.95" hidden="1" customHeight="1">
      <c r="A64" s="509">
        <f t="shared" si="4"/>
        <v>0</v>
      </c>
      <c r="B64" s="510">
        <f t="shared" si="0"/>
        <v>0</v>
      </c>
      <c r="C64" s="512">
        <f t="shared" si="5"/>
        <v>5</v>
      </c>
      <c r="D64" s="513" t="str">
        <f t="shared" si="39"/>
        <v>4. OBRAS DE DRENAJE</v>
      </c>
      <c r="E64" s="899">
        <v>40</v>
      </c>
      <c r="F64" s="908" t="s">
        <v>338</v>
      </c>
      <c r="G64" s="909" t="s">
        <v>86</v>
      </c>
      <c r="H64" s="960">
        <v>107.87</v>
      </c>
      <c r="I64" s="967">
        <v>4</v>
      </c>
      <c r="J64" s="921">
        <f t="shared" si="29"/>
        <v>431.48</v>
      </c>
      <c r="K64" s="929">
        <v>226.87</v>
      </c>
      <c r="L64" s="966" t="str">
        <f t="shared" si="30"/>
        <v>CM 3</v>
      </c>
      <c r="M64" s="921">
        <f t="shared" si="31"/>
        <v>24472.47</v>
      </c>
      <c r="N64" s="972">
        <f>+'Cant. Ejec,'!K57</f>
        <v>0</v>
      </c>
      <c r="O64" s="972">
        <f>+'Cant. Ejec,'!L57</f>
        <v>0</v>
      </c>
      <c r="P64" s="973">
        <f>+'Cant. Ejec,'!M57</f>
        <v>0</v>
      </c>
      <c r="Q64" s="961">
        <f t="shared" si="32"/>
        <v>0</v>
      </c>
      <c r="R64" s="972">
        <f t="shared" si="34"/>
        <v>0</v>
      </c>
      <c r="S64" s="974">
        <f t="shared" si="34"/>
        <v>0</v>
      </c>
      <c r="T64" s="972">
        <f t="shared" si="35"/>
        <v>226.87</v>
      </c>
      <c r="U64" s="974">
        <f t="shared" si="36"/>
        <v>24472.47</v>
      </c>
      <c r="V64" s="958">
        <f t="shared" si="37"/>
        <v>0</v>
      </c>
      <c r="W64" s="958">
        <f t="shared" si="38"/>
        <v>0</v>
      </c>
      <c r="X64" s="959">
        <f t="shared" si="33"/>
        <v>1</v>
      </c>
      <c r="Y64" s="519">
        <f t="shared" si="2"/>
        <v>0</v>
      </c>
      <c r="Z64" s="212" t="str">
        <f t="shared" si="3"/>
        <v>ok</v>
      </c>
      <c r="AA64" s="1">
        <v>4013.73</v>
      </c>
      <c r="AB64" s="395">
        <f t="shared" si="28"/>
        <v>3786.86</v>
      </c>
    </row>
    <row r="65" spans="1:28" ht="18.95" hidden="1" customHeight="1">
      <c r="A65" s="509">
        <f t="shared" si="4"/>
        <v>0</v>
      </c>
      <c r="B65" s="510">
        <f t="shared" si="0"/>
        <v>0</v>
      </c>
      <c r="C65" s="512">
        <f t="shared" si="5"/>
        <v>5</v>
      </c>
      <c r="D65" s="513" t="str">
        <f t="shared" si="39"/>
        <v>4. OBRAS DE DRENAJE</v>
      </c>
      <c r="E65" s="899">
        <v>41</v>
      </c>
      <c r="F65" s="908" t="s">
        <v>334</v>
      </c>
      <c r="G65" s="909" t="s">
        <v>86</v>
      </c>
      <c r="H65" s="960">
        <v>127.01</v>
      </c>
      <c r="I65" s="967">
        <v>132</v>
      </c>
      <c r="J65" s="921">
        <f t="shared" si="29"/>
        <v>16765.32</v>
      </c>
      <c r="K65" s="929">
        <v>132</v>
      </c>
      <c r="L65" s="966" t="str">
        <f t="shared" si="30"/>
        <v>-</v>
      </c>
      <c r="M65" s="921">
        <f t="shared" si="31"/>
        <v>16765.32</v>
      </c>
      <c r="N65" s="972">
        <f>+'Cant. Ejec,'!K58</f>
        <v>0</v>
      </c>
      <c r="O65" s="972">
        <f>+'Cant. Ejec,'!L58</f>
        <v>0</v>
      </c>
      <c r="P65" s="973">
        <f>+'Cant. Ejec,'!M58</f>
        <v>0</v>
      </c>
      <c r="Q65" s="961">
        <f t="shared" si="32"/>
        <v>0</v>
      </c>
      <c r="R65" s="972">
        <f t="shared" si="34"/>
        <v>0</v>
      </c>
      <c r="S65" s="974">
        <f t="shared" si="34"/>
        <v>0</v>
      </c>
      <c r="T65" s="972">
        <f t="shared" si="35"/>
        <v>132</v>
      </c>
      <c r="U65" s="974">
        <f t="shared" si="36"/>
        <v>16765.32</v>
      </c>
      <c r="V65" s="958">
        <f t="shared" si="37"/>
        <v>0</v>
      </c>
      <c r="W65" s="958">
        <f t="shared" si="38"/>
        <v>0</v>
      </c>
      <c r="X65" s="959">
        <f t="shared" si="33"/>
        <v>1</v>
      </c>
      <c r="Y65" s="519">
        <f t="shared" si="2"/>
        <v>0</v>
      </c>
      <c r="Z65" s="212" t="str">
        <f t="shared" si="3"/>
        <v>ok</v>
      </c>
      <c r="AA65" s="1">
        <v>50</v>
      </c>
      <c r="AB65" s="395">
        <f t="shared" si="28"/>
        <v>-82</v>
      </c>
    </row>
    <row r="66" spans="1:28" ht="18.95" hidden="1" customHeight="1">
      <c r="A66" s="509">
        <f t="shared" si="4"/>
        <v>0</v>
      </c>
      <c r="B66" s="510">
        <f t="shared" si="0"/>
        <v>0</v>
      </c>
      <c r="C66" s="512">
        <f t="shared" si="5"/>
        <v>5</v>
      </c>
      <c r="D66" s="513" t="str">
        <f t="shared" si="39"/>
        <v>4. OBRAS DE DRENAJE</v>
      </c>
      <c r="E66" s="899">
        <v>42</v>
      </c>
      <c r="F66" s="908" t="s">
        <v>339</v>
      </c>
      <c r="G66" s="909" t="s">
        <v>86</v>
      </c>
      <c r="H66" s="960">
        <v>174.55</v>
      </c>
      <c r="I66" s="967">
        <v>27</v>
      </c>
      <c r="J66" s="921">
        <f t="shared" si="29"/>
        <v>4712.8500000000004</v>
      </c>
      <c r="K66" s="929">
        <v>27</v>
      </c>
      <c r="L66" s="966" t="str">
        <f t="shared" si="30"/>
        <v>-</v>
      </c>
      <c r="M66" s="921">
        <f t="shared" si="31"/>
        <v>4712.8500000000004</v>
      </c>
      <c r="N66" s="928">
        <f>+'Cant. Ejec,'!K59</f>
        <v>0</v>
      </c>
      <c r="O66" s="928">
        <f>+'Cant. Ejec,'!L59</f>
        <v>0</v>
      </c>
      <c r="P66" s="930">
        <f>+'Cant. Ejec,'!M59</f>
        <v>0</v>
      </c>
      <c r="Q66" s="931">
        <f t="shared" si="32"/>
        <v>0</v>
      </c>
      <c r="R66" s="928">
        <f t="shared" si="34"/>
        <v>0</v>
      </c>
      <c r="S66" s="954">
        <f t="shared" si="34"/>
        <v>0</v>
      </c>
      <c r="T66" s="928">
        <f t="shared" si="35"/>
        <v>27</v>
      </c>
      <c r="U66" s="954">
        <f t="shared" si="36"/>
        <v>4712.8500000000004</v>
      </c>
      <c r="V66" s="955">
        <f t="shared" si="37"/>
        <v>0</v>
      </c>
      <c r="W66" s="955">
        <f t="shared" si="38"/>
        <v>0</v>
      </c>
      <c r="X66" s="956">
        <f t="shared" si="33"/>
        <v>1</v>
      </c>
      <c r="Y66" s="519">
        <f t="shared" si="2"/>
        <v>0</v>
      </c>
      <c r="Z66" s="212" t="str">
        <f t="shared" si="3"/>
        <v>ok</v>
      </c>
      <c r="AA66" s="1">
        <v>1091.2</v>
      </c>
      <c r="AB66" s="395">
        <f t="shared" si="28"/>
        <v>1064.2</v>
      </c>
    </row>
    <row r="67" spans="1:28" ht="18.95" hidden="1" customHeight="1">
      <c r="A67" s="509">
        <f t="shared" si="4"/>
        <v>0</v>
      </c>
      <c r="B67" s="510">
        <f t="shared" si="0"/>
        <v>0</v>
      </c>
      <c r="C67" s="512">
        <f t="shared" si="5"/>
        <v>5</v>
      </c>
      <c r="D67" s="513" t="str">
        <f t="shared" si="39"/>
        <v>4. OBRAS DE DRENAJE</v>
      </c>
      <c r="E67" s="899">
        <v>43</v>
      </c>
      <c r="F67" s="908" t="s">
        <v>340</v>
      </c>
      <c r="G67" s="909" t="s">
        <v>85</v>
      </c>
      <c r="H67" s="960">
        <v>72.510000000000005</v>
      </c>
      <c r="I67" s="967">
        <v>66</v>
      </c>
      <c r="J67" s="921">
        <f t="shared" si="29"/>
        <v>4785.66</v>
      </c>
      <c r="K67" s="929">
        <v>66</v>
      </c>
      <c r="L67" s="966" t="str">
        <f t="shared" si="30"/>
        <v>-</v>
      </c>
      <c r="M67" s="921">
        <f t="shared" si="31"/>
        <v>4785.66</v>
      </c>
      <c r="N67" s="972">
        <f>+'Cant. Ejec,'!K60</f>
        <v>0</v>
      </c>
      <c r="O67" s="972">
        <f>+'Cant. Ejec,'!L60</f>
        <v>0</v>
      </c>
      <c r="P67" s="930">
        <f>+'Cant. Ejec,'!M60</f>
        <v>0</v>
      </c>
      <c r="Q67" s="961">
        <f t="shared" si="32"/>
        <v>0</v>
      </c>
      <c r="R67" s="972">
        <f t="shared" si="34"/>
        <v>0</v>
      </c>
      <c r="S67" s="974">
        <f t="shared" si="34"/>
        <v>0</v>
      </c>
      <c r="T67" s="972">
        <f t="shared" si="35"/>
        <v>66</v>
      </c>
      <c r="U67" s="974">
        <f t="shared" si="36"/>
        <v>4785.66</v>
      </c>
      <c r="V67" s="958">
        <f t="shared" si="37"/>
        <v>0</v>
      </c>
      <c r="W67" s="958">
        <f t="shared" si="38"/>
        <v>0</v>
      </c>
      <c r="X67" s="959">
        <f t="shared" si="33"/>
        <v>1</v>
      </c>
      <c r="Y67" s="519">
        <f t="shared" si="2"/>
        <v>0</v>
      </c>
      <c r="Z67" s="212" t="str">
        <f t="shared" si="3"/>
        <v>ok</v>
      </c>
      <c r="AA67" s="1">
        <v>284.8</v>
      </c>
      <c r="AB67" s="395">
        <f t="shared" si="28"/>
        <v>218.8</v>
      </c>
    </row>
    <row r="68" spans="1:28" ht="18.95" hidden="1" customHeight="1">
      <c r="A68" s="509">
        <f t="shared" si="4"/>
        <v>0</v>
      </c>
      <c r="B68" s="510">
        <f t="shared" si="0"/>
        <v>0</v>
      </c>
      <c r="C68" s="512">
        <f t="shared" si="5"/>
        <v>5</v>
      </c>
      <c r="D68" s="513" t="str">
        <f t="shared" si="39"/>
        <v>4. OBRAS DE DRENAJE</v>
      </c>
      <c r="E68" s="914">
        <v>44</v>
      </c>
      <c r="F68" s="897" t="s">
        <v>341</v>
      </c>
      <c r="G68" s="901" t="s">
        <v>86</v>
      </c>
      <c r="H68" s="975">
        <v>33.590000000000003</v>
      </c>
      <c r="I68" s="964">
        <v>4400</v>
      </c>
      <c r="J68" s="976">
        <f t="shared" si="29"/>
        <v>147796</v>
      </c>
      <c r="K68" s="977">
        <v>4400</v>
      </c>
      <c r="L68" s="978" t="str">
        <f t="shared" si="30"/>
        <v>-</v>
      </c>
      <c r="M68" s="976">
        <f t="shared" si="31"/>
        <v>147796</v>
      </c>
      <c r="N68" s="928">
        <f>+'Cant. Ejec,'!K61</f>
        <v>0</v>
      </c>
      <c r="O68" s="928">
        <f>+'Cant. Ejec,'!L61</f>
        <v>0</v>
      </c>
      <c r="P68" s="930">
        <f>+'Cant. Ejec,'!M61</f>
        <v>0</v>
      </c>
      <c r="Q68" s="931">
        <f t="shared" si="32"/>
        <v>0</v>
      </c>
      <c r="R68" s="928">
        <f t="shared" si="34"/>
        <v>0</v>
      </c>
      <c r="S68" s="954">
        <f t="shared" si="34"/>
        <v>0</v>
      </c>
      <c r="T68" s="928">
        <f t="shared" si="35"/>
        <v>4400</v>
      </c>
      <c r="U68" s="954">
        <f t="shared" si="36"/>
        <v>147796</v>
      </c>
      <c r="V68" s="955">
        <f t="shared" si="37"/>
        <v>0</v>
      </c>
      <c r="W68" s="955">
        <f t="shared" si="38"/>
        <v>0</v>
      </c>
      <c r="X68" s="956">
        <f t="shared" si="33"/>
        <v>1</v>
      </c>
      <c r="Y68" s="519">
        <f t="shared" si="2"/>
        <v>0</v>
      </c>
      <c r="Z68" s="212" t="str">
        <f t="shared" si="3"/>
        <v>ok</v>
      </c>
      <c r="AA68" s="1">
        <v>446.6</v>
      </c>
      <c r="AB68" s="395">
        <f t="shared" si="28"/>
        <v>-3953.4</v>
      </c>
    </row>
    <row r="69" spans="1:28" ht="18.95" hidden="1" customHeight="1">
      <c r="A69" s="509">
        <f t="shared" si="4"/>
        <v>0</v>
      </c>
      <c r="B69" s="510">
        <f t="shared" si="0"/>
        <v>0</v>
      </c>
      <c r="C69" s="512">
        <f t="shared" si="5"/>
        <v>5</v>
      </c>
      <c r="D69" s="513" t="str">
        <f t="shared" si="39"/>
        <v>4. OBRAS DE DRENAJE</v>
      </c>
      <c r="E69" s="899">
        <v>45</v>
      </c>
      <c r="F69" s="908" t="s">
        <v>342</v>
      </c>
      <c r="G69" s="909" t="s">
        <v>86</v>
      </c>
      <c r="H69" s="960">
        <v>33.82</v>
      </c>
      <c r="I69" s="967">
        <v>6072</v>
      </c>
      <c r="J69" s="921">
        <f t="shared" si="29"/>
        <v>205355.04</v>
      </c>
      <c r="K69" s="929">
        <v>6072</v>
      </c>
      <c r="L69" s="966" t="str">
        <f t="shared" si="30"/>
        <v>-</v>
      </c>
      <c r="M69" s="921">
        <f t="shared" si="31"/>
        <v>205355.04</v>
      </c>
      <c r="N69" s="928">
        <f>+'Cant. Ejec,'!K62</f>
        <v>0</v>
      </c>
      <c r="O69" s="928">
        <f>+'Cant. Ejec,'!L62</f>
        <v>0</v>
      </c>
      <c r="P69" s="930">
        <f>+'Cant. Ejec,'!M62</f>
        <v>0</v>
      </c>
      <c r="Q69" s="931">
        <f t="shared" si="32"/>
        <v>0</v>
      </c>
      <c r="R69" s="928">
        <f t="shared" si="34"/>
        <v>0</v>
      </c>
      <c r="S69" s="954">
        <f t="shared" si="34"/>
        <v>0</v>
      </c>
      <c r="T69" s="928">
        <f t="shared" si="35"/>
        <v>6072</v>
      </c>
      <c r="U69" s="954">
        <f t="shared" si="36"/>
        <v>205355.04</v>
      </c>
      <c r="V69" s="955">
        <f t="shared" si="37"/>
        <v>0</v>
      </c>
      <c r="W69" s="955">
        <f t="shared" si="38"/>
        <v>0</v>
      </c>
      <c r="X69" s="956">
        <f t="shared" si="33"/>
        <v>1</v>
      </c>
      <c r="Y69" s="519">
        <f t="shared" si="2"/>
        <v>0</v>
      </c>
      <c r="Z69" s="212" t="str">
        <f t="shared" si="3"/>
        <v>ok</v>
      </c>
      <c r="AA69" s="1">
        <v>426.92</v>
      </c>
      <c r="AB69" s="395">
        <f t="shared" si="28"/>
        <v>-5645.08</v>
      </c>
    </row>
    <row r="70" spans="1:28" ht="18.95" hidden="1" customHeight="1">
      <c r="A70" s="509">
        <f t="shared" si="4"/>
        <v>0</v>
      </c>
      <c r="B70" s="510">
        <f t="shared" si="0"/>
        <v>0</v>
      </c>
      <c r="C70" s="512">
        <f t="shared" si="5"/>
        <v>5</v>
      </c>
      <c r="D70" s="513" t="str">
        <f t="shared" si="39"/>
        <v>4. OBRAS DE DRENAJE</v>
      </c>
      <c r="E70" s="899">
        <v>46</v>
      </c>
      <c r="F70" s="908" t="s">
        <v>343</v>
      </c>
      <c r="G70" s="909" t="s">
        <v>86</v>
      </c>
      <c r="H70" s="960">
        <v>18.82</v>
      </c>
      <c r="I70" s="967">
        <v>2200</v>
      </c>
      <c r="J70" s="921">
        <f t="shared" si="29"/>
        <v>41404</v>
      </c>
      <c r="K70" s="929">
        <v>2200</v>
      </c>
      <c r="L70" s="966" t="str">
        <f t="shared" si="30"/>
        <v>-</v>
      </c>
      <c r="M70" s="921">
        <f t="shared" si="31"/>
        <v>41404</v>
      </c>
      <c r="N70" s="928">
        <f>+'Cant. Ejec,'!K63</f>
        <v>0</v>
      </c>
      <c r="O70" s="928">
        <f>+'Cant. Ejec,'!L63</f>
        <v>0</v>
      </c>
      <c r="P70" s="930">
        <f>+'Cant. Ejec,'!M63</f>
        <v>0</v>
      </c>
      <c r="Q70" s="931">
        <f t="shared" si="32"/>
        <v>0</v>
      </c>
      <c r="R70" s="928">
        <f t="shared" si="34"/>
        <v>0</v>
      </c>
      <c r="S70" s="954">
        <f t="shared" si="34"/>
        <v>0</v>
      </c>
      <c r="T70" s="928">
        <f t="shared" si="35"/>
        <v>2200</v>
      </c>
      <c r="U70" s="954">
        <f t="shared" si="36"/>
        <v>41404</v>
      </c>
      <c r="V70" s="955">
        <f t="shared" si="37"/>
        <v>0</v>
      </c>
      <c r="W70" s="955">
        <f t="shared" si="38"/>
        <v>0</v>
      </c>
      <c r="X70" s="956">
        <f t="shared" si="33"/>
        <v>1</v>
      </c>
      <c r="Y70" s="519">
        <f t="shared" si="2"/>
        <v>0</v>
      </c>
      <c r="Z70" s="212" t="str">
        <f t="shared" si="3"/>
        <v>ok</v>
      </c>
      <c r="AA70" s="1">
        <v>23.016500000000001</v>
      </c>
      <c r="AB70" s="395">
        <f t="shared" si="28"/>
        <v>-2176.9834999999998</v>
      </c>
    </row>
    <row r="71" spans="1:28" ht="18.95" hidden="1" customHeight="1">
      <c r="A71" s="509">
        <f t="shared" si="4"/>
        <v>0</v>
      </c>
      <c r="B71" s="510">
        <f t="shared" si="0"/>
        <v>0</v>
      </c>
      <c r="C71" s="512">
        <f t="shared" si="5"/>
        <v>5</v>
      </c>
      <c r="D71" s="513" t="str">
        <f t="shared" si="39"/>
        <v>4. OBRAS DE DRENAJE</v>
      </c>
      <c r="E71" s="899">
        <v>47</v>
      </c>
      <c r="F71" s="908" t="s">
        <v>344</v>
      </c>
      <c r="G71" s="909" t="s">
        <v>85</v>
      </c>
      <c r="H71" s="960">
        <v>85.23</v>
      </c>
      <c r="I71" s="967">
        <v>44</v>
      </c>
      <c r="J71" s="921">
        <f t="shared" si="29"/>
        <v>3750.12</v>
      </c>
      <c r="K71" s="929">
        <v>44</v>
      </c>
      <c r="L71" s="966" t="str">
        <f t="shared" si="30"/>
        <v>-</v>
      </c>
      <c r="M71" s="921">
        <f t="shared" si="31"/>
        <v>3750.12</v>
      </c>
      <c r="N71" s="928">
        <f>+'Cant. Ejec,'!K64</f>
        <v>0</v>
      </c>
      <c r="O71" s="928">
        <f>+'Cant. Ejec,'!L64</f>
        <v>0</v>
      </c>
      <c r="P71" s="930">
        <f>+'Cant. Ejec,'!M64</f>
        <v>0</v>
      </c>
      <c r="Q71" s="931">
        <f t="shared" si="32"/>
        <v>0</v>
      </c>
      <c r="R71" s="928">
        <f t="shared" si="34"/>
        <v>0</v>
      </c>
      <c r="S71" s="954">
        <f t="shared" si="34"/>
        <v>0</v>
      </c>
      <c r="T71" s="928">
        <f t="shared" si="35"/>
        <v>44</v>
      </c>
      <c r="U71" s="954">
        <f t="shared" si="36"/>
        <v>3750.12</v>
      </c>
      <c r="V71" s="955">
        <f t="shared" si="37"/>
        <v>0</v>
      </c>
      <c r="W71" s="955">
        <f t="shared" si="38"/>
        <v>0</v>
      </c>
      <c r="X71" s="956">
        <f t="shared" si="33"/>
        <v>1</v>
      </c>
      <c r="Y71" s="519">
        <f t="shared" si="2"/>
        <v>0</v>
      </c>
      <c r="Z71" s="212" t="str">
        <f t="shared" si="3"/>
        <v>ok</v>
      </c>
      <c r="AB71" s="395">
        <f t="shared" si="28"/>
        <v>-44</v>
      </c>
    </row>
    <row r="72" spans="1:28" ht="18.95" hidden="1" customHeight="1">
      <c r="A72" s="509">
        <f t="shared" si="4"/>
        <v>0</v>
      </c>
      <c r="B72" s="510">
        <f t="shared" si="0"/>
        <v>0</v>
      </c>
      <c r="C72" s="512">
        <f t="shared" si="5"/>
        <v>5</v>
      </c>
      <c r="D72" s="513" t="str">
        <f t="shared" si="39"/>
        <v>4. OBRAS DE DRENAJE</v>
      </c>
      <c r="E72" s="899">
        <v>48</v>
      </c>
      <c r="F72" s="908" t="s">
        <v>345</v>
      </c>
      <c r="G72" s="909" t="s">
        <v>88</v>
      </c>
      <c r="H72" s="960">
        <v>130.9</v>
      </c>
      <c r="I72" s="967">
        <v>55</v>
      </c>
      <c r="J72" s="921">
        <f t="shared" si="29"/>
        <v>7199.5</v>
      </c>
      <c r="K72" s="929">
        <v>55</v>
      </c>
      <c r="L72" s="966" t="str">
        <f t="shared" si="30"/>
        <v>-</v>
      </c>
      <c r="M72" s="921">
        <f t="shared" si="31"/>
        <v>7199.5</v>
      </c>
      <c r="N72" s="928">
        <f>+'Cant. Ejec,'!K65</f>
        <v>0</v>
      </c>
      <c r="O72" s="928">
        <f>+'Cant. Ejec,'!L65</f>
        <v>0</v>
      </c>
      <c r="P72" s="930">
        <f>+'Cant. Ejec,'!M65</f>
        <v>0</v>
      </c>
      <c r="Q72" s="931">
        <f t="shared" si="32"/>
        <v>0</v>
      </c>
      <c r="R72" s="928">
        <f t="shared" si="34"/>
        <v>0</v>
      </c>
      <c r="S72" s="954">
        <f t="shared" si="34"/>
        <v>0</v>
      </c>
      <c r="T72" s="928">
        <f t="shared" si="35"/>
        <v>55</v>
      </c>
      <c r="U72" s="954">
        <f t="shared" si="36"/>
        <v>7199.5</v>
      </c>
      <c r="V72" s="955">
        <f t="shared" si="37"/>
        <v>0</v>
      </c>
      <c r="W72" s="955">
        <f t="shared" si="38"/>
        <v>0</v>
      </c>
      <c r="X72" s="956">
        <f t="shared" si="33"/>
        <v>1</v>
      </c>
      <c r="Y72" s="519">
        <f t="shared" si="2"/>
        <v>0</v>
      </c>
      <c r="Z72" s="212" t="str">
        <f t="shared" si="3"/>
        <v>ok</v>
      </c>
      <c r="AB72" s="395">
        <f t="shared" si="28"/>
        <v>-55</v>
      </c>
    </row>
    <row r="73" spans="1:28" s="12" customFormat="1" ht="18.95" hidden="1" customHeight="1">
      <c r="A73" s="509">
        <f t="shared" si="4"/>
        <v>0</v>
      </c>
      <c r="B73" s="510">
        <f t="shared" si="0"/>
        <v>0</v>
      </c>
      <c r="C73" s="512">
        <f t="shared" si="5"/>
        <v>5</v>
      </c>
      <c r="D73" s="513" t="str">
        <f t="shared" si="39"/>
        <v>4. OBRAS DE DRENAJE</v>
      </c>
      <c r="E73" s="899">
        <v>49</v>
      </c>
      <c r="F73" s="908" t="s">
        <v>346</v>
      </c>
      <c r="G73" s="909" t="s">
        <v>85</v>
      </c>
      <c r="H73" s="960">
        <v>104.01</v>
      </c>
      <c r="I73" s="967">
        <v>66</v>
      </c>
      <c r="J73" s="921">
        <f t="shared" si="29"/>
        <v>6864.66</v>
      </c>
      <c r="K73" s="929">
        <v>66</v>
      </c>
      <c r="L73" s="966" t="str">
        <f t="shared" si="30"/>
        <v>-</v>
      </c>
      <c r="M73" s="921">
        <f t="shared" si="31"/>
        <v>6864.66</v>
      </c>
      <c r="N73" s="928">
        <f>+'Cant. Ejec,'!K66</f>
        <v>0</v>
      </c>
      <c r="O73" s="928">
        <f>+'Cant. Ejec,'!L66</f>
        <v>0</v>
      </c>
      <c r="P73" s="930">
        <f>+'Cant. Ejec,'!M66</f>
        <v>0</v>
      </c>
      <c r="Q73" s="931">
        <f t="shared" si="32"/>
        <v>0</v>
      </c>
      <c r="R73" s="928">
        <f t="shared" si="34"/>
        <v>0</v>
      </c>
      <c r="S73" s="954">
        <f t="shared" si="34"/>
        <v>0</v>
      </c>
      <c r="T73" s="928">
        <f t="shared" si="35"/>
        <v>66</v>
      </c>
      <c r="U73" s="954">
        <f t="shared" si="36"/>
        <v>6864.66</v>
      </c>
      <c r="V73" s="955">
        <f t="shared" si="37"/>
        <v>0</v>
      </c>
      <c r="W73" s="955">
        <f t="shared" si="38"/>
        <v>0</v>
      </c>
      <c r="X73" s="956">
        <f t="shared" si="33"/>
        <v>1</v>
      </c>
      <c r="Y73" s="519">
        <f t="shared" si="2"/>
        <v>0</v>
      </c>
      <c r="Z73" s="212" t="str">
        <f t="shared" si="3"/>
        <v>ok</v>
      </c>
      <c r="AA73" s="12">
        <v>2315</v>
      </c>
      <c r="AB73" s="426">
        <f t="shared" si="28"/>
        <v>2249</v>
      </c>
    </row>
    <row r="74" spans="1:28" s="12" customFormat="1" ht="18.95" hidden="1" customHeight="1">
      <c r="A74" s="509">
        <f t="shared" si="4"/>
        <v>0</v>
      </c>
      <c r="B74" s="510">
        <f t="shared" si="0"/>
        <v>0</v>
      </c>
      <c r="C74" s="512">
        <f t="shared" si="5"/>
        <v>5</v>
      </c>
      <c r="D74" s="513" t="str">
        <f t="shared" si="39"/>
        <v>4. OBRAS DE DRENAJE</v>
      </c>
      <c r="E74" s="899">
        <v>50</v>
      </c>
      <c r="F74" s="908" t="s">
        <v>347</v>
      </c>
      <c r="G74" s="909" t="s">
        <v>85</v>
      </c>
      <c r="H74" s="960">
        <v>286.33</v>
      </c>
      <c r="I74" s="967">
        <v>11</v>
      </c>
      <c r="J74" s="921">
        <f t="shared" si="29"/>
        <v>3149.63</v>
      </c>
      <c r="K74" s="929">
        <v>11</v>
      </c>
      <c r="L74" s="966" t="str">
        <f t="shared" si="30"/>
        <v>-</v>
      </c>
      <c r="M74" s="921">
        <f t="shared" si="31"/>
        <v>3149.63</v>
      </c>
      <c r="N74" s="928">
        <f>+'Cant. Ejec,'!K67</f>
        <v>0</v>
      </c>
      <c r="O74" s="928">
        <f>+'Cant. Ejec,'!L67</f>
        <v>0</v>
      </c>
      <c r="P74" s="930">
        <f>+'Cant. Ejec,'!M67</f>
        <v>0</v>
      </c>
      <c r="Q74" s="931">
        <f t="shared" si="32"/>
        <v>0</v>
      </c>
      <c r="R74" s="928">
        <f t="shared" si="34"/>
        <v>0</v>
      </c>
      <c r="S74" s="954">
        <f t="shared" si="34"/>
        <v>0</v>
      </c>
      <c r="T74" s="928">
        <f t="shared" si="35"/>
        <v>11</v>
      </c>
      <c r="U74" s="954">
        <f t="shared" si="36"/>
        <v>3149.63</v>
      </c>
      <c r="V74" s="955">
        <f t="shared" si="37"/>
        <v>0</v>
      </c>
      <c r="W74" s="955">
        <f t="shared" si="38"/>
        <v>0</v>
      </c>
      <c r="X74" s="956">
        <f t="shared" si="33"/>
        <v>1</v>
      </c>
      <c r="Y74" s="519">
        <f t="shared" si="2"/>
        <v>0</v>
      </c>
      <c r="Z74" s="212" t="str">
        <f t="shared" si="3"/>
        <v>ok</v>
      </c>
      <c r="AA74" s="12">
        <v>2422.52</v>
      </c>
      <c r="AB74" s="426">
        <f t="shared" si="28"/>
        <v>2411.52</v>
      </c>
    </row>
    <row r="75" spans="1:28" s="12" customFormat="1" ht="18.95" hidden="1" customHeight="1">
      <c r="A75" s="509">
        <f t="shared" si="4"/>
        <v>0</v>
      </c>
      <c r="B75" s="510">
        <f t="shared" ref="B75:B111" si="40">+IF(P75&gt;=0.01,1,0)</f>
        <v>0</v>
      </c>
      <c r="C75" s="512">
        <f t="shared" si="5"/>
        <v>5</v>
      </c>
      <c r="D75" s="513" t="str">
        <f t="shared" si="39"/>
        <v>4. OBRAS DE DRENAJE</v>
      </c>
      <c r="E75" s="899">
        <v>51</v>
      </c>
      <c r="F75" s="908" t="s">
        <v>348</v>
      </c>
      <c r="G75" s="909" t="s">
        <v>85</v>
      </c>
      <c r="H75" s="960">
        <v>120.83</v>
      </c>
      <c r="I75" s="967">
        <v>11</v>
      </c>
      <c r="J75" s="921">
        <f t="shared" si="29"/>
        <v>1329.13</v>
      </c>
      <c r="K75" s="929">
        <v>11</v>
      </c>
      <c r="L75" s="966" t="str">
        <f t="shared" si="30"/>
        <v>-</v>
      </c>
      <c r="M75" s="921">
        <f t="shared" si="31"/>
        <v>1329.13</v>
      </c>
      <c r="N75" s="928">
        <f>+'Cant. Ejec,'!K68</f>
        <v>0</v>
      </c>
      <c r="O75" s="928">
        <f>+'Cant. Ejec,'!L68</f>
        <v>0</v>
      </c>
      <c r="P75" s="930">
        <f>+'Cant. Ejec,'!M68</f>
        <v>0</v>
      </c>
      <c r="Q75" s="931">
        <f t="shared" si="32"/>
        <v>0</v>
      </c>
      <c r="R75" s="928">
        <f t="shared" si="34"/>
        <v>0</v>
      </c>
      <c r="S75" s="954">
        <f t="shared" si="34"/>
        <v>0</v>
      </c>
      <c r="T75" s="928">
        <f t="shared" si="35"/>
        <v>11</v>
      </c>
      <c r="U75" s="954">
        <f t="shared" si="36"/>
        <v>1329.13</v>
      </c>
      <c r="V75" s="955">
        <f t="shared" si="37"/>
        <v>0</v>
      </c>
      <c r="W75" s="955">
        <f t="shared" si="38"/>
        <v>0</v>
      </c>
      <c r="X75" s="956">
        <f t="shared" si="33"/>
        <v>1</v>
      </c>
      <c r="Y75" s="519">
        <f t="shared" ref="Y75:Y113" si="41">+R75/K75</f>
        <v>0</v>
      </c>
      <c r="Z75" s="212" t="str">
        <f t="shared" ref="Z75:Z113" si="42">IF((S75+U75)=M75,"ok","MAL")</f>
        <v>ok</v>
      </c>
      <c r="AB75" s="426"/>
    </row>
    <row r="76" spans="1:28" s="12" customFormat="1" ht="27" hidden="1">
      <c r="A76" s="509">
        <f t="shared" si="4"/>
        <v>0</v>
      </c>
      <c r="B76" s="510">
        <f t="shared" si="40"/>
        <v>0</v>
      </c>
      <c r="C76" s="512">
        <f t="shared" si="5"/>
        <v>5</v>
      </c>
      <c r="D76" s="513" t="str">
        <f t="shared" si="39"/>
        <v>4. OBRAS DE DRENAJE</v>
      </c>
      <c r="E76" s="899">
        <v>52</v>
      </c>
      <c r="F76" s="908" t="s">
        <v>349</v>
      </c>
      <c r="G76" s="909" t="s">
        <v>85</v>
      </c>
      <c r="H76" s="960">
        <v>104.01</v>
      </c>
      <c r="I76" s="967">
        <v>11</v>
      </c>
      <c r="J76" s="921">
        <f t="shared" si="29"/>
        <v>1144.1099999999999</v>
      </c>
      <c r="K76" s="929">
        <v>11</v>
      </c>
      <c r="L76" s="966" t="str">
        <f t="shared" si="30"/>
        <v>-</v>
      </c>
      <c r="M76" s="921">
        <f t="shared" si="31"/>
        <v>1144.1099999999999</v>
      </c>
      <c r="N76" s="928">
        <f>+'Cant. Ejec,'!K69</f>
        <v>0</v>
      </c>
      <c r="O76" s="928">
        <f>+'Cant. Ejec,'!L69</f>
        <v>0</v>
      </c>
      <c r="P76" s="930">
        <f>+'Cant. Ejec,'!M69</f>
        <v>0</v>
      </c>
      <c r="Q76" s="931">
        <f t="shared" si="32"/>
        <v>0</v>
      </c>
      <c r="R76" s="928">
        <f t="shared" si="34"/>
        <v>0</v>
      </c>
      <c r="S76" s="954">
        <f t="shared" si="34"/>
        <v>0</v>
      </c>
      <c r="T76" s="928">
        <f t="shared" si="35"/>
        <v>11</v>
      </c>
      <c r="U76" s="954">
        <f t="shared" si="36"/>
        <v>1144.1099999999999</v>
      </c>
      <c r="V76" s="955">
        <f t="shared" si="37"/>
        <v>0</v>
      </c>
      <c r="W76" s="955">
        <f t="shared" si="38"/>
        <v>0</v>
      </c>
      <c r="X76" s="956">
        <f t="shared" si="33"/>
        <v>1</v>
      </c>
      <c r="Y76" s="519">
        <f t="shared" si="41"/>
        <v>0</v>
      </c>
      <c r="Z76" s="212" t="str">
        <f t="shared" si="42"/>
        <v>ok</v>
      </c>
      <c r="AB76" s="426"/>
    </row>
    <row r="77" spans="1:28" s="12" customFormat="1" ht="18.95" hidden="1" customHeight="1">
      <c r="A77" s="509">
        <f t="shared" ref="A77:A111" si="43">+IF(B77&gt;0,B77+C76,IF(C77&gt;C76,C77,0))</f>
        <v>0</v>
      </c>
      <c r="B77" s="510">
        <f t="shared" si="40"/>
        <v>0</v>
      </c>
      <c r="C77" s="512">
        <f t="shared" ref="C77:C111" si="44">+B77+C76</f>
        <v>5</v>
      </c>
      <c r="D77" s="513" t="str">
        <f t="shared" si="39"/>
        <v>4. OBRAS DE DRENAJE</v>
      </c>
      <c r="E77" s="899">
        <v>53</v>
      </c>
      <c r="F77" s="908" t="s">
        <v>350</v>
      </c>
      <c r="G77" s="909" t="s">
        <v>85</v>
      </c>
      <c r="H77" s="960">
        <v>104.01</v>
      </c>
      <c r="I77" s="967">
        <v>11</v>
      </c>
      <c r="J77" s="921">
        <f t="shared" si="29"/>
        <v>1144.1099999999999</v>
      </c>
      <c r="K77" s="929">
        <v>11</v>
      </c>
      <c r="L77" s="966" t="str">
        <f t="shared" si="30"/>
        <v>-</v>
      </c>
      <c r="M77" s="921">
        <f t="shared" si="31"/>
        <v>1144.1099999999999</v>
      </c>
      <c r="N77" s="928">
        <f>+'Cant. Ejec,'!K70</f>
        <v>0</v>
      </c>
      <c r="O77" s="928">
        <f>+'Cant. Ejec,'!L70</f>
        <v>0</v>
      </c>
      <c r="P77" s="930">
        <f>+'Cant. Ejec,'!M70</f>
        <v>0</v>
      </c>
      <c r="Q77" s="931">
        <f t="shared" si="32"/>
        <v>0</v>
      </c>
      <c r="R77" s="928">
        <f t="shared" si="34"/>
        <v>0</v>
      </c>
      <c r="S77" s="954">
        <f t="shared" si="34"/>
        <v>0</v>
      </c>
      <c r="T77" s="928">
        <f t="shared" si="35"/>
        <v>11</v>
      </c>
      <c r="U77" s="954">
        <f t="shared" si="36"/>
        <v>1144.1099999999999</v>
      </c>
      <c r="V77" s="955">
        <f t="shared" si="37"/>
        <v>0</v>
      </c>
      <c r="W77" s="955">
        <f t="shared" si="38"/>
        <v>0</v>
      </c>
      <c r="X77" s="956">
        <f t="shared" si="33"/>
        <v>1</v>
      </c>
      <c r="Y77" s="519">
        <f t="shared" si="41"/>
        <v>0</v>
      </c>
      <c r="Z77" s="212" t="str">
        <f t="shared" si="42"/>
        <v>ok</v>
      </c>
      <c r="AB77" s="426"/>
    </row>
    <row r="78" spans="1:28" s="12" customFormat="1" ht="18.95" hidden="1" customHeight="1">
      <c r="A78" s="509">
        <f t="shared" si="43"/>
        <v>0</v>
      </c>
      <c r="B78" s="510">
        <f t="shared" si="40"/>
        <v>0</v>
      </c>
      <c r="C78" s="512">
        <f t="shared" si="44"/>
        <v>5</v>
      </c>
      <c r="D78" s="513" t="str">
        <f t="shared" si="39"/>
        <v>4. OBRAS DE DRENAJE</v>
      </c>
      <c r="E78" s="899">
        <v>54</v>
      </c>
      <c r="F78" s="908" t="s">
        <v>351</v>
      </c>
      <c r="G78" s="909" t="s">
        <v>86</v>
      </c>
      <c r="H78" s="960">
        <v>7.53</v>
      </c>
      <c r="I78" s="967">
        <v>1600</v>
      </c>
      <c r="J78" s="921">
        <f t="shared" si="29"/>
        <v>12048</v>
      </c>
      <c r="K78" s="929">
        <v>1600</v>
      </c>
      <c r="L78" s="966" t="str">
        <f t="shared" si="30"/>
        <v>-</v>
      </c>
      <c r="M78" s="921">
        <f t="shared" si="31"/>
        <v>12048</v>
      </c>
      <c r="N78" s="928">
        <f>+'Cant. Ejec,'!K71</f>
        <v>0</v>
      </c>
      <c r="O78" s="928">
        <f>+'Cant. Ejec,'!L71</f>
        <v>0</v>
      </c>
      <c r="P78" s="930">
        <f>+'Cant. Ejec,'!M71</f>
        <v>0</v>
      </c>
      <c r="Q78" s="931">
        <f t="shared" si="32"/>
        <v>0</v>
      </c>
      <c r="R78" s="928">
        <f t="shared" si="34"/>
        <v>0</v>
      </c>
      <c r="S78" s="954">
        <f t="shared" si="34"/>
        <v>0</v>
      </c>
      <c r="T78" s="928">
        <f t="shared" si="35"/>
        <v>1600</v>
      </c>
      <c r="U78" s="954">
        <f t="shared" si="36"/>
        <v>12048</v>
      </c>
      <c r="V78" s="955">
        <f t="shared" si="37"/>
        <v>0</v>
      </c>
      <c r="W78" s="955">
        <f t="shared" si="38"/>
        <v>0</v>
      </c>
      <c r="X78" s="956">
        <f t="shared" si="33"/>
        <v>1</v>
      </c>
      <c r="Y78" s="519">
        <f t="shared" si="41"/>
        <v>0</v>
      </c>
      <c r="Z78" s="212" t="str">
        <f t="shared" si="42"/>
        <v>ok</v>
      </c>
      <c r="AB78" s="426"/>
    </row>
    <row r="79" spans="1:28" s="12" customFormat="1" ht="27" hidden="1">
      <c r="A79" s="509">
        <f t="shared" si="43"/>
        <v>0</v>
      </c>
      <c r="B79" s="510">
        <f t="shared" si="40"/>
        <v>0</v>
      </c>
      <c r="C79" s="512">
        <f t="shared" si="44"/>
        <v>5</v>
      </c>
      <c r="D79" s="513" t="str">
        <f t="shared" si="39"/>
        <v>4. OBRAS DE DRENAJE</v>
      </c>
      <c r="E79" s="899">
        <v>55</v>
      </c>
      <c r="F79" s="908" t="s">
        <v>352</v>
      </c>
      <c r="G79" s="909" t="s">
        <v>88</v>
      </c>
      <c r="H79" s="960">
        <v>104.01</v>
      </c>
      <c r="I79" s="967">
        <v>17</v>
      </c>
      <c r="J79" s="921">
        <f t="shared" si="29"/>
        <v>1768.17</v>
      </c>
      <c r="K79" s="929">
        <v>17</v>
      </c>
      <c r="L79" s="966" t="str">
        <f t="shared" si="30"/>
        <v>-</v>
      </c>
      <c r="M79" s="921">
        <f t="shared" si="31"/>
        <v>1768.17</v>
      </c>
      <c r="N79" s="928">
        <f>+'Cant. Ejec,'!K72</f>
        <v>0</v>
      </c>
      <c r="O79" s="928">
        <f>+'Cant. Ejec,'!L72</f>
        <v>0</v>
      </c>
      <c r="P79" s="930">
        <f>+'Cant. Ejec,'!M72</f>
        <v>0</v>
      </c>
      <c r="Q79" s="931">
        <f t="shared" si="32"/>
        <v>0</v>
      </c>
      <c r="R79" s="928">
        <f t="shared" si="34"/>
        <v>0</v>
      </c>
      <c r="S79" s="954">
        <f t="shared" si="34"/>
        <v>0</v>
      </c>
      <c r="T79" s="928">
        <f t="shared" si="35"/>
        <v>17</v>
      </c>
      <c r="U79" s="954">
        <f t="shared" si="36"/>
        <v>1768.17</v>
      </c>
      <c r="V79" s="955">
        <f t="shared" si="37"/>
        <v>0</v>
      </c>
      <c r="W79" s="955">
        <f t="shared" si="38"/>
        <v>0</v>
      </c>
      <c r="X79" s="956">
        <f t="shared" si="33"/>
        <v>1</v>
      </c>
      <c r="Y79" s="519">
        <f t="shared" si="41"/>
        <v>0</v>
      </c>
      <c r="Z79" s="212" t="str">
        <f t="shared" si="42"/>
        <v>ok</v>
      </c>
      <c r="AB79" s="426"/>
    </row>
    <row r="80" spans="1:28" s="12" customFormat="1" ht="27" hidden="1">
      <c r="A80" s="509">
        <f t="shared" si="43"/>
        <v>0</v>
      </c>
      <c r="B80" s="510">
        <f t="shared" si="40"/>
        <v>0</v>
      </c>
      <c r="C80" s="512">
        <f t="shared" si="44"/>
        <v>5</v>
      </c>
      <c r="D80" s="513" t="str">
        <f t="shared" si="39"/>
        <v>4. OBRAS DE DRENAJE</v>
      </c>
      <c r="E80" s="899">
        <v>56</v>
      </c>
      <c r="F80" s="908" t="s">
        <v>353</v>
      </c>
      <c r="G80" s="909" t="s">
        <v>88</v>
      </c>
      <c r="H80" s="960">
        <v>26.74</v>
      </c>
      <c r="I80" s="967">
        <v>8250</v>
      </c>
      <c r="J80" s="921">
        <f t="shared" si="29"/>
        <v>220605</v>
      </c>
      <c r="K80" s="929">
        <v>8250</v>
      </c>
      <c r="L80" s="966" t="str">
        <f t="shared" si="30"/>
        <v>-</v>
      </c>
      <c r="M80" s="921">
        <f t="shared" si="31"/>
        <v>220605</v>
      </c>
      <c r="N80" s="928">
        <f>+'Cant. Ejec,'!K73</f>
        <v>0</v>
      </c>
      <c r="O80" s="928">
        <f>+'Cant. Ejec,'!L73</f>
        <v>0</v>
      </c>
      <c r="P80" s="930">
        <f>+'Cant. Ejec,'!M73</f>
        <v>0</v>
      </c>
      <c r="Q80" s="931">
        <f t="shared" si="32"/>
        <v>0</v>
      </c>
      <c r="R80" s="928">
        <f t="shared" si="34"/>
        <v>0</v>
      </c>
      <c r="S80" s="954">
        <f t="shared" si="34"/>
        <v>0</v>
      </c>
      <c r="T80" s="928">
        <f t="shared" si="35"/>
        <v>8250</v>
      </c>
      <c r="U80" s="954">
        <f t="shared" si="36"/>
        <v>220605</v>
      </c>
      <c r="V80" s="955">
        <f t="shared" si="37"/>
        <v>0</v>
      </c>
      <c r="W80" s="955">
        <f t="shared" si="38"/>
        <v>0</v>
      </c>
      <c r="X80" s="956">
        <f t="shared" si="33"/>
        <v>1</v>
      </c>
      <c r="Y80" s="519">
        <f t="shared" si="41"/>
        <v>0</v>
      </c>
      <c r="Z80" s="212" t="str">
        <f t="shared" si="42"/>
        <v>ok</v>
      </c>
      <c r="AB80" s="426"/>
    </row>
    <row r="81" spans="1:29" s="12" customFormat="1" ht="18.95" hidden="1" customHeight="1">
      <c r="A81" s="509">
        <f t="shared" si="43"/>
        <v>0</v>
      </c>
      <c r="B81" s="510">
        <f t="shared" si="40"/>
        <v>0</v>
      </c>
      <c r="C81" s="512">
        <f t="shared" si="44"/>
        <v>5</v>
      </c>
      <c r="D81" s="513" t="str">
        <f t="shared" si="39"/>
        <v>4. OBRAS DE DRENAJE</v>
      </c>
      <c r="E81" s="911">
        <v>57</v>
      </c>
      <c r="F81" s="912" t="s">
        <v>354</v>
      </c>
      <c r="G81" s="913" t="s">
        <v>422</v>
      </c>
      <c r="H81" s="968">
        <v>2.72</v>
      </c>
      <c r="I81" s="987">
        <v>27500</v>
      </c>
      <c r="J81" s="970">
        <f t="shared" si="29"/>
        <v>74800</v>
      </c>
      <c r="K81" s="969">
        <v>27500</v>
      </c>
      <c r="L81" s="1244" t="str">
        <f t="shared" si="30"/>
        <v>-</v>
      </c>
      <c r="M81" s="970">
        <f t="shared" si="31"/>
        <v>74800</v>
      </c>
      <c r="N81" s="1245">
        <f>+'Cant. Ejec,'!K74</f>
        <v>0</v>
      </c>
      <c r="O81" s="1245">
        <f>+'Cant. Ejec,'!L74</f>
        <v>0</v>
      </c>
      <c r="P81" s="1246">
        <f>+'Cant. Ejec,'!M74</f>
        <v>0</v>
      </c>
      <c r="Q81" s="990">
        <f t="shared" si="32"/>
        <v>0</v>
      </c>
      <c r="R81" s="1245">
        <f t="shared" si="34"/>
        <v>0</v>
      </c>
      <c r="S81" s="1247">
        <f t="shared" si="34"/>
        <v>0</v>
      </c>
      <c r="T81" s="1245">
        <f t="shared" si="35"/>
        <v>27500</v>
      </c>
      <c r="U81" s="1247">
        <f t="shared" si="36"/>
        <v>74800</v>
      </c>
      <c r="V81" s="1248">
        <f t="shared" si="37"/>
        <v>0</v>
      </c>
      <c r="W81" s="1248">
        <f t="shared" si="38"/>
        <v>0</v>
      </c>
      <c r="X81" s="1249">
        <f t="shared" si="33"/>
        <v>1</v>
      </c>
      <c r="Y81" s="519">
        <f t="shared" si="41"/>
        <v>0</v>
      </c>
      <c r="Z81" s="212" t="str">
        <f t="shared" si="42"/>
        <v>ok</v>
      </c>
      <c r="AB81" s="426"/>
    </row>
    <row r="82" spans="1:29" s="12" customFormat="1" ht="18.95" hidden="1" customHeight="1">
      <c r="A82" s="509">
        <f>+IF(B82&gt;0,B82+C81,IF(C82&gt;C81,C82,0))</f>
        <v>0</v>
      </c>
      <c r="B82" s="510">
        <f t="shared" si="40"/>
        <v>0</v>
      </c>
      <c r="C82" s="512">
        <f t="shared" si="44"/>
        <v>5</v>
      </c>
      <c r="D82" s="513" t="str">
        <f t="shared" si="39"/>
        <v>4. OBRAS DE DRENAJE</v>
      </c>
      <c r="E82" s="999" t="s">
        <v>454</v>
      </c>
      <c r="F82" s="1000" t="s">
        <v>455</v>
      </c>
      <c r="G82" s="910" t="s">
        <v>88</v>
      </c>
      <c r="H82" s="1001">
        <v>19.98</v>
      </c>
      <c r="I82" s="1003">
        <v>0</v>
      </c>
      <c r="J82" s="1003">
        <f t="shared" si="29"/>
        <v>0</v>
      </c>
      <c r="K82" s="935">
        <v>13370</v>
      </c>
      <c r="L82" s="981" t="str">
        <f t="shared" si="30"/>
        <v>CM 3</v>
      </c>
      <c r="M82" s="936">
        <f t="shared" si="31"/>
        <v>267132.59999999998</v>
      </c>
      <c r="N82" s="1001">
        <f>+'Cant. Ejec,'!K75</f>
        <v>650</v>
      </c>
      <c r="O82" s="1001">
        <f>+'Cant. Ejec,'!L75</f>
        <v>12987</v>
      </c>
      <c r="P82" s="1004">
        <v>0</v>
      </c>
      <c r="Q82" s="962">
        <f t="shared" si="32"/>
        <v>0</v>
      </c>
      <c r="R82" s="1003">
        <f t="shared" si="34"/>
        <v>650</v>
      </c>
      <c r="S82" s="1005">
        <f t="shared" si="34"/>
        <v>12987</v>
      </c>
      <c r="T82" s="1003">
        <f t="shared" si="35"/>
        <v>12720</v>
      </c>
      <c r="U82" s="1005">
        <f t="shared" si="36"/>
        <v>254145.59999999998</v>
      </c>
      <c r="V82" s="1006">
        <f t="shared" si="37"/>
        <v>0</v>
      </c>
      <c r="W82" s="1006">
        <f t="shared" si="38"/>
        <v>4.8616305160807782E-2</v>
      </c>
      <c r="X82" s="1007">
        <f t="shared" si="33"/>
        <v>0.95138369483919227</v>
      </c>
      <c r="Y82" s="519">
        <f t="shared" si="41"/>
        <v>4.8616305160807775E-2</v>
      </c>
      <c r="Z82" s="212" t="str">
        <f t="shared" si="42"/>
        <v>ok</v>
      </c>
      <c r="AA82" s="1"/>
      <c r="AB82" s="395"/>
      <c r="AC82" s="1"/>
    </row>
    <row r="83" spans="1:29" s="12" customFormat="1" ht="18" hidden="1" customHeight="1">
      <c r="A83" s="509">
        <f>+IF(B83&gt;0,B83+C82,IF(C83&gt;C82,C83,0))</f>
        <v>0</v>
      </c>
      <c r="B83" s="510">
        <f t="shared" si="40"/>
        <v>0</v>
      </c>
      <c r="C83" s="512">
        <f>+B83+C82</f>
        <v>5</v>
      </c>
      <c r="D83" s="513"/>
      <c r="E83" s="903"/>
      <c r="F83" s="904" t="s">
        <v>237</v>
      </c>
      <c r="G83" s="905"/>
      <c r="H83" s="942"/>
      <c r="I83" s="940"/>
      <c r="J83" s="941">
        <f>SUM(J42:J82)</f>
        <v>16778276.030000001</v>
      </c>
      <c r="K83" s="942"/>
      <c r="L83" s="942"/>
      <c r="M83" s="941">
        <f>SUM(M42:M82)</f>
        <v>17234447.400000002</v>
      </c>
      <c r="N83" s="943"/>
      <c r="O83" s="941">
        <f>SUM(O42:O82)</f>
        <v>12987</v>
      </c>
      <c r="P83" s="944"/>
      <c r="Q83" s="941">
        <f>SUM(Q42:Q82)</f>
        <v>0</v>
      </c>
      <c r="R83" s="943"/>
      <c r="S83" s="941">
        <f>SUM(S42:S82)</f>
        <v>12987</v>
      </c>
      <c r="T83" s="944"/>
      <c r="U83" s="941">
        <f>SUM(U42:U82)</f>
        <v>17221460.400000002</v>
      </c>
      <c r="V83" s="945">
        <f>(Q83/M83)</f>
        <v>0</v>
      </c>
      <c r="W83" s="946">
        <f>(S83/M83)</f>
        <v>7.5354896496420288E-4</v>
      </c>
      <c r="X83" s="947">
        <f>(U83/M83)</f>
        <v>0.99924645103503584</v>
      </c>
      <c r="Y83" s="519" t="e">
        <f t="shared" si="41"/>
        <v>#DIV/0!</v>
      </c>
      <c r="Z83" s="212" t="str">
        <f t="shared" si="42"/>
        <v>ok</v>
      </c>
      <c r="AB83" s="426"/>
    </row>
    <row r="84" spans="1:29" s="12" customFormat="1" ht="18" hidden="1" customHeight="1">
      <c r="A84" s="509">
        <f t="shared" si="43"/>
        <v>0</v>
      </c>
      <c r="B84" s="510">
        <f t="shared" si="40"/>
        <v>0</v>
      </c>
      <c r="C84" s="512">
        <f t="shared" si="44"/>
        <v>5</v>
      </c>
      <c r="D84" s="513"/>
      <c r="E84" s="915">
        <v>5</v>
      </c>
      <c r="F84" s="916" t="s">
        <v>355</v>
      </c>
      <c r="G84" s="917"/>
      <c r="H84" s="983"/>
      <c r="I84" s="983"/>
      <c r="J84" s="983"/>
      <c r="K84" s="983"/>
      <c r="L84" s="984"/>
      <c r="M84" s="983"/>
      <c r="N84" s="950"/>
      <c r="O84" s="950">
        <f t="shared" ref="O84" si="45">+ROUND(N84*H84,2)</f>
        <v>0</v>
      </c>
      <c r="P84" s="950"/>
      <c r="Q84" s="950"/>
      <c r="R84" s="950"/>
      <c r="S84" s="950"/>
      <c r="T84" s="950"/>
      <c r="U84" s="950"/>
      <c r="V84" s="950"/>
      <c r="W84" s="950"/>
      <c r="X84" s="985"/>
      <c r="Y84" s="519" t="e">
        <f t="shared" si="41"/>
        <v>#DIV/0!</v>
      </c>
      <c r="Z84" s="212" t="str">
        <f t="shared" si="42"/>
        <v>ok</v>
      </c>
      <c r="AB84" s="426"/>
    </row>
    <row r="85" spans="1:29" ht="20.100000000000001" hidden="1" customHeight="1">
      <c r="A85" s="509">
        <f t="shared" si="43"/>
        <v>0</v>
      </c>
      <c r="B85" s="510">
        <f t="shared" si="40"/>
        <v>0</v>
      </c>
      <c r="C85" s="512">
        <f t="shared" si="44"/>
        <v>5</v>
      </c>
      <c r="D85" s="513" t="str">
        <f>+E84&amp;". "&amp;F84</f>
        <v>5. SEÑALIZACION Y SEGURIDAD VIAL</v>
      </c>
      <c r="E85" s="899">
        <v>58</v>
      </c>
      <c r="F85" s="908" t="s">
        <v>356</v>
      </c>
      <c r="G85" s="900" t="s">
        <v>88</v>
      </c>
      <c r="H85" s="963">
        <v>659.99</v>
      </c>
      <c r="I85" s="971">
        <v>14232</v>
      </c>
      <c r="J85" s="921">
        <f t="shared" si="29"/>
        <v>9392977.6799999997</v>
      </c>
      <c r="K85" s="919">
        <v>14232</v>
      </c>
      <c r="L85" s="986" t="str">
        <f t="shared" ref="L85:L100" si="46">IF(I85=K85,"-","CM 3")</f>
        <v>-</v>
      </c>
      <c r="M85" s="953">
        <f t="shared" ref="M85:M100" si="47">ROUND(K85*H85,2)</f>
        <v>9392977.6799999997</v>
      </c>
      <c r="N85" s="963">
        <f>+'Cant. Ejec,'!K77</f>
        <v>0</v>
      </c>
      <c r="O85" s="963">
        <f>+'Cant. Ejec,'!L77</f>
        <v>0</v>
      </c>
      <c r="P85" s="930">
        <f>+'Cant. Ejec,'!M77</f>
        <v>0</v>
      </c>
      <c r="Q85" s="923">
        <f t="shared" ref="Q85:Q100" si="48">+ROUND(H85*P85,2)</f>
        <v>0</v>
      </c>
      <c r="R85" s="918">
        <f>N85+P85</f>
        <v>0</v>
      </c>
      <c r="S85" s="924">
        <f>O85+Q85</f>
        <v>0</v>
      </c>
      <c r="T85" s="918">
        <f>K85-R85</f>
        <v>14232</v>
      </c>
      <c r="U85" s="932">
        <f>+M85-S85</f>
        <v>9392977.6799999997</v>
      </c>
      <c r="V85" s="933">
        <f>(Q85/M85)</f>
        <v>0</v>
      </c>
      <c r="W85" s="933">
        <f>(S85/M85)</f>
        <v>0</v>
      </c>
      <c r="X85" s="934">
        <f t="shared" ref="X85:X100" si="49">(100%-W85)</f>
        <v>1</v>
      </c>
      <c r="Y85" s="519">
        <f t="shared" si="41"/>
        <v>0</v>
      </c>
      <c r="Z85" s="212" t="str">
        <f t="shared" si="42"/>
        <v>ok</v>
      </c>
      <c r="AB85" s="395">
        <f>+AA85-T85</f>
        <v>-14232</v>
      </c>
    </row>
    <row r="86" spans="1:29" ht="20.100000000000001" hidden="1" customHeight="1">
      <c r="A86" s="509">
        <f t="shared" si="43"/>
        <v>0</v>
      </c>
      <c r="B86" s="510">
        <f t="shared" si="40"/>
        <v>0</v>
      </c>
      <c r="C86" s="512">
        <f t="shared" si="44"/>
        <v>5</v>
      </c>
      <c r="D86" s="513" t="str">
        <f>+D85</f>
        <v>5. SEÑALIZACION Y SEGURIDAD VIAL</v>
      </c>
      <c r="E86" s="911">
        <v>59</v>
      </c>
      <c r="F86" s="912" t="s">
        <v>238</v>
      </c>
      <c r="G86" s="913" t="s">
        <v>88</v>
      </c>
      <c r="H86" s="960">
        <v>8.27</v>
      </c>
      <c r="I86" s="987">
        <v>31500</v>
      </c>
      <c r="J86" s="921">
        <f t="shared" si="29"/>
        <v>260505</v>
      </c>
      <c r="K86" s="929">
        <v>31500</v>
      </c>
      <c r="L86" s="920" t="str">
        <f t="shared" si="46"/>
        <v>-</v>
      </c>
      <c r="M86" s="921">
        <f t="shared" si="47"/>
        <v>260505</v>
      </c>
      <c r="N86" s="968">
        <f>+'Cant. Ejec,'!K78</f>
        <v>0</v>
      </c>
      <c r="O86" s="968">
        <f>+'Cant. Ejec,'!L78</f>
        <v>0</v>
      </c>
      <c r="P86" s="930">
        <f>+'Cant. Ejec,'!M78</f>
        <v>0</v>
      </c>
      <c r="Q86" s="961">
        <f t="shared" si="48"/>
        <v>0</v>
      </c>
      <c r="R86" s="918">
        <f t="shared" ref="R86:S100" si="50">N86+P86</f>
        <v>0</v>
      </c>
      <c r="S86" s="932">
        <f t="shared" si="50"/>
        <v>0</v>
      </c>
      <c r="T86" s="918">
        <f t="shared" ref="T86:T100" si="51">K86-R86</f>
        <v>31500</v>
      </c>
      <c r="U86" s="932">
        <f t="shared" ref="U86:U100" si="52">+M86-S86</f>
        <v>260505</v>
      </c>
      <c r="V86" s="933">
        <f t="shared" ref="V86:V100" si="53">(Q86/M86)</f>
        <v>0</v>
      </c>
      <c r="W86" s="933">
        <f t="shared" ref="W86:W100" si="54">(S86/M86)</f>
        <v>0</v>
      </c>
      <c r="X86" s="934">
        <f t="shared" si="49"/>
        <v>1</v>
      </c>
      <c r="Y86" s="519">
        <f t="shared" si="41"/>
        <v>0</v>
      </c>
      <c r="Z86" s="212" t="str">
        <f t="shared" si="42"/>
        <v>ok</v>
      </c>
      <c r="AA86" s="1">
        <v>350.7</v>
      </c>
      <c r="AB86" s="395">
        <f t="shared" si="28"/>
        <v>-31149.3</v>
      </c>
    </row>
    <row r="87" spans="1:29" ht="20.100000000000001" hidden="1" customHeight="1">
      <c r="A87" s="509">
        <f t="shared" si="43"/>
        <v>0</v>
      </c>
      <c r="B87" s="510">
        <f t="shared" si="40"/>
        <v>0</v>
      </c>
      <c r="C87" s="512">
        <f t="shared" si="44"/>
        <v>5</v>
      </c>
      <c r="D87" s="513" t="str">
        <f t="shared" ref="D87:D100" si="55">+D86</f>
        <v>5. SEÑALIZACION Y SEGURIDAD VIAL</v>
      </c>
      <c r="E87" s="899">
        <v>60</v>
      </c>
      <c r="F87" s="908" t="s">
        <v>357</v>
      </c>
      <c r="G87" s="909" t="s">
        <v>88</v>
      </c>
      <c r="H87" s="960">
        <v>10.4</v>
      </c>
      <c r="I87" s="967">
        <v>90000</v>
      </c>
      <c r="J87" s="921">
        <f t="shared" si="29"/>
        <v>936000</v>
      </c>
      <c r="K87" s="929">
        <v>90000</v>
      </c>
      <c r="L87" s="920" t="str">
        <f t="shared" si="46"/>
        <v>-</v>
      </c>
      <c r="M87" s="921">
        <f t="shared" si="47"/>
        <v>936000</v>
      </c>
      <c r="N87" s="960">
        <f>+'Cant. Ejec,'!K79</f>
        <v>0</v>
      </c>
      <c r="O87" s="960">
        <f>+'Cant. Ejec,'!L79</f>
        <v>0</v>
      </c>
      <c r="P87" s="930">
        <f>+'Cant. Ejec,'!M79</f>
        <v>0</v>
      </c>
      <c r="Q87" s="961">
        <f t="shared" si="48"/>
        <v>0</v>
      </c>
      <c r="R87" s="918">
        <f t="shared" si="50"/>
        <v>0</v>
      </c>
      <c r="S87" s="932">
        <f t="shared" si="50"/>
        <v>0</v>
      </c>
      <c r="T87" s="918">
        <f t="shared" si="51"/>
        <v>90000</v>
      </c>
      <c r="U87" s="932">
        <f t="shared" si="52"/>
        <v>936000</v>
      </c>
      <c r="V87" s="933">
        <f t="shared" si="53"/>
        <v>0</v>
      </c>
      <c r="W87" s="933">
        <f t="shared" si="54"/>
        <v>0</v>
      </c>
      <c r="X87" s="934">
        <f t="shared" si="49"/>
        <v>1</v>
      </c>
      <c r="Y87" s="519">
        <f t="shared" si="41"/>
        <v>0</v>
      </c>
      <c r="Z87" s="212" t="str">
        <f t="shared" si="42"/>
        <v>ok</v>
      </c>
      <c r="AA87" s="1">
        <v>68445.63</v>
      </c>
      <c r="AB87" s="395">
        <f t="shared" si="28"/>
        <v>-21554.369999999995</v>
      </c>
    </row>
    <row r="88" spans="1:29" ht="20.100000000000001" hidden="1" customHeight="1">
      <c r="A88" s="509">
        <f t="shared" si="43"/>
        <v>0</v>
      </c>
      <c r="B88" s="510">
        <f t="shared" si="40"/>
        <v>0</v>
      </c>
      <c r="C88" s="512">
        <f t="shared" si="44"/>
        <v>5</v>
      </c>
      <c r="D88" s="513" t="str">
        <f t="shared" si="55"/>
        <v>5. SEÑALIZACION Y SEGURIDAD VIAL</v>
      </c>
      <c r="E88" s="899">
        <v>61</v>
      </c>
      <c r="F88" s="908" t="s">
        <v>358</v>
      </c>
      <c r="G88" s="909" t="s">
        <v>86</v>
      </c>
      <c r="H88" s="960">
        <v>72.150000000000006</v>
      </c>
      <c r="I88" s="967">
        <v>250</v>
      </c>
      <c r="J88" s="921">
        <f t="shared" si="29"/>
        <v>18037.5</v>
      </c>
      <c r="K88" s="929">
        <v>250</v>
      </c>
      <c r="L88" s="920" t="str">
        <f t="shared" si="46"/>
        <v>-</v>
      </c>
      <c r="M88" s="921">
        <f t="shared" si="47"/>
        <v>18037.5</v>
      </c>
      <c r="N88" s="960">
        <f>+'Cant. Ejec,'!K80</f>
        <v>0</v>
      </c>
      <c r="O88" s="960">
        <f>+'Cant. Ejec,'!L80</f>
        <v>0</v>
      </c>
      <c r="P88" s="930">
        <f>+'Cant. Ejec,'!M80</f>
        <v>0</v>
      </c>
      <c r="Q88" s="961">
        <f t="shared" si="48"/>
        <v>0</v>
      </c>
      <c r="R88" s="918">
        <f t="shared" si="50"/>
        <v>0</v>
      </c>
      <c r="S88" s="932">
        <f t="shared" si="50"/>
        <v>0</v>
      </c>
      <c r="T88" s="918">
        <f t="shared" si="51"/>
        <v>250</v>
      </c>
      <c r="U88" s="932">
        <f t="shared" si="52"/>
        <v>18037.5</v>
      </c>
      <c r="V88" s="933">
        <f t="shared" si="53"/>
        <v>0</v>
      </c>
      <c r="W88" s="933">
        <f t="shared" si="54"/>
        <v>0</v>
      </c>
      <c r="X88" s="934">
        <f t="shared" si="49"/>
        <v>1</v>
      </c>
      <c r="Y88" s="519">
        <f t="shared" si="41"/>
        <v>0</v>
      </c>
      <c r="Z88" s="212" t="str">
        <f t="shared" si="42"/>
        <v>ok</v>
      </c>
      <c r="AA88" s="1">
        <v>123</v>
      </c>
      <c r="AB88" s="395">
        <f t="shared" si="28"/>
        <v>-127</v>
      </c>
    </row>
    <row r="89" spans="1:29" ht="20.100000000000001" hidden="1" customHeight="1">
      <c r="A89" s="509">
        <f t="shared" si="43"/>
        <v>0</v>
      </c>
      <c r="B89" s="510">
        <f t="shared" si="40"/>
        <v>0</v>
      </c>
      <c r="C89" s="512">
        <f t="shared" si="44"/>
        <v>5</v>
      </c>
      <c r="D89" s="513" t="str">
        <f t="shared" si="55"/>
        <v>5. SEÑALIZACION Y SEGURIDAD VIAL</v>
      </c>
      <c r="E89" s="899">
        <v>62</v>
      </c>
      <c r="F89" s="908" t="s">
        <v>359</v>
      </c>
      <c r="G89" s="909" t="s">
        <v>360</v>
      </c>
      <c r="H89" s="960">
        <v>1283.31</v>
      </c>
      <c r="I89" s="967">
        <v>180</v>
      </c>
      <c r="J89" s="921">
        <f t="shared" si="29"/>
        <v>230995.8</v>
      </c>
      <c r="K89" s="929">
        <v>180</v>
      </c>
      <c r="L89" s="920" t="str">
        <f t="shared" si="46"/>
        <v>-</v>
      </c>
      <c r="M89" s="921">
        <f t="shared" si="47"/>
        <v>230995.8</v>
      </c>
      <c r="N89" s="960">
        <f>+'Cant. Ejec,'!K81</f>
        <v>0</v>
      </c>
      <c r="O89" s="960">
        <f>+'Cant. Ejec,'!L81</f>
        <v>0</v>
      </c>
      <c r="P89" s="930">
        <f>+'Cant. Ejec,'!M81</f>
        <v>0</v>
      </c>
      <c r="Q89" s="961">
        <f t="shared" si="48"/>
        <v>0</v>
      </c>
      <c r="R89" s="918">
        <f t="shared" si="50"/>
        <v>0</v>
      </c>
      <c r="S89" s="932">
        <f t="shared" si="50"/>
        <v>0</v>
      </c>
      <c r="T89" s="918">
        <f t="shared" si="51"/>
        <v>180</v>
      </c>
      <c r="U89" s="932">
        <f t="shared" si="52"/>
        <v>230995.8</v>
      </c>
      <c r="V89" s="933">
        <f t="shared" si="53"/>
        <v>0</v>
      </c>
      <c r="W89" s="933">
        <f t="shared" si="54"/>
        <v>0</v>
      </c>
      <c r="X89" s="934">
        <f t="shared" si="49"/>
        <v>1</v>
      </c>
      <c r="Y89" s="519">
        <f t="shared" si="41"/>
        <v>0</v>
      </c>
      <c r="Z89" s="212" t="str">
        <f t="shared" si="42"/>
        <v>ok</v>
      </c>
      <c r="AB89" s="395"/>
    </row>
    <row r="90" spans="1:29" ht="20.100000000000001" hidden="1" customHeight="1">
      <c r="A90" s="509">
        <f t="shared" si="43"/>
        <v>0</v>
      </c>
      <c r="B90" s="510">
        <f t="shared" si="40"/>
        <v>0</v>
      </c>
      <c r="C90" s="512">
        <f t="shared" si="44"/>
        <v>5</v>
      </c>
      <c r="D90" s="513" t="str">
        <f t="shared" si="55"/>
        <v>5. SEÑALIZACION Y SEGURIDAD VIAL</v>
      </c>
      <c r="E90" s="899">
        <v>63</v>
      </c>
      <c r="F90" s="908" t="s">
        <v>361</v>
      </c>
      <c r="G90" s="909" t="s">
        <v>360</v>
      </c>
      <c r="H90" s="960">
        <v>1283.31</v>
      </c>
      <c r="I90" s="967">
        <v>30</v>
      </c>
      <c r="J90" s="921">
        <f t="shared" si="29"/>
        <v>38499.300000000003</v>
      </c>
      <c r="K90" s="929">
        <v>30</v>
      </c>
      <c r="L90" s="920" t="str">
        <f t="shared" si="46"/>
        <v>-</v>
      </c>
      <c r="M90" s="921">
        <f t="shared" si="47"/>
        <v>38499.300000000003</v>
      </c>
      <c r="N90" s="960">
        <f>+'Cant. Ejec,'!K82</f>
        <v>0</v>
      </c>
      <c r="O90" s="960">
        <f>+'Cant. Ejec,'!L82</f>
        <v>0</v>
      </c>
      <c r="P90" s="930">
        <f>+'Cant. Ejec,'!M82</f>
        <v>0</v>
      </c>
      <c r="Q90" s="961">
        <f t="shared" si="48"/>
        <v>0</v>
      </c>
      <c r="R90" s="918">
        <f t="shared" si="50"/>
        <v>0</v>
      </c>
      <c r="S90" s="932">
        <f t="shared" si="50"/>
        <v>0</v>
      </c>
      <c r="T90" s="918">
        <f t="shared" si="51"/>
        <v>30</v>
      </c>
      <c r="U90" s="932">
        <f t="shared" si="52"/>
        <v>38499.300000000003</v>
      </c>
      <c r="V90" s="933">
        <f t="shared" si="53"/>
        <v>0</v>
      </c>
      <c r="W90" s="933">
        <f t="shared" si="54"/>
        <v>0</v>
      </c>
      <c r="X90" s="934">
        <f t="shared" si="49"/>
        <v>1</v>
      </c>
      <c r="Y90" s="519">
        <f t="shared" si="41"/>
        <v>0</v>
      </c>
      <c r="Z90" s="212" t="str">
        <f t="shared" si="42"/>
        <v>ok</v>
      </c>
      <c r="AB90" s="395"/>
    </row>
    <row r="91" spans="1:29" ht="20.100000000000001" hidden="1" customHeight="1">
      <c r="A91" s="509">
        <f t="shared" si="43"/>
        <v>0</v>
      </c>
      <c r="B91" s="510">
        <f t="shared" si="40"/>
        <v>0</v>
      </c>
      <c r="C91" s="512">
        <f t="shared" si="44"/>
        <v>5</v>
      </c>
      <c r="D91" s="513" t="str">
        <f t="shared" si="55"/>
        <v>5. SEÑALIZACION Y SEGURIDAD VIAL</v>
      </c>
      <c r="E91" s="899">
        <v>64</v>
      </c>
      <c r="F91" s="908" t="s">
        <v>362</v>
      </c>
      <c r="G91" s="909" t="s">
        <v>360</v>
      </c>
      <c r="H91" s="960">
        <v>1839.02</v>
      </c>
      <c r="I91" s="967">
        <v>30</v>
      </c>
      <c r="J91" s="921">
        <f t="shared" si="29"/>
        <v>55170.6</v>
      </c>
      <c r="K91" s="929">
        <v>30</v>
      </c>
      <c r="L91" s="920" t="str">
        <f t="shared" si="46"/>
        <v>-</v>
      </c>
      <c r="M91" s="921">
        <f t="shared" si="47"/>
        <v>55170.6</v>
      </c>
      <c r="N91" s="960">
        <f>+'Cant. Ejec,'!K83</f>
        <v>0</v>
      </c>
      <c r="O91" s="960">
        <f>+'Cant. Ejec,'!L83</f>
        <v>0</v>
      </c>
      <c r="P91" s="930">
        <f>+'Cant. Ejec,'!M83</f>
        <v>0</v>
      </c>
      <c r="Q91" s="961">
        <f t="shared" si="48"/>
        <v>0</v>
      </c>
      <c r="R91" s="918">
        <f t="shared" si="50"/>
        <v>0</v>
      </c>
      <c r="S91" s="932">
        <f t="shared" si="50"/>
        <v>0</v>
      </c>
      <c r="T91" s="918">
        <f t="shared" si="51"/>
        <v>30</v>
      </c>
      <c r="U91" s="932">
        <f t="shared" si="52"/>
        <v>55170.6</v>
      </c>
      <c r="V91" s="933">
        <f t="shared" si="53"/>
        <v>0</v>
      </c>
      <c r="W91" s="933">
        <f t="shared" si="54"/>
        <v>0</v>
      </c>
      <c r="X91" s="934">
        <f t="shared" si="49"/>
        <v>1</v>
      </c>
      <c r="Y91" s="519">
        <f t="shared" si="41"/>
        <v>0</v>
      </c>
      <c r="Z91" s="212" t="str">
        <f t="shared" si="42"/>
        <v>ok</v>
      </c>
      <c r="AA91" s="1">
        <v>98</v>
      </c>
      <c r="AB91" s="395">
        <f t="shared" si="28"/>
        <v>68</v>
      </c>
    </row>
    <row r="92" spans="1:29" ht="20.100000000000001" hidden="1" customHeight="1">
      <c r="A92" s="509">
        <f t="shared" si="43"/>
        <v>0</v>
      </c>
      <c r="B92" s="510">
        <f t="shared" si="40"/>
        <v>0</v>
      </c>
      <c r="C92" s="512">
        <f t="shared" si="44"/>
        <v>5</v>
      </c>
      <c r="D92" s="513" t="str">
        <f t="shared" si="55"/>
        <v>5. SEÑALIZACION Y SEGURIDAD VIAL</v>
      </c>
      <c r="E92" s="899">
        <v>65</v>
      </c>
      <c r="F92" s="908" t="s">
        <v>363</v>
      </c>
      <c r="G92" s="909" t="s">
        <v>360</v>
      </c>
      <c r="H92" s="960">
        <v>1542.64</v>
      </c>
      <c r="I92" s="967">
        <v>65</v>
      </c>
      <c r="J92" s="921">
        <f t="shared" si="29"/>
        <v>100271.6</v>
      </c>
      <c r="K92" s="929">
        <v>65</v>
      </c>
      <c r="L92" s="920" t="str">
        <f t="shared" si="46"/>
        <v>-</v>
      </c>
      <c r="M92" s="921">
        <f t="shared" si="47"/>
        <v>100271.6</v>
      </c>
      <c r="N92" s="960">
        <f>+'Cant. Ejec,'!K84</f>
        <v>0</v>
      </c>
      <c r="O92" s="960">
        <f>+'Cant. Ejec,'!L84</f>
        <v>0</v>
      </c>
      <c r="P92" s="930">
        <f>+'Cant. Ejec,'!M84</f>
        <v>0</v>
      </c>
      <c r="Q92" s="961">
        <f t="shared" si="48"/>
        <v>0</v>
      </c>
      <c r="R92" s="918">
        <f t="shared" si="50"/>
        <v>0</v>
      </c>
      <c r="S92" s="932">
        <f t="shared" si="50"/>
        <v>0</v>
      </c>
      <c r="T92" s="918">
        <f t="shared" si="51"/>
        <v>65</v>
      </c>
      <c r="U92" s="932">
        <f t="shared" si="52"/>
        <v>100271.6</v>
      </c>
      <c r="V92" s="933">
        <f t="shared" si="53"/>
        <v>0</v>
      </c>
      <c r="W92" s="933">
        <f t="shared" si="54"/>
        <v>0</v>
      </c>
      <c r="X92" s="934">
        <f t="shared" si="49"/>
        <v>1</v>
      </c>
      <c r="Y92" s="519">
        <f t="shared" si="41"/>
        <v>0</v>
      </c>
      <c r="Z92" s="212" t="str">
        <f t="shared" si="42"/>
        <v>ok</v>
      </c>
      <c r="AA92" s="1">
        <v>30</v>
      </c>
      <c r="AB92" s="395">
        <f t="shared" si="28"/>
        <v>-35</v>
      </c>
    </row>
    <row r="93" spans="1:29" ht="20.100000000000001" hidden="1" customHeight="1">
      <c r="A93" s="509">
        <f t="shared" si="43"/>
        <v>0</v>
      </c>
      <c r="B93" s="510">
        <f t="shared" si="40"/>
        <v>0</v>
      </c>
      <c r="C93" s="512">
        <f t="shared" si="44"/>
        <v>5</v>
      </c>
      <c r="D93" s="513" t="str">
        <f t="shared" si="55"/>
        <v>5. SEÑALIZACION Y SEGURIDAD VIAL</v>
      </c>
      <c r="E93" s="899">
        <v>66</v>
      </c>
      <c r="F93" s="908" t="s">
        <v>364</v>
      </c>
      <c r="G93" s="909" t="s">
        <v>360</v>
      </c>
      <c r="H93" s="960">
        <v>4225.3900000000003</v>
      </c>
      <c r="I93" s="967">
        <v>2</v>
      </c>
      <c r="J93" s="921">
        <f t="shared" si="29"/>
        <v>8450.7800000000007</v>
      </c>
      <c r="K93" s="929">
        <v>2</v>
      </c>
      <c r="L93" s="920" t="str">
        <f t="shared" si="46"/>
        <v>-</v>
      </c>
      <c r="M93" s="921">
        <f t="shared" si="47"/>
        <v>8450.7800000000007</v>
      </c>
      <c r="N93" s="960">
        <f>+'Cant. Ejec,'!K85</f>
        <v>0</v>
      </c>
      <c r="O93" s="960">
        <f>+'Cant. Ejec,'!L85</f>
        <v>0</v>
      </c>
      <c r="P93" s="930">
        <f>+'Cant. Ejec,'!M85</f>
        <v>0</v>
      </c>
      <c r="Q93" s="961">
        <f t="shared" si="48"/>
        <v>0</v>
      </c>
      <c r="R93" s="918">
        <f t="shared" si="50"/>
        <v>0</v>
      </c>
      <c r="S93" s="932">
        <f t="shared" si="50"/>
        <v>0</v>
      </c>
      <c r="T93" s="918">
        <f t="shared" si="51"/>
        <v>2</v>
      </c>
      <c r="U93" s="932">
        <f t="shared" si="52"/>
        <v>8450.7800000000007</v>
      </c>
      <c r="V93" s="933">
        <f t="shared" si="53"/>
        <v>0</v>
      </c>
      <c r="W93" s="933">
        <f t="shared" si="54"/>
        <v>0</v>
      </c>
      <c r="X93" s="934">
        <f t="shared" si="49"/>
        <v>1</v>
      </c>
      <c r="Y93" s="519">
        <f t="shared" si="41"/>
        <v>0</v>
      </c>
      <c r="Z93" s="212" t="str">
        <f t="shared" si="42"/>
        <v>ok</v>
      </c>
      <c r="AB93" s="395">
        <f t="shared" si="28"/>
        <v>-2</v>
      </c>
    </row>
    <row r="94" spans="1:29" ht="20.100000000000001" hidden="1" customHeight="1">
      <c r="A94" s="509">
        <f t="shared" si="43"/>
        <v>0</v>
      </c>
      <c r="B94" s="510">
        <f t="shared" si="40"/>
        <v>0</v>
      </c>
      <c r="C94" s="512">
        <f t="shared" si="44"/>
        <v>5</v>
      </c>
      <c r="D94" s="513" t="str">
        <f t="shared" si="55"/>
        <v>5. SEÑALIZACION Y SEGURIDAD VIAL</v>
      </c>
      <c r="E94" s="899">
        <v>67</v>
      </c>
      <c r="F94" s="908" t="s">
        <v>365</v>
      </c>
      <c r="G94" s="909" t="s">
        <v>360</v>
      </c>
      <c r="H94" s="960">
        <v>3521.48</v>
      </c>
      <c r="I94" s="967">
        <v>6</v>
      </c>
      <c r="J94" s="921">
        <f t="shared" si="29"/>
        <v>21128.880000000001</v>
      </c>
      <c r="K94" s="929">
        <v>6</v>
      </c>
      <c r="L94" s="920" t="str">
        <f t="shared" si="46"/>
        <v>-</v>
      </c>
      <c r="M94" s="921">
        <f t="shared" si="47"/>
        <v>21128.880000000001</v>
      </c>
      <c r="N94" s="960">
        <f>+'Cant. Ejec,'!K86</f>
        <v>0</v>
      </c>
      <c r="O94" s="960">
        <f>+'Cant. Ejec,'!L86</f>
        <v>0</v>
      </c>
      <c r="P94" s="930">
        <f>+'Cant. Ejec,'!M86</f>
        <v>0</v>
      </c>
      <c r="Q94" s="961">
        <f t="shared" si="48"/>
        <v>0</v>
      </c>
      <c r="R94" s="918">
        <f t="shared" si="50"/>
        <v>0</v>
      </c>
      <c r="S94" s="932">
        <f t="shared" si="50"/>
        <v>0</v>
      </c>
      <c r="T94" s="918">
        <f t="shared" si="51"/>
        <v>6</v>
      </c>
      <c r="U94" s="932">
        <f t="shared" si="52"/>
        <v>21128.880000000001</v>
      </c>
      <c r="V94" s="933">
        <f t="shared" si="53"/>
        <v>0</v>
      </c>
      <c r="W94" s="933">
        <f t="shared" si="54"/>
        <v>0</v>
      </c>
      <c r="X94" s="934">
        <f t="shared" si="49"/>
        <v>1</v>
      </c>
      <c r="Y94" s="519">
        <f t="shared" si="41"/>
        <v>0</v>
      </c>
      <c r="Z94" s="212" t="str">
        <f t="shared" si="42"/>
        <v>ok</v>
      </c>
      <c r="AB94" s="395">
        <f t="shared" si="28"/>
        <v>-6</v>
      </c>
    </row>
    <row r="95" spans="1:29" ht="20.100000000000001" hidden="1" customHeight="1">
      <c r="A95" s="509">
        <f t="shared" si="43"/>
        <v>0</v>
      </c>
      <c r="B95" s="510">
        <f t="shared" si="40"/>
        <v>0</v>
      </c>
      <c r="C95" s="512">
        <f t="shared" si="44"/>
        <v>5</v>
      </c>
      <c r="D95" s="513" t="str">
        <f t="shared" si="55"/>
        <v>5. SEÑALIZACION Y SEGURIDAD VIAL</v>
      </c>
      <c r="E95" s="899">
        <v>68</v>
      </c>
      <c r="F95" s="908" t="s">
        <v>366</v>
      </c>
      <c r="G95" s="909" t="s">
        <v>360</v>
      </c>
      <c r="H95" s="960">
        <v>5040.4399999999996</v>
      </c>
      <c r="I95" s="967">
        <v>4</v>
      </c>
      <c r="J95" s="921">
        <f t="shared" si="29"/>
        <v>20161.759999999998</v>
      </c>
      <c r="K95" s="929">
        <v>4</v>
      </c>
      <c r="L95" s="920" t="str">
        <f t="shared" si="46"/>
        <v>-</v>
      </c>
      <c r="M95" s="921">
        <f t="shared" si="47"/>
        <v>20161.759999999998</v>
      </c>
      <c r="N95" s="960">
        <f>+'Cant. Ejec,'!K87</f>
        <v>0</v>
      </c>
      <c r="O95" s="960">
        <f>+'Cant. Ejec,'!L87</f>
        <v>0</v>
      </c>
      <c r="P95" s="930">
        <f>+'Cant. Ejec,'!M87</f>
        <v>0</v>
      </c>
      <c r="Q95" s="961">
        <f>+ROUND(H95*P95,2)</f>
        <v>0</v>
      </c>
      <c r="R95" s="918">
        <f t="shared" si="50"/>
        <v>0</v>
      </c>
      <c r="S95" s="932">
        <f t="shared" si="50"/>
        <v>0</v>
      </c>
      <c r="T95" s="918">
        <f t="shared" si="51"/>
        <v>4</v>
      </c>
      <c r="U95" s="932">
        <f t="shared" si="52"/>
        <v>20161.759999999998</v>
      </c>
      <c r="V95" s="933">
        <f t="shared" si="53"/>
        <v>0</v>
      </c>
      <c r="W95" s="933">
        <f t="shared" si="54"/>
        <v>0</v>
      </c>
      <c r="X95" s="934">
        <f t="shared" si="49"/>
        <v>1</v>
      </c>
      <c r="Y95" s="519">
        <f t="shared" si="41"/>
        <v>0</v>
      </c>
      <c r="Z95" s="212" t="str">
        <f t="shared" si="42"/>
        <v>ok</v>
      </c>
      <c r="AA95" s="1">
        <v>12495</v>
      </c>
      <c r="AB95" s="395">
        <f t="shared" si="28"/>
        <v>12491</v>
      </c>
    </row>
    <row r="96" spans="1:29" ht="20.100000000000001" hidden="1" customHeight="1">
      <c r="A96" s="509">
        <f t="shared" si="43"/>
        <v>0</v>
      </c>
      <c r="B96" s="510">
        <f t="shared" si="40"/>
        <v>0</v>
      </c>
      <c r="C96" s="512">
        <f t="shared" si="44"/>
        <v>5</v>
      </c>
      <c r="D96" s="513" t="str">
        <f t="shared" si="55"/>
        <v>5. SEÑALIZACION Y SEGURIDAD VIAL</v>
      </c>
      <c r="E96" s="899">
        <v>69</v>
      </c>
      <c r="F96" s="908" t="s">
        <v>367</v>
      </c>
      <c r="G96" s="909" t="s">
        <v>360</v>
      </c>
      <c r="H96" s="960">
        <v>5892.53</v>
      </c>
      <c r="I96" s="967">
        <v>1</v>
      </c>
      <c r="J96" s="921">
        <f t="shared" si="29"/>
        <v>5892.53</v>
      </c>
      <c r="K96" s="929">
        <v>1</v>
      </c>
      <c r="L96" s="920" t="str">
        <f t="shared" si="46"/>
        <v>-</v>
      </c>
      <c r="M96" s="921">
        <f t="shared" si="47"/>
        <v>5892.53</v>
      </c>
      <c r="N96" s="960">
        <f>+'Cant. Ejec,'!K88</f>
        <v>0</v>
      </c>
      <c r="O96" s="960">
        <f>+'Cant. Ejec,'!L88</f>
        <v>0</v>
      </c>
      <c r="P96" s="930">
        <f>+'Cant. Ejec,'!M88</f>
        <v>0</v>
      </c>
      <c r="Q96" s="961">
        <f t="shared" si="48"/>
        <v>0</v>
      </c>
      <c r="R96" s="918">
        <f t="shared" si="50"/>
        <v>0</v>
      </c>
      <c r="S96" s="932">
        <f t="shared" si="50"/>
        <v>0</v>
      </c>
      <c r="T96" s="918">
        <f t="shared" si="51"/>
        <v>1</v>
      </c>
      <c r="U96" s="932">
        <f t="shared" si="52"/>
        <v>5892.53</v>
      </c>
      <c r="V96" s="933">
        <f t="shared" si="53"/>
        <v>0</v>
      </c>
      <c r="W96" s="933">
        <f t="shared" si="54"/>
        <v>0</v>
      </c>
      <c r="X96" s="934">
        <f t="shared" si="49"/>
        <v>1</v>
      </c>
      <c r="Y96" s="519">
        <f t="shared" si="41"/>
        <v>0</v>
      </c>
      <c r="Z96" s="212" t="str">
        <f t="shared" si="42"/>
        <v>ok</v>
      </c>
      <c r="AA96" s="1">
        <v>7064.4</v>
      </c>
      <c r="AB96" s="395">
        <f t="shared" si="28"/>
        <v>7063.4</v>
      </c>
    </row>
    <row r="97" spans="1:28" ht="20.100000000000001" hidden="1" customHeight="1">
      <c r="A97" s="509">
        <f t="shared" si="43"/>
        <v>0</v>
      </c>
      <c r="B97" s="510">
        <f t="shared" si="40"/>
        <v>0</v>
      </c>
      <c r="C97" s="512">
        <f t="shared" si="44"/>
        <v>5</v>
      </c>
      <c r="D97" s="513" t="str">
        <f t="shared" si="55"/>
        <v>5. SEÑALIZACION Y SEGURIDAD VIAL</v>
      </c>
      <c r="E97" s="899">
        <v>70</v>
      </c>
      <c r="F97" s="908" t="s">
        <v>368</v>
      </c>
      <c r="G97" s="909" t="s">
        <v>360</v>
      </c>
      <c r="H97" s="960">
        <v>5216.41</v>
      </c>
      <c r="I97" s="967">
        <v>8</v>
      </c>
      <c r="J97" s="921">
        <f t="shared" si="29"/>
        <v>41731.279999999999</v>
      </c>
      <c r="K97" s="929">
        <v>8</v>
      </c>
      <c r="L97" s="920" t="str">
        <f t="shared" si="46"/>
        <v>-</v>
      </c>
      <c r="M97" s="921">
        <f t="shared" si="47"/>
        <v>41731.279999999999</v>
      </c>
      <c r="N97" s="960">
        <f>+'Cant. Ejec,'!K89</f>
        <v>0</v>
      </c>
      <c r="O97" s="960">
        <f>+'Cant. Ejec,'!L89</f>
        <v>0</v>
      </c>
      <c r="P97" s="930">
        <f>+'Cant. Ejec,'!M89</f>
        <v>0</v>
      </c>
      <c r="Q97" s="961">
        <f t="shared" si="48"/>
        <v>0</v>
      </c>
      <c r="R97" s="918">
        <f t="shared" si="50"/>
        <v>0</v>
      </c>
      <c r="S97" s="932">
        <f t="shared" si="50"/>
        <v>0</v>
      </c>
      <c r="T97" s="918">
        <f t="shared" si="51"/>
        <v>8</v>
      </c>
      <c r="U97" s="932">
        <f t="shared" si="52"/>
        <v>41731.279999999999</v>
      </c>
      <c r="V97" s="933">
        <f t="shared" si="53"/>
        <v>0</v>
      </c>
      <c r="W97" s="933">
        <f t="shared" si="54"/>
        <v>0</v>
      </c>
      <c r="X97" s="934">
        <f t="shared" si="49"/>
        <v>1</v>
      </c>
      <c r="Y97" s="519">
        <f t="shared" si="41"/>
        <v>0</v>
      </c>
      <c r="Z97" s="212" t="str">
        <f t="shared" si="42"/>
        <v>ok</v>
      </c>
      <c r="AB97" s="395">
        <f t="shared" si="28"/>
        <v>-8</v>
      </c>
    </row>
    <row r="98" spans="1:28" ht="20.100000000000001" hidden="1" customHeight="1">
      <c r="A98" s="509">
        <f t="shared" si="43"/>
        <v>0</v>
      </c>
      <c r="B98" s="510">
        <f t="shared" si="40"/>
        <v>0</v>
      </c>
      <c r="C98" s="512">
        <f t="shared" si="44"/>
        <v>5</v>
      </c>
      <c r="D98" s="513" t="str">
        <f t="shared" si="55"/>
        <v>5. SEÑALIZACION Y SEGURIDAD VIAL</v>
      </c>
      <c r="E98" s="899">
        <v>71</v>
      </c>
      <c r="F98" s="908" t="s">
        <v>369</v>
      </c>
      <c r="G98" s="909" t="s">
        <v>360</v>
      </c>
      <c r="H98" s="960">
        <v>2141.4499999999998</v>
      </c>
      <c r="I98" s="967">
        <v>22</v>
      </c>
      <c r="J98" s="921">
        <f t="shared" si="29"/>
        <v>47111.9</v>
      </c>
      <c r="K98" s="929">
        <v>22</v>
      </c>
      <c r="L98" s="920" t="str">
        <f t="shared" si="46"/>
        <v>-</v>
      </c>
      <c r="M98" s="921">
        <f t="shared" si="47"/>
        <v>47111.9</v>
      </c>
      <c r="N98" s="960">
        <f>+'Cant. Ejec,'!K90</f>
        <v>0</v>
      </c>
      <c r="O98" s="960">
        <f>+'Cant. Ejec,'!L90</f>
        <v>0</v>
      </c>
      <c r="P98" s="930">
        <f>+'Cant. Ejec,'!M90</f>
        <v>0</v>
      </c>
      <c r="Q98" s="961">
        <f t="shared" si="48"/>
        <v>0</v>
      </c>
      <c r="R98" s="918">
        <f t="shared" si="50"/>
        <v>0</v>
      </c>
      <c r="S98" s="932">
        <f t="shared" si="50"/>
        <v>0</v>
      </c>
      <c r="T98" s="918">
        <f t="shared" si="51"/>
        <v>22</v>
      </c>
      <c r="U98" s="932">
        <f t="shared" si="52"/>
        <v>47111.9</v>
      </c>
      <c r="V98" s="933">
        <f t="shared" si="53"/>
        <v>0</v>
      </c>
      <c r="W98" s="933">
        <f t="shared" si="54"/>
        <v>0</v>
      </c>
      <c r="X98" s="934">
        <f t="shared" si="49"/>
        <v>1</v>
      </c>
      <c r="Y98" s="519">
        <f t="shared" si="41"/>
        <v>0</v>
      </c>
      <c r="Z98" s="212" t="str">
        <f t="shared" si="42"/>
        <v>ok</v>
      </c>
      <c r="AB98" s="395">
        <f t="shared" si="28"/>
        <v>-22</v>
      </c>
    </row>
    <row r="99" spans="1:28" ht="20.100000000000001" hidden="1" customHeight="1">
      <c r="A99" s="509">
        <f t="shared" si="43"/>
        <v>0</v>
      </c>
      <c r="B99" s="510">
        <f t="shared" si="40"/>
        <v>0</v>
      </c>
      <c r="C99" s="512">
        <f t="shared" si="44"/>
        <v>5</v>
      </c>
      <c r="D99" s="513" t="str">
        <f t="shared" si="55"/>
        <v>5. SEÑALIZACION Y SEGURIDAD VIAL</v>
      </c>
      <c r="E99" s="899">
        <v>72</v>
      </c>
      <c r="F99" s="908" t="s">
        <v>370</v>
      </c>
      <c r="G99" s="909" t="s">
        <v>360</v>
      </c>
      <c r="H99" s="960">
        <v>52.22</v>
      </c>
      <c r="I99" s="967">
        <v>16875</v>
      </c>
      <c r="J99" s="921">
        <f t="shared" si="29"/>
        <v>881212.5</v>
      </c>
      <c r="K99" s="929">
        <v>16875</v>
      </c>
      <c r="L99" s="920" t="str">
        <f t="shared" si="46"/>
        <v>-</v>
      </c>
      <c r="M99" s="921">
        <f t="shared" si="47"/>
        <v>881212.5</v>
      </c>
      <c r="N99" s="960">
        <f>+'Cant. Ejec,'!K91</f>
        <v>0</v>
      </c>
      <c r="O99" s="960">
        <f>+'Cant. Ejec,'!L91</f>
        <v>0</v>
      </c>
      <c r="P99" s="930">
        <f>+'Cant. Ejec,'!M91</f>
        <v>0</v>
      </c>
      <c r="Q99" s="961">
        <f t="shared" si="48"/>
        <v>0</v>
      </c>
      <c r="R99" s="918">
        <f t="shared" si="50"/>
        <v>0</v>
      </c>
      <c r="S99" s="932">
        <f t="shared" si="50"/>
        <v>0</v>
      </c>
      <c r="T99" s="918">
        <f t="shared" si="51"/>
        <v>16875</v>
      </c>
      <c r="U99" s="932">
        <f t="shared" si="52"/>
        <v>881212.5</v>
      </c>
      <c r="V99" s="933">
        <f t="shared" si="53"/>
        <v>0</v>
      </c>
      <c r="W99" s="933">
        <f t="shared" si="54"/>
        <v>0</v>
      </c>
      <c r="X99" s="934">
        <f t="shared" si="49"/>
        <v>1</v>
      </c>
      <c r="Y99" s="519">
        <f t="shared" si="41"/>
        <v>0</v>
      </c>
      <c r="Z99" s="212" t="str">
        <f t="shared" si="42"/>
        <v>ok</v>
      </c>
      <c r="AA99" s="1">
        <v>69.53</v>
      </c>
      <c r="AB99" s="395">
        <f t="shared" si="28"/>
        <v>-16805.47</v>
      </c>
    </row>
    <row r="100" spans="1:28" ht="20.100000000000001" hidden="1" customHeight="1">
      <c r="A100" s="509">
        <f t="shared" si="43"/>
        <v>0</v>
      </c>
      <c r="B100" s="510">
        <f t="shared" si="40"/>
        <v>0</v>
      </c>
      <c r="C100" s="512">
        <f t="shared" si="44"/>
        <v>5</v>
      </c>
      <c r="D100" s="513" t="str">
        <f t="shared" si="55"/>
        <v>5. SEÑALIZACION Y SEGURIDAD VIAL</v>
      </c>
      <c r="E100" s="899">
        <v>73</v>
      </c>
      <c r="F100" s="908" t="s">
        <v>371</v>
      </c>
      <c r="G100" s="910" t="s">
        <v>89</v>
      </c>
      <c r="H100" s="979">
        <v>56.7</v>
      </c>
      <c r="I100" s="967">
        <v>109</v>
      </c>
      <c r="J100" s="921">
        <f t="shared" si="29"/>
        <v>6180.3</v>
      </c>
      <c r="K100" s="980">
        <v>109</v>
      </c>
      <c r="L100" s="920" t="str">
        <f t="shared" si="46"/>
        <v>-</v>
      </c>
      <c r="M100" s="982">
        <f t="shared" si="47"/>
        <v>6180.3</v>
      </c>
      <c r="N100" s="960">
        <f>+'Cant. Ejec,'!K92</f>
        <v>0</v>
      </c>
      <c r="O100" s="960">
        <f>+'Cant. Ejec,'!L92</f>
        <v>0</v>
      </c>
      <c r="P100" s="930">
        <f>+'Cant. Ejec,'!M92</f>
        <v>0</v>
      </c>
      <c r="Q100" s="962">
        <f t="shared" si="48"/>
        <v>0</v>
      </c>
      <c r="R100" s="918">
        <f t="shared" si="50"/>
        <v>0</v>
      </c>
      <c r="S100" s="932">
        <f t="shared" si="50"/>
        <v>0</v>
      </c>
      <c r="T100" s="918">
        <f t="shared" si="51"/>
        <v>109</v>
      </c>
      <c r="U100" s="932">
        <f t="shared" si="52"/>
        <v>6180.3</v>
      </c>
      <c r="V100" s="937">
        <f t="shared" si="53"/>
        <v>0</v>
      </c>
      <c r="W100" s="937">
        <f t="shared" si="54"/>
        <v>0</v>
      </c>
      <c r="X100" s="938">
        <f t="shared" si="49"/>
        <v>1</v>
      </c>
      <c r="Y100" s="519">
        <f t="shared" si="41"/>
        <v>0</v>
      </c>
      <c r="Z100" s="212" t="str">
        <f t="shared" si="42"/>
        <v>ok</v>
      </c>
      <c r="AA100" s="1">
        <v>296433.56999999995</v>
      </c>
      <c r="AB100" s="395">
        <f t="shared" ref="AB100:AB101" si="56">+AA100-T100</f>
        <v>296324.56999999995</v>
      </c>
    </row>
    <row r="101" spans="1:28" ht="18" hidden="1" customHeight="1">
      <c r="A101" s="509">
        <f t="shared" si="43"/>
        <v>0</v>
      </c>
      <c r="B101" s="510">
        <f t="shared" si="40"/>
        <v>0</v>
      </c>
      <c r="C101" s="512">
        <f t="shared" si="44"/>
        <v>5</v>
      </c>
      <c r="D101" s="513"/>
      <c r="E101" s="903"/>
      <c r="F101" s="904" t="s">
        <v>237</v>
      </c>
      <c r="G101" s="905"/>
      <c r="H101" s="939"/>
      <c r="I101" s="940"/>
      <c r="J101" s="941">
        <f>SUM(J85:J100)</f>
        <v>12064327.41</v>
      </c>
      <c r="K101" s="942"/>
      <c r="L101" s="942"/>
      <c r="M101" s="941">
        <f>SUM(M85:M100)</f>
        <v>12064327.41</v>
      </c>
      <c r="N101" s="943"/>
      <c r="O101" s="941">
        <f>SUM(O85:O100)</f>
        <v>0</v>
      </c>
      <c r="P101" s="944"/>
      <c r="Q101" s="941">
        <f>SUM(Q85:Q100)</f>
        <v>0</v>
      </c>
      <c r="R101" s="943"/>
      <c r="S101" s="941">
        <f>SUM(S85:S100)</f>
        <v>0</v>
      </c>
      <c r="T101" s="944"/>
      <c r="U101" s="941">
        <f>SUM(U85:U100)</f>
        <v>12064327.41</v>
      </c>
      <c r="V101" s="945">
        <f>(Q101/M101)</f>
        <v>0</v>
      </c>
      <c r="W101" s="946">
        <f>(S101/M101)</f>
        <v>0</v>
      </c>
      <c r="X101" s="947">
        <f>(U101/M101)</f>
        <v>1</v>
      </c>
      <c r="Y101" s="519" t="e">
        <f t="shared" si="41"/>
        <v>#DIV/0!</v>
      </c>
      <c r="Z101" s="212" t="str">
        <f t="shared" si="42"/>
        <v>ok</v>
      </c>
      <c r="AA101" s="1">
        <v>153499.76</v>
      </c>
      <c r="AB101" s="395">
        <f t="shared" si="56"/>
        <v>153499.76</v>
      </c>
    </row>
    <row r="102" spans="1:28" ht="18" hidden="1" customHeight="1">
      <c r="A102" s="509">
        <f t="shared" si="43"/>
        <v>0</v>
      </c>
      <c r="B102" s="510">
        <f t="shared" si="40"/>
        <v>0</v>
      </c>
      <c r="C102" s="512">
        <f t="shared" si="44"/>
        <v>5</v>
      </c>
      <c r="D102" s="513"/>
      <c r="E102" s="915">
        <v>6</v>
      </c>
      <c r="F102" s="916" t="s">
        <v>241</v>
      </c>
      <c r="G102" s="917"/>
      <c r="H102" s="917"/>
      <c r="I102" s="983"/>
      <c r="J102" s="983"/>
      <c r="K102" s="983"/>
      <c r="L102" s="983"/>
      <c r="M102" s="983"/>
      <c r="N102" s="950"/>
      <c r="O102" s="950"/>
      <c r="P102" s="950"/>
      <c r="Q102" s="950"/>
      <c r="R102" s="950"/>
      <c r="S102" s="950"/>
      <c r="T102" s="950"/>
      <c r="U102" s="950"/>
      <c r="V102" s="950"/>
      <c r="W102" s="950"/>
      <c r="X102" s="985"/>
      <c r="Y102" s="519" t="e">
        <f t="shared" si="41"/>
        <v>#DIV/0!</v>
      </c>
      <c r="Z102" s="212" t="str">
        <f t="shared" si="42"/>
        <v>ok</v>
      </c>
      <c r="AB102" s="395"/>
    </row>
    <row r="103" spans="1:28" s="1290" customFormat="1" ht="30" customHeight="1">
      <c r="A103" s="509">
        <f t="shared" si="43"/>
        <v>6</v>
      </c>
      <c r="B103" s="510">
        <f t="shared" si="40"/>
        <v>1</v>
      </c>
      <c r="C103" s="512">
        <f t="shared" si="44"/>
        <v>6</v>
      </c>
      <c r="D103" s="513" t="str">
        <f>+E102&amp;". "&amp;F102</f>
        <v>6. MEDIDAS DE MITIGACION AMBIENTAL</v>
      </c>
      <c r="E103" s="1291">
        <v>74</v>
      </c>
      <c r="F103" s="1292" t="s">
        <v>241</v>
      </c>
      <c r="G103" s="1318" t="s">
        <v>91</v>
      </c>
      <c r="H103" s="1298">
        <v>1018905.14</v>
      </c>
      <c r="I103" s="1319">
        <v>1</v>
      </c>
      <c r="J103" s="1297">
        <f>ROUND(I103*H103,2)</f>
        <v>1018905.14</v>
      </c>
      <c r="K103" s="1319">
        <v>1</v>
      </c>
      <c r="L103" s="1320" t="str">
        <f>IF(I103=K103,"-","CM 3")</f>
        <v>-</v>
      </c>
      <c r="M103" s="1297">
        <f>ROUND(K103*H103,2)</f>
        <v>1018905.14</v>
      </c>
      <c r="N103" s="1319">
        <f>+'Cant. Ejec,'!K94</f>
        <v>0.05</v>
      </c>
      <c r="O103" s="1319">
        <f>+'Cant. Ejec,'!L94</f>
        <v>50945.259999999995</v>
      </c>
      <c r="P103" s="1299">
        <f>+'Cant. Ejec,'!M94</f>
        <v>0.03</v>
      </c>
      <c r="Q103" s="1315">
        <f t="shared" ref="Q103" si="57">+ROUND(H103*P103,2)</f>
        <v>30567.15</v>
      </c>
      <c r="R103" s="1321">
        <f>N103+P103</f>
        <v>0.08</v>
      </c>
      <c r="S103" s="1322">
        <f>O103+Q103</f>
        <v>81512.41</v>
      </c>
      <c r="T103" s="1321">
        <f>K103-R103</f>
        <v>0.92</v>
      </c>
      <c r="U103" s="1322">
        <f>+M103-S103</f>
        <v>937392.73</v>
      </c>
      <c r="V103" s="1323">
        <f>(Q103/M103)</f>
        <v>2.9999995877928343E-2</v>
      </c>
      <c r="W103" s="1323">
        <f>(S103/M103)</f>
        <v>7.9999998822265245E-2</v>
      </c>
      <c r="X103" s="1324">
        <f>(100%-W103)</f>
        <v>0.92000000117773473</v>
      </c>
      <c r="Y103" s="1305">
        <f t="shared" si="41"/>
        <v>0.08</v>
      </c>
      <c r="Z103" s="1306" t="str">
        <f t="shared" si="42"/>
        <v>ok</v>
      </c>
      <c r="AB103" s="1307"/>
    </row>
    <row r="104" spans="1:28" ht="18" hidden="1" customHeight="1">
      <c r="A104" s="509">
        <f t="shared" si="43"/>
        <v>0</v>
      </c>
      <c r="B104" s="510">
        <f t="shared" si="40"/>
        <v>0</v>
      </c>
      <c r="C104" s="512">
        <f t="shared" si="44"/>
        <v>6</v>
      </c>
      <c r="D104" s="513"/>
      <c r="E104" s="903"/>
      <c r="F104" s="904" t="s">
        <v>237</v>
      </c>
      <c r="G104" s="905"/>
      <c r="H104" s="939"/>
      <c r="I104" s="940"/>
      <c r="J104" s="941">
        <f>SUM(J103)</f>
        <v>1018905.14</v>
      </c>
      <c r="K104" s="942"/>
      <c r="L104" s="942"/>
      <c r="M104" s="941">
        <f>SUM(M103)</f>
        <v>1018905.14</v>
      </c>
      <c r="N104" s="943"/>
      <c r="O104" s="941">
        <f>SUM(O103)</f>
        <v>50945.259999999995</v>
      </c>
      <c r="P104" s="944"/>
      <c r="Q104" s="941">
        <f>SUM(Q103)</f>
        <v>30567.15</v>
      </c>
      <c r="R104" s="943"/>
      <c r="S104" s="941">
        <f>SUM(S103)</f>
        <v>81512.41</v>
      </c>
      <c r="T104" s="944"/>
      <c r="U104" s="941">
        <f>SUM(U103)</f>
        <v>937392.73</v>
      </c>
      <c r="V104" s="945">
        <f>(Q104/M104)</f>
        <v>2.9999995877928343E-2</v>
      </c>
      <c r="W104" s="946">
        <f>(S104/M104)</f>
        <v>7.9999998822265245E-2</v>
      </c>
      <c r="X104" s="947">
        <f>(U104/M104)</f>
        <v>0.92000000117773473</v>
      </c>
      <c r="Y104" s="519" t="e">
        <f t="shared" si="41"/>
        <v>#DIV/0!</v>
      </c>
      <c r="Z104" s="212" t="str">
        <f t="shared" si="42"/>
        <v>ok</v>
      </c>
      <c r="AB104" s="395"/>
    </row>
    <row r="105" spans="1:28" ht="18" hidden="1" customHeight="1">
      <c r="A105" s="509">
        <f t="shared" si="43"/>
        <v>0</v>
      </c>
      <c r="B105" s="510">
        <f t="shared" si="40"/>
        <v>0</v>
      </c>
      <c r="C105" s="512">
        <f t="shared" si="44"/>
        <v>6</v>
      </c>
      <c r="D105" s="513"/>
      <c r="E105" s="915">
        <v>7</v>
      </c>
      <c r="F105" s="916" t="s">
        <v>372</v>
      </c>
      <c r="G105" s="917"/>
      <c r="H105" s="917"/>
      <c r="I105" s="983"/>
      <c r="J105" s="983"/>
      <c r="K105" s="983"/>
      <c r="L105" s="983"/>
      <c r="M105" s="983"/>
      <c r="N105" s="950"/>
      <c r="O105" s="950"/>
      <c r="P105" s="950"/>
      <c r="Q105" s="950"/>
      <c r="R105" s="950"/>
      <c r="S105" s="950"/>
      <c r="T105" s="950"/>
      <c r="U105" s="950"/>
      <c r="V105" s="950"/>
      <c r="W105" s="950"/>
      <c r="X105" s="985"/>
      <c r="Y105" s="519" t="e">
        <f t="shared" si="41"/>
        <v>#DIV/0!</v>
      </c>
      <c r="Z105" s="212" t="str">
        <f t="shared" si="42"/>
        <v>ok</v>
      </c>
      <c r="AB105" s="395"/>
    </row>
    <row r="106" spans="1:28" s="1290" customFormat="1" ht="30" customHeight="1">
      <c r="A106" s="509">
        <f t="shared" si="43"/>
        <v>7</v>
      </c>
      <c r="B106" s="510">
        <f t="shared" si="40"/>
        <v>1</v>
      </c>
      <c r="C106" s="512">
        <f t="shared" si="44"/>
        <v>7</v>
      </c>
      <c r="D106" s="513" t="str">
        <f>+E105&amp;". "&amp;F105</f>
        <v>7. SERVICIOS PARA EL INGENIERO</v>
      </c>
      <c r="E106" s="1291">
        <v>75</v>
      </c>
      <c r="F106" s="1292" t="s">
        <v>373</v>
      </c>
      <c r="G106" s="1325" t="s">
        <v>239</v>
      </c>
      <c r="H106" s="1326">
        <v>49.55</v>
      </c>
      <c r="I106" s="1327">
        <v>11316.9</v>
      </c>
      <c r="J106" s="1328">
        <f t="shared" ref="J106:J111" si="58">ROUND(I106*H106,2)</f>
        <v>560752.4</v>
      </c>
      <c r="K106" s="1329">
        <v>11316.9</v>
      </c>
      <c r="L106" s="1330" t="str">
        <f>IF(I106=K106,"-","CM 3")</f>
        <v>-</v>
      </c>
      <c r="M106" s="1297">
        <f t="shared" ref="M106:M111" si="59">ROUND(K106*H106,2)</f>
        <v>560752.4</v>
      </c>
      <c r="N106" s="1298">
        <f>+'Cant. Ejec,'!K96</f>
        <v>446.4</v>
      </c>
      <c r="O106" s="1298">
        <f>+'Cant. Ejec,'!L96</f>
        <v>22119.119999999999</v>
      </c>
      <c r="P106" s="1299">
        <f>+'Cant. Ejec,'!M96</f>
        <v>122.4</v>
      </c>
      <c r="Q106" s="1331">
        <f t="shared" ref="Q106:Q111" si="60">+ROUND(H106*P106,2)</f>
        <v>6064.92</v>
      </c>
      <c r="R106" s="1321">
        <f>N106+P106</f>
        <v>568.79999999999995</v>
      </c>
      <c r="S106" s="1322">
        <f>O106+Q106</f>
        <v>28184.04</v>
      </c>
      <c r="T106" s="1321">
        <f>K106-R106</f>
        <v>10748.1</v>
      </c>
      <c r="U106" s="1322">
        <f>+M106-S106</f>
        <v>532568.36</v>
      </c>
      <c r="V106" s="1332">
        <f>(Q106/M106)</f>
        <v>1.0815682643533938E-2</v>
      </c>
      <c r="W106" s="1332">
        <f>(S106/M106)</f>
        <v>5.0261113461128298E-2</v>
      </c>
      <c r="X106" s="1333">
        <f t="shared" ref="X106:X111" si="61">(100%-W106)</f>
        <v>0.94973888653887173</v>
      </c>
      <c r="Y106" s="1305">
        <f t="shared" si="41"/>
        <v>5.0261113909286108E-2</v>
      </c>
      <c r="Z106" s="1306" t="str">
        <f t="shared" si="42"/>
        <v>ok</v>
      </c>
      <c r="AB106" s="1307"/>
    </row>
    <row r="107" spans="1:28" ht="20.100000000000001" hidden="1" customHeight="1">
      <c r="A107" s="509">
        <f t="shared" si="43"/>
        <v>0</v>
      </c>
      <c r="B107" s="510">
        <f t="shared" si="40"/>
        <v>0</v>
      </c>
      <c r="C107" s="512">
        <f t="shared" si="44"/>
        <v>7</v>
      </c>
      <c r="D107" s="513" t="str">
        <f t="shared" ref="D107:D111" si="62">+D106</f>
        <v>7. SERVICIOS PARA EL INGENIERO</v>
      </c>
      <c r="E107" s="899">
        <v>76</v>
      </c>
      <c r="F107" s="908" t="s">
        <v>374</v>
      </c>
      <c r="G107" s="909" t="s">
        <v>360</v>
      </c>
      <c r="H107" s="960">
        <v>527727.62</v>
      </c>
      <c r="I107" s="967">
        <v>1</v>
      </c>
      <c r="J107" s="921">
        <f t="shared" si="58"/>
        <v>527727.62</v>
      </c>
      <c r="K107" s="929">
        <v>1</v>
      </c>
      <c r="L107" s="988" t="str">
        <f t="shared" ref="L107:L111" si="63">IF(I107=K107,"-","CM 3")</f>
        <v>-</v>
      </c>
      <c r="M107" s="921">
        <f t="shared" si="59"/>
        <v>527727.62</v>
      </c>
      <c r="N107" s="960">
        <f>+'Cant. Ejec,'!K97</f>
        <v>0</v>
      </c>
      <c r="O107" s="960">
        <f>+'Cant. Ejec,'!L97</f>
        <v>0</v>
      </c>
      <c r="P107" s="930">
        <f>+'Cant. Ejec,'!M97</f>
        <v>0</v>
      </c>
      <c r="Q107" s="961">
        <f t="shared" si="60"/>
        <v>0</v>
      </c>
      <c r="R107" s="918">
        <f t="shared" ref="R107:S111" si="64">N107+P107</f>
        <v>0</v>
      </c>
      <c r="S107" s="932">
        <f t="shared" si="64"/>
        <v>0</v>
      </c>
      <c r="T107" s="918">
        <f t="shared" ref="T107:T111" si="65">K107-R107</f>
        <v>1</v>
      </c>
      <c r="U107" s="932">
        <f t="shared" ref="U107:U111" si="66">+M107-S107</f>
        <v>527727.62</v>
      </c>
      <c r="V107" s="933">
        <f t="shared" ref="V107:V111" si="67">(Q107/M107)</f>
        <v>0</v>
      </c>
      <c r="W107" s="933">
        <f t="shared" ref="W107:W111" si="68">(S107/M107)</f>
        <v>0</v>
      </c>
      <c r="X107" s="934">
        <f t="shared" si="61"/>
        <v>1</v>
      </c>
      <c r="Y107" s="519">
        <f t="shared" si="41"/>
        <v>0</v>
      </c>
      <c r="Z107" s="212" t="str">
        <f t="shared" si="42"/>
        <v>ok</v>
      </c>
      <c r="AB107" s="395"/>
    </row>
    <row r="108" spans="1:28" ht="20.100000000000001" hidden="1" customHeight="1">
      <c r="A108" s="509">
        <f t="shared" si="43"/>
        <v>0</v>
      </c>
      <c r="B108" s="510">
        <f t="shared" si="40"/>
        <v>0</v>
      </c>
      <c r="C108" s="512">
        <f t="shared" si="44"/>
        <v>7</v>
      </c>
      <c r="D108" s="513" t="str">
        <f t="shared" si="62"/>
        <v>7. SERVICIOS PARA EL INGENIERO</v>
      </c>
      <c r="E108" s="899">
        <v>77</v>
      </c>
      <c r="F108" s="908" t="s">
        <v>375</v>
      </c>
      <c r="G108" s="909" t="s">
        <v>360</v>
      </c>
      <c r="H108" s="960">
        <v>277857.94</v>
      </c>
      <c r="I108" s="967">
        <v>2</v>
      </c>
      <c r="J108" s="921">
        <f t="shared" si="58"/>
        <v>555715.88</v>
      </c>
      <c r="K108" s="929">
        <v>2</v>
      </c>
      <c r="L108" s="988" t="str">
        <f t="shared" si="63"/>
        <v>-</v>
      </c>
      <c r="M108" s="921">
        <f t="shared" si="59"/>
        <v>555715.88</v>
      </c>
      <c r="N108" s="960">
        <f>+'Cant. Ejec,'!K98</f>
        <v>0</v>
      </c>
      <c r="O108" s="960">
        <f>+'Cant. Ejec,'!L98</f>
        <v>0</v>
      </c>
      <c r="P108" s="930">
        <f>+'Cant. Ejec,'!M98</f>
        <v>0</v>
      </c>
      <c r="Q108" s="961">
        <f t="shared" si="60"/>
        <v>0</v>
      </c>
      <c r="R108" s="918">
        <f t="shared" si="64"/>
        <v>0</v>
      </c>
      <c r="S108" s="932">
        <f t="shared" si="64"/>
        <v>0</v>
      </c>
      <c r="T108" s="918">
        <f t="shared" si="65"/>
        <v>2</v>
      </c>
      <c r="U108" s="932">
        <f t="shared" si="66"/>
        <v>555715.88</v>
      </c>
      <c r="V108" s="933">
        <f t="shared" si="67"/>
        <v>0</v>
      </c>
      <c r="W108" s="933">
        <f t="shared" si="68"/>
        <v>0</v>
      </c>
      <c r="X108" s="934">
        <f t="shared" si="61"/>
        <v>1</v>
      </c>
      <c r="Y108" s="519">
        <f t="shared" si="41"/>
        <v>0</v>
      </c>
      <c r="Z108" s="212" t="str">
        <f t="shared" si="42"/>
        <v>ok</v>
      </c>
      <c r="AB108" s="395"/>
    </row>
    <row r="109" spans="1:28" s="1290" customFormat="1" ht="30" customHeight="1">
      <c r="A109" s="509">
        <f t="shared" si="43"/>
        <v>8</v>
      </c>
      <c r="B109" s="510">
        <f t="shared" si="40"/>
        <v>1</v>
      </c>
      <c r="C109" s="512">
        <f t="shared" si="44"/>
        <v>8</v>
      </c>
      <c r="D109" s="513" t="str">
        <f t="shared" si="62"/>
        <v>7. SERVICIOS PARA EL INGENIERO</v>
      </c>
      <c r="E109" s="1291">
        <v>78</v>
      </c>
      <c r="F109" s="1292" t="s">
        <v>376</v>
      </c>
      <c r="G109" s="1293" t="s">
        <v>240</v>
      </c>
      <c r="H109" s="1298">
        <v>1535.17</v>
      </c>
      <c r="I109" s="1319">
        <v>18</v>
      </c>
      <c r="J109" s="1297">
        <f t="shared" si="58"/>
        <v>27633.06</v>
      </c>
      <c r="K109" s="1295">
        <v>18</v>
      </c>
      <c r="L109" s="1334" t="str">
        <f t="shared" si="63"/>
        <v>-</v>
      </c>
      <c r="M109" s="1297">
        <f t="shared" si="59"/>
        <v>27633.06</v>
      </c>
      <c r="N109" s="1298">
        <f>+'Cant. Ejec,'!K99</f>
        <v>8</v>
      </c>
      <c r="O109" s="1298">
        <f>+'Cant. Ejec,'!L99</f>
        <v>12281.36</v>
      </c>
      <c r="P109" s="1299">
        <f>+'Cant. Ejec,'!M99</f>
        <v>2</v>
      </c>
      <c r="Q109" s="1300">
        <f t="shared" si="60"/>
        <v>3070.34</v>
      </c>
      <c r="R109" s="1321">
        <f t="shared" si="64"/>
        <v>10</v>
      </c>
      <c r="S109" s="1322">
        <f t="shared" si="64"/>
        <v>15351.7</v>
      </c>
      <c r="T109" s="1321">
        <f t="shared" si="65"/>
        <v>8</v>
      </c>
      <c r="U109" s="1322">
        <f t="shared" si="66"/>
        <v>12281.36</v>
      </c>
      <c r="V109" s="1332">
        <f>(Q109/M109)</f>
        <v>0.1111111111111111</v>
      </c>
      <c r="W109" s="1332">
        <f t="shared" si="68"/>
        <v>0.55555555555555558</v>
      </c>
      <c r="X109" s="1333">
        <f t="shared" si="61"/>
        <v>0.44444444444444442</v>
      </c>
      <c r="Y109" s="1305">
        <f t="shared" si="41"/>
        <v>0.55555555555555558</v>
      </c>
      <c r="Z109" s="1306" t="str">
        <f t="shared" si="42"/>
        <v>ok</v>
      </c>
      <c r="AB109" s="1307"/>
    </row>
    <row r="110" spans="1:28" s="1290" customFormat="1" ht="30" customHeight="1">
      <c r="A110" s="509">
        <f t="shared" si="43"/>
        <v>9</v>
      </c>
      <c r="B110" s="510">
        <f t="shared" si="40"/>
        <v>1</v>
      </c>
      <c r="C110" s="512">
        <f t="shared" si="44"/>
        <v>9</v>
      </c>
      <c r="D110" s="513" t="str">
        <f t="shared" si="62"/>
        <v>7. SERVICIOS PARA EL INGENIERO</v>
      </c>
      <c r="E110" s="1291">
        <v>79</v>
      </c>
      <c r="F110" s="1292" t="s">
        <v>377</v>
      </c>
      <c r="G110" s="1293" t="s">
        <v>421</v>
      </c>
      <c r="H110" s="1298">
        <v>15.2</v>
      </c>
      <c r="I110" s="1319">
        <v>33004.019999999997</v>
      </c>
      <c r="J110" s="1297">
        <f t="shared" si="58"/>
        <v>501661.1</v>
      </c>
      <c r="K110" s="1295">
        <v>33004.019999999997</v>
      </c>
      <c r="L110" s="1334" t="str">
        <f t="shared" si="63"/>
        <v>-</v>
      </c>
      <c r="M110" s="1297">
        <f t="shared" si="59"/>
        <v>501661.1</v>
      </c>
      <c r="N110" s="1298">
        <f>+'Cant. Ejec,'!K100</f>
        <v>1909.12</v>
      </c>
      <c r="O110" s="1298">
        <f>+'Cant. Ejec,'!L100</f>
        <v>29018.620000000003</v>
      </c>
      <c r="P110" s="1299">
        <f>+'Cant. Ejec,'!M100</f>
        <v>583.05999999999995</v>
      </c>
      <c r="Q110" s="1300">
        <f t="shared" si="60"/>
        <v>8862.51</v>
      </c>
      <c r="R110" s="1321">
        <f t="shared" si="64"/>
        <v>2492.1799999999998</v>
      </c>
      <c r="S110" s="1322">
        <f t="shared" si="64"/>
        <v>37881.130000000005</v>
      </c>
      <c r="T110" s="1321">
        <f t="shared" si="65"/>
        <v>30511.839999999997</v>
      </c>
      <c r="U110" s="1322">
        <f t="shared" si="66"/>
        <v>463779.97</v>
      </c>
      <c r="V110" s="1332">
        <f>(Q110/M110)</f>
        <v>1.7666328922055149E-2</v>
      </c>
      <c r="W110" s="1332">
        <f>(S110/M110)</f>
        <v>7.5511396040075673E-2</v>
      </c>
      <c r="X110" s="1333">
        <f t="shared" si="61"/>
        <v>0.92448860395992427</v>
      </c>
      <c r="Y110" s="1305">
        <f t="shared" si="41"/>
        <v>7.5511407398250283E-2</v>
      </c>
      <c r="Z110" s="1306" t="str">
        <f t="shared" si="42"/>
        <v>ok</v>
      </c>
      <c r="AB110" s="1307"/>
    </row>
    <row r="111" spans="1:28" ht="20.100000000000001" hidden="1" customHeight="1">
      <c r="A111" s="509">
        <f t="shared" si="43"/>
        <v>0</v>
      </c>
      <c r="B111" s="510">
        <f t="shared" si="40"/>
        <v>0</v>
      </c>
      <c r="C111" s="512">
        <f t="shared" si="44"/>
        <v>9</v>
      </c>
      <c r="D111" s="513" t="str">
        <f t="shared" si="62"/>
        <v>7. SERVICIOS PARA EL INGENIERO</v>
      </c>
      <c r="E111" s="911">
        <v>80</v>
      </c>
      <c r="F111" s="912" t="s">
        <v>378</v>
      </c>
      <c r="G111" s="913" t="s">
        <v>379</v>
      </c>
      <c r="H111" s="968">
        <v>139.30000000000001</v>
      </c>
      <c r="I111" s="987">
        <v>540</v>
      </c>
      <c r="J111" s="970">
        <f t="shared" si="58"/>
        <v>75222</v>
      </c>
      <c r="K111" s="969">
        <v>540</v>
      </c>
      <c r="L111" s="989" t="str">
        <f t="shared" si="63"/>
        <v>-</v>
      </c>
      <c r="M111" s="970">
        <f t="shared" si="59"/>
        <v>75222</v>
      </c>
      <c r="N111" s="968">
        <f>+'Cant. Ejec,'!K101</f>
        <v>0</v>
      </c>
      <c r="O111" s="968">
        <f>+'Cant. Ejec,'!L101</f>
        <v>0</v>
      </c>
      <c r="P111" s="930">
        <f>+'Cant. Ejec,'!M101</f>
        <v>0</v>
      </c>
      <c r="Q111" s="990">
        <f t="shared" si="60"/>
        <v>0</v>
      </c>
      <c r="R111" s="918">
        <f t="shared" si="64"/>
        <v>0</v>
      </c>
      <c r="S111" s="932">
        <f t="shared" si="64"/>
        <v>0</v>
      </c>
      <c r="T111" s="918">
        <f t="shared" si="65"/>
        <v>540</v>
      </c>
      <c r="U111" s="932">
        <f t="shared" si="66"/>
        <v>75222</v>
      </c>
      <c r="V111" s="937">
        <f t="shared" si="67"/>
        <v>0</v>
      </c>
      <c r="W111" s="937">
        <f t="shared" si="68"/>
        <v>0</v>
      </c>
      <c r="X111" s="938">
        <f t="shared" si="61"/>
        <v>1</v>
      </c>
      <c r="Y111" s="519">
        <f t="shared" si="41"/>
        <v>0</v>
      </c>
      <c r="Z111" s="212" t="str">
        <f t="shared" si="42"/>
        <v>ok</v>
      </c>
      <c r="AB111" s="395"/>
    </row>
    <row r="112" spans="1:28" ht="18" hidden="1" customHeight="1">
      <c r="A112" s="509"/>
      <c r="B112" s="510"/>
      <c r="C112" s="512"/>
      <c r="D112" s="513"/>
      <c r="E112" s="903"/>
      <c r="F112" s="904" t="s">
        <v>237</v>
      </c>
      <c r="G112" s="905"/>
      <c r="H112" s="939"/>
      <c r="I112" s="940"/>
      <c r="J112" s="941">
        <f>SUM(J106:J111)</f>
        <v>2248712.06</v>
      </c>
      <c r="K112" s="942"/>
      <c r="L112" s="942"/>
      <c r="M112" s="941">
        <f>SUM(M106:M111)</f>
        <v>2248712.06</v>
      </c>
      <c r="N112" s="943"/>
      <c r="O112" s="941">
        <f>SUM(O106:O111)</f>
        <v>63419.1</v>
      </c>
      <c r="P112" s="944"/>
      <c r="Q112" s="941">
        <f>SUM(Q106:Q111)</f>
        <v>17997.77</v>
      </c>
      <c r="R112" s="943"/>
      <c r="S112" s="941">
        <f>SUM(S106:S111)</f>
        <v>81416.87000000001</v>
      </c>
      <c r="T112" s="944"/>
      <c r="U112" s="941">
        <f>SUM(U106:U111)</f>
        <v>2167295.19</v>
      </c>
      <c r="V112" s="945">
        <f>(Q112/M112)</f>
        <v>8.0035902862547904E-3</v>
      </c>
      <c r="W112" s="946">
        <f>(S112/M112)</f>
        <v>3.6206000513911957E-2</v>
      </c>
      <c r="X112" s="947">
        <f>(U112/M112)</f>
        <v>0.96379399948608802</v>
      </c>
      <c r="Y112" s="519" t="e">
        <f t="shared" si="41"/>
        <v>#DIV/0!</v>
      </c>
      <c r="Z112" s="212" t="str">
        <f t="shared" si="42"/>
        <v>ok</v>
      </c>
      <c r="AB112" s="395"/>
    </row>
    <row r="113" spans="1:36" ht="15" hidden="1">
      <c r="A113" s="509"/>
      <c r="B113" s="510"/>
      <c r="C113" s="512"/>
      <c r="D113" s="513"/>
      <c r="E113" s="3"/>
      <c r="F113" s="307" t="s">
        <v>219</v>
      </c>
      <c r="G113" s="884"/>
      <c r="H113" s="885"/>
      <c r="I113" s="886"/>
      <c r="J113" s="887"/>
      <c r="K113" s="888"/>
      <c r="L113" s="888"/>
      <c r="M113" s="889"/>
      <c r="N113" s="890"/>
      <c r="O113" s="890"/>
      <c r="P113" s="891"/>
      <c r="Q113" s="890"/>
      <c r="R113" s="891"/>
      <c r="S113" s="892"/>
      <c r="T113" s="893"/>
      <c r="U113" s="890"/>
      <c r="V113" s="894"/>
      <c r="W113" s="895"/>
      <c r="X113" s="896"/>
      <c r="Y113" s="519" t="e">
        <f t="shared" si="41"/>
        <v>#DIV/0!</v>
      </c>
      <c r="Z113" s="212" t="str">
        <f t="shared" si="42"/>
        <v>ok</v>
      </c>
    </row>
    <row r="114" spans="1:36" s="1342" customFormat="1" ht="30" customHeight="1">
      <c r="A114" s="31"/>
      <c r="B114" s="31"/>
      <c r="C114" s="31"/>
      <c r="D114" s="513"/>
      <c r="E114" s="1335"/>
      <c r="F114" s="1336" t="s">
        <v>6</v>
      </c>
      <c r="G114" s="1337"/>
      <c r="H114" s="1337"/>
      <c r="I114" s="1961">
        <f>+J14+J32+J40+J83+J101+J104+J112</f>
        <v>108397839.64</v>
      </c>
      <c r="J114" s="1959"/>
      <c r="K114" s="1338"/>
      <c r="L114" s="1961">
        <f>+M14+M32+M40+M83+M101+M104+M112</f>
        <v>106631000.67</v>
      </c>
      <c r="M114" s="1959"/>
      <c r="N114" s="1958">
        <f>+O14+O32+O40+O83+O101+O104+O112</f>
        <v>4270358.2499999991</v>
      </c>
      <c r="O114" s="1959"/>
      <c r="P114" s="1958">
        <f>+Q14+Q32+Q40+Q83+Q101+Q104+Q112</f>
        <v>1686336.54</v>
      </c>
      <c r="Q114" s="1959"/>
      <c r="R114" s="1958">
        <f>+S14+S32+S40+S83+S101+S104+S112</f>
        <v>5956694.790000001</v>
      </c>
      <c r="S114" s="1959"/>
      <c r="T114" s="1958">
        <f>+U14+U32+U40+U83+U101+U104+U112</f>
        <v>100674305.88000001</v>
      </c>
      <c r="U114" s="1959"/>
      <c r="V114" s="1339">
        <f>(P114/L114)</f>
        <v>1.5814693001136214E-2</v>
      </c>
      <c r="W114" s="1340">
        <f>(R114/L114)</f>
        <v>5.5862692393131422E-2</v>
      </c>
      <c r="X114" s="1341">
        <f>(T114/L114)</f>
        <v>0.94413730760686865</v>
      </c>
      <c r="Y114" s="1305" t="e">
        <f>+#REF!/K114</f>
        <v>#REF!</v>
      </c>
      <c r="Z114" s="1306" t="str">
        <f>IF((R114+T114)=L114,"ok","MAL")</f>
        <v>ok</v>
      </c>
    </row>
    <row r="115" spans="1:36" ht="12.75" hidden="1" customHeight="1">
      <c r="D115" s="513"/>
      <c r="E115" s="4"/>
      <c r="F115" s="836"/>
      <c r="G115" s="6"/>
      <c r="H115" s="6"/>
      <c r="I115" s="6"/>
      <c r="J115" s="13"/>
      <c r="K115" s="7"/>
      <c r="L115" s="7"/>
      <c r="M115" s="7"/>
      <c r="N115" s="8"/>
      <c r="O115" s="8"/>
      <c r="P115" s="9"/>
      <c r="Q115" s="8"/>
      <c r="R115" s="10"/>
      <c r="S115" s="8"/>
      <c r="T115" s="1818"/>
      <c r="U115" s="1818"/>
      <c r="V115" s="8"/>
      <c r="W115" s="8"/>
      <c r="X115" s="11"/>
      <c r="Y115" s="9"/>
      <c r="AA115" s="765">
        <v>230575.22</v>
      </c>
    </row>
    <row r="116" spans="1:36" ht="12.75" customHeight="1">
      <c r="D116" s="513"/>
      <c r="E116" s="4"/>
      <c r="F116" s="836"/>
      <c r="G116" s="6"/>
      <c r="H116" s="6"/>
      <c r="I116" s="6"/>
      <c r="J116" s="13"/>
      <c r="K116" s="7"/>
      <c r="L116" s="7"/>
      <c r="M116" s="7"/>
      <c r="N116" s="8"/>
      <c r="O116" s="8"/>
      <c r="P116" s="9"/>
      <c r="Q116" s="8"/>
      <c r="R116" s="10"/>
      <c r="S116" s="8"/>
      <c r="T116" s="1275"/>
      <c r="U116" s="1275"/>
      <c r="V116" s="8"/>
      <c r="W116" s="8"/>
      <c r="X116" s="11"/>
      <c r="Y116" s="9"/>
      <c r="AA116" s="765"/>
    </row>
    <row r="117" spans="1:36" ht="12.75" customHeight="1">
      <c r="D117" s="513"/>
      <c r="E117" s="4"/>
      <c r="F117" s="836"/>
      <c r="G117" s="6"/>
      <c r="H117" s="6"/>
      <c r="I117" s="6"/>
      <c r="J117" s="13"/>
      <c r="K117" s="7"/>
      <c r="L117" s="7"/>
      <c r="M117" s="7"/>
      <c r="N117" s="8"/>
      <c r="O117" s="8"/>
      <c r="P117" s="9"/>
      <c r="Q117" s="8"/>
      <c r="R117" s="10"/>
      <c r="S117" s="8"/>
      <c r="T117" s="1275"/>
      <c r="U117" s="1275"/>
      <c r="V117" s="8"/>
      <c r="W117" s="8"/>
      <c r="X117" s="11"/>
      <c r="Y117" s="9"/>
      <c r="AA117" s="765"/>
    </row>
    <row r="118" spans="1:36" ht="12.75" customHeight="1">
      <c r="D118" s="513"/>
      <c r="E118" s="4"/>
      <c r="F118" s="836"/>
      <c r="G118" s="6"/>
      <c r="H118" s="6"/>
      <c r="I118" s="6"/>
      <c r="J118" s="13"/>
      <c r="K118" s="7"/>
      <c r="L118" s="7"/>
      <c r="M118" s="7"/>
      <c r="N118" s="8"/>
      <c r="O118" s="8"/>
      <c r="P118" s="9"/>
      <c r="Q118" s="8"/>
      <c r="R118" s="10"/>
      <c r="S118" s="8"/>
      <c r="T118" s="1275"/>
      <c r="U118" s="1275"/>
      <c r="V118" s="8"/>
      <c r="W118" s="8"/>
      <c r="X118" s="11"/>
      <c r="Y118" s="9"/>
      <c r="AA118" s="765"/>
    </row>
    <row r="119" spans="1:36" ht="12.75" customHeight="1">
      <c r="D119" s="513"/>
      <c r="E119" s="4"/>
      <c r="F119" s="836"/>
      <c r="G119" s="6"/>
      <c r="H119" s="6"/>
      <c r="I119" s="6"/>
      <c r="J119" s="13"/>
      <c r="K119" s="7"/>
      <c r="L119" s="7"/>
      <c r="M119" s="7"/>
      <c r="N119" s="8"/>
      <c r="O119" s="8"/>
      <c r="P119" s="9"/>
      <c r="Q119" s="8"/>
      <c r="R119" s="10"/>
      <c r="S119" s="8"/>
      <c r="T119" s="1275"/>
      <c r="U119" s="1275"/>
      <c r="V119" s="8"/>
      <c r="W119" s="8"/>
      <c r="X119" s="11"/>
      <c r="Y119" s="9"/>
      <c r="AA119" s="765"/>
    </row>
    <row r="120" spans="1:36" ht="12.75" customHeight="1">
      <c r="D120" s="513"/>
      <c r="E120" s="4"/>
      <c r="F120" s="836"/>
      <c r="G120" s="6"/>
      <c r="H120" s="6"/>
      <c r="I120" s="6"/>
      <c r="J120" s="13"/>
      <c r="K120" s="7"/>
      <c r="L120" s="7"/>
      <c r="M120" s="7"/>
      <c r="N120" s="8"/>
      <c r="O120" s="8"/>
      <c r="P120" s="9"/>
      <c r="Q120" s="8"/>
      <c r="R120" s="10"/>
      <c r="S120" s="8"/>
      <c r="T120" s="1275"/>
      <c r="U120" s="1275"/>
      <c r="V120" s="8"/>
      <c r="W120" s="8"/>
      <c r="X120" s="11"/>
      <c r="Y120" s="9"/>
      <c r="AA120" s="765"/>
    </row>
    <row r="121" spans="1:36" ht="12.75" customHeight="1">
      <c r="E121" s="4"/>
      <c r="F121" s="836"/>
      <c r="G121" s="6"/>
      <c r="H121" s="6"/>
      <c r="I121" s="6"/>
      <c r="J121" s="13"/>
      <c r="K121" s="7"/>
      <c r="L121" s="7"/>
      <c r="M121" s="7"/>
      <c r="N121" s="8"/>
      <c r="O121" s="8"/>
      <c r="P121" s="9"/>
      <c r="Q121" s="8"/>
      <c r="R121" s="10"/>
      <c r="S121" s="8"/>
      <c r="T121" s="1275"/>
      <c r="U121" s="1275"/>
      <c r="V121" s="8"/>
      <c r="W121" s="1034"/>
      <c r="X121" s="11"/>
      <c r="Y121" s="9"/>
      <c r="AA121" s="765">
        <v>515492.2</v>
      </c>
    </row>
    <row r="122" spans="1:36" ht="12.75" customHeight="1">
      <c r="E122" s="4"/>
      <c r="F122" s="836"/>
      <c r="G122" s="6"/>
      <c r="H122" s="6"/>
      <c r="I122" s="6"/>
      <c r="J122" s="13"/>
      <c r="K122" s="7"/>
      <c r="L122" s="7"/>
      <c r="M122" s="7"/>
      <c r="N122" s="8"/>
      <c r="O122" s="8"/>
      <c r="P122" s="9"/>
      <c r="Q122" s="8"/>
      <c r="R122" s="10"/>
      <c r="S122" s="8"/>
      <c r="T122" s="1275"/>
      <c r="U122" s="1275"/>
      <c r="V122" s="8"/>
      <c r="W122" s="8"/>
      <c r="X122" s="11"/>
      <c r="Y122" s="9"/>
      <c r="AA122" s="765">
        <v>778326.78</v>
      </c>
    </row>
    <row r="123" spans="1:36" ht="12.75" customHeight="1">
      <c r="E123" s="4"/>
      <c r="F123" s="836"/>
      <c r="G123" s="6"/>
      <c r="H123" s="6"/>
      <c r="I123" s="6"/>
      <c r="J123" s="13"/>
      <c r="K123" s="7"/>
      <c r="L123" s="7"/>
      <c r="M123" s="7"/>
      <c r="N123" s="8"/>
      <c r="O123" s="8"/>
      <c r="P123" s="9"/>
      <c r="Q123" s="8"/>
      <c r="R123" s="10"/>
      <c r="S123" s="8"/>
      <c r="T123" s="1275"/>
      <c r="U123" s="1275"/>
      <c r="V123" s="8"/>
      <c r="W123" s="8"/>
      <c r="X123" s="11"/>
      <c r="Y123" s="9"/>
      <c r="AA123" s="424">
        <f>SUM(AA115:AA122)</f>
        <v>1524394.2000000002</v>
      </c>
    </row>
    <row r="124" spans="1:36" ht="12.75" customHeight="1">
      <c r="E124" s="4"/>
      <c r="F124" s="836"/>
      <c r="G124" s="6"/>
      <c r="H124" s="6"/>
      <c r="I124" s="6"/>
      <c r="J124" s="13"/>
      <c r="K124" s="7"/>
      <c r="L124" s="7"/>
      <c r="M124" s="7"/>
      <c r="N124" s="8"/>
      <c r="O124" s="8"/>
      <c r="P124" s="9"/>
      <c r="Q124" s="8"/>
      <c r="R124" s="10"/>
      <c r="S124" s="8"/>
      <c r="T124" s="1275"/>
      <c r="U124" s="1275"/>
      <c r="V124" s="8"/>
      <c r="W124" s="8"/>
      <c r="X124" s="11"/>
      <c r="Y124" s="9"/>
      <c r="AA124" s="424"/>
    </row>
    <row r="125" spans="1:36" ht="12.75" customHeight="1">
      <c r="E125" s="4"/>
      <c r="F125" s="836"/>
      <c r="G125" s="6"/>
      <c r="H125" s="6"/>
      <c r="I125" s="6"/>
      <c r="J125" s="13"/>
      <c r="K125" s="7"/>
      <c r="L125" s="7"/>
      <c r="M125" s="7"/>
      <c r="N125" s="8"/>
      <c r="O125" s="8"/>
      <c r="P125" s="9"/>
      <c r="Q125" s="8"/>
      <c r="R125" s="10"/>
      <c r="S125" s="8"/>
      <c r="T125" s="1275"/>
      <c r="U125" s="1275"/>
      <c r="V125" s="8"/>
      <c r="W125" s="8"/>
      <c r="X125" s="11"/>
      <c r="Y125" s="9"/>
    </row>
    <row r="126" spans="1:36">
      <c r="E126" s="993"/>
      <c r="F126" s="994"/>
      <c r="G126" s="995" t="str">
        <f>+Datos!B15</f>
        <v>Ing. Ernesto Vargas Amezaga</v>
      </c>
      <c r="H126" s="995"/>
      <c r="I126" s="995"/>
      <c r="J126" s="996"/>
      <c r="K126" s="1824" t="str">
        <f>+Datos!B7</f>
        <v>Ing. Pedro Alberto Barreto Gutierrez</v>
      </c>
      <c r="L126" s="1824"/>
      <c r="M126" s="1824"/>
      <c r="N126" s="1824"/>
      <c r="O126" s="1824"/>
      <c r="P126" s="1824"/>
      <c r="Q126" s="996"/>
      <c r="R126" s="996"/>
      <c r="S126" s="997"/>
      <c r="T126" s="995" t="str">
        <f>+Datos!B10</f>
        <v>Ing. Eyber Lopez Lopez</v>
      </c>
      <c r="U126" s="996"/>
      <c r="V126" s="996"/>
      <c r="W126" s="996"/>
      <c r="X126" s="998"/>
      <c r="Y126" s="14"/>
    </row>
    <row r="127" spans="1:36" s="33" customFormat="1" ht="12.75" customHeight="1">
      <c r="A127" s="1"/>
      <c r="B127" s="1"/>
      <c r="C127" s="1"/>
      <c r="D127" s="1"/>
      <c r="E127" s="32"/>
      <c r="G127" s="1277" t="s">
        <v>612</v>
      </c>
      <c r="H127" s="1276"/>
      <c r="I127" s="1276"/>
      <c r="J127" s="583"/>
      <c r="K127" s="1825" t="str">
        <f>+Datos!B8</f>
        <v xml:space="preserve">GERENTE SUPERVISION TECNICA </v>
      </c>
      <c r="L127" s="1825"/>
      <c r="M127" s="1825"/>
      <c r="N127" s="1825"/>
      <c r="O127" s="1825"/>
      <c r="P127" s="1825"/>
      <c r="Q127" s="583"/>
      <c r="R127" s="583"/>
      <c r="S127" s="12"/>
      <c r="T127" s="1277" t="str">
        <f>+Datos!B11</f>
        <v>FISCAL DE OBRA</v>
      </c>
      <c r="U127" s="14"/>
      <c r="V127" s="14"/>
      <c r="W127" s="14"/>
      <c r="X127" s="15"/>
      <c r="Y127" s="14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s="33" customFormat="1" ht="12.75" customHeight="1">
      <c r="A128" s="1"/>
      <c r="B128" s="1"/>
      <c r="C128" s="1"/>
      <c r="D128" s="1"/>
      <c r="E128" s="32"/>
      <c r="G128" s="1277" t="s">
        <v>561</v>
      </c>
      <c r="H128" s="1276"/>
      <c r="I128" s="1276"/>
      <c r="J128" s="583"/>
      <c r="K128" s="1826" t="str">
        <f>+Datos!B9</f>
        <v>ABC - REGIONAL TARIJA</v>
      </c>
      <c r="L128" s="1826"/>
      <c r="M128" s="1826"/>
      <c r="N128" s="1826"/>
      <c r="O128" s="1826"/>
      <c r="P128" s="1826"/>
      <c r="Q128" s="583"/>
      <c r="R128" s="583"/>
      <c r="S128" s="12"/>
      <c r="T128" s="769" t="str">
        <f>+Datos!B12</f>
        <v>ABC - REGIONAL TARIJA</v>
      </c>
      <c r="U128" s="14"/>
      <c r="V128" s="14"/>
      <c r="W128" s="14"/>
      <c r="X128" s="15"/>
      <c r="Y128" s="14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s="33" customFormat="1" ht="13.5">
      <c r="A129" s="1"/>
      <c r="B129" s="1"/>
      <c r="C129" s="1"/>
      <c r="D129" s="1"/>
      <c r="E129" s="32"/>
      <c r="G129" s="1277" t="s">
        <v>560</v>
      </c>
      <c r="H129" s="1276"/>
      <c r="I129" s="1276"/>
      <c r="J129" s="583"/>
      <c r="Q129" s="767"/>
      <c r="R129" s="767"/>
      <c r="S129" s="768"/>
      <c r="U129" s="770"/>
      <c r="V129" s="14"/>
      <c r="W129" s="14"/>
      <c r="X129" s="15"/>
      <c r="Y129" s="14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s="33" customFormat="1" ht="5.25" customHeight="1">
      <c r="A130" s="1"/>
      <c r="B130" s="1"/>
      <c r="C130" s="1"/>
      <c r="D130" s="1"/>
      <c r="E130" s="207"/>
      <c r="F130" s="771"/>
      <c r="G130" s="772"/>
      <c r="H130" s="772"/>
      <c r="I130" s="772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09"/>
      <c r="Y130" s="16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s="33" customFormat="1" ht="12.75" customHeight="1">
      <c r="A131" s="1"/>
      <c r="B131" s="1"/>
      <c r="C131" s="1"/>
      <c r="D131" s="1"/>
      <c r="E131" s="2"/>
      <c r="F131" s="1"/>
      <c r="G131" s="2"/>
      <c r="H131" s="2"/>
      <c r="I131" s="2"/>
      <c r="J131" s="16"/>
      <c r="K131" s="16"/>
      <c r="L131" s="16"/>
      <c r="M131" s="16"/>
      <c r="N131" s="16"/>
      <c r="O131" s="16"/>
      <c r="P131" s="282"/>
      <c r="Q131" s="220"/>
      <c r="R131" s="220"/>
      <c r="S131" s="283"/>
      <c r="T131" s="16"/>
      <c r="U131" s="281"/>
      <c r="V131" s="16"/>
      <c r="W131" s="16"/>
      <c r="X131" s="16"/>
      <c r="Y131" s="16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s="33" customFormat="1" ht="12.75" customHeight="1">
      <c r="A132" s="1"/>
      <c r="B132" s="1"/>
      <c r="C132" s="1"/>
      <c r="D132" s="1"/>
      <c r="E132" s="2"/>
      <c r="F132" s="1" t="s">
        <v>486</v>
      </c>
      <c r="G132" s="2"/>
      <c r="H132" s="2"/>
      <c r="I132" s="2"/>
      <c r="J132" s="16"/>
      <c r="K132" s="389"/>
      <c r="L132" s="389"/>
      <c r="M132" s="389"/>
      <c r="N132" s="16"/>
      <c r="O132" s="220"/>
      <c r="P132" s="282"/>
      <c r="Q132" s="16"/>
      <c r="R132" s="16"/>
      <c r="S132" s="16"/>
      <c r="T132" s="220"/>
      <c r="U132" s="281"/>
      <c r="V132" s="16"/>
      <c r="W132" s="16"/>
      <c r="X132" s="16"/>
      <c r="Y132" s="16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s="33" customFormat="1" ht="12.75" customHeight="1">
      <c r="A133" s="1"/>
      <c r="B133" s="1"/>
      <c r="C133" s="1"/>
      <c r="D133" s="1"/>
      <c r="E133" s="2"/>
      <c r="F133" s="1"/>
      <c r="G133" s="2"/>
      <c r="H133" s="2"/>
      <c r="I133" s="2"/>
      <c r="J133" s="16"/>
      <c r="K133" s="390"/>
      <c r="L133" s="390"/>
      <c r="M133" s="390"/>
      <c r="N133" s="16"/>
      <c r="O133" s="16"/>
      <c r="P133" s="16"/>
      <c r="Q133" s="16"/>
      <c r="R133" s="16"/>
      <c r="S133" s="283"/>
      <c r="T133" s="281"/>
      <c r="U133" s="16"/>
      <c r="V133" s="16"/>
      <c r="W133" s="16"/>
      <c r="X133" s="16"/>
      <c r="Y133" s="16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s="33" customFormat="1" ht="12.75" customHeight="1">
      <c r="A134" s="1"/>
      <c r="B134" s="1"/>
      <c r="C134" s="1"/>
      <c r="D134" s="1"/>
      <c r="E134" s="2"/>
      <c r="F134" s="1"/>
      <c r="G134" s="2"/>
      <c r="H134" s="2"/>
      <c r="I134" s="2"/>
      <c r="J134" s="16"/>
      <c r="K134" s="391"/>
      <c r="L134" s="391"/>
      <c r="M134" s="391"/>
      <c r="N134" s="16"/>
      <c r="O134" s="16"/>
      <c r="P134" s="16"/>
      <c r="Q134" s="282"/>
      <c r="R134" s="16"/>
      <c r="S134" s="16"/>
      <c r="T134" s="16"/>
      <c r="U134" s="16"/>
      <c r="V134" s="16"/>
      <c r="W134" s="16"/>
      <c r="X134" s="16"/>
      <c r="Y134" s="16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s="33" customFormat="1" ht="12.75" customHeight="1">
      <c r="A135" s="1"/>
      <c r="B135" s="1"/>
      <c r="C135" s="1"/>
      <c r="D135" s="1"/>
      <c r="E135" s="2"/>
      <c r="F135" s="1"/>
      <c r="G135" s="2"/>
      <c r="H135" s="2"/>
      <c r="I135" s="2"/>
      <c r="J135" s="16"/>
      <c r="K135" s="16"/>
      <c r="L135" s="16"/>
      <c r="M135" s="16"/>
      <c r="N135" s="16"/>
      <c r="O135" s="16"/>
      <c r="P135" s="16"/>
      <c r="Q135" s="282"/>
      <c r="R135" s="16"/>
      <c r="S135" s="282"/>
      <c r="T135" s="16"/>
      <c r="U135" s="16"/>
      <c r="V135" s="16"/>
      <c r="W135" s="16"/>
      <c r="X135" s="16"/>
      <c r="Y135" s="16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s="33" customFormat="1" ht="12.75" customHeight="1">
      <c r="A136" s="1"/>
      <c r="B136" s="1"/>
      <c r="C136" s="1"/>
      <c r="D136" s="1"/>
      <c r="E136" s="2"/>
      <c r="F136" s="1"/>
      <c r="G136" s="2"/>
      <c r="H136" s="2"/>
      <c r="I136" s="2"/>
      <c r="J136" s="16"/>
      <c r="K136" s="16"/>
      <c r="L136" s="16"/>
      <c r="M136" s="16"/>
      <c r="N136" s="16"/>
      <c r="O136" s="16"/>
      <c r="P136" s="16"/>
      <c r="Q136" s="282"/>
      <c r="R136" s="283"/>
      <c r="S136" s="390"/>
      <c r="T136" s="16"/>
      <c r="U136" s="16"/>
      <c r="V136" s="16"/>
      <c r="W136" s="16"/>
      <c r="X136" s="16"/>
      <c r="Y136" s="16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s="33" customFormat="1" ht="12.75" customHeight="1">
      <c r="A137" s="1"/>
      <c r="B137" s="1"/>
      <c r="C137" s="1"/>
      <c r="D137" s="1"/>
      <c r="E137" s="2"/>
      <c r="F137" s="1"/>
      <c r="G137" s="2"/>
      <c r="H137" s="2"/>
      <c r="I137" s="2"/>
      <c r="J137" s="16"/>
      <c r="K137" s="16"/>
      <c r="L137" s="16"/>
      <c r="M137" s="16"/>
      <c r="N137" s="16"/>
      <c r="O137" s="16"/>
      <c r="P137" s="16"/>
      <c r="Q137" s="282"/>
      <c r="R137" s="16"/>
      <c r="S137" s="16"/>
      <c r="T137" s="16"/>
      <c r="U137" s="16"/>
      <c r="V137" s="16"/>
      <c r="W137" s="16"/>
      <c r="X137" s="16"/>
      <c r="Y137" s="16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s="33" customFormat="1" ht="12.75" customHeight="1">
      <c r="A138" s="1"/>
      <c r="B138" s="1"/>
      <c r="C138" s="1"/>
      <c r="D138" s="1"/>
      <c r="E138" s="2"/>
      <c r="F138" s="1"/>
      <c r="G138" s="2"/>
      <c r="H138" s="2"/>
      <c r="I138" s="2"/>
      <c r="J138" s="16"/>
      <c r="K138" s="16"/>
      <c r="L138" s="16"/>
      <c r="M138" s="16"/>
      <c r="N138" s="16"/>
      <c r="O138" s="16"/>
      <c r="P138" s="16"/>
      <c r="Q138" s="282"/>
      <c r="R138" s="16"/>
      <c r="S138" s="282"/>
      <c r="T138" s="16"/>
      <c r="U138" s="16"/>
      <c r="V138" s="16"/>
      <c r="W138" s="16"/>
      <c r="X138" s="16"/>
      <c r="Y138" s="16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s="33" customFormat="1" ht="12.75" customHeight="1">
      <c r="A139" s="1"/>
      <c r="B139" s="1"/>
      <c r="C139" s="1"/>
      <c r="D139" s="1"/>
      <c r="E139" s="2"/>
      <c r="F139" s="1"/>
      <c r="G139" s="2"/>
      <c r="H139" s="2"/>
      <c r="I139" s="2"/>
      <c r="J139" s="16"/>
      <c r="K139" s="16"/>
      <c r="L139" s="16"/>
      <c r="M139" s="16"/>
      <c r="N139" s="16"/>
      <c r="O139" s="16"/>
      <c r="P139" s="16"/>
      <c r="Q139" s="220"/>
      <c r="R139" s="16"/>
      <c r="S139" s="16"/>
      <c r="T139" s="16"/>
      <c r="U139" s="16"/>
      <c r="V139" s="16"/>
      <c r="W139" s="16"/>
      <c r="X139" s="16"/>
      <c r="Y139" s="16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s="33" customFormat="1" ht="12.75" customHeight="1">
      <c r="A140" s="1"/>
      <c r="B140" s="1"/>
      <c r="C140" s="1"/>
      <c r="D140" s="1"/>
      <c r="E140" s="2"/>
      <c r="F140" s="1"/>
      <c r="G140" s="2"/>
      <c r="H140" s="2"/>
      <c r="I140" s="2"/>
      <c r="J140" s="16"/>
      <c r="K140" s="16"/>
      <c r="L140" s="16"/>
      <c r="M140" s="16"/>
      <c r="N140" s="16"/>
      <c r="O140" s="16"/>
      <c r="P140" s="16"/>
      <c r="Q140" s="220"/>
      <c r="R140" s="16"/>
      <c r="S140" s="16"/>
      <c r="T140" s="16"/>
      <c r="U140" s="16"/>
      <c r="V140" s="16"/>
      <c r="W140" s="16"/>
      <c r="X140" s="16"/>
      <c r="Y140" s="16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s="33" customFormat="1" ht="12.75" customHeight="1">
      <c r="A141" s="1"/>
      <c r="B141" s="1"/>
      <c r="C141" s="1"/>
      <c r="D141" s="1"/>
      <c r="E141" s="2"/>
      <c r="F141" s="1"/>
      <c r="G141" s="2"/>
      <c r="H141" s="2"/>
      <c r="I141" s="2"/>
      <c r="J141" s="16"/>
      <c r="K141" s="16"/>
      <c r="L141" s="16"/>
      <c r="M141" s="16"/>
      <c r="N141" s="16"/>
      <c r="O141" s="282"/>
      <c r="P141" s="16"/>
      <c r="Q141" s="282"/>
      <c r="R141" s="16"/>
      <c r="S141" s="16"/>
      <c r="T141" s="16"/>
      <c r="U141" s="16"/>
      <c r="V141" s="16"/>
      <c r="W141" s="16"/>
      <c r="X141" s="16"/>
      <c r="Y141" s="16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s="33" customFormat="1" ht="12.75" customHeight="1">
      <c r="A142" s="1"/>
      <c r="B142" s="1"/>
      <c r="C142" s="1"/>
      <c r="D142" s="1"/>
      <c r="E142" s="2"/>
      <c r="F142" s="1"/>
      <c r="G142" s="2"/>
      <c r="H142" s="2"/>
      <c r="I142" s="2"/>
      <c r="J142" s="16"/>
      <c r="K142" s="16"/>
      <c r="L142" s="16"/>
      <c r="M142" s="16"/>
      <c r="N142" s="16"/>
      <c r="O142" s="16"/>
      <c r="P142" s="16"/>
      <c r="Q142" s="282"/>
      <c r="R142" s="16"/>
      <c r="S142" s="16"/>
      <c r="T142" s="16"/>
      <c r="U142" s="16"/>
      <c r="V142" s="16"/>
      <c r="W142" s="16"/>
      <c r="X142" s="16"/>
      <c r="Y142" s="16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s="33" customFormat="1" ht="12.75" customHeight="1">
      <c r="A143" s="1"/>
      <c r="B143" s="1"/>
      <c r="C143" s="1"/>
      <c r="D143" s="1"/>
      <c r="E143" s="2"/>
      <c r="F143" s="1"/>
      <c r="G143" s="2"/>
      <c r="H143" s="2"/>
      <c r="I143" s="2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s="33" customFormat="1" ht="12.75" customHeight="1">
      <c r="A144" s="1"/>
      <c r="B144" s="1"/>
      <c r="C144" s="1"/>
      <c r="D144" s="1"/>
      <c r="E144" s="2"/>
      <c r="F144" s="1"/>
      <c r="G144" s="2"/>
      <c r="H144" s="2"/>
      <c r="I144" s="2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s="33" customFormat="1" ht="12.75" customHeight="1">
      <c r="A145" s="1"/>
      <c r="B145" s="1"/>
      <c r="C145" s="1"/>
      <c r="D145" s="1"/>
      <c r="E145" s="2"/>
      <c r="F145" s="1"/>
      <c r="G145" s="2"/>
      <c r="H145" s="2"/>
      <c r="I145" s="2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s="33" customFormat="1" ht="12.75" customHeight="1">
      <c r="A146" s="1"/>
      <c r="B146" s="1"/>
      <c r="C146" s="1"/>
      <c r="D146" s="1"/>
      <c r="E146" s="2"/>
      <c r="F146" s="1"/>
      <c r="G146" s="2"/>
      <c r="H146" s="2"/>
      <c r="I146" s="2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s="33" customFormat="1" ht="12.75" customHeight="1">
      <c r="A147" s="1"/>
      <c r="B147" s="1"/>
      <c r="C147" s="1"/>
      <c r="D147" s="1"/>
      <c r="E147" s="2"/>
      <c r="F147" s="1"/>
      <c r="G147" s="2"/>
      <c r="H147" s="2"/>
      <c r="I147" s="2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s="33" customFormat="1" ht="12.75" customHeight="1">
      <c r="A148" s="1"/>
      <c r="B148" s="1"/>
      <c r="C148" s="1"/>
      <c r="D148" s="1"/>
      <c r="E148" s="2"/>
      <c r="F148" s="1"/>
      <c r="G148" s="2"/>
      <c r="H148" s="2"/>
      <c r="I148" s="2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s="33" customFormat="1" ht="12.75" customHeight="1">
      <c r="A149" s="1"/>
      <c r="B149" s="1"/>
      <c r="C149" s="1"/>
      <c r="D149" s="1"/>
      <c r="E149" s="2"/>
      <c r="F149" s="1"/>
      <c r="G149" s="2"/>
      <c r="H149" s="2"/>
      <c r="I149" s="2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s="33" customFormat="1" ht="12.75" customHeight="1">
      <c r="A150" s="1"/>
      <c r="B150" s="1"/>
      <c r="C150" s="1"/>
      <c r="D150" s="1"/>
      <c r="E150" s="2"/>
      <c r="F150" s="1"/>
      <c r="G150" s="2"/>
      <c r="H150" s="2"/>
      <c r="I150" s="2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s="33" customFormat="1" ht="12.75" customHeight="1">
      <c r="A151" s="1"/>
      <c r="B151" s="1"/>
      <c r="C151" s="1"/>
      <c r="D151" s="1"/>
      <c r="E151" s="2"/>
      <c r="F151" s="1"/>
      <c r="G151" s="2"/>
      <c r="H151" s="2"/>
      <c r="I151" s="2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s="33" customFormat="1" ht="12.75" customHeight="1">
      <c r="A152" s="1"/>
      <c r="B152" s="1"/>
      <c r="C152" s="1"/>
      <c r="D152" s="1"/>
      <c r="E152" s="2"/>
      <c r="F152" s="1"/>
      <c r="G152" s="2"/>
      <c r="H152" s="2"/>
      <c r="I152" s="2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s="33" customFormat="1" ht="12.75" customHeight="1">
      <c r="A153" s="1"/>
      <c r="B153" s="1"/>
      <c r="C153" s="1"/>
      <c r="D153" s="1"/>
      <c r="E153" s="2"/>
      <c r="F153" s="1"/>
      <c r="G153" s="2"/>
      <c r="H153" s="2"/>
      <c r="I153" s="2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s="33" customFormat="1" ht="12.75" customHeight="1">
      <c r="A154" s="1"/>
      <c r="B154" s="1"/>
      <c r="C154" s="1"/>
      <c r="D154" s="1"/>
      <c r="E154" s="2"/>
      <c r="F154" s="1"/>
      <c r="G154" s="2"/>
      <c r="H154" s="2"/>
      <c r="I154" s="2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s="33" customFormat="1" ht="12.75" customHeight="1">
      <c r="A155" s="1"/>
      <c r="B155" s="1"/>
      <c r="C155" s="1"/>
      <c r="D155" s="1"/>
      <c r="E155" s="2"/>
      <c r="F155" s="1"/>
      <c r="G155" s="2"/>
      <c r="H155" s="2"/>
      <c r="I155" s="2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s="33" customFormat="1" ht="12.75" customHeight="1">
      <c r="A156" s="1"/>
      <c r="B156" s="1"/>
      <c r="C156" s="1"/>
      <c r="D156" s="1"/>
      <c r="E156" s="2"/>
      <c r="F156" s="1"/>
      <c r="G156" s="2"/>
      <c r="H156" s="2"/>
      <c r="I156" s="2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s="33" customFormat="1" ht="12.75" customHeight="1">
      <c r="A157" s="1"/>
      <c r="B157" s="1"/>
      <c r="C157" s="1"/>
      <c r="D157" s="1"/>
      <c r="E157" s="2"/>
      <c r="F157" s="1"/>
      <c r="G157" s="2"/>
      <c r="H157" s="2"/>
      <c r="I157" s="2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s="33" customFormat="1" ht="12.75" customHeight="1">
      <c r="A158" s="1"/>
      <c r="B158" s="1"/>
      <c r="C158" s="1"/>
      <c r="D158" s="1"/>
      <c r="E158" s="2"/>
      <c r="F158" s="1"/>
      <c r="G158" s="2"/>
      <c r="H158" s="2"/>
      <c r="I158" s="2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s="33" customFormat="1" ht="12.75" customHeight="1">
      <c r="A159" s="1"/>
      <c r="B159" s="1"/>
      <c r="C159" s="1"/>
      <c r="D159" s="1"/>
      <c r="E159" s="2"/>
      <c r="F159" s="1"/>
      <c r="G159" s="2"/>
      <c r="H159" s="2"/>
      <c r="I159" s="2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s="33" customFormat="1" ht="12.75" customHeight="1">
      <c r="A160" s="1"/>
      <c r="B160" s="1"/>
      <c r="C160" s="1"/>
      <c r="D160" s="1"/>
      <c r="E160" s="2"/>
      <c r="F160" s="1"/>
      <c r="G160" s="2"/>
      <c r="H160" s="2"/>
      <c r="I160" s="2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s="33" customFormat="1" ht="12.75" customHeight="1">
      <c r="A161" s="1"/>
      <c r="B161" s="1"/>
      <c r="C161" s="1"/>
      <c r="D161" s="1"/>
      <c r="E161" s="2"/>
      <c r="F161" s="1"/>
      <c r="G161" s="2"/>
      <c r="H161" s="2"/>
      <c r="I161" s="2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s="33" customFormat="1" ht="12.75" customHeight="1">
      <c r="A162" s="1"/>
      <c r="B162" s="1"/>
      <c r="C162" s="1"/>
      <c r="D162" s="1"/>
      <c r="E162" s="2"/>
      <c r="F162" s="1"/>
      <c r="G162" s="2"/>
      <c r="H162" s="2"/>
      <c r="I162" s="2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s="33" customFormat="1" ht="12.75" customHeight="1">
      <c r="A163" s="1"/>
      <c r="B163" s="1"/>
      <c r="C163" s="1"/>
      <c r="D163" s="1"/>
      <c r="E163" s="2"/>
      <c r="F163" s="1"/>
      <c r="G163" s="2"/>
      <c r="H163" s="2"/>
      <c r="I163" s="2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s="33" customFormat="1" ht="12.75" customHeight="1">
      <c r="A164" s="1"/>
      <c r="B164" s="1"/>
      <c r="C164" s="1"/>
      <c r="D164" s="1"/>
      <c r="E164" s="2"/>
      <c r="F164" s="1"/>
      <c r="G164" s="2"/>
      <c r="H164" s="2"/>
      <c r="I164" s="2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s="33" customFormat="1" ht="12.75" customHeight="1">
      <c r="A165" s="1"/>
      <c r="B165" s="1"/>
      <c r="C165" s="1"/>
      <c r="D165" s="1"/>
      <c r="E165" s="2"/>
      <c r="F165" s="1"/>
      <c r="G165" s="2"/>
      <c r="H165" s="2"/>
      <c r="I165" s="2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s="33" customFormat="1" ht="12.75" customHeight="1">
      <c r="A166" s="1"/>
      <c r="B166" s="1"/>
      <c r="C166" s="1"/>
      <c r="D166" s="1"/>
      <c r="E166" s="2"/>
      <c r="F166" s="1"/>
      <c r="G166" s="2"/>
      <c r="H166" s="2"/>
      <c r="I166" s="2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s="33" customFormat="1" ht="12.75" customHeight="1">
      <c r="A167" s="1"/>
      <c r="B167" s="1"/>
      <c r="C167" s="1"/>
      <c r="D167" s="1"/>
      <c r="E167" s="2"/>
      <c r="F167" s="1"/>
      <c r="G167" s="2"/>
      <c r="H167" s="2"/>
      <c r="I167" s="2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s="33" customFormat="1" ht="12.75" customHeight="1">
      <c r="A168" s="1"/>
      <c r="B168" s="1"/>
      <c r="C168" s="1"/>
      <c r="D168" s="1"/>
      <c r="E168" s="2"/>
      <c r="F168" s="1"/>
      <c r="G168" s="2"/>
      <c r="H168" s="2"/>
      <c r="I168" s="2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s="33" customFormat="1" ht="12.75" customHeight="1">
      <c r="A169" s="1"/>
      <c r="B169" s="1"/>
      <c r="C169" s="1"/>
      <c r="D169" s="1"/>
      <c r="E169" s="2"/>
      <c r="F169" s="1"/>
      <c r="G169" s="2"/>
      <c r="H169" s="2"/>
      <c r="I169" s="2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s="33" customFormat="1" ht="12.75" customHeight="1">
      <c r="A170" s="1"/>
      <c r="B170" s="1"/>
      <c r="C170" s="1"/>
      <c r="D170" s="1"/>
      <c r="E170" s="2"/>
      <c r="F170" s="1"/>
      <c r="G170" s="2"/>
      <c r="H170" s="2"/>
      <c r="I170" s="2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s="33" customFormat="1" ht="12.75" customHeight="1">
      <c r="A171" s="1"/>
      <c r="B171" s="1"/>
      <c r="C171" s="1"/>
      <c r="D171" s="1"/>
      <c r="E171" s="2"/>
      <c r="F171" s="1"/>
      <c r="G171" s="2"/>
      <c r="H171" s="2"/>
      <c r="I171" s="2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s="33" customFormat="1" ht="12.75" customHeight="1">
      <c r="A172" s="1"/>
      <c r="B172" s="1"/>
      <c r="C172" s="1"/>
      <c r="D172" s="1"/>
      <c r="E172" s="2"/>
      <c r="F172" s="1"/>
      <c r="G172" s="2"/>
      <c r="H172" s="2"/>
      <c r="I172" s="2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s="33" customFormat="1" ht="12.75" customHeight="1">
      <c r="A173" s="1"/>
      <c r="B173" s="1"/>
      <c r="C173" s="1"/>
      <c r="D173" s="1"/>
      <c r="E173" s="2"/>
      <c r="F173" s="1"/>
      <c r="G173" s="2"/>
      <c r="H173" s="2"/>
      <c r="I173" s="2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s="33" customFormat="1" ht="12.75" customHeight="1">
      <c r="A174" s="1"/>
      <c r="B174" s="1"/>
      <c r="C174" s="1"/>
      <c r="D174" s="1"/>
      <c r="E174" s="2"/>
      <c r="F174" s="1"/>
      <c r="G174" s="2"/>
      <c r="H174" s="2"/>
      <c r="I174" s="2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s="33" customFormat="1" ht="12.75" customHeight="1">
      <c r="A175" s="1"/>
      <c r="B175" s="1"/>
      <c r="C175" s="1"/>
      <c r="D175" s="1"/>
      <c r="E175" s="2"/>
      <c r="F175" s="1"/>
      <c r="G175" s="2"/>
      <c r="H175" s="2"/>
      <c r="I175" s="2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s="33" customFormat="1" ht="12.75" customHeight="1">
      <c r="A176" s="1"/>
      <c r="B176" s="1"/>
      <c r="C176" s="1"/>
      <c r="D176" s="1"/>
      <c r="E176" s="2"/>
      <c r="F176" s="1"/>
      <c r="G176" s="2"/>
      <c r="H176" s="2"/>
      <c r="I176" s="2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s="33" customFormat="1" ht="12.75" customHeight="1">
      <c r="A177" s="1"/>
      <c r="B177" s="1"/>
      <c r="C177" s="1"/>
      <c r="D177" s="1"/>
      <c r="E177" s="2"/>
      <c r="F177" s="1"/>
      <c r="G177" s="2"/>
      <c r="H177" s="2"/>
      <c r="I177" s="2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s="33" customFormat="1" ht="12.75" customHeight="1">
      <c r="A178" s="1"/>
      <c r="B178" s="1"/>
      <c r="C178" s="1"/>
      <c r="D178" s="1"/>
      <c r="E178" s="2"/>
      <c r="F178" s="1"/>
      <c r="G178" s="2"/>
      <c r="H178" s="2"/>
      <c r="I178" s="2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s="33" customFormat="1" ht="12.75" customHeight="1">
      <c r="A179" s="1"/>
      <c r="B179" s="1"/>
      <c r="C179" s="1"/>
      <c r="D179" s="1"/>
      <c r="E179" s="2"/>
      <c r="F179" s="1"/>
      <c r="G179" s="2"/>
      <c r="H179" s="2"/>
      <c r="I179" s="2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s="33" customFormat="1" ht="12.75" customHeight="1">
      <c r="A180" s="1"/>
      <c r="B180" s="1"/>
      <c r="C180" s="1"/>
      <c r="D180" s="1"/>
      <c r="E180" s="2"/>
      <c r="F180" s="1"/>
      <c r="G180" s="2"/>
      <c r="H180" s="2"/>
      <c r="I180" s="2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s="33" customFormat="1" ht="12.75" customHeight="1">
      <c r="A181" s="1"/>
      <c r="B181" s="1"/>
      <c r="C181" s="1"/>
      <c r="D181" s="1"/>
      <c r="E181" s="2"/>
      <c r="F181" s="1"/>
      <c r="G181" s="2"/>
      <c r="H181" s="2"/>
      <c r="I181" s="2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s="33" customFormat="1" ht="12.75" customHeight="1">
      <c r="A182" s="1"/>
      <c r="B182" s="1"/>
      <c r="C182" s="1"/>
      <c r="D182" s="1"/>
      <c r="E182" s="2"/>
      <c r="F182" s="1"/>
      <c r="G182" s="2"/>
      <c r="H182" s="2"/>
      <c r="I182" s="2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s="33" customFormat="1" ht="12.75" customHeight="1">
      <c r="A183" s="1"/>
      <c r="B183" s="1"/>
      <c r="C183" s="1"/>
      <c r="D183" s="1"/>
      <c r="E183" s="2"/>
      <c r="F183" s="1"/>
      <c r="G183" s="2"/>
      <c r="H183" s="2"/>
      <c r="I183" s="2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s="33" customFormat="1" ht="12.75" customHeight="1">
      <c r="A184" s="1"/>
      <c r="B184" s="1"/>
      <c r="C184" s="1"/>
      <c r="D184" s="1"/>
      <c r="E184" s="2"/>
      <c r="F184" s="1"/>
      <c r="G184" s="2"/>
      <c r="H184" s="2"/>
      <c r="I184" s="2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s="33" customFormat="1" ht="12.75" customHeight="1">
      <c r="A185" s="1"/>
      <c r="B185" s="1"/>
      <c r="C185" s="1"/>
      <c r="D185" s="1"/>
      <c r="E185" s="2"/>
      <c r="F185" s="1"/>
      <c r="G185" s="2"/>
      <c r="H185" s="2"/>
      <c r="I185" s="2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s="33" customFormat="1" ht="12.75" customHeight="1">
      <c r="A186" s="1"/>
      <c r="B186" s="1"/>
      <c r="C186" s="1"/>
      <c r="D186" s="1"/>
      <c r="E186" s="2"/>
      <c r="F186" s="1"/>
      <c r="G186" s="2"/>
      <c r="H186" s="2"/>
      <c r="I186" s="2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s="33" customFormat="1" ht="12.75" customHeight="1">
      <c r="A187" s="1"/>
      <c r="B187" s="1"/>
      <c r="C187" s="1"/>
      <c r="D187" s="1"/>
      <c r="E187" s="2"/>
      <c r="F187" s="1"/>
      <c r="G187" s="2"/>
      <c r="H187" s="2"/>
      <c r="I187" s="2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s="33" customFormat="1" ht="12.75" customHeight="1">
      <c r="A188" s="1"/>
      <c r="B188" s="1"/>
      <c r="C188" s="1"/>
      <c r="D188" s="1"/>
      <c r="E188" s="2"/>
      <c r="F188" s="1"/>
      <c r="G188" s="2"/>
      <c r="H188" s="2"/>
      <c r="I188" s="2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s="33" customFormat="1" ht="12.75" customHeight="1">
      <c r="A189" s="1"/>
      <c r="B189" s="1"/>
      <c r="C189" s="1"/>
      <c r="D189" s="1"/>
      <c r="E189" s="2"/>
      <c r="F189" s="1"/>
      <c r="G189" s="2"/>
      <c r="H189" s="2"/>
      <c r="I189" s="2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s="33" customFormat="1" ht="12.75" customHeight="1">
      <c r="A190" s="1"/>
      <c r="B190" s="1"/>
      <c r="C190" s="1"/>
      <c r="D190" s="1"/>
      <c r="E190" s="2"/>
      <c r="F190" s="1"/>
      <c r="G190" s="2"/>
      <c r="H190" s="2"/>
      <c r="I190" s="2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s="33" customFormat="1" ht="12.75" customHeight="1">
      <c r="A191" s="1"/>
      <c r="B191" s="1"/>
      <c r="C191" s="1"/>
      <c r="D191" s="1"/>
      <c r="E191" s="2"/>
      <c r="F191" s="1"/>
      <c r="G191" s="2"/>
      <c r="H191" s="2"/>
      <c r="I191" s="2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s="33" customFormat="1" ht="12.75" customHeight="1">
      <c r="A192" s="1"/>
      <c r="B192" s="1"/>
      <c r="C192" s="1"/>
      <c r="D192" s="1"/>
      <c r="E192" s="2"/>
      <c r="F192" s="1"/>
      <c r="G192" s="2"/>
      <c r="H192" s="2"/>
      <c r="I192" s="2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s="33" customFormat="1" ht="12.75" customHeight="1">
      <c r="A193" s="1"/>
      <c r="B193" s="1"/>
      <c r="C193" s="1"/>
      <c r="D193" s="1"/>
      <c r="E193" s="2"/>
      <c r="F193" s="1"/>
      <c r="G193" s="2"/>
      <c r="H193" s="2"/>
      <c r="I193" s="2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s="33" customFormat="1" ht="12.75" customHeight="1">
      <c r="A194" s="1"/>
      <c r="B194" s="1"/>
      <c r="C194" s="1"/>
      <c r="D194" s="1"/>
      <c r="E194" s="2"/>
      <c r="F194" s="1"/>
      <c r="G194" s="2"/>
      <c r="H194" s="2"/>
      <c r="I194" s="2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s="33" customFormat="1" ht="12.75" customHeight="1">
      <c r="A195" s="1"/>
      <c r="B195" s="1"/>
      <c r="C195" s="1"/>
      <c r="D195" s="1"/>
      <c r="E195" s="2"/>
      <c r="F195" s="1"/>
      <c r="G195" s="2"/>
      <c r="H195" s="2"/>
      <c r="I195" s="2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s="33" customFormat="1" ht="12.75" customHeight="1">
      <c r="A196" s="1"/>
      <c r="B196" s="1"/>
      <c r="C196" s="1"/>
      <c r="D196" s="1"/>
      <c r="E196" s="2"/>
      <c r="F196" s="1"/>
      <c r="G196" s="2"/>
      <c r="H196" s="2"/>
      <c r="I196" s="2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s="33" customFormat="1" ht="12.75" customHeight="1">
      <c r="A197" s="1"/>
      <c r="B197" s="1"/>
      <c r="C197" s="1"/>
      <c r="D197" s="1"/>
      <c r="E197" s="2"/>
      <c r="F197" s="1"/>
      <c r="G197" s="2"/>
      <c r="H197" s="2"/>
      <c r="I197" s="2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s="33" customFormat="1" ht="12.75" customHeight="1">
      <c r="A198" s="1"/>
      <c r="B198" s="1"/>
      <c r="C198" s="1"/>
      <c r="D198" s="1"/>
      <c r="E198" s="2"/>
      <c r="F198" s="1"/>
      <c r="G198" s="2"/>
      <c r="H198" s="2"/>
      <c r="I198" s="2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s="33" customFormat="1" ht="12.75" customHeight="1">
      <c r="A199" s="1"/>
      <c r="B199" s="1"/>
      <c r="C199" s="1"/>
      <c r="D199" s="1"/>
      <c r="E199" s="2"/>
      <c r="F199" s="1"/>
      <c r="G199" s="2"/>
      <c r="H199" s="2"/>
      <c r="I199" s="2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s="33" customFormat="1" ht="12.75" customHeight="1">
      <c r="A200" s="1"/>
      <c r="B200" s="1"/>
      <c r="C200" s="1"/>
      <c r="D200" s="1"/>
      <c r="E200" s="2"/>
      <c r="F200" s="1"/>
      <c r="G200" s="2"/>
      <c r="H200" s="2"/>
      <c r="I200" s="2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s="33" customFormat="1" ht="12.75" customHeight="1">
      <c r="A201" s="1"/>
      <c r="B201" s="1"/>
      <c r="C201" s="1"/>
      <c r="D201" s="1"/>
      <c r="E201" s="2"/>
      <c r="F201" s="1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s="33" customFormat="1" ht="12.75" customHeight="1">
      <c r="A202" s="1"/>
      <c r="B202" s="1"/>
      <c r="C202" s="1"/>
      <c r="D202" s="1"/>
      <c r="E202" s="2"/>
      <c r="F202" s="1"/>
      <c r="G202" s="2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s="33" customFormat="1" ht="12.75" customHeight="1">
      <c r="A203" s="1"/>
      <c r="B203" s="1"/>
      <c r="C203" s="1"/>
      <c r="D203" s="1"/>
      <c r="E203" s="2"/>
      <c r="F203" s="1"/>
      <c r="G203" s="2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s="33" customFormat="1" ht="12.75" customHeight="1">
      <c r="A204" s="1"/>
      <c r="B204" s="1"/>
      <c r="C204" s="1"/>
      <c r="D204" s="1"/>
      <c r="E204" s="2"/>
      <c r="F204" s="1"/>
      <c r="G204" s="2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s="33" customFormat="1" ht="12.75" customHeight="1">
      <c r="A205" s="1"/>
      <c r="B205" s="1"/>
      <c r="C205" s="1"/>
      <c r="D205" s="1"/>
      <c r="E205" s="2"/>
      <c r="F205" s="1"/>
      <c r="G205" s="2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s="33" customFormat="1" ht="12.75" customHeight="1">
      <c r="A206" s="1"/>
      <c r="B206" s="1"/>
      <c r="C206" s="1"/>
      <c r="D206" s="1"/>
      <c r="E206" s="2"/>
      <c r="F206" s="1"/>
      <c r="G206" s="2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s="33" customFormat="1" ht="12.75" customHeight="1">
      <c r="A207" s="1"/>
      <c r="B207" s="1"/>
      <c r="C207" s="1"/>
      <c r="D207" s="1"/>
      <c r="E207" s="2"/>
      <c r="F207" s="1"/>
      <c r="G207" s="2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</sheetData>
  <autoFilter ref="A9:AJ115" xr:uid="{00000000-0009-0000-0000-000021000000}">
    <filterColumn colId="15">
      <filters>
        <filter val="0.01"/>
        <filter val="1 335.68"/>
        <filter val="1 600.00"/>
        <filter val="124.00"/>
        <filter val="16 677.50"/>
        <filter val="2 239 202.94"/>
        <filter val="2.00"/>
        <filter val="20 800.00"/>
        <filter val="583.06"/>
      </filters>
    </filterColumn>
  </autoFilter>
  <mergeCells count="25">
    <mergeCell ref="E7:E8"/>
    <mergeCell ref="F7:F8"/>
    <mergeCell ref="G7:G8"/>
    <mergeCell ref="H7:J7"/>
    <mergeCell ref="K7:M7"/>
    <mergeCell ref="G2:S2"/>
    <mergeCell ref="T2:X2"/>
    <mergeCell ref="G3:S3"/>
    <mergeCell ref="G4:S4"/>
    <mergeCell ref="G5:S5"/>
    <mergeCell ref="I114:J114"/>
    <mergeCell ref="L114:M114"/>
    <mergeCell ref="N114:O114"/>
    <mergeCell ref="P114:Q114"/>
    <mergeCell ref="R114:S114"/>
    <mergeCell ref="N7:O7"/>
    <mergeCell ref="P7:Q7"/>
    <mergeCell ref="R7:S7"/>
    <mergeCell ref="T7:U7"/>
    <mergeCell ref="V7:X7"/>
    <mergeCell ref="T114:U114"/>
    <mergeCell ref="T115:U115"/>
    <mergeCell ref="K126:P126"/>
    <mergeCell ref="K127:P127"/>
    <mergeCell ref="K128:P128"/>
  </mergeCells>
  <conditionalFormatting sqref="X17:X25 X84 X15 X27:X31 X82 Y8:Y114">
    <cfRule type="cellIs" dxfId="97" priority="97" operator="greaterThan">
      <formula>1</formula>
    </cfRule>
    <cfRule type="cellIs" dxfId="96" priority="98" operator="greaterThan">
      <formula>100</formula>
    </cfRule>
  </conditionalFormatting>
  <conditionalFormatting sqref="X33">
    <cfRule type="cellIs" dxfId="95" priority="95" operator="greaterThan">
      <formula>1</formula>
    </cfRule>
    <cfRule type="cellIs" dxfId="94" priority="96" operator="greaterThan">
      <formula>100</formula>
    </cfRule>
  </conditionalFormatting>
  <conditionalFormatting sqref="X16">
    <cfRule type="cellIs" dxfId="93" priority="93" operator="greaterThan">
      <formula>1</formula>
    </cfRule>
    <cfRule type="cellIs" dxfId="92" priority="94" operator="greaterThan">
      <formula>100</formula>
    </cfRule>
  </conditionalFormatting>
  <conditionalFormatting sqref="X34:X38">
    <cfRule type="cellIs" dxfId="91" priority="91" operator="greaterThan">
      <formula>1</formula>
    </cfRule>
    <cfRule type="cellIs" dxfId="90" priority="92" operator="greaterThan">
      <formula>100</formula>
    </cfRule>
  </conditionalFormatting>
  <conditionalFormatting sqref="X41">
    <cfRule type="cellIs" dxfId="89" priority="89" operator="greaterThan">
      <formula>1</formula>
    </cfRule>
    <cfRule type="cellIs" dxfId="88" priority="90" operator="greaterThan">
      <formula>100</formula>
    </cfRule>
  </conditionalFormatting>
  <conditionalFormatting sqref="X47:X81">
    <cfRule type="cellIs" dxfId="87" priority="87" operator="greaterThan">
      <formula>1</formula>
    </cfRule>
    <cfRule type="cellIs" dxfId="86" priority="88" operator="greaterThan">
      <formula>100</formula>
    </cfRule>
  </conditionalFormatting>
  <conditionalFormatting sqref="X42:X46">
    <cfRule type="cellIs" dxfId="85" priority="85" operator="greaterThan">
      <formula>1</formula>
    </cfRule>
    <cfRule type="cellIs" dxfId="84" priority="86" operator="greaterThan">
      <formula>100</formula>
    </cfRule>
  </conditionalFormatting>
  <conditionalFormatting sqref="X106:X111">
    <cfRule type="cellIs" dxfId="83" priority="75" operator="greaterThan">
      <formula>1</formula>
    </cfRule>
    <cfRule type="cellIs" dxfId="82" priority="76" operator="greaterThan">
      <formula>100</formula>
    </cfRule>
  </conditionalFormatting>
  <conditionalFormatting sqref="X85:X98 X100">
    <cfRule type="cellIs" dxfId="81" priority="83" operator="greaterThan">
      <formula>1</formula>
    </cfRule>
    <cfRule type="cellIs" dxfId="80" priority="84" operator="greaterThan">
      <formula>100</formula>
    </cfRule>
  </conditionalFormatting>
  <conditionalFormatting sqref="X102">
    <cfRule type="cellIs" dxfId="79" priority="81" operator="greaterThan">
      <formula>1</formula>
    </cfRule>
    <cfRule type="cellIs" dxfId="78" priority="82" operator="greaterThan">
      <formula>100</formula>
    </cfRule>
  </conditionalFormatting>
  <conditionalFormatting sqref="X105">
    <cfRule type="cellIs" dxfId="77" priority="79" operator="greaterThan">
      <formula>1</formula>
    </cfRule>
    <cfRule type="cellIs" dxfId="76" priority="80" operator="greaterThan">
      <formula>100</formula>
    </cfRule>
  </conditionalFormatting>
  <conditionalFormatting sqref="X103">
    <cfRule type="cellIs" dxfId="75" priority="77" operator="greaterThan">
      <formula>1</formula>
    </cfRule>
    <cfRule type="cellIs" dxfId="74" priority="78" operator="greaterThan">
      <formula>100</formula>
    </cfRule>
  </conditionalFormatting>
  <conditionalFormatting sqref="V16:V25 V34:V38 V42:V81 V103 V10 V14 V85:V98 V100 V27:W31 V82:W82 V106:V111">
    <cfRule type="cellIs" dxfId="73" priority="74" operator="equal">
      <formula>0</formula>
    </cfRule>
  </conditionalFormatting>
  <conditionalFormatting sqref="V14">
    <cfRule type="cellIs" dxfId="72" priority="73" operator="equal">
      <formula>0</formula>
    </cfRule>
  </conditionalFormatting>
  <conditionalFormatting sqref="W10 W14">
    <cfRule type="cellIs" dxfId="71" priority="72" operator="equal">
      <formula>0</formula>
    </cfRule>
  </conditionalFormatting>
  <conditionalFormatting sqref="W14">
    <cfRule type="cellIs" dxfId="70" priority="71" operator="equal">
      <formula>0</formula>
    </cfRule>
  </conditionalFormatting>
  <conditionalFormatting sqref="X10 X14">
    <cfRule type="cellIs" dxfId="69" priority="70" operator="equal">
      <formula>0</formula>
    </cfRule>
  </conditionalFormatting>
  <conditionalFormatting sqref="X14">
    <cfRule type="cellIs" dxfId="68" priority="69" operator="equal">
      <formula>0</formula>
    </cfRule>
  </conditionalFormatting>
  <conditionalFormatting sqref="W16:W25">
    <cfRule type="cellIs" dxfId="67" priority="68" operator="equal">
      <formula>0</formula>
    </cfRule>
  </conditionalFormatting>
  <conditionalFormatting sqref="W34:W38">
    <cfRule type="cellIs" dxfId="66" priority="67" operator="equal">
      <formula>0</formula>
    </cfRule>
  </conditionalFormatting>
  <conditionalFormatting sqref="W42:W81">
    <cfRule type="cellIs" dxfId="65" priority="66" operator="equal">
      <formula>0</formula>
    </cfRule>
  </conditionalFormatting>
  <conditionalFormatting sqref="W85:W98 W100">
    <cfRule type="cellIs" dxfId="64" priority="65" operator="equal">
      <formula>0</formula>
    </cfRule>
  </conditionalFormatting>
  <conditionalFormatting sqref="W103">
    <cfRule type="cellIs" dxfId="63" priority="64" operator="equal">
      <formula>0</formula>
    </cfRule>
  </conditionalFormatting>
  <conditionalFormatting sqref="W106:W111">
    <cfRule type="cellIs" dxfId="62" priority="63" operator="equal">
      <formula>0</formula>
    </cfRule>
  </conditionalFormatting>
  <conditionalFormatting sqref="X12:X13">
    <cfRule type="cellIs" dxfId="61" priority="61" operator="greaterThan">
      <formula>1</formula>
    </cfRule>
    <cfRule type="cellIs" dxfId="60" priority="62" operator="greaterThan">
      <formula>100</formula>
    </cfRule>
  </conditionalFormatting>
  <conditionalFormatting sqref="V12:V13">
    <cfRule type="cellIs" dxfId="59" priority="60" operator="equal">
      <formula>0</formula>
    </cfRule>
  </conditionalFormatting>
  <conditionalFormatting sqref="W12:W13">
    <cfRule type="cellIs" dxfId="58" priority="59" operator="equal">
      <formula>0</formula>
    </cfRule>
  </conditionalFormatting>
  <conditionalFormatting sqref="X11">
    <cfRule type="cellIs" dxfId="57" priority="57" operator="greaterThan">
      <formula>1</formula>
    </cfRule>
    <cfRule type="cellIs" dxfId="56" priority="58" operator="greaterThan">
      <formula>100</formula>
    </cfRule>
  </conditionalFormatting>
  <conditionalFormatting sqref="V11">
    <cfRule type="cellIs" dxfId="55" priority="56" operator="equal">
      <formula>0</formula>
    </cfRule>
  </conditionalFormatting>
  <conditionalFormatting sqref="W11">
    <cfRule type="cellIs" dxfId="54" priority="55" operator="equal">
      <formula>0</formula>
    </cfRule>
  </conditionalFormatting>
  <conditionalFormatting sqref="X99">
    <cfRule type="cellIs" dxfId="53" priority="7" operator="greaterThan">
      <formula>1</formula>
    </cfRule>
    <cfRule type="cellIs" dxfId="52" priority="8" operator="greaterThan">
      <formula>100</formula>
    </cfRule>
  </conditionalFormatting>
  <conditionalFormatting sqref="V99">
    <cfRule type="cellIs" dxfId="51" priority="6" operator="equal">
      <formula>0</formula>
    </cfRule>
  </conditionalFormatting>
  <conditionalFormatting sqref="W99">
    <cfRule type="cellIs" dxfId="50" priority="5" operator="equal">
      <formula>0</formula>
    </cfRule>
  </conditionalFormatting>
  <conditionalFormatting sqref="V32">
    <cfRule type="cellIs" dxfId="49" priority="54" operator="equal">
      <formula>0</formula>
    </cfRule>
  </conditionalFormatting>
  <conditionalFormatting sqref="V32">
    <cfRule type="cellIs" dxfId="48" priority="53" operator="equal">
      <formula>0</formula>
    </cfRule>
  </conditionalFormatting>
  <conditionalFormatting sqref="W32">
    <cfRule type="cellIs" dxfId="47" priority="52" operator="equal">
      <formula>0</formula>
    </cfRule>
  </conditionalFormatting>
  <conditionalFormatting sqref="W32">
    <cfRule type="cellIs" dxfId="46" priority="51" operator="equal">
      <formula>0</formula>
    </cfRule>
  </conditionalFormatting>
  <conditionalFormatting sqref="X32">
    <cfRule type="cellIs" dxfId="45" priority="50" operator="equal">
      <formula>0</formula>
    </cfRule>
  </conditionalFormatting>
  <conditionalFormatting sqref="X32">
    <cfRule type="cellIs" dxfId="44" priority="49" operator="equal">
      <formula>0</formula>
    </cfRule>
  </conditionalFormatting>
  <conditionalFormatting sqref="V40">
    <cfRule type="cellIs" dxfId="43" priority="48" operator="equal">
      <formula>0</formula>
    </cfRule>
  </conditionalFormatting>
  <conditionalFormatting sqref="V40">
    <cfRule type="cellIs" dxfId="42" priority="47" operator="equal">
      <formula>0</formula>
    </cfRule>
  </conditionalFormatting>
  <conditionalFormatting sqref="W40">
    <cfRule type="cellIs" dxfId="41" priority="46" operator="equal">
      <formula>0</formula>
    </cfRule>
  </conditionalFormatting>
  <conditionalFormatting sqref="W40">
    <cfRule type="cellIs" dxfId="40" priority="45" operator="equal">
      <formula>0</formula>
    </cfRule>
  </conditionalFormatting>
  <conditionalFormatting sqref="X40">
    <cfRule type="cellIs" dxfId="39" priority="44" operator="equal">
      <formula>0</formula>
    </cfRule>
  </conditionalFormatting>
  <conditionalFormatting sqref="X40">
    <cfRule type="cellIs" dxfId="38" priority="43" operator="equal">
      <formula>0</formula>
    </cfRule>
  </conditionalFormatting>
  <conditionalFormatting sqref="V83">
    <cfRule type="cellIs" dxfId="37" priority="42" operator="equal">
      <formula>0</formula>
    </cfRule>
  </conditionalFormatting>
  <conditionalFormatting sqref="V83">
    <cfRule type="cellIs" dxfId="36" priority="41" operator="equal">
      <formula>0</formula>
    </cfRule>
  </conditionalFormatting>
  <conditionalFormatting sqref="W83">
    <cfRule type="cellIs" dxfId="35" priority="40" operator="equal">
      <formula>0</formula>
    </cfRule>
  </conditionalFormatting>
  <conditionalFormatting sqref="W83">
    <cfRule type="cellIs" dxfId="34" priority="39" operator="equal">
      <formula>0</formula>
    </cfRule>
  </conditionalFormatting>
  <conditionalFormatting sqref="X83">
    <cfRule type="cellIs" dxfId="33" priority="38" operator="equal">
      <formula>0</formula>
    </cfRule>
  </conditionalFormatting>
  <conditionalFormatting sqref="X83">
    <cfRule type="cellIs" dxfId="32" priority="37" operator="equal">
      <formula>0</formula>
    </cfRule>
  </conditionalFormatting>
  <conditionalFormatting sqref="V101">
    <cfRule type="cellIs" dxfId="31" priority="36" operator="equal">
      <formula>0</formula>
    </cfRule>
  </conditionalFormatting>
  <conditionalFormatting sqref="V101">
    <cfRule type="cellIs" dxfId="30" priority="35" operator="equal">
      <formula>0</formula>
    </cfRule>
  </conditionalFormatting>
  <conditionalFormatting sqref="W101">
    <cfRule type="cellIs" dxfId="29" priority="34" operator="equal">
      <formula>0</formula>
    </cfRule>
  </conditionalFormatting>
  <conditionalFormatting sqref="W101">
    <cfRule type="cellIs" dxfId="28" priority="33" operator="equal">
      <formula>0</formula>
    </cfRule>
  </conditionalFormatting>
  <conditionalFormatting sqref="X101">
    <cfRule type="cellIs" dxfId="27" priority="32" operator="equal">
      <formula>0</formula>
    </cfRule>
  </conditionalFormatting>
  <conditionalFormatting sqref="X101">
    <cfRule type="cellIs" dxfId="26" priority="31" operator="equal">
      <formula>0</formula>
    </cfRule>
  </conditionalFormatting>
  <conditionalFormatting sqref="V104">
    <cfRule type="cellIs" dxfId="25" priority="30" operator="equal">
      <formula>0</formula>
    </cfRule>
  </conditionalFormatting>
  <conditionalFormatting sqref="V104">
    <cfRule type="cellIs" dxfId="24" priority="29" operator="equal">
      <formula>0</formula>
    </cfRule>
  </conditionalFormatting>
  <conditionalFormatting sqref="W104">
    <cfRule type="cellIs" dxfId="23" priority="28" operator="equal">
      <formula>0</formula>
    </cfRule>
  </conditionalFormatting>
  <conditionalFormatting sqref="W104">
    <cfRule type="cellIs" dxfId="22" priority="27" operator="equal">
      <formula>0</formula>
    </cfRule>
  </conditionalFormatting>
  <conditionalFormatting sqref="X104">
    <cfRule type="cellIs" dxfId="21" priority="26" operator="equal">
      <formula>0</formula>
    </cfRule>
  </conditionalFormatting>
  <conditionalFormatting sqref="X104">
    <cfRule type="cellIs" dxfId="20" priority="25" operator="equal">
      <formula>0</formula>
    </cfRule>
  </conditionalFormatting>
  <conditionalFormatting sqref="V112">
    <cfRule type="cellIs" dxfId="19" priority="24" operator="equal">
      <formula>0</formula>
    </cfRule>
  </conditionalFormatting>
  <conditionalFormatting sqref="V112">
    <cfRule type="cellIs" dxfId="18" priority="23" operator="equal">
      <formula>0</formula>
    </cfRule>
  </conditionalFormatting>
  <conditionalFormatting sqref="W112">
    <cfRule type="cellIs" dxfId="17" priority="22" operator="equal">
      <formula>0</formula>
    </cfRule>
  </conditionalFormatting>
  <conditionalFormatting sqref="W112">
    <cfRule type="cellIs" dxfId="16" priority="21" operator="equal">
      <formula>0</formula>
    </cfRule>
  </conditionalFormatting>
  <conditionalFormatting sqref="X112">
    <cfRule type="cellIs" dxfId="15" priority="20" operator="equal">
      <formula>0</formula>
    </cfRule>
  </conditionalFormatting>
  <conditionalFormatting sqref="X112">
    <cfRule type="cellIs" dxfId="14" priority="19" operator="equal">
      <formula>0</formula>
    </cfRule>
  </conditionalFormatting>
  <conditionalFormatting sqref="V114">
    <cfRule type="cellIs" dxfId="13" priority="18" operator="equal">
      <formula>0</formula>
    </cfRule>
  </conditionalFormatting>
  <conditionalFormatting sqref="V114">
    <cfRule type="cellIs" dxfId="12" priority="17" operator="equal">
      <formula>0</formula>
    </cfRule>
  </conditionalFormatting>
  <conditionalFormatting sqref="W114">
    <cfRule type="cellIs" dxfId="11" priority="16" operator="equal">
      <formula>0</formula>
    </cfRule>
  </conditionalFormatting>
  <conditionalFormatting sqref="W114">
    <cfRule type="cellIs" dxfId="10" priority="15" operator="equal">
      <formula>0</formula>
    </cfRule>
  </conditionalFormatting>
  <conditionalFormatting sqref="X114">
    <cfRule type="cellIs" dxfId="9" priority="14" operator="equal">
      <formula>0</formula>
    </cfRule>
  </conditionalFormatting>
  <conditionalFormatting sqref="X114">
    <cfRule type="cellIs" dxfId="8" priority="13" operator="equal">
      <formula>0</formula>
    </cfRule>
  </conditionalFormatting>
  <conditionalFormatting sqref="X39">
    <cfRule type="cellIs" dxfId="7" priority="11" operator="greaterThan">
      <formula>1</formula>
    </cfRule>
    <cfRule type="cellIs" dxfId="6" priority="12" operator="greaterThan">
      <formula>100</formula>
    </cfRule>
  </conditionalFormatting>
  <conditionalFormatting sqref="V39">
    <cfRule type="cellIs" dxfId="5" priority="10" operator="equal">
      <formula>0</formula>
    </cfRule>
  </conditionalFormatting>
  <conditionalFormatting sqref="W39">
    <cfRule type="cellIs" dxfId="4" priority="9" operator="equal">
      <formula>0</formula>
    </cfRule>
  </conditionalFormatting>
  <conditionalFormatting sqref="X26">
    <cfRule type="cellIs" dxfId="3" priority="3" operator="greaterThan">
      <formula>1</formula>
    </cfRule>
    <cfRule type="cellIs" dxfId="2" priority="4" operator="greaterThan">
      <formula>100</formula>
    </cfRule>
  </conditionalFormatting>
  <conditionalFormatting sqref="V26">
    <cfRule type="cellIs" dxfId="1" priority="2" operator="equal">
      <formula>0</formula>
    </cfRule>
  </conditionalFormatting>
  <conditionalFormatting sqref="W26">
    <cfRule type="cellIs" dxfId="0" priority="1" operator="equal">
      <formula>0</formula>
    </cfRule>
  </conditionalFormatting>
  <hyperlinks>
    <hyperlink ref="G2:S2" location="Certificado!A1" display="PLANILLA DE AVANCE DE OBRA" xr:uid="{00000000-0004-0000-2100-000000000000}"/>
  </hyperlinks>
  <printOptions horizontalCentered="1"/>
  <pageMargins left="0.39370078740157483" right="0.39370078740157483" top="0.78740157480314965" bottom="0.39370078740157483" header="0" footer="0.19685039370078741"/>
  <pageSetup scale="52" fitToHeight="0" orientation="landscape" r:id="rId1"/>
  <headerFooter alignWithMargins="0">
    <oddFooter>&amp;C&amp;P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>
    <tabColor rgb="FFFFFF00"/>
  </sheetPr>
  <dimension ref="A1:AF46"/>
  <sheetViews>
    <sheetView view="pageBreakPreview" topLeftCell="A4" zoomScale="115" zoomScaleNormal="70" zoomScaleSheetLayoutView="115" zoomScalePageLayoutView="25" workbookViewId="0">
      <selection activeCell="L13" sqref="L13"/>
    </sheetView>
  </sheetViews>
  <sheetFormatPr baseColWidth="10" defaultColWidth="11.42578125" defaultRowHeight="13.5" customHeight="1"/>
  <cols>
    <col min="1" max="2" width="5.7109375" style="432" customWidth="1"/>
    <col min="3" max="12" width="6.28515625" style="432" customWidth="1"/>
    <col min="13" max="15" width="5.7109375" style="432" customWidth="1"/>
    <col min="16" max="16384" width="11.42578125" style="432"/>
  </cols>
  <sheetData>
    <row r="1" spans="1:32" ht="12.75">
      <c r="A1" s="429"/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1"/>
    </row>
    <row r="2" spans="1:32" ht="12.75">
      <c r="A2" s="433"/>
      <c r="B2" s="434"/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5"/>
    </row>
    <row r="3" spans="1:32" ht="20.25">
      <c r="A3" s="1524" t="s">
        <v>7</v>
      </c>
      <c r="B3" s="1525"/>
      <c r="C3" s="1525"/>
      <c r="D3" s="1525"/>
      <c r="E3" s="1525"/>
      <c r="F3" s="1525"/>
      <c r="G3" s="1525"/>
      <c r="H3" s="1525"/>
      <c r="I3" s="1525"/>
      <c r="J3" s="1525"/>
      <c r="K3" s="1525"/>
      <c r="L3" s="1525"/>
      <c r="M3" s="1525"/>
      <c r="N3" s="1526"/>
      <c r="Q3" s="1031" t="s">
        <v>571</v>
      </c>
      <c r="R3" s="1031"/>
      <c r="S3" s="1031"/>
      <c r="T3" s="1031"/>
      <c r="U3" s="1031"/>
      <c r="V3" s="1031"/>
      <c r="W3" s="1031"/>
      <c r="X3" s="1031"/>
      <c r="Y3" s="1031"/>
      <c r="Z3" s="1031"/>
      <c r="AA3" s="1031"/>
      <c r="AB3" s="1031"/>
      <c r="AC3" s="1031"/>
      <c r="AD3" s="1031"/>
      <c r="AE3" s="1031"/>
      <c r="AF3" s="1032"/>
    </row>
    <row r="4" spans="1:32" ht="14.25">
      <c r="A4" s="1527" t="s">
        <v>385</v>
      </c>
      <c r="B4" s="1528"/>
      <c r="C4" s="1528"/>
      <c r="D4" s="1528"/>
      <c r="E4" s="1528"/>
      <c r="F4" s="1528"/>
      <c r="G4" s="1528"/>
      <c r="H4" s="1528"/>
      <c r="I4" s="1528"/>
      <c r="J4" s="1528"/>
      <c r="K4" s="1528"/>
      <c r="L4" s="1528"/>
      <c r="M4" s="1528"/>
      <c r="N4" s="1529"/>
      <c r="Q4" s="1031" t="s">
        <v>572</v>
      </c>
      <c r="R4" s="1031"/>
      <c r="S4" s="1031"/>
      <c r="T4" s="1031"/>
      <c r="U4" s="1031"/>
      <c r="V4" s="1031"/>
      <c r="W4" s="1031"/>
      <c r="X4" s="1031"/>
      <c r="Y4" s="1031"/>
      <c r="Z4" s="1031"/>
      <c r="AA4" s="1031"/>
      <c r="AB4" s="1031"/>
      <c r="AC4" s="1031"/>
      <c r="AD4" s="1031"/>
      <c r="AE4" s="1031"/>
      <c r="AF4" s="1032"/>
    </row>
    <row r="5" spans="1:32" ht="12.95" customHeight="1">
      <c r="A5" s="433"/>
      <c r="B5" s="434"/>
      <c r="C5" s="434"/>
      <c r="D5" s="434"/>
      <c r="E5" s="434"/>
      <c r="F5" s="434"/>
      <c r="G5" s="434"/>
      <c r="H5" s="434"/>
      <c r="I5" s="434"/>
      <c r="J5" s="434"/>
      <c r="K5" s="434"/>
      <c r="L5" s="434"/>
      <c r="M5" s="434"/>
      <c r="N5" s="435"/>
      <c r="Q5" s="1031" t="s">
        <v>7</v>
      </c>
      <c r="R5" s="1031"/>
      <c r="S5" s="1031"/>
      <c r="T5" s="1031"/>
      <c r="U5" s="1031"/>
      <c r="V5" s="1031"/>
      <c r="W5" s="1031"/>
      <c r="X5" s="1031"/>
      <c r="Y5" s="1031"/>
      <c r="Z5" s="1031"/>
      <c r="AA5" s="1031"/>
      <c r="AB5" s="1031"/>
      <c r="AC5" s="1031"/>
      <c r="AD5" s="1031"/>
      <c r="AE5" s="1031"/>
      <c r="AF5" s="1032"/>
    </row>
    <row r="6" spans="1:32" ht="12.95" customHeight="1">
      <c r="A6" s="433"/>
      <c r="B6" s="434"/>
      <c r="C6" s="434"/>
      <c r="D6" s="434"/>
      <c r="E6" s="434"/>
      <c r="F6" s="434"/>
      <c r="G6" s="434"/>
      <c r="H6" s="434"/>
      <c r="I6" s="434"/>
      <c r="J6" s="434"/>
      <c r="K6" s="434"/>
      <c r="L6" s="434"/>
      <c r="M6" s="434"/>
      <c r="N6" s="435"/>
      <c r="Q6" s="434"/>
    </row>
    <row r="7" spans="1:32" ht="12.95" customHeight="1">
      <c r="A7" s="440"/>
      <c r="B7" s="439"/>
      <c r="C7" s="439"/>
      <c r="D7" s="439"/>
      <c r="E7" s="439"/>
      <c r="F7" s="439"/>
      <c r="G7" s="439"/>
      <c r="H7" s="439"/>
      <c r="I7" s="439"/>
      <c r="J7" s="439"/>
      <c r="K7" s="439"/>
      <c r="L7" s="439"/>
      <c r="M7" s="439"/>
      <c r="N7" s="441"/>
    </row>
    <row r="8" spans="1:32" ht="12.95" customHeight="1">
      <c r="A8" s="440"/>
      <c r="B8" s="439"/>
      <c r="C8" s="439"/>
      <c r="D8" s="439"/>
      <c r="E8" s="439"/>
      <c r="F8" s="439"/>
      <c r="G8" s="439"/>
      <c r="H8" s="439"/>
      <c r="I8" s="439"/>
      <c r="J8" s="439"/>
      <c r="K8" s="439"/>
      <c r="L8" s="439"/>
      <c r="M8" s="439"/>
      <c r="N8" s="441"/>
    </row>
    <row r="9" spans="1:32" ht="12.95" customHeight="1">
      <c r="A9" s="433"/>
      <c r="B9" s="434"/>
      <c r="C9" s="434"/>
      <c r="D9" s="434"/>
      <c r="E9" s="434"/>
      <c r="F9" s="434"/>
      <c r="G9" s="439"/>
      <c r="H9" s="439"/>
      <c r="I9" s="439"/>
      <c r="J9" s="439"/>
      <c r="K9" s="439"/>
      <c r="L9" s="439"/>
      <c r="M9" s="439"/>
      <c r="N9" s="435"/>
    </row>
    <row r="10" spans="1:32" ht="12.95" customHeight="1">
      <c r="A10" s="433"/>
      <c r="B10" s="434"/>
      <c r="C10" s="434"/>
      <c r="D10" s="434"/>
      <c r="E10" s="434"/>
      <c r="F10" s="434"/>
      <c r="G10" s="439"/>
      <c r="H10" s="439"/>
      <c r="I10" s="439"/>
      <c r="J10" s="439"/>
      <c r="K10" s="439"/>
      <c r="L10" s="439"/>
      <c r="M10" s="439"/>
      <c r="N10" s="435"/>
    </row>
    <row r="11" spans="1:32" ht="12.95" customHeight="1">
      <c r="A11" s="433"/>
      <c r="B11" s="434"/>
      <c r="C11" s="434"/>
      <c r="D11" s="434"/>
      <c r="E11" s="434"/>
      <c r="F11" s="434"/>
      <c r="G11" s="439"/>
      <c r="H11" s="439"/>
      <c r="I11" s="439"/>
      <c r="J11" s="439"/>
      <c r="K11" s="439"/>
      <c r="L11" s="439"/>
      <c r="M11" s="439"/>
      <c r="N11" s="435"/>
    </row>
    <row r="12" spans="1:32" ht="12.95" customHeight="1">
      <c r="A12" s="440"/>
      <c r="B12" s="434"/>
      <c r="C12" s="434"/>
      <c r="D12" s="434"/>
      <c r="E12" s="434"/>
      <c r="F12" s="434"/>
      <c r="G12" s="439"/>
      <c r="H12" s="439"/>
      <c r="I12" s="439"/>
      <c r="J12" s="439"/>
      <c r="K12" s="439"/>
      <c r="L12" s="439"/>
      <c r="M12" s="439"/>
      <c r="N12" s="441"/>
    </row>
    <row r="13" spans="1:32" ht="12.95" customHeight="1">
      <c r="A13" s="433"/>
      <c r="B13" s="434"/>
      <c r="C13" s="434"/>
      <c r="D13" s="434"/>
      <c r="E13" s="434"/>
      <c r="F13" s="454" t="s">
        <v>249</v>
      </c>
      <c r="G13" s="434"/>
      <c r="H13" s="434"/>
      <c r="I13" s="434"/>
      <c r="J13" s="434"/>
      <c r="K13" s="434"/>
      <c r="L13" s="434"/>
      <c r="M13" s="434"/>
      <c r="N13" s="435"/>
    </row>
    <row r="14" spans="1:32" ht="12.95" customHeight="1">
      <c r="A14" s="433"/>
      <c r="B14" s="434"/>
      <c r="C14" s="434"/>
      <c r="D14" s="442"/>
      <c r="E14" s="443"/>
      <c r="F14" s="434"/>
      <c r="G14" s="434"/>
      <c r="H14" s="434"/>
      <c r="I14" s="434"/>
      <c r="J14" s="434"/>
      <c r="K14" s="434"/>
      <c r="L14" s="434"/>
      <c r="M14" s="434"/>
      <c r="N14" s="435"/>
    </row>
    <row r="15" spans="1:32" ht="12.95" customHeight="1">
      <c r="A15" s="433"/>
      <c r="B15" s="439"/>
      <c r="C15" s="439"/>
      <c r="D15" s="443"/>
      <c r="E15" s="434"/>
      <c r="F15" s="434"/>
      <c r="G15" s="434"/>
      <c r="H15" s="434"/>
      <c r="I15" s="434"/>
      <c r="J15" s="434"/>
      <c r="K15" s="434"/>
      <c r="L15" s="434"/>
      <c r="M15" s="434"/>
      <c r="N15" s="435"/>
    </row>
    <row r="16" spans="1:32" ht="12.95" customHeight="1">
      <c r="A16" s="433"/>
      <c r="B16" s="434"/>
      <c r="C16" s="434"/>
      <c r="D16" s="434"/>
      <c r="E16" s="434"/>
      <c r="F16" s="434"/>
      <c r="G16" s="434"/>
      <c r="H16" s="434"/>
      <c r="I16" s="434"/>
      <c r="J16" s="434"/>
      <c r="K16" s="434"/>
      <c r="L16" s="434"/>
      <c r="M16" s="434"/>
      <c r="N16" s="435"/>
    </row>
    <row r="17" spans="1:14" ht="12.95" customHeight="1">
      <c r="A17" s="433"/>
      <c r="B17" s="434"/>
      <c r="C17" s="434"/>
      <c r="D17" s="434"/>
      <c r="E17" s="434"/>
      <c r="F17" s="434"/>
      <c r="G17" s="434"/>
      <c r="H17" s="434"/>
      <c r="I17" s="434"/>
      <c r="J17" s="434"/>
      <c r="K17" s="434"/>
      <c r="L17" s="434"/>
      <c r="M17" s="434"/>
      <c r="N17" s="435"/>
    </row>
    <row r="18" spans="1:14" ht="12.95" customHeight="1">
      <c r="A18" s="433"/>
      <c r="B18" s="434"/>
      <c r="C18" s="434"/>
      <c r="D18" s="434"/>
      <c r="E18" s="434"/>
      <c r="F18" s="434"/>
      <c r="G18" s="434"/>
      <c r="H18" s="434"/>
      <c r="I18" s="434"/>
      <c r="J18" s="434"/>
      <c r="K18" s="434"/>
      <c r="L18" s="434"/>
      <c r="M18" s="434"/>
      <c r="N18" s="435"/>
    </row>
    <row r="19" spans="1:14" ht="18" customHeight="1">
      <c r="A19" s="1532" t="str">
        <f>+Datos!B2</f>
        <v>PROYECTO: CONSTRUCCION Y REHABILITACION TRAMO CARRETERO
VILLA MONTES - LA VERTIENTE - PALO MARCADO</v>
      </c>
      <c r="B19" s="1533"/>
      <c r="C19" s="1533"/>
      <c r="D19" s="1533"/>
      <c r="E19" s="1533"/>
      <c r="F19" s="1533"/>
      <c r="G19" s="1533"/>
      <c r="H19" s="1533"/>
      <c r="I19" s="1533"/>
      <c r="J19" s="1533"/>
      <c r="K19" s="1533"/>
      <c r="L19" s="1533"/>
      <c r="M19" s="1533"/>
      <c r="N19" s="1534"/>
    </row>
    <row r="20" spans="1:14" ht="18" customHeight="1">
      <c r="A20" s="1532"/>
      <c r="B20" s="1533"/>
      <c r="C20" s="1533"/>
      <c r="D20" s="1533"/>
      <c r="E20" s="1533"/>
      <c r="F20" s="1533"/>
      <c r="G20" s="1533"/>
      <c r="H20" s="1533"/>
      <c r="I20" s="1533"/>
      <c r="J20" s="1533"/>
      <c r="K20" s="1533"/>
      <c r="L20" s="1533"/>
      <c r="M20" s="1533"/>
      <c r="N20" s="1534"/>
    </row>
    <row r="21" spans="1:14" ht="18">
      <c r="A21" s="451"/>
      <c r="B21" s="452"/>
      <c r="C21" s="452"/>
      <c r="D21" s="452"/>
      <c r="E21" s="452"/>
      <c r="F21" s="452"/>
      <c r="G21" s="452"/>
      <c r="H21" s="452"/>
      <c r="I21" s="452"/>
      <c r="J21" s="452"/>
      <c r="K21" s="452"/>
      <c r="L21" s="452"/>
      <c r="M21" s="452"/>
      <c r="N21" s="453"/>
    </row>
    <row r="22" spans="1:14" ht="14.25">
      <c r="A22" s="1536" t="str">
        <f>"CONTRATO: "&amp;Datos!B4</f>
        <v>CONTRATO: ABC N° 818/19 GNT-SCT-OBR-TGN</v>
      </c>
      <c r="B22" s="1537"/>
      <c r="C22" s="1537"/>
      <c r="D22" s="1537"/>
      <c r="E22" s="1537"/>
      <c r="F22" s="1537"/>
      <c r="G22" s="1537"/>
      <c r="H22" s="1537"/>
      <c r="I22" s="1537"/>
      <c r="J22" s="1537"/>
      <c r="K22" s="1537"/>
      <c r="L22" s="1537"/>
      <c r="M22" s="1537"/>
      <c r="N22" s="1538"/>
    </row>
    <row r="23" spans="1:14" ht="14.25">
      <c r="A23" s="1536" t="str">
        <f>"CONTRATO MODIFICATORIO Nº 1: "&amp;Datos!B5</f>
        <v>CONTRATO MODIFICATORIO Nº 1: ABC Nº 341/20 GTJ-MOD-TGN</v>
      </c>
      <c r="B23" s="1537"/>
      <c r="C23" s="1537"/>
      <c r="D23" s="1537"/>
      <c r="E23" s="1537"/>
      <c r="F23" s="1537"/>
      <c r="G23" s="1537"/>
      <c r="H23" s="1537"/>
      <c r="I23" s="1537"/>
      <c r="J23" s="1537"/>
      <c r="K23" s="1537"/>
      <c r="L23" s="1537"/>
      <c r="M23" s="1537"/>
      <c r="N23" s="1538"/>
    </row>
    <row r="24" spans="1:14" ht="14.25">
      <c r="A24" s="1536" t="str">
        <f>"CONTRATO MODIFICATORIO Nº 2: "&amp;Datos!B6</f>
        <v>CONTRATO MODIFICATORIO Nº 2: ABC Nº 255/21 GTJ-MOD-TGN</v>
      </c>
      <c r="B24" s="1537"/>
      <c r="C24" s="1537"/>
      <c r="D24" s="1537"/>
      <c r="E24" s="1537"/>
      <c r="F24" s="1537"/>
      <c r="G24" s="1537"/>
      <c r="H24" s="1537"/>
      <c r="I24" s="1537"/>
      <c r="J24" s="1537"/>
      <c r="K24" s="1537"/>
      <c r="L24" s="1537"/>
      <c r="M24" s="1537"/>
      <c r="N24" s="1538"/>
    </row>
    <row r="25" spans="1:14" ht="14.25">
      <c r="A25" s="1536" t="str">
        <f>"CONTRATO MODIFICATORIO Nº 3: "&amp;Datos!F5</f>
        <v>CONTRATO MODIFICATORIO Nº 3: ABC Nº 597/21 GTJ-MOD-TGN</v>
      </c>
      <c r="B25" s="1537"/>
      <c r="C25" s="1537"/>
      <c r="D25" s="1537"/>
      <c r="E25" s="1537"/>
      <c r="F25" s="1537"/>
      <c r="G25" s="1537"/>
      <c r="H25" s="1537"/>
      <c r="I25" s="1537"/>
      <c r="J25" s="1537"/>
      <c r="K25" s="1537"/>
      <c r="L25" s="1537"/>
      <c r="M25" s="1537"/>
      <c r="N25" s="1538"/>
    </row>
    <row r="26" spans="1:14" ht="20.100000000000001" customHeight="1">
      <c r="A26" s="433"/>
      <c r="B26" s="434"/>
      <c r="C26" s="434"/>
      <c r="D26" s="434"/>
      <c r="E26" s="434"/>
      <c r="F26" s="434"/>
      <c r="G26" s="434"/>
      <c r="H26" s="434"/>
      <c r="I26" s="434"/>
      <c r="J26" s="434"/>
      <c r="K26" s="434"/>
      <c r="L26" s="434"/>
      <c r="M26" s="434"/>
      <c r="N26" s="435"/>
    </row>
    <row r="27" spans="1:14" ht="23.25">
      <c r="A27" s="444"/>
      <c r="B27" s="1535" t="str">
        <f>+Datos!C22</f>
        <v>CERTIFICADO DE PAGO Nº 11</v>
      </c>
      <c r="C27" s="1535"/>
      <c r="D27" s="1535"/>
      <c r="E27" s="1535"/>
      <c r="F27" s="1535"/>
      <c r="G27" s="1535"/>
      <c r="H27" s="1535"/>
      <c r="I27" s="1535"/>
      <c r="J27" s="1535"/>
      <c r="K27" s="1535"/>
      <c r="L27" s="1535"/>
      <c r="M27" s="1535"/>
      <c r="N27" s="435"/>
    </row>
    <row r="28" spans="1:14" ht="15" customHeight="1">
      <c r="A28" s="1540" t="str">
        <f>"PERIODO: "&amp;Datos!C24</f>
        <v>PERIODO: SEPTIEMBRE 2021</v>
      </c>
      <c r="B28" s="1541"/>
      <c r="C28" s="1541"/>
      <c r="D28" s="1541"/>
      <c r="E28" s="1541"/>
      <c r="F28" s="1541"/>
      <c r="G28" s="1541"/>
      <c r="H28" s="1541"/>
      <c r="I28" s="1541"/>
      <c r="J28" s="1541"/>
      <c r="K28" s="1541"/>
      <c r="L28" s="1541"/>
      <c r="M28" s="1541"/>
      <c r="N28" s="1542"/>
    </row>
    <row r="29" spans="1:14" ht="20.25" customHeight="1">
      <c r="A29" s="433"/>
      <c r="B29" s="434"/>
      <c r="C29" s="434"/>
      <c r="D29" s="434"/>
      <c r="E29" s="434"/>
      <c r="F29" s="434"/>
      <c r="G29" s="434"/>
      <c r="H29" s="434"/>
      <c r="I29" s="434"/>
      <c r="J29" s="434"/>
      <c r="K29" s="434"/>
      <c r="L29" s="434"/>
      <c r="M29" s="434"/>
      <c r="N29" s="435"/>
    </row>
    <row r="30" spans="1:14" ht="18" customHeight="1">
      <c r="A30" s="433"/>
      <c r="B30" s="446"/>
      <c r="C30" s="434"/>
      <c r="D30" s="434"/>
      <c r="E30" s="434"/>
      <c r="F30" s="434"/>
      <c r="G30" s="434"/>
      <c r="H30" s="434"/>
      <c r="I30" s="434"/>
      <c r="J30" s="757"/>
      <c r="K30" s="757"/>
      <c r="L30" s="757"/>
      <c r="M30" s="757"/>
      <c r="N30" s="447"/>
    </row>
    <row r="31" spans="1:14" ht="15.75" customHeight="1">
      <c r="A31" s="445"/>
      <c r="B31" s="446"/>
      <c r="C31" s="446"/>
      <c r="D31" s="446"/>
      <c r="E31" s="853" t="s">
        <v>252</v>
      </c>
      <c r="F31" s="758" t="s">
        <v>427</v>
      </c>
      <c r="G31" s="854"/>
      <c r="H31" s="758"/>
      <c r="I31" s="854"/>
      <c r="J31" s="854"/>
      <c r="K31" s="854"/>
      <c r="L31" s="726"/>
      <c r="M31" s="726"/>
      <c r="N31" s="447"/>
    </row>
    <row r="32" spans="1:14" ht="15.75" customHeight="1">
      <c r="A32" s="445"/>
      <c r="B32" s="446"/>
      <c r="C32" s="434"/>
      <c r="D32" s="434"/>
      <c r="E32" s="854"/>
      <c r="F32" s="1539" t="s">
        <v>478</v>
      </c>
      <c r="G32" s="1539"/>
      <c r="H32" s="1539"/>
      <c r="I32" s="1539"/>
      <c r="J32" s="1539"/>
      <c r="K32" s="1539"/>
      <c r="L32" s="446"/>
      <c r="M32" s="446"/>
      <c r="N32" s="447"/>
    </row>
    <row r="33" spans="1:14" ht="12.75">
      <c r="A33" s="433"/>
      <c r="B33" s="434"/>
      <c r="C33" s="434"/>
      <c r="D33" s="854"/>
      <c r="E33" s="854"/>
      <c r="F33" s="1539"/>
      <c r="G33" s="1539"/>
      <c r="H33" s="1539"/>
      <c r="I33" s="1539"/>
      <c r="J33" s="1539"/>
      <c r="K33" s="1539"/>
      <c r="L33" s="854"/>
      <c r="M33" s="854"/>
      <c r="N33" s="855"/>
    </row>
    <row r="34" spans="1:14" ht="12.75">
      <c r="A34" s="433"/>
      <c r="B34" s="434"/>
      <c r="C34" s="434"/>
      <c r="D34" s="854"/>
      <c r="E34" s="434"/>
      <c r="F34" s="434"/>
      <c r="G34" s="434"/>
      <c r="H34" s="434"/>
      <c r="I34" s="434"/>
      <c r="J34" s="434"/>
      <c r="K34" s="434"/>
      <c r="L34" s="854"/>
      <c r="M34" s="854"/>
      <c r="N34" s="855"/>
    </row>
    <row r="35" spans="1:14" ht="12.75">
      <c r="A35" s="433"/>
      <c r="B35" s="434"/>
      <c r="C35" s="434"/>
      <c r="D35" s="854"/>
      <c r="E35" s="434"/>
      <c r="F35" s="434"/>
      <c r="G35" s="434"/>
      <c r="H35" s="434"/>
      <c r="I35" s="434"/>
      <c r="J35" s="434"/>
      <c r="K35" s="434"/>
      <c r="L35" s="854"/>
      <c r="M35" s="854"/>
      <c r="N35" s="855"/>
    </row>
    <row r="36" spans="1:14" ht="12.75">
      <c r="A36" s="433"/>
      <c r="B36" s="434"/>
      <c r="C36" s="434"/>
      <c r="D36" s="854"/>
      <c r="E36" s="526"/>
      <c r="F36" s="854"/>
      <c r="G36" s="854"/>
      <c r="H36" s="526"/>
      <c r="I36" s="854"/>
      <c r="J36" s="854"/>
      <c r="K36" s="854"/>
      <c r="L36" s="854"/>
      <c r="M36" s="854"/>
      <c r="N36" s="855"/>
    </row>
    <row r="37" spans="1:14" ht="12.75">
      <c r="A37" s="433"/>
      <c r="B37" s="434"/>
      <c r="C37" s="434"/>
      <c r="D37" s="854"/>
      <c r="E37" s="434"/>
      <c r="F37" s="434"/>
      <c r="G37" s="434"/>
      <c r="H37" s="434"/>
      <c r="I37" s="434"/>
      <c r="J37" s="434"/>
      <c r="K37" s="434"/>
      <c r="L37" s="434"/>
      <c r="M37" s="434"/>
      <c r="N37" s="435"/>
    </row>
    <row r="38" spans="1:14" ht="24.95" customHeight="1">
      <c r="A38" s="433"/>
      <c r="B38" s="434"/>
      <c r="C38" s="450"/>
      <c r="D38" s="856"/>
      <c r="E38" s="858" t="s">
        <v>12</v>
      </c>
      <c r="F38" s="1530" t="str">
        <f>+Datos!B17</f>
        <v>EMPRESA ESTRATÉGICA BOLIVIANA DE CONSTRUCCIÓN
Y CONSERVACIÓN DE INFRAESTRUCTURA CIVIL (EBC)</v>
      </c>
      <c r="G38" s="1530"/>
      <c r="H38" s="1530"/>
      <c r="I38" s="1530"/>
      <c r="J38" s="1530"/>
      <c r="K38" s="1530"/>
      <c r="L38" s="1530"/>
      <c r="M38" s="1530"/>
      <c r="N38" s="1531"/>
    </row>
    <row r="39" spans="1:14" ht="12.75" customHeight="1">
      <c r="A39" s="433"/>
      <c r="B39" s="434"/>
      <c r="C39" s="450"/>
      <c r="D39" s="856"/>
      <c r="E39" s="857" t="s">
        <v>8</v>
      </c>
      <c r="F39" s="1022" t="str">
        <f>+Datos!B7</f>
        <v>Ing. Pedro Alberto Barreto Gutierrez</v>
      </c>
      <c r="G39" s="434"/>
      <c r="H39" s="434"/>
      <c r="I39" s="434"/>
      <c r="J39" s="434"/>
      <c r="K39" s="434"/>
      <c r="L39" s="434"/>
      <c r="M39" s="434"/>
      <c r="N39" s="435"/>
    </row>
    <row r="40" spans="1:14" ht="12.75">
      <c r="A40" s="433"/>
      <c r="B40" s="434"/>
      <c r="C40" s="450"/>
      <c r="D40" s="856"/>
      <c r="E40" s="857" t="s">
        <v>253</v>
      </c>
      <c r="F40" s="1022" t="str">
        <f>+Datos!B10</f>
        <v>Ing. Eyber Lopez Lopez</v>
      </c>
      <c r="G40" s="854"/>
      <c r="H40" s="854"/>
      <c r="I40" s="854"/>
      <c r="J40" s="854"/>
      <c r="K40" s="854"/>
      <c r="L40" s="854"/>
      <c r="M40" s="854"/>
      <c r="N40" s="855"/>
    </row>
    <row r="41" spans="1:14" ht="12.75">
      <c r="A41" s="433"/>
      <c r="B41" s="434"/>
      <c r="C41" s="434"/>
      <c r="D41" s="434"/>
      <c r="E41" s="434"/>
      <c r="F41" s="434"/>
      <c r="G41" s="434"/>
      <c r="H41" s="434"/>
      <c r="I41" s="434"/>
      <c r="J41" s="434"/>
      <c r="K41" s="434"/>
      <c r="L41" s="434"/>
      <c r="M41" s="434"/>
      <c r="N41" s="435"/>
    </row>
    <row r="42" spans="1:14" ht="12.75">
      <c r="A42" s="433"/>
      <c r="B42" s="434"/>
      <c r="C42" s="434"/>
      <c r="D42" s="434"/>
      <c r="E42" s="434"/>
      <c r="F42" s="434"/>
      <c r="G42" s="434"/>
      <c r="H42" s="434"/>
      <c r="I42" s="434"/>
      <c r="J42" s="434"/>
      <c r="K42" s="434"/>
      <c r="L42" s="434"/>
      <c r="M42" s="434"/>
      <c r="N42" s="435"/>
    </row>
    <row r="43" spans="1:14" ht="12.75">
      <c r="A43" s="433"/>
      <c r="B43" s="434"/>
      <c r="C43" s="434"/>
      <c r="D43" s="434"/>
      <c r="E43" s="434"/>
      <c r="F43" s="434"/>
      <c r="G43" s="434"/>
      <c r="H43" s="434"/>
      <c r="I43" s="434"/>
      <c r="J43" s="434"/>
      <c r="K43" s="434"/>
      <c r="L43" s="434"/>
      <c r="M43" s="434"/>
      <c r="N43" s="435"/>
    </row>
    <row r="44" spans="1:14" ht="12.75">
      <c r="A44" s="1522"/>
      <c r="B44" s="1523"/>
      <c r="C44" s="434"/>
      <c r="D44" s="434"/>
      <c r="E44" s="434"/>
      <c r="F44" s="434"/>
      <c r="G44" s="434"/>
      <c r="H44" s="434"/>
      <c r="I44" s="434"/>
      <c r="J44" s="434"/>
      <c r="K44" s="434"/>
      <c r="L44" s="434"/>
      <c r="M44" s="434"/>
      <c r="N44" s="435"/>
    </row>
    <row r="45" spans="1:14" ht="12.75">
      <c r="A45" s="1519" t="s">
        <v>295</v>
      </c>
      <c r="B45" s="1520"/>
      <c r="C45" s="1520"/>
      <c r="D45" s="1520"/>
      <c r="E45" s="1520"/>
      <c r="F45" s="1520"/>
      <c r="G45" s="1520"/>
      <c r="H45" s="1520"/>
      <c r="I45" s="1520"/>
      <c r="J45" s="1520"/>
      <c r="K45" s="1520"/>
      <c r="L45" s="1520"/>
      <c r="M45" s="1520"/>
      <c r="N45" s="1521"/>
    </row>
    <row r="46" spans="1:14" ht="16.5" thickBot="1">
      <c r="A46" s="436"/>
      <c r="B46" s="448"/>
      <c r="C46" s="448"/>
      <c r="D46" s="448"/>
      <c r="E46" s="448"/>
      <c r="F46" s="437"/>
      <c r="G46" s="437"/>
      <c r="H46" s="437"/>
      <c r="I46" s="437"/>
      <c r="J46" s="437"/>
      <c r="K46" s="449"/>
      <c r="L46" s="437"/>
      <c r="M46" s="437"/>
      <c r="N46" s="438"/>
    </row>
  </sheetData>
  <mergeCells count="13">
    <mergeCell ref="A45:N45"/>
    <mergeCell ref="A44:B44"/>
    <mergeCell ref="A3:N3"/>
    <mergeCell ref="A4:N4"/>
    <mergeCell ref="F38:N38"/>
    <mergeCell ref="A19:N20"/>
    <mergeCell ref="B27:M27"/>
    <mergeCell ref="A22:N22"/>
    <mergeCell ref="A23:N23"/>
    <mergeCell ref="F32:K33"/>
    <mergeCell ref="A24:N24"/>
    <mergeCell ref="A28:N28"/>
    <mergeCell ref="A25:N25"/>
  </mergeCells>
  <printOptions horizontalCentered="1"/>
  <pageMargins left="0.98425196850393704" right="0.78740157480314965" top="0.78740157480314965" bottom="0.78740157480314965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0">
    <tabColor rgb="FFFFFF00"/>
  </sheetPr>
  <dimension ref="A1:O2278"/>
  <sheetViews>
    <sheetView view="pageBreakPreview" zoomScaleNormal="70" zoomScaleSheetLayoutView="100" zoomScalePageLayoutView="25" workbookViewId="0">
      <pane xSplit="1" ySplit="1" topLeftCell="B1462" activePane="bottomRight" state="frozen"/>
      <selection activeCell="L13" sqref="L13"/>
      <selection pane="topRight" activeCell="L13" sqref="L13"/>
      <selection pane="bottomLeft" activeCell="L13" sqref="L13"/>
      <selection pane="bottomRight" activeCell="R985" sqref="R985"/>
    </sheetView>
  </sheetViews>
  <sheetFormatPr baseColWidth="10" defaultColWidth="11.42578125" defaultRowHeight="14.1" customHeight="1"/>
  <cols>
    <col min="1" max="2" width="6.7109375" style="542" customWidth="1"/>
    <col min="3" max="3" width="5.7109375" style="542" customWidth="1"/>
    <col min="4" max="14" width="6.28515625" style="542" customWidth="1"/>
    <col min="15" max="15" width="5.7109375" style="432" customWidth="1"/>
    <col min="16" max="16384" width="11.42578125" style="432"/>
  </cols>
  <sheetData>
    <row r="1" spans="1:14" ht="14.1" customHeight="1" thickTop="1">
      <c r="A1" s="541"/>
      <c r="B1" s="541"/>
      <c r="C1" s="541"/>
      <c r="D1" s="541"/>
      <c r="E1" s="541"/>
      <c r="F1" s="541"/>
      <c r="G1" s="541"/>
      <c r="H1" s="541"/>
      <c r="I1" s="541"/>
      <c r="J1" s="541"/>
      <c r="K1" s="541"/>
      <c r="L1" s="541"/>
      <c r="M1" s="541"/>
      <c r="N1" s="541"/>
    </row>
    <row r="17" spans="1:14" ht="14.1" customHeight="1">
      <c r="B17" s="543"/>
    </row>
    <row r="18" spans="1:14" ht="14.1" customHeight="1">
      <c r="B18" s="543"/>
    </row>
    <row r="20" spans="1:14" ht="69.95" customHeight="1">
      <c r="A20" s="1546" t="str">
        <f>+I!C6</f>
        <v>INDICE</v>
      </c>
      <c r="B20" s="1546"/>
      <c r="C20" s="1546"/>
      <c r="D20" s="1546"/>
      <c r="E20" s="1546"/>
      <c r="F20" s="1546"/>
      <c r="G20" s="1546"/>
      <c r="H20" s="1546"/>
      <c r="I20" s="1546"/>
      <c r="J20" s="1546"/>
      <c r="K20" s="1546"/>
      <c r="L20" s="1546"/>
      <c r="M20" s="1546"/>
      <c r="N20" s="1546"/>
    </row>
    <row r="21" spans="1:14" ht="14.1" customHeight="1">
      <c r="A21" s="544"/>
      <c r="B21" s="544"/>
      <c r="C21" s="544"/>
      <c r="D21" s="544"/>
      <c r="E21" s="544"/>
      <c r="F21" s="544"/>
      <c r="G21" s="544"/>
      <c r="H21" s="544"/>
      <c r="I21" s="544"/>
      <c r="J21" s="544"/>
      <c r="K21" s="544"/>
      <c r="L21" s="544"/>
      <c r="M21" s="544"/>
      <c r="N21" s="544"/>
    </row>
    <row r="22" spans="1:14" ht="14.1" customHeight="1">
      <c r="A22" s="544"/>
      <c r="B22" s="544"/>
      <c r="C22" s="544"/>
      <c r="D22" s="544"/>
      <c r="E22" s="544"/>
      <c r="F22" s="544"/>
      <c r="G22" s="544"/>
      <c r="H22" s="544"/>
      <c r="I22" s="544"/>
      <c r="J22" s="544"/>
      <c r="K22" s="544"/>
      <c r="L22" s="544"/>
      <c r="M22" s="544"/>
      <c r="N22" s="544"/>
    </row>
    <row r="23" spans="1:14" ht="14.1" customHeight="1">
      <c r="A23" s="544"/>
      <c r="B23" s="544"/>
      <c r="C23" s="544"/>
      <c r="D23" s="544"/>
      <c r="E23" s="544"/>
      <c r="F23" s="544"/>
      <c r="G23" s="544"/>
      <c r="H23" s="544"/>
      <c r="I23" s="544"/>
      <c r="J23" s="544"/>
      <c r="K23" s="544"/>
      <c r="L23" s="544"/>
      <c r="M23" s="544"/>
      <c r="N23" s="544"/>
    </row>
    <row r="24" spans="1:14" ht="14.1" customHeight="1">
      <c r="A24" s="544"/>
      <c r="B24" s="544"/>
      <c r="C24" s="544"/>
      <c r="D24" s="544"/>
      <c r="E24" s="544"/>
      <c r="F24" s="544"/>
      <c r="G24" s="544"/>
      <c r="H24" s="544"/>
      <c r="I24" s="544"/>
      <c r="J24" s="544"/>
      <c r="K24" s="544"/>
      <c r="L24" s="544"/>
      <c r="M24" s="544"/>
      <c r="N24" s="544"/>
    </row>
    <row r="44" spans="1:14" ht="14.1" customHeight="1" thickBot="1">
      <c r="A44" s="545"/>
      <c r="B44" s="545"/>
      <c r="C44" s="545"/>
      <c r="D44" s="545"/>
      <c r="E44" s="545"/>
      <c r="F44" s="545"/>
      <c r="G44" s="545"/>
      <c r="H44" s="545"/>
      <c r="I44" s="545"/>
      <c r="J44" s="545"/>
      <c r="K44" s="545"/>
      <c r="L44" s="545"/>
      <c r="M44" s="545"/>
      <c r="N44" s="545"/>
    </row>
    <row r="45" spans="1:14" ht="14.1" customHeight="1" thickTop="1" thickBot="1"/>
    <row r="46" spans="1:14" ht="14.1" customHeight="1" thickTop="1">
      <c r="A46" s="541"/>
      <c r="B46" s="541"/>
      <c r="C46" s="541"/>
      <c r="D46" s="541"/>
      <c r="E46" s="541"/>
      <c r="F46" s="541"/>
      <c r="G46" s="541"/>
      <c r="H46" s="541"/>
      <c r="I46" s="541"/>
      <c r="J46" s="541"/>
      <c r="K46" s="541"/>
      <c r="L46" s="541"/>
      <c r="M46" s="541"/>
      <c r="N46" s="541"/>
    </row>
    <row r="62" spans="2:2" ht="14.1" customHeight="1">
      <c r="B62" s="543"/>
    </row>
    <row r="63" spans="2:2" ht="14.1" customHeight="1">
      <c r="B63" s="543"/>
    </row>
    <row r="65" spans="1:14" ht="69.95" customHeight="1">
      <c r="A65" s="1546" t="str">
        <f>+I!C8</f>
        <v>INFORME DEL SUPERVISOR</v>
      </c>
      <c r="B65" s="1546"/>
      <c r="C65" s="1546"/>
      <c r="D65" s="1546"/>
      <c r="E65" s="1546"/>
      <c r="F65" s="1546"/>
      <c r="G65" s="1546"/>
      <c r="H65" s="1546"/>
      <c r="I65" s="1546"/>
      <c r="J65" s="1546"/>
      <c r="K65" s="1546"/>
      <c r="L65" s="1546"/>
      <c r="M65" s="1546"/>
      <c r="N65" s="1546"/>
    </row>
    <row r="66" spans="1:14" ht="14.1" customHeight="1">
      <c r="A66" s="544"/>
      <c r="B66" s="544"/>
      <c r="C66" s="544"/>
      <c r="D66" s="544"/>
      <c r="E66" s="544"/>
      <c r="F66" s="544"/>
      <c r="G66" s="544"/>
      <c r="H66" s="544"/>
      <c r="I66" s="544"/>
      <c r="J66" s="544"/>
      <c r="K66" s="544"/>
      <c r="L66" s="544"/>
      <c r="M66" s="544"/>
      <c r="N66" s="544"/>
    </row>
    <row r="67" spans="1:14" ht="14.1" customHeight="1">
      <c r="A67" s="544"/>
      <c r="B67" s="544"/>
      <c r="C67" s="544"/>
      <c r="D67" s="544"/>
      <c r="E67" s="544"/>
      <c r="F67" s="544"/>
      <c r="G67" s="544"/>
      <c r="H67" s="544"/>
      <c r="I67" s="544"/>
      <c r="J67" s="544"/>
      <c r="K67" s="544"/>
      <c r="L67" s="544"/>
      <c r="M67" s="544"/>
      <c r="N67" s="544"/>
    </row>
    <row r="68" spans="1:14" ht="14.1" customHeight="1">
      <c r="A68" s="544"/>
      <c r="B68" s="544"/>
      <c r="C68" s="544"/>
      <c r="D68" s="544"/>
      <c r="E68" s="544"/>
      <c r="F68" s="544"/>
      <c r="G68" s="544"/>
      <c r="H68" s="544"/>
      <c r="I68" s="544"/>
      <c r="J68" s="544"/>
      <c r="K68" s="544"/>
      <c r="L68" s="544"/>
      <c r="M68" s="544"/>
      <c r="N68" s="544"/>
    </row>
    <row r="69" spans="1:14" ht="14.1" customHeight="1">
      <c r="A69" s="544"/>
      <c r="B69" s="544"/>
      <c r="C69" s="544"/>
      <c r="D69" s="544"/>
      <c r="E69" s="544"/>
      <c r="F69" s="544"/>
      <c r="G69" s="544"/>
      <c r="H69" s="544"/>
      <c r="I69" s="544"/>
      <c r="J69" s="544"/>
      <c r="K69" s="544"/>
      <c r="L69" s="544"/>
      <c r="M69" s="544"/>
      <c r="N69" s="544"/>
    </row>
    <row r="89" spans="1:14" ht="14.1" customHeight="1" thickBot="1">
      <c r="A89" s="545"/>
      <c r="B89" s="545"/>
      <c r="C89" s="545"/>
      <c r="D89" s="545"/>
      <c r="E89" s="545"/>
      <c r="F89" s="545"/>
      <c r="G89" s="545"/>
      <c r="H89" s="545"/>
      <c r="I89" s="545"/>
      <c r="J89" s="545"/>
      <c r="K89" s="545"/>
      <c r="L89" s="545"/>
      <c r="M89" s="545"/>
      <c r="N89" s="545"/>
    </row>
    <row r="90" spans="1:14" ht="14.1" customHeight="1" thickTop="1" thickBot="1"/>
    <row r="91" spans="1:14" ht="14.1" customHeight="1" thickTop="1">
      <c r="A91" s="541"/>
      <c r="B91" s="541"/>
      <c r="C91" s="541"/>
      <c r="D91" s="541"/>
      <c r="E91" s="541"/>
      <c r="F91" s="541"/>
      <c r="G91" s="541"/>
      <c r="H91" s="541"/>
      <c r="I91" s="541"/>
      <c r="J91" s="541"/>
      <c r="K91" s="541"/>
      <c r="L91" s="541"/>
      <c r="M91" s="541"/>
      <c r="N91" s="541"/>
    </row>
    <row r="107" spans="1:14" ht="14.1" customHeight="1">
      <c r="B107" s="543"/>
    </row>
    <row r="108" spans="1:14" ht="14.1" customHeight="1">
      <c r="B108" s="543"/>
    </row>
    <row r="110" spans="1:14" ht="69.95" customHeight="1">
      <c r="A110" s="1546" t="str">
        <f>+I!C9</f>
        <v>CERTIFICADO DE PAGO</v>
      </c>
      <c r="B110" s="1546"/>
      <c r="C110" s="1546"/>
      <c r="D110" s="1546"/>
      <c r="E110" s="1546"/>
      <c r="F110" s="1546"/>
      <c r="G110" s="1546"/>
      <c r="H110" s="1546"/>
      <c r="I110" s="1546"/>
      <c r="J110" s="1546"/>
      <c r="K110" s="1546"/>
      <c r="L110" s="1546"/>
      <c r="M110" s="1546"/>
      <c r="N110" s="1546"/>
    </row>
    <row r="111" spans="1:14" ht="14.1" customHeight="1">
      <c r="A111" s="544"/>
      <c r="B111" s="544"/>
      <c r="C111" s="544"/>
      <c r="D111" s="544"/>
      <c r="E111" s="544"/>
      <c r="F111" s="544"/>
      <c r="G111" s="544"/>
      <c r="H111" s="544"/>
      <c r="I111" s="544"/>
      <c r="J111" s="544"/>
      <c r="K111" s="544"/>
      <c r="L111" s="544"/>
      <c r="M111" s="544"/>
      <c r="N111" s="544"/>
    </row>
    <row r="112" spans="1:14" ht="14.1" customHeight="1">
      <c r="A112" s="544"/>
      <c r="B112" s="544"/>
      <c r="C112" s="544"/>
      <c r="D112" s="544"/>
      <c r="E112" s="544"/>
      <c r="F112" s="544"/>
      <c r="G112" s="544"/>
      <c r="H112" s="544"/>
      <c r="I112" s="544"/>
      <c r="J112" s="544"/>
      <c r="K112" s="544"/>
      <c r="L112" s="544"/>
      <c r="M112" s="544"/>
      <c r="N112" s="544"/>
    </row>
    <row r="113" spans="1:14" ht="14.1" customHeight="1">
      <c r="A113" s="544"/>
      <c r="B113" s="544"/>
      <c r="C113" s="544"/>
      <c r="D113" s="544"/>
      <c r="E113" s="544"/>
      <c r="F113" s="544"/>
      <c r="G113" s="544"/>
      <c r="H113" s="544"/>
      <c r="I113" s="544"/>
      <c r="J113" s="544"/>
      <c r="K113" s="544"/>
      <c r="L113" s="544"/>
      <c r="M113" s="544"/>
      <c r="N113" s="544"/>
    </row>
    <row r="114" spans="1:14" ht="14.1" customHeight="1">
      <c r="A114" s="544"/>
      <c r="B114" s="544"/>
      <c r="C114" s="544"/>
      <c r="D114" s="544"/>
      <c r="E114" s="544"/>
      <c r="F114" s="544"/>
      <c r="G114" s="544"/>
      <c r="H114" s="544"/>
      <c r="I114" s="544"/>
      <c r="J114" s="544"/>
      <c r="K114" s="544"/>
      <c r="L114" s="544"/>
      <c r="M114" s="544"/>
      <c r="N114" s="544"/>
    </row>
    <row r="134" spans="1:14" ht="14.1" customHeight="1" thickBot="1">
      <c r="A134" s="545"/>
      <c r="B134" s="545"/>
      <c r="C134" s="545"/>
      <c r="D134" s="545"/>
      <c r="E134" s="545"/>
      <c r="F134" s="545"/>
      <c r="G134" s="545"/>
      <c r="H134" s="545"/>
      <c r="I134" s="545"/>
      <c r="J134" s="545"/>
      <c r="K134" s="545"/>
      <c r="L134" s="545"/>
      <c r="M134" s="545"/>
      <c r="N134" s="545"/>
    </row>
    <row r="135" spans="1:14" ht="14.1" customHeight="1" thickTop="1" thickBot="1"/>
    <row r="136" spans="1:14" ht="14.1" customHeight="1" thickTop="1">
      <c r="A136" s="541"/>
      <c r="B136" s="541"/>
      <c r="C136" s="541"/>
      <c r="D136" s="541"/>
      <c r="E136" s="541"/>
      <c r="F136" s="541"/>
      <c r="G136" s="541"/>
      <c r="H136" s="541"/>
      <c r="I136" s="541"/>
      <c r="J136" s="541"/>
      <c r="K136" s="541"/>
      <c r="L136" s="541"/>
      <c r="M136" s="541"/>
      <c r="N136" s="541"/>
    </row>
    <row r="152" spans="1:14" ht="14.1" customHeight="1">
      <c r="B152" s="543"/>
    </row>
    <row r="153" spans="1:14" ht="14.1" customHeight="1">
      <c r="B153" s="543"/>
    </row>
    <row r="155" spans="1:14" ht="69.95" customHeight="1">
      <c r="A155" s="1546" t="str">
        <f>+I!C10</f>
        <v>PLANILLA AMORTIZACIÓN DE ANTICIPO</v>
      </c>
      <c r="B155" s="1546"/>
      <c r="C155" s="1546"/>
      <c r="D155" s="1546"/>
      <c r="E155" s="1546"/>
      <c r="F155" s="1546"/>
      <c r="G155" s="1546"/>
      <c r="H155" s="1546"/>
      <c r="I155" s="1546"/>
      <c r="J155" s="1546"/>
      <c r="K155" s="1546"/>
      <c r="L155" s="1546"/>
      <c r="M155" s="1546"/>
      <c r="N155" s="1546"/>
    </row>
    <row r="156" spans="1:14" ht="14.1" customHeight="1">
      <c r="A156" s="544"/>
      <c r="B156" s="544"/>
      <c r="C156" s="544"/>
      <c r="D156" s="544"/>
      <c r="E156" s="544"/>
      <c r="F156" s="544"/>
      <c r="G156" s="544"/>
      <c r="H156" s="544"/>
      <c r="I156" s="544"/>
      <c r="J156" s="544"/>
      <c r="K156" s="544"/>
      <c r="L156" s="544"/>
      <c r="M156" s="544"/>
      <c r="N156" s="544"/>
    </row>
    <row r="157" spans="1:14" ht="14.1" customHeight="1">
      <c r="A157" s="544"/>
      <c r="B157" s="544"/>
      <c r="C157" s="544"/>
      <c r="D157" s="544"/>
      <c r="E157" s="544"/>
      <c r="F157" s="544"/>
      <c r="G157" s="544"/>
      <c r="H157" s="544"/>
      <c r="I157" s="544"/>
      <c r="J157" s="544"/>
      <c r="K157" s="544"/>
      <c r="L157" s="544"/>
      <c r="M157" s="544"/>
      <c r="N157" s="544"/>
    </row>
    <row r="158" spans="1:14" ht="14.1" customHeight="1">
      <c r="A158" s="544"/>
      <c r="B158" s="544"/>
      <c r="C158" s="544"/>
      <c r="D158" s="544"/>
      <c r="E158" s="544"/>
      <c r="F158" s="544"/>
      <c r="G158" s="544"/>
      <c r="H158" s="544"/>
      <c r="I158" s="544"/>
      <c r="J158" s="544"/>
      <c r="K158" s="544"/>
      <c r="L158" s="544"/>
      <c r="M158" s="544"/>
      <c r="N158" s="544"/>
    </row>
    <row r="159" spans="1:14" ht="14.1" customHeight="1">
      <c r="A159" s="544"/>
      <c r="B159" s="544"/>
      <c r="C159" s="544"/>
      <c r="D159" s="544"/>
      <c r="E159" s="544"/>
      <c r="F159" s="544"/>
      <c r="G159" s="544"/>
      <c r="H159" s="544"/>
      <c r="I159" s="544"/>
      <c r="J159" s="544"/>
      <c r="K159" s="544"/>
      <c r="L159" s="544"/>
      <c r="M159" s="544"/>
      <c r="N159" s="544"/>
    </row>
    <row r="179" spans="1:14" ht="14.1" customHeight="1" thickBot="1">
      <c r="A179" s="545"/>
      <c r="B179" s="545"/>
      <c r="C179" s="545"/>
      <c r="D179" s="545"/>
      <c r="E179" s="545"/>
      <c r="F179" s="545"/>
      <c r="G179" s="545"/>
      <c r="H179" s="545"/>
      <c r="I179" s="545"/>
      <c r="J179" s="545"/>
      <c r="K179" s="545"/>
      <c r="L179" s="545"/>
      <c r="M179" s="545"/>
      <c r="N179" s="545"/>
    </row>
    <row r="180" spans="1:14" ht="14.1" customHeight="1" thickTop="1" thickBot="1"/>
    <row r="181" spans="1:14" ht="14.1" customHeight="1" thickTop="1">
      <c r="A181" s="541"/>
      <c r="B181" s="541"/>
      <c r="C181" s="541"/>
      <c r="D181" s="541"/>
      <c r="E181" s="541"/>
      <c r="F181" s="541"/>
      <c r="G181" s="541"/>
      <c r="H181" s="541"/>
      <c r="I181" s="541"/>
      <c r="J181" s="541"/>
      <c r="K181" s="541"/>
      <c r="L181" s="541"/>
      <c r="M181" s="541"/>
      <c r="N181" s="541"/>
    </row>
    <row r="197" spans="1:14" ht="14.1" customHeight="1">
      <c r="B197" s="543"/>
    </row>
    <row r="198" spans="1:14" ht="14.1" customHeight="1">
      <c r="B198" s="543"/>
    </row>
    <row r="200" spans="1:14" ht="69.95" customHeight="1">
      <c r="A200" s="1546" t="str">
        <f>+I!C11</f>
        <v>PLANILLA DE RETENCION DE CUMPLIMIENTO DE CONTRATO</v>
      </c>
      <c r="B200" s="1546"/>
      <c r="C200" s="1546"/>
      <c r="D200" s="1546"/>
      <c r="E200" s="1546"/>
      <c r="F200" s="1546"/>
      <c r="G200" s="1546"/>
      <c r="H200" s="1546"/>
      <c r="I200" s="1546"/>
      <c r="J200" s="1546"/>
      <c r="K200" s="1546"/>
      <c r="L200" s="1546"/>
      <c r="M200" s="1546"/>
      <c r="N200" s="1546"/>
    </row>
    <row r="201" spans="1:14" ht="14.1" customHeight="1">
      <c r="A201" s="544"/>
      <c r="B201" s="544"/>
      <c r="C201" s="544"/>
      <c r="D201" s="544"/>
      <c r="E201" s="544"/>
      <c r="F201" s="544"/>
      <c r="G201" s="544"/>
      <c r="H201" s="544"/>
      <c r="I201" s="544"/>
      <c r="J201" s="544"/>
      <c r="K201" s="544"/>
      <c r="L201" s="544"/>
      <c r="M201" s="544"/>
      <c r="N201" s="544"/>
    </row>
    <row r="202" spans="1:14" ht="14.1" customHeight="1">
      <c r="A202" s="544"/>
      <c r="B202" s="544"/>
      <c r="C202" s="544"/>
      <c r="D202" s="544"/>
      <c r="E202" s="544"/>
      <c r="F202" s="544"/>
      <c r="G202" s="544"/>
      <c r="H202" s="544"/>
      <c r="I202" s="544"/>
      <c r="J202" s="544"/>
      <c r="K202" s="544"/>
      <c r="L202" s="544"/>
      <c r="M202" s="544"/>
      <c r="N202" s="544"/>
    </row>
    <row r="203" spans="1:14" ht="14.1" customHeight="1">
      <c r="A203" s="544"/>
      <c r="B203" s="544"/>
      <c r="C203" s="544"/>
      <c r="D203" s="544"/>
      <c r="E203" s="544"/>
      <c r="F203" s="544"/>
      <c r="G203" s="544"/>
      <c r="H203" s="544"/>
      <c r="I203" s="544"/>
      <c r="J203" s="544"/>
      <c r="K203" s="544"/>
      <c r="L203" s="544"/>
      <c r="M203" s="544"/>
      <c r="N203" s="544"/>
    </row>
    <row r="204" spans="1:14" ht="14.1" customHeight="1">
      <c r="A204" s="544"/>
      <c r="B204" s="544"/>
      <c r="C204" s="544"/>
      <c r="D204" s="544"/>
      <c r="E204" s="544"/>
      <c r="F204" s="544"/>
      <c r="G204" s="544"/>
      <c r="H204" s="544"/>
      <c r="I204" s="544"/>
      <c r="J204" s="544"/>
      <c r="K204" s="544"/>
      <c r="L204" s="544"/>
      <c r="M204" s="544"/>
      <c r="N204" s="544"/>
    </row>
    <row r="224" spans="1:14" ht="14.1" customHeight="1" thickBot="1">
      <c r="A224" s="545"/>
      <c r="B224" s="545"/>
      <c r="C224" s="545"/>
      <c r="D224" s="545"/>
      <c r="E224" s="545"/>
      <c r="F224" s="545"/>
      <c r="G224" s="545"/>
      <c r="H224" s="545"/>
      <c r="I224" s="545"/>
      <c r="J224" s="545"/>
      <c r="K224" s="545"/>
      <c r="L224" s="545"/>
      <c r="M224" s="545"/>
      <c r="N224" s="545"/>
    </row>
    <row r="225" spans="1:14" ht="14.1" customHeight="1" thickTop="1" thickBot="1"/>
    <row r="226" spans="1:14" ht="14.1" customHeight="1" thickTop="1">
      <c r="A226" s="541"/>
      <c r="B226" s="541"/>
      <c r="C226" s="541"/>
      <c r="D226" s="541"/>
      <c r="E226" s="541"/>
      <c r="F226" s="541"/>
      <c r="G226" s="541"/>
      <c r="H226" s="541"/>
      <c r="I226" s="541"/>
      <c r="J226" s="541"/>
      <c r="K226" s="541"/>
      <c r="L226" s="541"/>
      <c r="M226" s="541"/>
      <c r="N226" s="541"/>
    </row>
    <row r="242" spans="1:14" ht="14.1" customHeight="1">
      <c r="B242" s="543"/>
    </row>
    <row r="243" spans="1:14" ht="14.1" customHeight="1">
      <c r="B243" s="543"/>
    </row>
    <row r="245" spans="1:14" ht="69.95" customHeight="1">
      <c r="A245" s="1546" t="str">
        <f>+I!C12</f>
        <v>MULTAS</v>
      </c>
      <c r="B245" s="1546"/>
      <c r="C245" s="1546"/>
      <c r="D245" s="1546"/>
      <c r="E245" s="1546"/>
      <c r="F245" s="1546"/>
      <c r="G245" s="1546"/>
      <c r="H245" s="1546"/>
      <c r="I245" s="1546"/>
      <c r="J245" s="1546"/>
      <c r="K245" s="1546"/>
      <c r="L245" s="1546"/>
      <c r="M245" s="1546"/>
      <c r="N245" s="1546"/>
    </row>
    <row r="246" spans="1:14" ht="14.1" customHeight="1">
      <c r="A246" s="544"/>
      <c r="B246" s="544"/>
      <c r="C246" s="544"/>
      <c r="D246" s="544"/>
      <c r="E246" s="544"/>
      <c r="F246" s="544"/>
      <c r="G246" s="544"/>
      <c r="H246" s="544"/>
      <c r="I246" s="544"/>
      <c r="J246" s="544"/>
      <c r="K246" s="544"/>
      <c r="L246" s="544"/>
      <c r="M246" s="544"/>
      <c r="N246" s="544"/>
    </row>
    <row r="247" spans="1:14" ht="14.1" customHeight="1">
      <c r="A247" s="544"/>
      <c r="B247" s="544"/>
      <c r="C247" s="544"/>
      <c r="D247" s="544"/>
      <c r="E247" s="544"/>
      <c r="F247" s="544"/>
      <c r="G247" s="544"/>
      <c r="H247" s="544"/>
      <c r="I247" s="544"/>
      <c r="J247" s="544"/>
      <c r="K247" s="544"/>
      <c r="L247" s="544"/>
      <c r="M247" s="544"/>
      <c r="N247" s="544"/>
    </row>
    <row r="248" spans="1:14" ht="14.1" customHeight="1">
      <c r="A248" s="544"/>
      <c r="B248" s="544"/>
      <c r="C248" s="544"/>
      <c r="D248" s="544"/>
      <c r="E248" s="544"/>
      <c r="F248" s="544"/>
      <c r="G248" s="544"/>
      <c r="H248" s="544"/>
      <c r="I248" s="544"/>
      <c r="J248" s="544"/>
      <c r="K248" s="544"/>
      <c r="L248" s="544"/>
      <c r="M248" s="544"/>
      <c r="N248" s="544"/>
    </row>
    <row r="249" spans="1:14" ht="14.1" customHeight="1">
      <c r="A249" s="544"/>
      <c r="B249" s="544"/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4"/>
      <c r="N249" s="544"/>
    </row>
    <row r="269" spans="1:14" ht="14.1" customHeight="1" thickBot="1">
      <c r="A269" s="545"/>
      <c r="B269" s="545"/>
      <c r="C269" s="545"/>
      <c r="D269" s="545"/>
      <c r="E269" s="545"/>
      <c r="F269" s="545"/>
      <c r="G269" s="545"/>
      <c r="H269" s="545"/>
      <c r="I269" s="545"/>
      <c r="J269" s="545"/>
      <c r="K269" s="545"/>
      <c r="L269" s="545"/>
      <c r="M269" s="545"/>
      <c r="N269" s="545"/>
    </row>
    <row r="270" spans="1:14" ht="14.1" customHeight="1" thickTop="1" thickBot="1"/>
    <row r="271" spans="1:14" ht="14.1" customHeight="1" thickTop="1">
      <c r="A271" s="541"/>
      <c r="B271" s="541"/>
      <c r="C271" s="541"/>
      <c r="D271" s="541"/>
      <c r="E271" s="541"/>
      <c r="F271" s="541"/>
      <c r="G271" s="541"/>
      <c r="H271" s="541"/>
      <c r="I271" s="541"/>
      <c r="J271" s="541"/>
      <c r="K271" s="541"/>
      <c r="L271" s="541"/>
      <c r="M271" s="541"/>
      <c r="N271" s="541"/>
    </row>
    <row r="287" spans="2:2" ht="14.1" customHeight="1">
      <c r="B287" s="543"/>
    </row>
    <row r="288" spans="2:2" ht="14.1" customHeight="1">
      <c r="B288" s="543"/>
    </row>
    <row r="290" spans="1:14" ht="69.95" customHeight="1">
      <c r="A290" s="1546" t="str">
        <f>+I!C13</f>
        <v>CRONOGRAMA DE DESEMBOLSOS</v>
      </c>
      <c r="B290" s="1546"/>
      <c r="C290" s="1546"/>
      <c r="D290" s="1546"/>
      <c r="E290" s="1546"/>
      <c r="F290" s="1546"/>
      <c r="G290" s="1546"/>
      <c r="H290" s="1546"/>
      <c r="I290" s="1546"/>
      <c r="J290" s="1546"/>
      <c r="K290" s="1546"/>
      <c r="L290" s="1546"/>
      <c r="M290" s="1546"/>
      <c r="N290" s="1546"/>
    </row>
    <row r="291" spans="1:14" ht="14.1" customHeight="1">
      <c r="A291" s="544"/>
      <c r="B291" s="544"/>
      <c r="C291" s="544"/>
      <c r="D291" s="544"/>
      <c r="E291" s="544"/>
      <c r="F291" s="544"/>
      <c r="G291" s="544"/>
      <c r="H291" s="544"/>
      <c r="I291" s="544"/>
      <c r="J291" s="544"/>
      <c r="K291" s="544"/>
      <c r="L291" s="544"/>
      <c r="M291" s="544"/>
      <c r="N291" s="544"/>
    </row>
    <row r="292" spans="1:14" ht="14.1" customHeight="1">
      <c r="A292" s="544"/>
      <c r="B292" s="544"/>
      <c r="C292" s="544"/>
      <c r="D292" s="544"/>
      <c r="E292" s="544"/>
      <c r="F292" s="544"/>
      <c r="G292" s="544"/>
      <c r="H292" s="544"/>
      <c r="I292" s="544"/>
      <c r="J292" s="544"/>
      <c r="K292" s="544"/>
      <c r="L292" s="544"/>
      <c r="M292" s="544"/>
      <c r="N292" s="544"/>
    </row>
    <row r="293" spans="1:14" ht="14.1" customHeight="1">
      <c r="A293" s="544"/>
      <c r="B293" s="544"/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</row>
    <row r="294" spans="1:14" ht="14.1" customHeight="1">
      <c r="A294" s="544"/>
      <c r="B294" s="544"/>
      <c r="C294" s="544"/>
      <c r="D294" s="544"/>
      <c r="E294" s="544"/>
      <c r="F294" s="544"/>
      <c r="G294" s="544"/>
      <c r="H294" s="544"/>
      <c r="I294" s="544"/>
      <c r="J294" s="544"/>
      <c r="K294" s="544"/>
      <c r="L294" s="544"/>
      <c r="M294" s="544"/>
      <c r="N294" s="544"/>
    </row>
    <row r="314" spans="1:14" ht="14.1" customHeight="1" thickBot="1">
      <c r="A314" s="545"/>
      <c r="B314" s="545"/>
      <c r="C314" s="545"/>
      <c r="D314" s="545"/>
      <c r="E314" s="545"/>
      <c r="F314" s="545"/>
      <c r="G314" s="545"/>
      <c r="H314" s="545"/>
      <c r="I314" s="545"/>
      <c r="J314" s="545"/>
      <c r="K314" s="545"/>
      <c r="L314" s="545"/>
      <c r="M314" s="545"/>
      <c r="N314" s="545"/>
    </row>
    <row r="315" spans="1:14" ht="14.1" customHeight="1" thickTop="1" thickBot="1"/>
    <row r="316" spans="1:14" ht="14.1" customHeight="1" thickTop="1">
      <c r="A316" s="541"/>
      <c r="B316" s="541"/>
      <c r="C316" s="541"/>
      <c r="D316" s="541"/>
      <c r="E316" s="541"/>
      <c r="F316" s="541"/>
      <c r="G316" s="541"/>
      <c r="H316" s="541"/>
      <c r="I316" s="541"/>
      <c r="J316" s="541"/>
      <c r="K316" s="541"/>
      <c r="L316" s="541"/>
      <c r="M316" s="541"/>
      <c r="N316" s="541"/>
    </row>
    <row r="332" spans="1:14" ht="14.1" customHeight="1">
      <c r="B332" s="543"/>
    </row>
    <row r="333" spans="1:14" ht="14.1" customHeight="1">
      <c r="B333" s="543"/>
    </row>
    <row r="335" spans="1:14" ht="69.95" customHeight="1">
      <c r="A335" s="1546" t="str">
        <f>+I!C14</f>
        <v>PLANILLA DE AVANCE DE OBRA</v>
      </c>
      <c r="B335" s="1546"/>
      <c r="C335" s="1546"/>
      <c r="D335" s="1546"/>
      <c r="E335" s="1546"/>
      <c r="F335" s="1546"/>
      <c r="G335" s="1546"/>
      <c r="H335" s="1546"/>
      <c r="I335" s="1546"/>
      <c r="J335" s="1546"/>
      <c r="K335" s="1546"/>
      <c r="L335" s="1546"/>
      <c r="M335" s="1546"/>
      <c r="N335" s="1546"/>
    </row>
    <row r="336" spans="1:14" ht="14.1" customHeight="1">
      <c r="A336" s="544"/>
      <c r="B336" s="544"/>
      <c r="C336" s="544"/>
      <c r="D336" s="544"/>
      <c r="E336" s="544"/>
      <c r="F336" s="544"/>
      <c r="G336" s="544"/>
      <c r="H336" s="544"/>
      <c r="I336" s="544"/>
      <c r="J336" s="544"/>
      <c r="K336" s="544"/>
      <c r="L336" s="544"/>
      <c r="M336" s="544"/>
      <c r="N336" s="544"/>
    </row>
    <row r="337" spans="1:14" ht="14.1" customHeight="1">
      <c r="A337" s="544"/>
      <c r="B337" s="544"/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</row>
    <row r="338" spans="1:14" ht="14.1" customHeight="1">
      <c r="A338" s="544"/>
      <c r="B338" s="544"/>
      <c r="C338" s="544"/>
      <c r="D338" s="544"/>
      <c r="E338" s="544"/>
      <c r="F338" s="544"/>
      <c r="G338" s="544"/>
      <c r="H338" s="544"/>
      <c r="I338" s="544"/>
      <c r="J338" s="544"/>
      <c r="K338" s="544"/>
      <c r="L338" s="544"/>
      <c r="M338" s="544"/>
      <c r="N338" s="544"/>
    </row>
    <row r="339" spans="1:14" ht="14.1" customHeight="1">
      <c r="A339" s="544"/>
      <c r="B339" s="544"/>
      <c r="C339" s="544"/>
      <c r="D339" s="544"/>
      <c r="E339" s="544"/>
      <c r="F339" s="544"/>
      <c r="G339" s="544"/>
      <c r="H339" s="544"/>
      <c r="I339" s="544"/>
      <c r="J339" s="544"/>
      <c r="K339" s="544"/>
      <c r="L339" s="544"/>
      <c r="M339" s="544"/>
      <c r="N339" s="544"/>
    </row>
    <row r="359" spans="1:14" ht="14.1" customHeight="1" thickBot="1">
      <c r="A359" s="545"/>
      <c r="B359" s="545"/>
      <c r="C359" s="545"/>
      <c r="D359" s="545"/>
      <c r="E359" s="545"/>
      <c r="F359" s="545"/>
      <c r="G359" s="545"/>
      <c r="H359" s="545"/>
      <c r="I359" s="545"/>
      <c r="J359" s="545"/>
      <c r="K359" s="545"/>
      <c r="L359" s="545"/>
      <c r="M359" s="545"/>
      <c r="N359" s="545"/>
    </row>
    <row r="360" spans="1:14" ht="14.1" customHeight="1" thickTop="1" thickBot="1"/>
    <row r="361" spans="1:14" ht="14.1" customHeight="1" thickTop="1">
      <c r="A361" s="541"/>
      <c r="B361" s="541"/>
      <c r="C361" s="541"/>
      <c r="D361" s="541"/>
      <c r="E361" s="541"/>
      <c r="F361" s="541"/>
      <c r="G361" s="541"/>
      <c r="H361" s="541"/>
      <c r="I361" s="541"/>
      <c r="J361" s="541"/>
      <c r="K361" s="541"/>
      <c r="L361" s="541"/>
      <c r="M361" s="541"/>
      <c r="N361" s="541"/>
    </row>
    <row r="377" spans="1:14" ht="14.1" customHeight="1">
      <c r="B377" s="543"/>
    </row>
    <row r="378" spans="1:14" ht="14.1" customHeight="1">
      <c r="B378" s="543"/>
    </row>
    <row r="380" spans="1:14" ht="69.95" customHeight="1">
      <c r="A380" s="1546" t="str">
        <f>+I!C15</f>
        <v>RESUMEN DE CANTIDADES</v>
      </c>
      <c r="B380" s="1546"/>
      <c r="C380" s="1546"/>
      <c r="D380" s="1546"/>
      <c r="E380" s="1546"/>
      <c r="F380" s="1546"/>
      <c r="G380" s="1546"/>
      <c r="H380" s="1546"/>
      <c r="I380" s="1546"/>
      <c r="J380" s="1546"/>
      <c r="K380" s="1546"/>
      <c r="L380" s="1546"/>
      <c r="M380" s="1546"/>
      <c r="N380" s="1546"/>
    </row>
    <row r="381" spans="1:14" ht="14.1" customHeight="1">
      <c r="A381" s="544"/>
      <c r="B381" s="544"/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</row>
    <row r="382" spans="1:14" ht="14.1" customHeight="1">
      <c r="A382" s="544"/>
      <c r="B382" s="544"/>
      <c r="C382" s="544"/>
      <c r="D382" s="544"/>
      <c r="E382" s="544"/>
      <c r="F382" s="544"/>
      <c r="G382" s="544"/>
      <c r="H382" s="544"/>
      <c r="I382" s="544"/>
      <c r="J382" s="544"/>
      <c r="K382" s="544"/>
      <c r="L382" s="544"/>
      <c r="M382" s="544"/>
      <c r="N382" s="544"/>
    </row>
    <row r="383" spans="1:14" ht="14.1" customHeight="1">
      <c r="A383" s="544"/>
      <c r="B383" s="544"/>
      <c r="C383" s="544"/>
      <c r="D383" s="544"/>
      <c r="E383" s="544"/>
      <c r="F383" s="544"/>
      <c r="G383" s="544"/>
      <c r="H383" s="544"/>
      <c r="I383" s="544"/>
      <c r="J383" s="544"/>
      <c r="K383" s="544"/>
      <c r="L383" s="544"/>
      <c r="M383" s="544"/>
      <c r="N383" s="544"/>
    </row>
    <row r="384" spans="1:14" ht="14.1" customHeight="1">
      <c r="A384" s="544"/>
      <c r="B384" s="544"/>
      <c r="C384" s="544"/>
      <c r="D384" s="544"/>
      <c r="E384" s="544"/>
      <c r="F384" s="544"/>
      <c r="G384" s="544"/>
      <c r="H384" s="544"/>
      <c r="I384" s="544"/>
      <c r="J384" s="544"/>
      <c r="K384" s="544"/>
      <c r="L384" s="544"/>
      <c r="M384" s="544"/>
      <c r="N384" s="544"/>
    </row>
    <row r="404" spans="1:14" ht="14.1" customHeight="1" thickBot="1">
      <c r="A404" s="545"/>
      <c r="B404" s="545"/>
      <c r="C404" s="545"/>
      <c r="D404" s="545"/>
      <c r="E404" s="545"/>
      <c r="F404" s="545"/>
      <c r="G404" s="545"/>
      <c r="H404" s="545"/>
      <c r="I404" s="545"/>
      <c r="J404" s="545"/>
      <c r="K404" s="545"/>
      <c r="L404" s="545"/>
      <c r="M404" s="545"/>
      <c r="N404" s="545"/>
    </row>
    <row r="405" spans="1:14" ht="14.1" customHeight="1" thickTop="1" thickBot="1"/>
    <row r="406" spans="1:14" ht="14.1" customHeight="1" thickTop="1">
      <c r="A406" s="541"/>
      <c r="B406" s="541"/>
      <c r="C406" s="541"/>
      <c r="D406" s="541"/>
      <c r="E406" s="541"/>
      <c r="F406" s="541"/>
      <c r="G406" s="541"/>
      <c r="H406" s="541"/>
      <c r="I406" s="541"/>
      <c r="J406" s="541"/>
      <c r="K406" s="541"/>
      <c r="L406" s="541"/>
      <c r="M406" s="541"/>
      <c r="N406" s="541"/>
    </row>
    <row r="422" spans="1:14" ht="14.1" customHeight="1">
      <c r="B422" s="543"/>
    </row>
    <row r="423" spans="1:14" ht="14.1" customHeight="1">
      <c r="B423" s="543"/>
    </row>
    <row r="425" spans="1:14" ht="69.95" customHeight="1">
      <c r="A425" s="1546" t="str">
        <f>+I!C16</f>
        <v>CÓMPUTOS MÉTRICOS</v>
      </c>
      <c r="B425" s="1546"/>
      <c r="C425" s="1546"/>
      <c r="D425" s="1546"/>
      <c r="E425" s="1546"/>
      <c r="F425" s="1546"/>
      <c r="G425" s="1546"/>
      <c r="H425" s="1546"/>
      <c r="I425" s="1546"/>
      <c r="J425" s="1546"/>
      <c r="K425" s="1546"/>
      <c r="L425" s="1546"/>
      <c r="M425" s="1546"/>
      <c r="N425" s="1546"/>
    </row>
    <row r="426" spans="1:14" ht="14.1" customHeight="1">
      <c r="A426" s="544"/>
      <c r="B426" s="544"/>
      <c r="C426" s="544"/>
      <c r="D426" s="544"/>
      <c r="E426" s="544"/>
      <c r="F426" s="544"/>
      <c r="G426" s="544"/>
      <c r="H426" s="544"/>
      <c r="I426" s="544"/>
      <c r="J426" s="544"/>
      <c r="K426" s="544"/>
      <c r="L426" s="544"/>
      <c r="M426" s="544"/>
      <c r="N426" s="544"/>
    </row>
    <row r="427" spans="1:14" ht="14.1" customHeight="1">
      <c r="A427" s="544"/>
      <c r="B427" s="544"/>
      <c r="C427" s="544"/>
      <c r="D427" s="544"/>
      <c r="E427" s="544"/>
      <c r="F427" s="544"/>
      <c r="G427" s="544"/>
      <c r="H427" s="544"/>
      <c r="I427" s="544"/>
      <c r="J427" s="544"/>
      <c r="K427" s="544"/>
      <c r="L427" s="544"/>
      <c r="M427" s="544"/>
      <c r="N427" s="544"/>
    </row>
    <row r="428" spans="1:14" ht="14.1" customHeight="1">
      <c r="A428" s="544"/>
      <c r="B428" s="544"/>
      <c r="C428" s="544"/>
      <c r="D428" s="544"/>
      <c r="E428" s="544"/>
      <c r="F428" s="544"/>
      <c r="G428" s="544"/>
      <c r="H428" s="544"/>
      <c r="I428" s="544"/>
      <c r="J428" s="544"/>
      <c r="K428" s="544"/>
      <c r="L428" s="544"/>
      <c r="M428" s="544"/>
      <c r="N428" s="544"/>
    </row>
    <row r="429" spans="1:14" ht="14.1" customHeight="1">
      <c r="A429" s="544"/>
      <c r="B429" s="544"/>
      <c r="C429" s="544"/>
      <c r="D429" s="544"/>
      <c r="E429" s="544"/>
      <c r="F429" s="544"/>
      <c r="G429" s="544"/>
      <c r="H429" s="544"/>
      <c r="I429" s="544"/>
      <c r="J429" s="544"/>
      <c r="K429" s="544"/>
      <c r="L429" s="544"/>
      <c r="M429" s="544"/>
      <c r="N429" s="544"/>
    </row>
    <row r="449" spans="1:14" ht="14.1" customHeight="1" thickBot="1">
      <c r="A449" s="545"/>
      <c r="B449" s="545"/>
      <c r="C449" s="545"/>
      <c r="D449" s="545"/>
      <c r="E449" s="545"/>
      <c r="F449" s="545"/>
      <c r="G449" s="545"/>
      <c r="H449" s="545"/>
      <c r="I449" s="545"/>
      <c r="J449" s="545"/>
      <c r="K449" s="545"/>
      <c r="L449" s="545"/>
      <c r="M449" s="545"/>
      <c r="N449" s="545"/>
    </row>
    <row r="450" spans="1:14" ht="14.1" customHeight="1" thickTop="1" thickBot="1"/>
    <row r="451" spans="1:14" ht="14.1" customHeight="1" thickTop="1">
      <c r="A451" s="541"/>
      <c r="B451" s="541"/>
      <c r="C451" s="541"/>
      <c r="D451" s="541"/>
      <c r="E451" s="541"/>
      <c r="F451" s="541"/>
      <c r="G451" s="541"/>
      <c r="H451" s="541"/>
      <c r="I451" s="541"/>
      <c r="J451" s="541"/>
      <c r="K451" s="541"/>
      <c r="L451" s="541"/>
      <c r="M451" s="541"/>
      <c r="N451" s="541"/>
    </row>
    <row r="467" spans="1:14" ht="14.1" customHeight="1">
      <c r="B467" s="543"/>
    </row>
    <row r="468" spans="1:14" ht="14.1" customHeight="1">
      <c r="B468" s="543"/>
    </row>
    <row r="470" spans="1:14" ht="69.95" customHeight="1">
      <c r="A470" s="1546" t="str">
        <f>+I!C17</f>
        <v>FOTOGRAFÍAS EXPLICATIVAS</v>
      </c>
      <c r="B470" s="1546"/>
      <c r="C470" s="1546"/>
      <c r="D470" s="1546"/>
      <c r="E470" s="1546"/>
      <c r="F470" s="1546"/>
      <c r="G470" s="1546"/>
      <c r="H470" s="1546"/>
      <c r="I470" s="1546"/>
      <c r="J470" s="1546"/>
      <c r="K470" s="1546"/>
      <c r="L470" s="1546"/>
      <c r="M470" s="1546"/>
      <c r="N470" s="1546"/>
    </row>
    <row r="471" spans="1:14" ht="14.1" customHeight="1">
      <c r="A471" s="544"/>
      <c r="B471" s="544"/>
      <c r="C471" s="544"/>
      <c r="D471" s="544"/>
      <c r="E471" s="544"/>
      <c r="F471" s="544"/>
      <c r="G471" s="544"/>
      <c r="H471" s="544"/>
      <c r="I471" s="544"/>
      <c r="J471" s="544"/>
      <c r="K471" s="544"/>
      <c r="L471" s="544"/>
      <c r="M471" s="544"/>
      <c r="N471" s="544"/>
    </row>
    <row r="472" spans="1:14" ht="14.1" customHeight="1">
      <c r="A472" s="544"/>
      <c r="B472" s="544"/>
      <c r="C472" s="544"/>
      <c r="D472" s="544"/>
      <c r="E472" s="544"/>
      <c r="F472" s="544"/>
      <c r="G472" s="544"/>
      <c r="H472" s="544"/>
      <c r="I472" s="544"/>
      <c r="J472" s="544"/>
      <c r="K472" s="544"/>
      <c r="L472" s="544"/>
      <c r="M472" s="544"/>
      <c r="N472" s="544"/>
    </row>
    <row r="473" spans="1:14" ht="14.1" customHeight="1">
      <c r="A473" s="544"/>
      <c r="B473" s="544"/>
      <c r="C473" s="544"/>
      <c r="D473" s="544"/>
      <c r="E473" s="544"/>
      <c r="F473" s="544"/>
      <c r="G473" s="544"/>
      <c r="H473" s="544"/>
      <c r="I473" s="544"/>
      <c r="J473" s="544"/>
      <c r="K473" s="544"/>
      <c r="L473" s="544"/>
      <c r="M473" s="544"/>
      <c r="N473" s="544"/>
    </row>
    <row r="474" spans="1:14" ht="14.1" customHeight="1">
      <c r="A474" s="544"/>
      <c r="B474" s="544"/>
      <c r="C474" s="544"/>
      <c r="D474" s="544"/>
      <c r="E474" s="544"/>
      <c r="F474" s="544"/>
      <c r="G474" s="544"/>
      <c r="H474" s="544"/>
      <c r="I474" s="544"/>
      <c r="J474" s="544"/>
      <c r="K474" s="544"/>
      <c r="L474" s="544"/>
      <c r="M474" s="544"/>
      <c r="N474" s="544"/>
    </row>
    <row r="494" spans="1:14" ht="14.1" customHeight="1" thickBot="1">
      <c r="A494" s="545"/>
      <c r="B494" s="545"/>
      <c r="C494" s="545"/>
      <c r="D494" s="545"/>
      <c r="E494" s="545"/>
      <c r="F494" s="545"/>
      <c r="G494" s="545"/>
      <c r="H494" s="545"/>
      <c r="I494" s="545"/>
      <c r="J494" s="545"/>
      <c r="K494" s="545"/>
      <c r="L494" s="545"/>
      <c r="M494" s="545"/>
      <c r="N494" s="545"/>
    </row>
    <row r="495" spans="1:14" ht="14.1" customHeight="1" thickTop="1" thickBot="1"/>
    <row r="496" spans="1:14" ht="14.1" customHeight="1" thickTop="1">
      <c r="A496" s="541"/>
      <c r="B496" s="541"/>
      <c r="C496" s="541"/>
      <c r="D496" s="541"/>
      <c r="E496" s="541"/>
      <c r="F496" s="541"/>
      <c r="G496" s="541"/>
      <c r="H496" s="541"/>
      <c r="I496" s="541"/>
      <c r="J496" s="541"/>
      <c r="K496" s="541"/>
      <c r="L496" s="541"/>
      <c r="M496" s="541"/>
      <c r="N496" s="541"/>
    </row>
    <row r="512" spans="2:2" ht="14.1" customHeight="1">
      <c r="B512" s="543"/>
    </row>
    <row r="513" spans="1:14" ht="14.1" customHeight="1">
      <c r="B513" s="543"/>
    </row>
    <row r="515" spans="1:14" ht="69.95" customHeight="1">
      <c r="A515" s="1546" t="str">
        <f>+I!C18</f>
        <v>PERSONAL TÉCNICO CLAVE</v>
      </c>
      <c r="B515" s="1546"/>
      <c r="C515" s="1546"/>
      <c r="D515" s="1546"/>
      <c r="E515" s="1546"/>
      <c r="F515" s="1546"/>
      <c r="G515" s="1546"/>
      <c r="H515" s="1546"/>
      <c r="I515" s="1546"/>
      <c r="J515" s="1546"/>
      <c r="K515" s="1546"/>
      <c r="L515" s="1546"/>
      <c r="M515" s="1546"/>
      <c r="N515" s="1546"/>
    </row>
    <row r="516" spans="1:14" ht="14.1" customHeight="1">
      <c r="A516" s="544"/>
      <c r="B516" s="544"/>
      <c r="C516" s="544"/>
      <c r="D516" s="544"/>
      <c r="E516" s="544"/>
      <c r="F516" s="544"/>
      <c r="G516" s="544"/>
      <c r="H516" s="544"/>
      <c r="I516" s="544"/>
      <c r="J516" s="544"/>
      <c r="K516" s="544"/>
      <c r="L516" s="544"/>
      <c r="M516" s="544"/>
      <c r="N516" s="544"/>
    </row>
    <row r="517" spans="1:14" ht="14.1" customHeight="1">
      <c r="A517" s="544"/>
      <c r="B517" s="544"/>
      <c r="C517" s="544"/>
      <c r="D517" s="544"/>
      <c r="E517" s="544"/>
      <c r="F517" s="544"/>
      <c r="G517" s="544"/>
      <c r="H517" s="544"/>
      <c r="I517" s="544"/>
      <c r="J517" s="544"/>
      <c r="K517" s="544"/>
      <c r="L517" s="544"/>
      <c r="M517" s="544"/>
      <c r="N517" s="544"/>
    </row>
    <row r="518" spans="1:14" ht="14.1" customHeight="1">
      <c r="A518" s="544"/>
      <c r="B518" s="544"/>
      <c r="C518" s="544"/>
      <c r="D518" s="544"/>
      <c r="E518" s="544"/>
      <c r="F518" s="544"/>
      <c r="G518" s="544"/>
      <c r="H518" s="544"/>
      <c r="I518" s="544"/>
      <c r="J518" s="544"/>
      <c r="K518" s="544"/>
      <c r="L518" s="544"/>
      <c r="M518" s="544"/>
      <c r="N518" s="544"/>
    </row>
    <row r="519" spans="1:14" ht="14.1" customHeight="1">
      <c r="A519" s="544"/>
      <c r="B519" s="544"/>
      <c r="C519" s="544"/>
      <c r="D519" s="544"/>
      <c r="E519" s="544"/>
      <c r="F519" s="544"/>
      <c r="G519" s="544"/>
      <c r="H519" s="544"/>
      <c r="I519" s="544"/>
      <c r="J519" s="544"/>
      <c r="K519" s="544"/>
      <c r="L519" s="544"/>
      <c r="M519" s="544"/>
      <c r="N519" s="544"/>
    </row>
    <row r="539" spans="1:14" ht="14.1" customHeight="1" thickBot="1">
      <c r="A539" s="545"/>
      <c r="B539" s="545"/>
      <c r="C539" s="545"/>
      <c r="D539" s="545"/>
      <c r="E539" s="545"/>
      <c r="F539" s="545"/>
      <c r="G539" s="545"/>
      <c r="H539" s="545"/>
      <c r="I539" s="545"/>
      <c r="J539" s="545"/>
      <c r="K539" s="545"/>
      <c r="L539" s="545"/>
      <c r="M539" s="545"/>
      <c r="N539" s="545"/>
    </row>
    <row r="540" spans="1:14" ht="14.1" customHeight="1" thickTop="1" thickBot="1"/>
    <row r="541" spans="1:14" ht="14.1" customHeight="1" thickTop="1">
      <c r="A541" s="541"/>
      <c r="B541" s="541"/>
      <c r="C541" s="541"/>
      <c r="D541" s="541"/>
      <c r="E541" s="541"/>
      <c r="F541" s="541"/>
      <c r="G541" s="541"/>
      <c r="H541" s="541"/>
      <c r="I541" s="541"/>
      <c r="J541" s="541"/>
      <c r="K541" s="541"/>
      <c r="L541" s="541"/>
      <c r="M541" s="541"/>
      <c r="N541" s="541"/>
    </row>
    <row r="557" spans="1:14" ht="14.1" customHeight="1">
      <c r="B557" s="543"/>
    </row>
    <row r="558" spans="1:14" ht="14.1" customHeight="1">
      <c r="B558" s="543"/>
    </row>
    <row r="560" spans="1:14" ht="69.95" customHeight="1">
      <c r="A560" s="1546" t="str">
        <f>+I!C19</f>
        <v>COPIA DE LIBRO DE ORDENES</v>
      </c>
      <c r="B560" s="1546"/>
      <c r="C560" s="1546"/>
      <c r="D560" s="1546"/>
      <c r="E560" s="1546"/>
      <c r="F560" s="1546"/>
      <c r="G560" s="1546"/>
      <c r="H560" s="1546"/>
      <c r="I560" s="1546"/>
      <c r="J560" s="1546"/>
      <c r="K560" s="1546"/>
      <c r="L560" s="1546"/>
      <c r="M560" s="1546"/>
      <c r="N560" s="1546"/>
    </row>
    <row r="561" spans="1:14" ht="14.1" customHeight="1">
      <c r="A561" s="544"/>
      <c r="B561" s="544"/>
      <c r="C561" s="544"/>
      <c r="D561" s="544"/>
      <c r="E561" s="544"/>
      <c r="F561" s="544"/>
      <c r="G561" s="544"/>
      <c r="H561" s="544"/>
      <c r="I561" s="544"/>
      <c r="J561" s="544"/>
      <c r="K561" s="544"/>
      <c r="L561" s="544"/>
      <c r="M561" s="544"/>
      <c r="N561" s="544"/>
    </row>
    <row r="562" spans="1:14" ht="14.1" customHeight="1">
      <c r="A562" s="544"/>
      <c r="B562" s="544"/>
      <c r="C562" s="544"/>
      <c r="D562" s="544"/>
      <c r="E562" s="544"/>
      <c r="F562" s="544"/>
      <c r="G562" s="544"/>
      <c r="H562" s="544"/>
      <c r="I562" s="544"/>
      <c r="J562" s="544"/>
      <c r="K562" s="544"/>
      <c r="L562" s="544"/>
      <c r="M562" s="544"/>
      <c r="N562" s="544"/>
    </row>
    <row r="563" spans="1:14" ht="14.1" customHeight="1">
      <c r="A563" s="544"/>
      <c r="B563" s="544"/>
      <c r="C563" s="544"/>
      <c r="D563" s="544"/>
      <c r="E563" s="544"/>
      <c r="F563" s="544"/>
      <c r="G563" s="544"/>
      <c r="H563" s="544"/>
      <c r="I563" s="544"/>
      <c r="J563" s="544"/>
      <c r="K563" s="544"/>
      <c r="L563" s="544"/>
      <c r="M563" s="544"/>
      <c r="N563" s="544"/>
    </row>
    <row r="564" spans="1:14" ht="14.1" customHeight="1">
      <c r="A564" s="544"/>
      <c r="B564" s="544"/>
      <c r="C564" s="544"/>
      <c r="D564" s="544"/>
      <c r="E564" s="544"/>
      <c r="F564" s="544"/>
      <c r="G564" s="544"/>
      <c r="H564" s="544"/>
      <c r="I564" s="544"/>
      <c r="J564" s="544"/>
      <c r="K564" s="544"/>
      <c r="L564" s="544"/>
      <c r="M564" s="544"/>
      <c r="N564" s="544"/>
    </row>
    <row r="584" spans="1:14" ht="14.1" customHeight="1" thickBot="1">
      <c r="A584" s="545"/>
      <c r="B584" s="545"/>
      <c r="C584" s="545"/>
      <c r="D584" s="545"/>
      <c r="E584" s="545"/>
      <c r="F584" s="545"/>
      <c r="G584" s="545"/>
      <c r="H584" s="545"/>
      <c r="I584" s="545"/>
      <c r="J584" s="545"/>
      <c r="K584" s="545"/>
      <c r="L584" s="545"/>
      <c r="M584" s="545"/>
      <c r="N584" s="545"/>
    </row>
    <row r="585" spans="1:14" ht="14.1" customHeight="1" thickTop="1" thickBot="1"/>
    <row r="586" spans="1:14" ht="14.1" customHeight="1" thickTop="1">
      <c r="A586" s="541"/>
      <c r="B586" s="541"/>
      <c r="C586" s="541"/>
      <c r="D586" s="541"/>
      <c r="E586" s="541"/>
      <c r="F586" s="541"/>
      <c r="G586" s="541"/>
      <c r="H586" s="541"/>
      <c r="I586" s="541"/>
      <c r="J586" s="541"/>
      <c r="K586" s="541"/>
      <c r="L586" s="541"/>
      <c r="M586" s="541"/>
      <c r="N586" s="541"/>
    </row>
    <row r="602" spans="1:14" ht="14.1" customHeight="1">
      <c r="B602" s="543"/>
    </row>
    <row r="603" spans="1:14" ht="14.1" customHeight="1">
      <c r="B603" s="543"/>
    </row>
    <row r="605" spans="1:14" ht="69.95" customHeight="1">
      <c r="A605" s="1546" t="str">
        <f>+I!C20</f>
        <v>PLANILLA DE DOCUMENTOS DE GARANTÍA</v>
      </c>
      <c r="B605" s="1546"/>
      <c r="C605" s="1546"/>
      <c r="D605" s="1546"/>
      <c r="E605" s="1546"/>
      <c r="F605" s="1546"/>
      <c r="G605" s="1546"/>
      <c r="H605" s="1546"/>
      <c r="I605" s="1546"/>
      <c r="J605" s="1546"/>
      <c r="K605" s="1546"/>
      <c r="L605" s="1546"/>
      <c r="M605" s="1546"/>
      <c r="N605" s="1546"/>
    </row>
    <row r="606" spans="1:14" ht="14.1" customHeight="1">
      <c r="A606" s="544"/>
      <c r="B606" s="544"/>
      <c r="C606" s="544"/>
      <c r="D606" s="544"/>
      <c r="E606" s="544"/>
      <c r="F606" s="544"/>
      <c r="G606" s="544"/>
      <c r="H606" s="544"/>
      <c r="I606" s="544"/>
      <c r="J606" s="544"/>
      <c r="K606" s="544"/>
      <c r="L606" s="544"/>
      <c r="M606" s="544"/>
      <c r="N606" s="544"/>
    </row>
    <row r="607" spans="1:14" ht="14.1" customHeight="1">
      <c r="A607" s="544"/>
      <c r="B607" s="544"/>
      <c r="C607" s="544"/>
      <c r="D607" s="544"/>
      <c r="E607" s="544"/>
      <c r="F607" s="544"/>
      <c r="G607" s="544"/>
      <c r="H607" s="544"/>
      <c r="I607" s="544"/>
      <c r="J607" s="544"/>
      <c r="K607" s="544"/>
      <c r="L607" s="544"/>
      <c r="M607" s="544"/>
      <c r="N607" s="544"/>
    </row>
    <row r="608" spans="1:14" ht="14.1" customHeight="1">
      <c r="A608" s="544"/>
      <c r="B608" s="544"/>
      <c r="C608" s="544"/>
      <c r="D608" s="544"/>
      <c r="E608" s="544"/>
      <c r="F608" s="544"/>
      <c r="G608" s="544"/>
      <c r="H608" s="544"/>
      <c r="I608" s="544"/>
      <c r="J608" s="544"/>
      <c r="K608" s="544"/>
      <c r="L608" s="544"/>
      <c r="M608" s="544"/>
      <c r="N608" s="544"/>
    </row>
    <row r="609" spans="1:14" ht="14.1" customHeight="1">
      <c r="A609" s="544"/>
      <c r="B609" s="544"/>
      <c r="C609" s="544"/>
      <c r="D609" s="544"/>
      <c r="E609" s="544"/>
      <c r="F609" s="544"/>
      <c r="G609" s="544"/>
      <c r="H609" s="544"/>
      <c r="I609" s="544"/>
      <c r="J609" s="544"/>
      <c r="K609" s="544"/>
      <c r="L609" s="544"/>
      <c r="M609" s="544"/>
      <c r="N609" s="544"/>
    </row>
    <row r="629" spans="1:14" ht="14.1" customHeight="1" thickBot="1">
      <c r="A629" s="545"/>
      <c r="B629" s="545"/>
      <c r="C629" s="545"/>
      <c r="D629" s="545"/>
      <c r="E629" s="545"/>
      <c r="F629" s="545"/>
      <c r="G629" s="545"/>
      <c r="H629" s="545"/>
      <c r="I629" s="545"/>
      <c r="J629" s="545"/>
      <c r="K629" s="545"/>
      <c r="L629" s="545"/>
      <c r="M629" s="545"/>
      <c r="N629" s="545"/>
    </row>
    <row r="630" spans="1:14" ht="14.1" customHeight="1" thickTop="1" thickBot="1"/>
    <row r="631" spans="1:14" ht="14.1" customHeight="1" thickTop="1">
      <c r="A631" s="541"/>
      <c r="B631" s="541"/>
      <c r="C631" s="541"/>
      <c r="D631" s="541"/>
      <c r="E631" s="541"/>
      <c r="F631" s="541"/>
      <c r="G631" s="541"/>
      <c r="H631" s="541"/>
      <c r="I631" s="541"/>
      <c r="J631" s="541"/>
      <c r="K631" s="541"/>
      <c r="L631" s="541"/>
      <c r="M631" s="541"/>
      <c r="N631" s="541"/>
    </row>
    <row r="647" spans="1:14" ht="14.1" customHeight="1">
      <c r="B647" s="543"/>
    </row>
    <row r="648" spans="1:14" ht="14.1" customHeight="1">
      <c r="B648" s="543"/>
    </row>
    <row r="650" spans="1:14" ht="69.95" customHeight="1">
      <c r="A650" s="1546" t="str">
        <f>+I!C21</f>
        <v>GARANTIA DE CORRECTA INVERSION DE ANTICIPO</v>
      </c>
      <c r="B650" s="1546"/>
      <c r="C650" s="1546"/>
      <c r="D650" s="1546"/>
      <c r="E650" s="1546"/>
      <c r="F650" s="1546"/>
      <c r="G650" s="1546"/>
      <c r="H650" s="1546"/>
      <c r="I650" s="1546"/>
      <c r="J650" s="1546"/>
      <c r="K650" s="1546"/>
      <c r="L650" s="1546"/>
      <c r="M650" s="1546"/>
      <c r="N650" s="1546"/>
    </row>
    <row r="651" spans="1:14" ht="14.1" customHeight="1">
      <c r="A651" s="544"/>
      <c r="B651" s="544"/>
      <c r="C651" s="544"/>
      <c r="D651" s="544"/>
      <c r="E651" s="544"/>
      <c r="F651" s="544"/>
      <c r="G651" s="544"/>
      <c r="H651" s="544"/>
      <c r="I651" s="544"/>
      <c r="J651" s="544"/>
      <c r="K651" s="544"/>
      <c r="L651" s="544"/>
      <c r="M651" s="544"/>
      <c r="N651" s="544"/>
    </row>
    <row r="652" spans="1:14" ht="14.1" customHeight="1">
      <c r="A652" s="544"/>
      <c r="B652" s="544"/>
      <c r="C652" s="544"/>
      <c r="D652" s="544"/>
      <c r="E652" s="544"/>
      <c r="F652" s="544"/>
      <c r="G652" s="544"/>
      <c r="H652" s="544"/>
      <c r="I652" s="544"/>
      <c r="J652" s="544"/>
      <c r="K652" s="544"/>
      <c r="L652" s="544"/>
      <c r="M652" s="544"/>
      <c r="N652" s="544"/>
    </row>
    <row r="653" spans="1:14" ht="14.1" customHeight="1">
      <c r="A653" s="544"/>
      <c r="B653" s="544"/>
      <c r="C653" s="544"/>
      <c r="D653" s="544"/>
      <c r="E653" s="544"/>
      <c r="F653" s="544"/>
      <c r="G653" s="544"/>
      <c r="H653" s="544"/>
      <c r="I653" s="544"/>
      <c r="J653" s="544"/>
      <c r="K653" s="544"/>
      <c r="L653" s="544"/>
      <c r="M653" s="544"/>
      <c r="N653" s="544"/>
    </row>
    <row r="654" spans="1:14" ht="14.1" customHeight="1">
      <c r="A654" s="544"/>
      <c r="B654" s="544"/>
      <c r="C654" s="544"/>
      <c r="D654" s="544"/>
      <c r="E654" s="544"/>
      <c r="F654" s="544"/>
      <c r="G654" s="544"/>
      <c r="H654" s="544"/>
      <c r="I654" s="544"/>
      <c r="J654" s="544"/>
      <c r="K654" s="544"/>
      <c r="L654" s="544"/>
      <c r="M654" s="544"/>
      <c r="N654" s="544"/>
    </row>
    <row r="674" spans="1:14" ht="14.1" customHeight="1" thickBot="1">
      <c r="A674" s="545"/>
      <c r="B674" s="545"/>
      <c r="C674" s="545"/>
      <c r="D674" s="545"/>
      <c r="E674" s="545"/>
      <c r="F674" s="545"/>
      <c r="G674" s="545"/>
      <c r="H674" s="545"/>
      <c r="I674" s="545"/>
      <c r="J674" s="545"/>
      <c r="K674" s="545"/>
      <c r="L674" s="545"/>
      <c r="M674" s="545"/>
      <c r="N674" s="545"/>
    </row>
    <row r="675" spans="1:14" ht="14.1" customHeight="1" thickTop="1" thickBot="1"/>
    <row r="676" spans="1:14" ht="14.1" customHeight="1" thickTop="1">
      <c r="A676" s="541"/>
      <c r="B676" s="541"/>
      <c r="C676" s="541"/>
      <c r="D676" s="541"/>
      <c r="E676" s="541"/>
      <c r="F676" s="541"/>
      <c r="G676" s="541"/>
      <c r="H676" s="541"/>
      <c r="I676" s="541"/>
      <c r="J676" s="541"/>
      <c r="K676" s="541"/>
      <c r="L676" s="541"/>
      <c r="M676" s="541"/>
      <c r="N676" s="541"/>
    </row>
    <row r="692" spans="1:14" ht="14.1" customHeight="1">
      <c r="B692" s="543"/>
    </row>
    <row r="693" spans="1:14" ht="14.1" customHeight="1">
      <c r="B693" s="543"/>
    </row>
    <row r="694" spans="1:14" ht="14.1" customHeight="1">
      <c r="A694" s="1548" t="str">
        <f>+I!C22</f>
        <v>PÓLIZA DE SEGURO DE OBRA, CONTRA ACCIDENTES PERSONALES, RESPONSABILIDAD CIVIL</v>
      </c>
      <c r="B694" s="1548"/>
      <c r="C694" s="1548"/>
      <c r="D694" s="1548"/>
      <c r="E694" s="1548"/>
      <c r="F694" s="1548"/>
      <c r="G694" s="1548"/>
      <c r="H694" s="1548"/>
      <c r="I694" s="1548"/>
      <c r="J694" s="1548"/>
      <c r="K694" s="1548"/>
      <c r="L694" s="1548"/>
      <c r="M694" s="1548"/>
      <c r="N694" s="1548"/>
    </row>
    <row r="695" spans="1:14" ht="69.95" customHeight="1">
      <c r="A695" s="1548"/>
      <c r="B695" s="1548"/>
      <c r="C695" s="1548"/>
      <c r="D695" s="1548"/>
      <c r="E695" s="1548"/>
      <c r="F695" s="1548"/>
      <c r="G695" s="1548"/>
      <c r="H695" s="1548"/>
      <c r="I695" s="1548"/>
      <c r="J695" s="1548"/>
      <c r="K695" s="1548"/>
      <c r="L695" s="1548"/>
      <c r="M695" s="1548"/>
      <c r="N695" s="1548"/>
    </row>
    <row r="696" spans="1:14" ht="14.1" customHeight="1">
      <c r="A696" s="1548"/>
      <c r="B696" s="1548"/>
      <c r="C696" s="1548"/>
      <c r="D696" s="1548"/>
      <c r="E696" s="1548"/>
      <c r="F696" s="1548"/>
      <c r="G696" s="1548"/>
      <c r="H696" s="1548"/>
      <c r="I696" s="1548"/>
      <c r="J696" s="1548"/>
      <c r="K696" s="1548"/>
      <c r="L696" s="1548"/>
      <c r="M696" s="1548"/>
      <c r="N696" s="1548"/>
    </row>
    <row r="697" spans="1:14" ht="14.1" customHeight="1">
      <c r="A697" s="544"/>
      <c r="B697" s="544"/>
      <c r="C697" s="544"/>
      <c r="D697" s="544"/>
      <c r="E697" s="544"/>
      <c r="F697" s="544"/>
      <c r="G697" s="544"/>
      <c r="H697" s="544"/>
      <c r="I697" s="544"/>
      <c r="J697" s="544"/>
      <c r="K697" s="544"/>
      <c r="L697" s="544"/>
      <c r="M697" s="544"/>
      <c r="N697" s="544"/>
    </row>
    <row r="698" spans="1:14" ht="14.1" customHeight="1">
      <c r="A698" s="544"/>
      <c r="B698" s="544"/>
      <c r="C698" s="544"/>
      <c r="D698" s="544"/>
      <c r="E698" s="544"/>
      <c r="F698" s="544"/>
      <c r="G698" s="544"/>
      <c r="H698" s="544"/>
      <c r="I698" s="544"/>
      <c r="J698" s="544"/>
      <c r="K698" s="544"/>
      <c r="L698" s="544"/>
      <c r="M698" s="544"/>
      <c r="N698" s="544"/>
    </row>
    <row r="699" spans="1:14" ht="14.1" customHeight="1">
      <c r="A699" s="544"/>
      <c r="B699" s="544"/>
      <c r="C699" s="544"/>
      <c r="D699" s="544"/>
      <c r="E699" s="544"/>
      <c r="F699" s="544"/>
      <c r="G699" s="544"/>
      <c r="H699" s="544"/>
      <c r="I699" s="544"/>
      <c r="J699" s="544"/>
      <c r="K699" s="544"/>
      <c r="L699" s="544"/>
      <c r="M699" s="544"/>
      <c r="N699" s="544"/>
    </row>
    <row r="719" spans="1:14" ht="14.1" customHeight="1" thickBot="1">
      <c r="A719" s="545"/>
      <c r="B719" s="545"/>
      <c r="C719" s="545"/>
      <c r="D719" s="545"/>
      <c r="E719" s="545"/>
      <c r="F719" s="545"/>
      <c r="G719" s="545"/>
      <c r="H719" s="545"/>
      <c r="I719" s="545"/>
      <c r="J719" s="545"/>
      <c r="K719" s="545"/>
      <c r="L719" s="545"/>
      <c r="M719" s="545"/>
      <c r="N719" s="545"/>
    </row>
    <row r="720" spans="1:14" ht="14.1" customHeight="1" thickTop="1" thickBot="1"/>
    <row r="721" spans="1:14" ht="14.1" customHeight="1" thickTop="1">
      <c r="A721" s="541"/>
      <c r="B721" s="541"/>
      <c r="C721" s="541"/>
      <c r="D721" s="541"/>
      <c r="E721" s="541"/>
      <c r="F721" s="541"/>
      <c r="G721" s="541"/>
      <c r="H721" s="541"/>
      <c r="I721" s="541"/>
      <c r="J721" s="541"/>
      <c r="K721" s="541"/>
      <c r="L721" s="541"/>
      <c r="M721" s="541"/>
      <c r="N721" s="541"/>
    </row>
    <row r="737" spans="1:14" ht="14.1" customHeight="1">
      <c r="B737" s="543"/>
    </row>
    <row r="738" spans="1:14" ht="14.1" customHeight="1">
      <c r="B738" s="543"/>
    </row>
    <row r="740" spans="1:14" ht="69.95" customHeight="1">
      <c r="A740" s="1546" t="str">
        <f>+I!C23</f>
        <v>ORDEN DE PROCEDER</v>
      </c>
      <c r="B740" s="1546"/>
      <c r="C740" s="1546"/>
      <c r="D740" s="1546"/>
      <c r="E740" s="1546"/>
      <c r="F740" s="1546"/>
      <c r="G740" s="1546"/>
      <c r="H740" s="1546"/>
      <c r="I740" s="1546"/>
      <c r="J740" s="1546"/>
      <c r="K740" s="1546"/>
      <c r="L740" s="1546"/>
      <c r="M740" s="1546"/>
      <c r="N740" s="1546"/>
    </row>
    <row r="741" spans="1:14" ht="14.1" customHeight="1">
      <c r="A741" s="544"/>
      <c r="B741" s="544"/>
      <c r="C741" s="544"/>
      <c r="D741" s="544"/>
      <c r="E741" s="544"/>
      <c r="F741" s="544"/>
      <c r="G741" s="544"/>
      <c r="H741" s="544"/>
      <c r="I741" s="544"/>
      <c r="J741" s="544"/>
      <c r="K741" s="544"/>
      <c r="L741" s="544"/>
      <c r="M741" s="544"/>
      <c r="N741" s="544"/>
    </row>
    <row r="742" spans="1:14" ht="14.1" customHeight="1">
      <c r="A742" s="544"/>
      <c r="B742" s="544"/>
      <c r="C742" s="544"/>
      <c r="D742" s="544"/>
      <c r="E742" s="544"/>
      <c r="F742" s="544"/>
      <c r="G742" s="544"/>
      <c r="H742" s="544"/>
      <c r="I742" s="544"/>
      <c r="J742" s="544"/>
      <c r="K742" s="544"/>
      <c r="L742" s="544"/>
      <c r="M742" s="544"/>
      <c r="N742" s="544"/>
    </row>
    <row r="743" spans="1:14" ht="14.1" customHeight="1">
      <c r="A743" s="544"/>
      <c r="B743" s="544"/>
      <c r="C743" s="544"/>
      <c r="D743" s="544"/>
      <c r="E743" s="544"/>
      <c r="F743" s="544"/>
      <c r="G743" s="544"/>
      <c r="H743" s="544"/>
      <c r="I743" s="544"/>
      <c r="J743" s="544"/>
      <c r="K743" s="544"/>
      <c r="L743" s="544"/>
      <c r="M743" s="544"/>
      <c r="N743" s="544"/>
    </row>
    <row r="744" spans="1:14" ht="14.1" customHeight="1">
      <c r="A744" s="544"/>
      <c r="B744" s="544"/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</row>
    <row r="764" spans="1:14" ht="14.1" customHeight="1" thickBot="1">
      <c r="A764" s="545"/>
      <c r="B764" s="545"/>
      <c r="C764" s="545"/>
      <c r="D764" s="545"/>
      <c r="E764" s="545"/>
      <c r="F764" s="545"/>
      <c r="G764" s="545"/>
      <c r="H764" s="545"/>
      <c r="I764" s="545"/>
      <c r="J764" s="545"/>
      <c r="K764" s="545"/>
      <c r="L764" s="545"/>
      <c r="M764" s="545"/>
      <c r="N764" s="545"/>
    </row>
    <row r="765" spans="1:14" ht="14.1" customHeight="1" thickTop="1" thickBot="1"/>
    <row r="766" spans="1:14" ht="14.1" customHeight="1" thickTop="1">
      <c r="A766" s="541"/>
      <c r="B766" s="541"/>
      <c r="C766" s="541"/>
      <c r="D766" s="541"/>
      <c r="E766" s="541"/>
      <c r="F766" s="541"/>
      <c r="G766" s="541"/>
      <c r="H766" s="541"/>
      <c r="I766" s="541"/>
      <c r="J766" s="541"/>
      <c r="K766" s="541"/>
      <c r="L766" s="541"/>
      <c r="M766" s="541"/>
      <c r="N766" s="541"/>
    </row>
    <row r="782" spans="2:2" ht="14.1" customHeight="1">
      <c r="B782" s="543"/>
    </row>
    <row r="783" spans="2:2" ht="14.1" customHeight="1">
      <c r="B783" s="543"/>
    </row>
    <row r="785" spans="1:14" ht="69.95" customHeight="1">
      <c r="A785" s="1546" t="str">
        <f>+I!C24</f>
        <v>CONTRATOS</v>
      </c>
      <c r="B785" s="1546"/>
      <c r="C785" s="1546"/>
      <c r="D785" s="1546"/>
      <c r="E785" s="1546"/>
      <c r="F785" s="1546"/>
      <c r="G785" s="1546"/>
      <c r="H785" s="1546"/>
      <c r="I785" s="1546"/>
      <c r="J785" s="1546"/>
      <c r="K785" s="1546"/>
      <c r="L785" s="1546"/>
      <c r="M785" s="1546"/>
      <c r="N785" s="1546"/>
    </row>
    <row r="786" spans="1:14" ht="14.1" customHeight="1">
      <c r="A786" s="544"/>
      <c r="B786" s="544"/>
      <c r="C786" s="544"/>
      <c r="D786" s="544"/>
      <c r="E786" s="544"/>
      <c r="F786" s="544"/>
      <c r="G786" s="544"/>
      <c r="H786" s="544"/>
      <c r="I786" s="544"/>
      <c r="J786" s="544"/>
      <c r="K786" s="544"/>
      <c r="L786" s="544"/>
      <c r="M786" s="544"/>
      <c r="N786" s="544"/>
    </row>
    <row r="787" spans="1:14" ht="14.1" customHeight="1">
      <c r="A787" s="544"/>
      <c r="B787" s="544"/>
      <c r="C787" s="544"/>
      <c r="D787" s="544"/>
      <c r="E787" s="544"/>
      <c r="F787" s="544"/>
      <c r="G787" s="544"/>
      <c r="H787" s="544"/>
      <c r="I787" s="544"/>
      <c r="J787" s="544"/>
      <c r="K787" s="544"/>
      <c r="L787" s="544"/>
      <c r="M787" s="544"/>
      <c r="N787" s="544"/>
    </row>
    <row r="788" spans="1:14" ht="14.1" customHeight="1">
      <c r="A788" s="544"/>
      <c r="B788" s="544"/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</row>
    <row r="789" spans="1:14" ht="14.1" customHeight="1">
      <c r="A789" s="544"/>
      <c r="B789" s="544"/>
      <c r="C789" s="544"/>
      <c r="D789" s="544"/>
      <c r="E789" s="544"/>
      <c r="F789" s="544"/>
      <c r="G789" s="544"/>
      <c r="H789" s="544"/>
      <c r="I789" s="544"/>
      <c r="J789" s="544"/>
      <c r="K789" s="544"/>
      <c r="L789" s="544"/>
      <c r="M789" s="544"/>
      <c r="N789" s="544"/>
    </row>
    <row r="809" spans="1:14" ht="14.1" customHeight="1" thickBot="1">
      <c r="A809" s="545"/>
      <c r="B809" s="545"/>
      <c r="C809" s="545"/>
      <c r="D809" s="545"/>
      <c r="E809" s="545"/>
      <c r="F809" s="545"/>
      <c r="G809" s="545"/>
      <c r="H809" s="545"/>
      <c r="I809" s="545"/>
      <c r="J809" s="545"/>
      <c r="K809" s="545"/>
      <c r="L809" s="545"/>
      <c r="M809" s="545"/>
      <c r="N809" s="545"/>
    </row>
    <row r="810" spans="1:14" ht="14.1" customHeight="1" thickTop="1" thickBot="1"/>
    <row r="811" spans="1:14" ht="14.1" customHeight="1" thickTop="1">
      <c r="A811" s="541"/>
      <c r="B811" s="541"/>
      <c r="C811" s="541"/>
      <c r="D811" s="541"/>
      <c r="E811" s="541"/>
      <c r="F811" s="541"/>
      <c r="G811" s="541"/>
      <c r="H811" s="541"/>
      <c r="I811" s="541"/>
      <c r="J811" s="541"/>
      <c r="K811" s="541"/>
      <c r="L811" s="541"/>
      <c r="M811" s="541"/>
      <c r="N811" s="541"/>
    </row>
    <row r="827" spans="1:14" ht="14.1" customHeight="1">
      <c r="B827" s="543"/>
    </row>
    <row r="828" spans="1:14" ht="14.1" customHeight="1">
      <c r="B828" s="543"/>
    </row>
    <row r="830" spans="1:14" ht="69.95" customHeight="1">
      <c r="A830" s="1546" t="str">
        <f>+I!C25</f>
        <v>NIT</v>
      </c>
      <c r="B830" s="1546"/>
      <c r="C830" s="1546"/>
      <c r="D830" s="1546"/>
      <c r="E830" s="1546"/>
      <c r="F830" s="1546"/>
      <c r="G830" s="1546"/>
      <c r="H830" s="1546"/>
      <c r="I830" s="1546"/>
      <c r="J830" s="1546"/>
      <c r="K830" s="1546"/>
      <c r="L830" s="1546"/>
      <c r="M830" s="1546"/>
      <c r="N830" s="1546"/>
    </row>
    <row r="831" spans="1:14" ht="14.1" customHeight="1">
      <c r="A831" s="544"/>
      <c r="B831" s="544"/>
      <c r="C831" s="544"/>
      <c r="D831" s="544"/>
      <c r="E831" s="544"/>
      <c r="F831" s="544"/>
      <c r="G831" s="544"/>
      <c r="H831" s="544"/>
      <c r="I831" s="544"/>
      <c r="J831" s="544"/>
      <c r="K831" s="544"/>
      <c r="L831" s="544"/>
      <c r="M831" s="544"/>
      <c r="N831" s="544"/>
    </row>
    <row r="832" spans="1:14" ht="14.1" customHeight="1">
      <c r="A832" s="544"/>
      <c r="B832" s="544"/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</row>
    <row r="833" spans="1:14" ht="14.1" customHeight="1">
      <c r="A833" s="544"/>
      <c r="B833" s="544"/>
      <c r="C833" s="544"/>
      <c r="D833" s="544"/>
      <c r="E833" s="544"/>
      <c r="F833" s="544"/>
      <c r="G833" s="544"/>
      <c r="H833" s="544"/>
      <c r="I833" s="544"/>
      <c r="J833" s="544"/>
      <c r="K833" s="544"/>
      <c r="L833" s="544"/>
      <c r="M833" s="544"/>
      <c r="N833" s="544"/>
    </row>
    <row r="834" spans="1:14" ht="14.1" customHeight="1">
      <c r="A834" s="544"/>
      <c r="B834" s="544"/>
      <c r="C834" s="544"/>
      <c r="D834" s="544"/>
      <c r="E834" s="544"/>
      <c r="F834" s="544"/>
      <c r="G834" s="544"/>
      <c r="H834" s="544"/>
      <c r="I834" s="544"/>
      <c r="J834" s="544"/>
      <c r="K834" s="544"/>
      <c r="L834" s="544"/>
      <c r="M834" s="544"/>
      <c r="N834" s="544"/>
    </row>
    <row r="854" spans="1:14" ht="14.1" customHeight="1" thickBot="1">
      <c r="A854" s="545"/>
      <c r="B854" s="545"/>
      <c r="C854" s="545"/>
      <c r="D854" s="545"/>
      <c r="E854" s="545"/>
      <c r="F854" s="545"/>
      <c r="G854" s="545"/>
      <c r="H854" s="545"/>
      <c r="I854" s="545"/>
      <c r="J854" s="545"/>
      <c r="K854" s="545"/>
      <c r="L854" s="545"/>
      <c r="M854" s="545"/>
      <c r="N854" s="545"/>
    </row>
    <row r="855" spans="1:14" ht="14.1" customHeight="1" thickTop="1" thickBot="1"/>
    <row r="856" spans="1:14" ht="14.1" customHeight="1" thickTop="1">
      <c r="A856" s="541"/>
      <c r="B856" s="541"/>
      <c r="C856" s="541"/>
      <c r="D856" s="541"/>
      <c r="E856" s="541"/>
      <c r="F856" s="541"/>
      <c r="G856" s="541"/>
      <c r="H856" s="541"/>
      <c r="I856" s="541"/>
      <c r="J856" s="541"/>
      <c r="K856" s="541"/>
      <c r="L856" s="541"/>
      <c r="M856" s="541"/>
      <c r="N856" s="541"/>
    </row>
    <row r="872" spans="1:14" ht="14.1" customHeight="1">
      <c r="B872" s="543"/>
    </row>
    <row r="873" spans="1:14" ht="14.1" customHeight="1">
      <c r="B873" s="543"/>
    </row>
    <row r="875" spans="1:14" ht="69.95" customHeight="1">
      <c r="A875" s="1546" t="str">
        <f>+I!C26</f>
        <v xml:space="preserve"> SIGEP</v>
      </c>
      <c r="B875" s="1546"/>
      <c r="C875" s="1546"/>
      <c r="D875" s="1546"/>
      <c r="E875" s="1546"/>
      <c r="F875" s="1546"/>
      <c r="G875" s="1546"/>
      <c r="H875" s="1546"/>
      <c r="I875" s="1546"/>
      <c r="J875" s="1546"/>
      <c r="K875" s="1546"/>
      <c r="L875" s="1546"/>
      <c r="M875" s="1546"/>
      <c r="N875" s="1546"/>
    </row>
    <row r="876" spans="1:14" ht="14.1" customHeight="1">
      <c r="A876" s="544"/>
      <c r="B876" s="544"/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</row>
    <row r="877" spans="1:14" ht="14.1" customHeight="1">
      <c r="A877" s="544"/>
      <c r="B877" s="544"/>
      <c r="C877" s="544"/>
      <c r="D877" s="544"/>
      <c r="E877" s="544"/>
      <c r="F877" s="544"/>
      <c r="G877" s="544"/>
      <c r="H877" s="544"/>
      <c r="I877" s="544"/>
      <c r="J877" s="544"/>
      <c r="K877" s="544"/>
      <c r="L877" s="544"/>
      <c r="M877" s="544"/>
      <c r="N877" s="544"/>
    </row>
    <row r="878" spans="1:14" ht="14.1" customHeight="1">
      <c r="A878" s="544"/>
      <c r="B878" s="544"/>
      <c r="C878" s="544"/>
      <c r="D878" s="544"/>
      <c r="E878" s="544"/>
      <c r="F878" s="544"/>
      <c r="G878" s="544"/>
      <c r="H878" s="544"/>
      <c r="I878" s="544"/>
      <c r="J878" s="544"/>
      <c r="K878" s="544"/>
      <c r="L878" s="544"/>
      <c r="M878" s="544"/>
      <c r="N878" s="544"/>
    </row>
    <row r="879" spans="1:14" ht="14.1" customHeight="1">
      <c r="A879" s="544"/>
      <c r="B879" s="544"/>
      <c r="C879" s="544"/>
      <c r="D879" s="544"/>
      <c r="E879" s="544"/>
      <c r="F879" s="544"/>
      <c r="G879" s="544"/>
      <c r="H879" s="544"/>
      <c r="I879" s="544"/>
      <c r="J879" s="544"/>
      <c r="K879" s="544"/>
      <c r="L879" s="544"/>
      <c r="M879" s="544"/>
      <c r="N879" s="544"/>
    </row>
    <row r="899" spans="1:14" ht="14.1" customHeight="1" thickBot="1">
      <c r="A899" s="545"/>
      <c r="B899" s="545"/>
      <c r="C899" s="545"/>
      <c r="D899" s="545"/>
      <c r="E899" s="545"/>
      <c r="F899" s="545"/>
      <c r="G899" s="545"/>
      <c r="H899" s="545"/>
      <c r="I899" s="545"/>
      <c r="J899" s="545"/>
      <c r="K899" s="545"/>
      <c r="L899" s="545"/>
      <c r="M899" s="545"/>
      <c r="N899" s="545"/>
    </row>
    <row r="900" spans="1:14" ht="14.1" customHeight="1" thickTop="1" thickBot="1"/>
    <row r="901" spans="1:14" ht="14.1" customHeight="1" thickTop="1">
      <c r="A901" s="541"/>
      <c r="B901" s="541"/>
      <c r="C901" s="541"/>
      <c r="D901" s="541"/>
      <c r="E901" s="541"/>
      <c r="F901" s="541"/>
      <c r="G901" s="541"/>
      <c r="H901" s="541"/>
      <c r="I901" s="541"/>
      <c r="J901" s="541"/>
      <c r="K901" s="541"/>
      <c r="L901" s="541"/>
      <c r="M901" s="541"/>
      <c r="N901" s="541"/>
    </row>
    <row r="917" spans="1:14" ht="14.1" customHeight="1">
      <c r="B917" s="543"/>
    </row>
    <row r="918" spans="1:14" ht="14.1" customHeight="1">
      <c r="B918" s="543"/>
    </row>
    <row r="920" spans="1:14" ht="69.95" customHeight="1">
      <c r="A920" s="1548" t="str">
        <f>+I!C27</f>
        <v>ANEXOS (CONTROL TECNOLOGICO)</v>
      </c>
      <c r="B920" s="1548"/>
      <c r="C920" s="1548"/>
      <c r="D920" s="1548"/>
      <c r="E920" s="1548"/>
      <c r="F920" s="1548"/>
      <c r="G920" s="1548"/>
      <c r="H920" s="1548"/>
      <c r="I920" s="1548"/>
      <c r="J920" s="1548"/>
      <c r="K920" s="1548"/>
      <c r="L920" s="1548"/>
      <c r="M920" s="1548"/>
      <c r="N920" s="1548"/>
    </row>
    <row r="921" spans="1:14" ht="14.1" customHeight="1">
      <c r="A921" s="544"/>
      <c r="B921" s="544"/>
      <c r="C921" s="544"/>
      <c r="D921" s="544"/>
      <c r="E921" s="544"/>
      <c r="F921" s="544"/>
      <c r="G921" s="544"/>
      <c r="H921" s="544"/>
      <c r="I921" s="544"/>
      <c r="J921" s="544"/>
      <c r="K921" s="544"/>
      <c r="L921" s="544"/>
      <c r="M921" s="544"/>
      <c r="N921" s="544"/>
    </row>
    <row r="922" spans="1:14" ht="14.1" customHeight="1">
      <c r="A922" s="544"/>
      <c r="B922" s="544"/>
      <c r="C922" s="544"/>
      <c r="D922" s="544"/>
      <c r="E922" s="544"/>
      <c r="F922" s="544"/>
      <c r="G922" s="544"/>
      <c r="H922" s="544"/>
      <c r="I922" s="544"/>
      <c r="J922" s="544"/>
      <c r="K922" s="544"/>
      <c r="L922" s="544"/>
      <c r="M922" s="544"/>
      <c r="N922" s="544"/>
    </row>
    <row r="923" spans="1:14" ht="14.1" customHeight="1">
      <c r="A923" s="544"/>
      <c r="B923" s="544"/>
      <c r="C923" s="544"/>
      <c r="D923" s="544"/>
      <c r="E923" s="544"/>
      <c r="F923" s="544"/>
      <c r="G923" s="544"/>
      <c r="H923" s="544"/>
      <c r="I923" s="544"/>
      <c r="J923" s="544"/>
      <c r="K923" s="544"/>
      <c r="L923" s="544"/>
      <c r="M923" s="544"/>
      <c r="N923" s="544"/>
    </row>
    <row r="924" spans="1:14" ht="14.1" customHeight="1">
      <c r="A924" s="544"/>
      <c r="B924" s="544"/>
      <c r="C924" s="544"/>
      <c r="D924" s="544"/>
      <c r="E924" s="544"/>
      <c r="F924" s="544"/>
      <c r="G924" s="544"/>
      <c r="H924" s="544"/>
      <c r="I924" s="544"/>
      <c r="J924" s="544"/>
      <c r="K924" s="544"/>
      <c r="L924" s="544"/>
      <c r="M924" s="544"/>
      <c r="N924" s="544"/>
    </row>
    <row r="944" spans="1:14" ht="14.1" customHeight="1" thickBot="1">
      <c r="A944" s="545"/>
      <c r="B944" s="545"/>
      <c r="C944" s="545"/>
      <c r="D944" s="545"/>
      <c r="E944" s="545"/>
      <c r="F944" s="545"/>
      <c r="G944" s="545"/>
      <c r="H944" s="545"/>
      <c r="I944" s="545"/>
      <c r="J944" s="545"/>
      <c r="K944" s="545"/>
      <c r="L944" s="545"/>
      <c r="M944" s="545"/>
      <c r="N944" s="545"/>
    </row>
    <row r="945" spans="1:14" ht="14.1" customHeight="1" thickTop="1" thickBot="1"/>
    <row r="946" spans="1:14" ht="14.1" customHeight="1" thickTop="1">
      <c r="A946" s="541"/>
      <c r="B946" s="541"/>
      <c r="C946" s="541"/>
      <c r="D946" s="541"/>
      <c r="E946" s="541"/>
      <c r="F946" s="541"/>
      <c r="G946" s="541"/>
      <c r="H946" s="541"/>
      <c r="I946" s="541"/>
      <c r="J946" s="541"/>
      <c r="K946" s="541"/>
      <c r="L946" s="541"/>
      <c r="M946" s="541"/>
      <c r="N946" s="541"/>
    </row>
    <row r="962" spans="1:14" ht="14.1" customHeight="1">
      <c r="B962" s="543"/>
    </row>
    <row r="963" spans="1:14" ht="14.1" customHeight="1">
      <c r="B963" s="543"/>
    </row>
    <row r="965" spans="1:14" ht="69.95" customHeight="1">
      <c r="A965" s="1548" t="str">
        <f>+I!C28</f>
        <v>INFOME DE ACTIVIDADES Y GESTION DE CALIDAD</v>
      </c>
      <c r="B965" s="1548"/>
      <c r="C965" s="1548"/>
      <c r="D965" s="1548"/>
      <c r="E965" s="1548"/>
      <c r="F965" s="1548"/>
      <c r="G965" s="1548"/>
      <c r="H965" s="1548"/>
      <c r="I965" s="1548"/>
      <c r="J965" s="1548"/>
      <c r="K965" s="1548"/>
      <c r="L965" s="1548"/>
      <c r="M965" s="1548"/>
      <c r="N965" s="1548"/>
    </row>
    <row r="966" spans="1:14" ht="14.1" customHeight="1">
      <c r="A966" s="544"/>
      <c r="B966" s="544"/>
      <c r="C966" s="544"/>
      <c r="D966" s="544"/>
      <c r="E966" s="544"/>
      <c r="F966" s="544"/>
      <c r="G966" s="544"/>
      <c r="H966" s="544"/>
      <c r="I966" s="544"/>
      <c r="J966" s="544"/>
      <c r="K966" s="544"/>
      <c r="L966" s="544"/>
      <c r="M966" s="544"/>
      <c r="N966" s="544"/>
    </row>
    <row r="967" spans="1:14" ht="14.1" customHeight="1">
      <c r="A967" s="544"/>
      <c r="B967" s="544"/>
      <c r="C967" s="544"/>
      <c r="D967" s="544"/>
      <c r="E967" s="544"/>
      <c r="F967" s="544"/>
      <c r="G967" s="544"/>
      <c r="H967" s="544"/>
      <c r="I967" s="544"/>
      <c r="J967" s="544"/>
      <c r="K967" s="544"/>
      <c r="L967" s="544"/>
      <c r="M967" s="544"/>
      <c r="N967" s="544"/>
    </row>
    <row r="968" spans="1:14" ht="14.1" customHeight="1">
      <c r="A968" s="544"/>
      <c r="B968" s="544"/>
      <c r="C968" s="544"/>
      <c r="D968" s="544"/>
      <c r="E968" s="544"/>
      <c r="F968" s="544"/>
      <c r="G968" s="544"/>
      <c r="H968" s="544"/>
      <c r="I968" s="544"/>
      <c r="J968" s="544"/>
      <c r="K968" s="544"/>
      <c r="L968" s="544"/>
      <c r="M968" s="544"/>
      <c r="N968" s="544"/>
    </row>
    <row r="969" spans="1:14" ht="14.1" customHeight="1">
      <c r="A969" s="544"/>
      <c r="B969" s="544"/>
      <c r="C969" s="544"/>
      <c r="D969" s="544"/>
      <c r="E969" s="544"/>
      <c r="F969" s="544"/>
      <c r="G969" s="544"/>
      <c r="H969" s="544"/>
      <c r="I969" s="544"/>
      <c r="J969" s="544"/>
      <c r="K969" s="544"/>
      <c r="L969" s="544"/>
      <c r="M969" s="544"/>
      <c r="N969" s="544"/>
    </row>
    <row r="989" spans="1:14" ht="14.1" customHeight="1" thickBot="1">
      <c r="A989" s="545"/>
      <c r="B989" s="545"/>
      <c r="C989" s="545"/>
      <c r="D989" s="545"/>
      <c r="E989" s="545"/>
      <c r="F989" s="545"/>
      <c r="G989" s="545"/>
      <c r="H989" s="545"/>
      <c r="I989" s="545"/>
      <c r="J989" s="545"/>
      <c r="K989" s="545"/>
      <c r="L989" s="545"/>
      <c r="M989" s="545"/>
      <c r="N989" s="545"/>
    </row>
    <row r="990" spans="1:14" ht="14.1" customHeight="1" thickTop="1" thickBot="1"/>
    <row r="991" spans="1:14" ht="14.1" customHeight="1" thickTop="1">
      <c r="A991" s="541"/>
      <c r="B991" s="541"/>
      <c r="C991" s="541"/>
      <c r="D991" s="541"/>
      <c r="E991" s="541"/>
      <c r="F991" s="541"/>
      <c r="G991" s="541"/>
      <c r="H991" s="541"/>
      <c r="I991" s="541"/>
      <c r="J991" s="541"/>
      <c r="K991" s="541"/>
      <c r="L991" s="541"/>
      <c r="M991" s="541"/>
      <c r="N991" s="541"/>
    </row>
    <row r="1006" spans="2:2" ht="14.1" customHeight="1">
      <c r="B1006" s="543"/>
    </row>
    <row r="1007" spans="2:2" ht="14.1" customHeight="1">
      <c r="B1007" s="543"/>
    </row>
    <row r="1009" spans="1:15" ht="35.1" customHeight="1">
      <c r="A1009" s="1547" t="str">
        <f>+VLOOKUP(O1013,'Planilla de Avance'!$A$10:$P$124,4,FALSE)</f>
        <v>2. PAVIMENTACION</v>
      </c>
      <c r="B1009" s="1547"/>
      <c r="C1009" s="1547"/>
      <c r="D1009" s="1547"/>
      <c r="E1009" s="1547"/>
      <c r="F1009" s="1547"/>
      <c r="G1009" s="1547"/>
      <c r="H1009" s="1547"/>
      <c r="I1009" s="1547"/>
      <c r="J1009" s="1547"/>
      <c r="K1009" s="1547"/>
      <c r="L1009" s="1547"/>
      <c r="M1009" s="1547"/>
      <c r="N1009" s="1547"/>
    </row>
    <row r="1011" spans="1:15" ht="14.1" customHeight="1">
      <c r="A1011" s="1543"/>
      <c r="B1011" s="1543"/>
      <c r="C1011" s="1543"/>
      <c r="D1011" s="1543"/>
      <c r="E1011" s="1543"/>
      <c r="F1011" s="1543"/>
      <c r="G1011" s="1543"/>
      <c r="H1011" s="1543"/>
      <c r="I1011" s="1543"/>
      <c r="J1011" s="1543"/>
      <c r="K1011" s="1543"/>
      <c r="L1011" s="1543"/>
      <c r="M1011" s="1543"/>
      <c r="N1011" s="1543"/>
    </row>
    <row r="1013" spans="1:15" ht="35.1" customHeight="1">
      <c r="B1013" s="763" t="s">
        <v>251</v>
      </c>
      <c r="C1013" s="764" t="str">
        <f>+VLOOKUP(O1013,'Planilla de Avance'!$A$10:$P$124,5,FALSE)</f>
        <v>11a</v>
      </c>
      <c r="D1013" s="1549" t="str">
        <f>+VLOOKUP(O1013,'Planilla de Avance'!$A$10:$P$124,6,FALSE)</f>
        <v>REMOCIÓN DE MATERIAL DE CAPA BASE (e.= 20 cm)</v>
      </c>
      <c r="E1013" s="1549"/>
      <c r="F1013" s="1549"/>
      <c r="G1013" s="1549"/>
      <c r="H1013" s="1549"/>
      <c r="I1013" s="1549"/>
      <c r="J1013" s="1549"/>
      <c r="K1013" s="1549"/>
      <c r="L1013" s="1549"/>
      <c r="M1013" s="1549"/>
      <c r="N1013" s="1549"/>
      <c r="O1013" s="432">
        <v>1</v>
      </c>
    </row>
    <row r="1035" spans="1:14" ht="14.1" customHeight="1" thickBot="1">
      <c r="A1035" s="545"/>
      <c r="B1035" s="545"/>
      <c r="C1035" s="545"/>
      <c r="D1035" s="545"/>
      <c r="E1035" s="545"/>
      <c r="F1035" s="545"/>
      <c r="G1035" s="545"/>
      <c r="H1035" s="545"/>
      <c r="I1035" s="545"/>
      <c r="J1035" s="545"/>
      <c r="K1035" s="545"/>
      <c r="L1035" s="545"/>
      <c r="M1035" s="545"/>
      <c r="N1035" s="545"/>
    </row>
    <row r="1036" spans="1:14" ht="14.1" customHeight="1" thickTop="1" thickBot="1"/>
    <row r="1037" spans="1:14" ht="14.1" customHeight="1" thickTop="1">
      <c r="A1037" s="541"/>
      <c r="B1037" s="541"/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41"/>
      <c r="M1037" s="541"/>
      <c r="N1037" s="541"/>
    </row>
    <row r="1052" spans="1:14" ht="14.1" customHeight="1">
      <c r="B1052" s="543"/>
    </row>
    <row r="1053" spans="1:14" ht="14.1" customHeight="1">
      <c r="B1053" s="543"/>
    </row>
    <row r="1055" spans="1:14" ht="35.1" customHeight="1">
      <c r="A1055" s="1547" t="str">
        <f>+VLOOKUP(O1059,'Planilla de Avance'!$A$10:$P$124,4,FALSE)</f>
        <v>2. PAVIMENTACION</v>
      </c>
      <c r="B1055" s="1547"/>
      <c r="C1055" s="1547"/>
      <c r="D1055" s="1547"/>
      <c r="E1055" s="1547"/>
      <c r="F1055" s="1547"/>
      <c r="G1055" s="1547"/>
      <c r="H1055" s="1547"/>
      <c r="I1055" s="1547"/>
      <c r="J1055" s="1547"/>
      <c r="K1055" s="1547"/>
      <c r="L1055" s="1547"/>
      <c r="M1055" s="1547"/>
      <c r="N1055" s="1547"/>
    </row>
    <row r="1057" spans="1:15" ht="14.1" customHeight="1">
      <c r="A1057" s="1543"/>
      <c r="B1057" s="1543"/>
      <c r="C1057" s="1543"/>
      <c r="D1057" s="1543"/>
      <c r="E1057" s="1543"/>
      <c r="F1057" s="1543"/>
      <c r="G1057" s="1543"/>
      <c r="H1057" s="1543"/>
      <c r="I1057" s="1543"/>
      <c r="J1057" s="1543"/>
      <c r="K1057" s="1543"/>
      <c r="L1057" s="1543"/>
      <c r="M1057" s="1543"/>
      <c r="N1057" s="1543"/>
    </row>
    <row r="1059" spans="1:15" ht="35.1" customHeight="1">
      <c r="B1059" s="763" t="s">
        <v>251</v>
      </c>
      <c r="C1059" s="764" t="str">
        <f>+VLOOKUP(O1059,'Planilla de Avance'!$A$10:$P$124,5,FALSE)</f>
        <v>11b</v>
      </c>
      <c r="D1059" s="1549" t="str">
        <f>+VLOOKUP(O1059,'Planilla de Avance'!$A$10:$P$124,6,FALSE)</f>
        <v>REMOCIÓN DE MATERIAL DE CAPA SUBBASE (e.= 25 cm)</v>
      </c>
      <c r="E1059" s="1549"/>
      <c r="F1059" s="1549"/>
      <c r="G1059" s="1549"/>
      <c r="H1059" s="1549"/>
      <c r="I1059" s="1549"/>
      <c r="J1059" s="1549"/>
      <c r="K1059" s="1549"/>
      <c r="L1059" s="1549"/>
      <c r="M1059" s="1549"/>
      <c r="N1059" s="1549"/>
      <c r="O1059" s="432">
        <v>2</v>
      </c>
    </row>
    <row r="1081" spans="1:14" ht="14.1" customHeight="1" thickBot="1">
      <c r="A1081" s="545"/>
      <c r="B1081" s="545"/>
      <c r="C1081" s="545"/>
      <c r="D1081" s="545"/>
      <c r="E1081" s="545"/>
      <c r="F1081" s="545"/>
      <c r="G1081" s="545"/>
      <c r="H1081" s="545"/>
      <c r="I1081" s="545"/>
      <c r="J1081" s="545"/>
      <c r="K1081" s="545"/>
      <c r="L1081" s="545"/>
      <c r="M1081" s="545"/>
      <c r="N1081" s="545"/>
    </row>
    <row r="1082" spans="1:14" ht="14.1" customHeight="1" thickTop="1" thickBot="1"/>
    <row r="1083" spans="1:14" ht="14.1" customHeight="1" thickTop="1">
      <c r="A1083" s="541"/>
      <c r="B1083" s="541"/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41"/>
      <c r="M1083" s="541"/>
      <c r="N1083" s="541"/>
    </row>
    <row r="1098" spans="1:14" ht="14.1" customHeight="1">
      <c r="B1098" s="543"/>
    </row>
    <row r="1099" spans="1:14" ht="14.1" customHeight="1">
      <c r="B1099" s="543"/>
    </row>
    <row r="1101" spans="1:14" ht="35.1" customHeight="1">
      <c r="A1101" s="1545" t="str">
        <f>+VLOOKUP(O1105,'Planilla de Avance'!$A$10:$P$124,4,FALSE)</f>
        <v>2. PAVIMENTACION</v>
      </c>
      <c r="B1101" s="1545"/>
      <c r="C1101" s="1545"/>
      <c r="D1101" s="1545"/>
      <c r="E1101" s="1545"/>
      <c r="F1101" s="1545"/>
      <c r="G1101" s="1545"/>
      <c r="H1101" s="1545"/>
      <c r="I1101" s="1545"/>
      <c r="J1101" s="1545"/>
      <c r="K1101" s="1545"/>
      <c r="L1101" s="1545"/>
      <c r="M1101" s="1545"/>
      <c r="N1101" s="1545"/>
    </row>
    <row r="1103" spans="1:14" ht="14.1" customHeight="1">
      <c r="A1103" s="1543"/>
      <c r="B1103" s="1543"/>
      <c r="C1103" s="1543"/>
      <c r="D1103" s="1543"/>
      <c r="E1103" s="1543"/>
      <c r="F1103" s="1543"/>
      <c r="G1103" s="1543"/>
      <c r="H1103" s="1543"/>
      <c r="I1103" s="1543"/>
      <c r="J1103" s="1543"/>
      <c r="K1103" s="1543"/>
      <c r="L1103" s="1543"/>
      <c r="M1103" s="1543"/>
      <c r="N1103" s="1543"/>
    </row>
    <row r="1105" spans="2:15" ht="35.1" customHeight="1">
      <c r="B1105" s="546" t="s">
        <v>251</v>
      </c>
      <c r="C1105" s="547" t="str">
        <f>+VLOOKUP(O1105,'Planilla de Avance'!$A$10:$P$124,5,FALSE)</f>
        <v>11c</v>
      </c>
      <c r="D1105" s="1544" t="str">
        <f>+VLOOKUP(O1105,'Planilla de Avance'!$A$10:$P$124,6,FALSE)</f>
        <v>REPOSICION DE CAPA SUB-BASE CON MATERIAL PROCESADO (CALZADA Y BERMAS)</v>
      </c>
      <c r="E1105" s="1544"/>
      <c r="F1105" s="1544"/>
      <c r="G1105" s="1544"/>
      <c r="H1105" s="1544"/>
      <c r="I1105" s="1544"/>
      <c r="J1105" s="1544"/>
      <c r="K1105" s="1544"/>
      <c r="L1105" s="1544"/>
      <c r="M1105" s="1544"/>
      <c r="N1105" s="1544"/>
      <c r="O1105" s="540">
        <v>3</v>
      </c>
    </row>
    <row r="1127" spans="1:14" ht="14.1" customHeight="1" thickBot="1">
      <c r="A1127" s="545"/>
      <c r="B1127" s="545"/>
      <c r="C1127" s="545"/>
      <c r="D1127" s="545"/>
      <c r="E1127" s="545"/>
      <c r="F1127" s="545"/>
      <c r="G1127" s="545"/>
      <c r="H1127" s="545"/>
      <c r="I1127" s="545"/>
      <c r="J1127" s="545"/>
      <c r="K1127" s="545"/>
      <c r="L1127" s="545"/>
      <c r="M1127" s="545"/>
      <c r="N1127" s="545"/>
    </row>
    <row r="1128" spans="1:14" ht="14.1" customHeight="1" thickTop="1" thickBot="1"/>
    <row r="1129" spans="1:14" ht="14.1" customHeight="1" thickTop="1">
      <c r="A1129" s="541"/>
      <c r="B1129" s="541"/>
      <c r="C1129" s="541"/>
      <c r="D1129" s="541"/>
      <c r="E1129" s="541"/>
      <c r="F1129" s="541"/>
      <c r="G1129" s="541"/>
      <c r="H1129" s="541"/>
      <c r="I1129" s="541"/>
      <c r="J1129" s="541"/>
      <c r="K1129" s="541"/>
      <c r="L1129" s="541"/>
      <c r="M1129" s="541"/>
      <c r="N1129" s="541"/>
    </row>
    <row r="1144" spans="1:15" ht="14.1" customHeight="1">
      <c r="B1144" s="543"/>
    </row>
    <row r="1145" spans="1:15" ht="14.1" customHeight="1">
      <c r="B1145" s="543"/>
    </row>
    <row r="1147" spans="1:15" ht="35.1" customHeight="1">
      <c r="A1147" s="1545" t="str">
        <f>+VLOOKUP(O1151,'Planilla de Avance'!$A$10:$P$124,4,FALSE)</f>
        <v>2. PAVIMENTACION</v>
      </c>
      <c r="B1147" s="1545"/>
      <c r="C1147" s="1545"/>
      <c r="D1147" s="1545"/>
      <c r="E1147" s="1545"/>
      <c r="F1147" s="1545"/>
      <c r="G1147" s="1545"/>
      <c r="H1147" s="1545"/>
      <c r="I1147" s="1545"/>
      <c r="J1147" s="1545"/>
      <c r="K1147" s="1545"/>
      <c r="L1147" s="1545"/>
      <c r="M1147" s="1545"/>
      <c r="N1147" s="1545"/>
    </row>
    <row r="1149" spans="1:15" ht="14.1" customHeight="1">
      <c r="A1149" s="1543"/>
      <c r="B1149" s="1543"/>
      <c r="C1149" s="1543"/>
      <c r="D1149" s="1543"/>
      <c r="E1149" s="1543"/>
      <c r="F1149" s="1543"/>
      <c r="G1149" s="1543"/>
      <c r="H1149" s="1543"/>
      <c r="I1149" s="1543"/>
      <c r="J1149" s="1543"/>
      <c r="K1149" s="1543"/>
      <c r="L1149" s="1543"/>
      <c r="M1149" s="1543"/>
      <c r="N1149" s="1543"/>
    </row>
    <row r="1151" spans="1:15" ht="35.1" customHeight="1">
      <c r="B1151" s="546" t="s">
        <v>251</v>
      </c>
      <c r="C1151" s="547" t="str">
        <f>+VLOOKUP(O1151,'Planilla de Avance'!$A$10:$P$124,5,FALSE)</f>
        <v>11d</v>
      </c>
      <c r="D1151" s="1544" t="str">
        <f>+VLOOKUP(O1151,'Planilla de Avance'!$A$10:$P$124,6,FALSE)</f>
        <v>RECONFORMACION DE CAPA SUB-BASE</v>
      </c>
      <c r="E1151" s="1544"/>
      <c r="F1151" s="1544"/>
      <c r="G1151" s="1544"/>
      <c r="H1151" s="1544"/>
      <c r="I1151" s="1544"/>
      <c r="J1151" s="1544"/>
      <c r="K1151" s="1544"/>
      <c r="L1151" s="1544"/>
      <c r="M1151" s="1544"/>
      <c r="N1151" s="1544"/>
      <c r="O1151" s="432">
        <v>4</v>
      </c>
    </row>
    <row r="1173" spans="1:14" ht="14.1" customHeight="1" thickBot="1">
      <c r="A1173" s="545"/>
      <c r="B1173" s="545"/>
      <c r="C1173" s="545"/>
      <c r="D1173" s="545"/>
      <c r="E1173" s="545"/>
      <c r="F1173" s="545"/>
      <c r="G1173" s="545"/>
      <c r="H1173" s="545"/>
      <c r="I1173" s="545"/>
      <c r="J1173" s="545"/>
      <c r="K1173" s="545"/>
      <c r="L1173" s="545"/>
      <c r="M1173" s="545"/>
      <c r="N1173" s="545"/>
    </row>
    <row r="1174" spans="1:14" ht="14.1" customHeight="1" thickTop="1" thickBot="1"/>
    <row r="1175" spans="1:14" ht="14.1" customHeight="1" thickTop="1">
      <c r="A1175" s="541"/>
      <c r="B1175" s="541"/>
      <c r="C1175" s="541"/>
      <c r="D1175" s="541"/>
      <c r="E1175" s="541"/>
      <c r="F1175" s="541"/>
      <c r="G1175" s="541"/>
      <c r="H1175" s="541"/>
      <c r="I1175" s="541"/>
      <c r="J1175" s="541"/>
      <c r="K1175" s="541"/>
      <c r="L1175" s="541"/>
      <c r="M1175" s="541"/>
      <c r="N1175" s="541"/>
    </row>
    <row r="1190" spans="1:15" ht="14.1" customHeight="1">
      <c r="B1190" s="543"/>
    </row>
    <row r="1191" spans="1:15" ht="14.1" customHeight="1">
      <c r="B1191" s="543"/>
    </row>
    <row r="1193" spans="1:15" ht="35.1" customHeight="1">
      <c r="A1193" s="1545" t="str">
        <f>+VLOOKUP(O1197,'Planilla de Avance'!$A$10:$P$124,4,FALSE)</f>
        <v>2. PAVIMENTACION</v>
      </c>
      <c r="B1193" s="1545"/>
      <c r="C1193" s="1545"/>
      <c r="D1193" s="1545"/>
      <c r="E1193" s="1545"/>
      <c r="F1193" s="1545"/>
      <c r="G1193" s="1545"/>
      <c r="H1193" s="1545"/>
      <c r="I1193" s="1545"/>
      <c r="J1193" s="1545"/>
      <c r="K1193" s="1545"/>
      <c r="L1193" s="1545"/>
      <c r="M1193" s="1545"/>
      <c r="N1193" s="1545"/>
    </row>
    <row r="1195" spans="1:15" ht="14.1" customHeight="1">
      <c r="A1195" s="1543"/>
      <c r="B1195" s="1543"/>
      <c r="C1195" s="1543"/>
      <c r="D1195" s="1543"/>
      <c r="E1195" s="1543"/>
      <c r="F1195" s="1543"/>
      <c r="G1195" s="1543"/>
      <c r="H1195" s="1543"/>
      <c r="I1195" s="1543"/>
      <c r="J1195" s="1543"/>
      <c r="K1195" s="1543"/>
      <c r="L1195" s="1543"/>
      <c r="M1195" s="1543"/>
      <c r="N1195" s="1543"/>
    </row>
    <row r="1197" spans="1:15" ht="35.1" customHeight="1">
      <c r="B1197" s="546" t="s">
        <v>251</v>
      </c>
      <c r="C1197" s="547" t="str">
        <f>+VLOOKUP(O1197,'Planilla de Avance'!$A$10:$P$124,5,FALSE)</f>
        <v>11f</v>
      </c>
      <c r="D1197" s="1544" t="str">
        <f>+VLOOKUP(O1197,'Planilla de Avance'!$A$10:$P$124,6,FALSE)</f>
        <v>TRANSPORTE DE CAPA SUB-BASE PROCESADA HASTA 16,00 KM</v>
      </c>
      <c r="E1197" s="1544"/>
      <c r="F1197" s="1544"/>
      <c r="G1197" s="1544"/>
      <c r="H1197" s="1544"/>
      <c r="I1197" s="1544"/>
      <c r="J1197" s="1544"/>
      <c r="K1197" s="1544"/>
      <c r="L1197" s="1544"/>
      <c r="M1197" s="1544"/>
      <c r="N1197" s="1544"/>
      <c r="O1197" s="432">
        <v>5</v>
      </c>
    </row>
    <row r="1219" spans="1:14" ht="14.1" customHeight="1" thickBot="1">
      <c r="A1219" s="545"/>
      <c r="B1219" s="545"/>
      <c r="C1219" s="545"/>
      <c r="D1219" s="545"/>
      <c r="E1219" s="545"/>
      <c r="F1219" s="545"/>
      <c r="G1219" s="545"/>
      <c r="H1219" s="545"/>
      <c r="I1219" s="545"/>
      <c r="J1219" s="545"/>
      <c r="K1219" s="545"/>
      <c r="L1219" s="545"/>
      <c r="M1219" s="545"/>
      <c r="N1219" s="545"/>
    </row>
    <row r="1220" spans="1:14" ht="14.1" customHeight="1" thickTop="1" thickBot="1"/>
    <row r="1221" spans="1:14" ht="14.1" customHeight="1" thickTop="1">
      <c r="A1221" s="541"/>
      <c r="B1221" s="541"/>
      <c r="C1221" s="541"/>
      <c r="D1221" s="541"/>
      <c r="E1221" s="541"/>
      <c r="F1221" s="541"/>
      <c r="G1221" s="541"/>
      <c r="H1221" s="541"/>
      <c r="I1221" s="541"/>
      <c r="J1221" s="541"/>
      <c r="K1221" s="541"/>
      <c r="L1221" s="541"/>
      <c r="M1221" s="541"/>
      <c r="N1221" s="541"/>
    </row>
    <row r="1236" spans="1:15" ht="14.1" customHeight="1">
      <c r="B1236" s="543"/>
    </row>
    <row r="1237" spans="1:15" ht="14.1" customHeight="1">
      <c r="B1237" s="543"/>
    </row>
    <row r="1239" spans="1:15" ht="35.1" customHeight="1">
      <c r="A1239" s="1545" t="str">
        <f>+VLOOKUP(O1243,'Planilla de Avance'!$A$10:$P$124,4,FALSE)</f>
        <v>4. OBRAS DE DRENAJE</v>
      </c>
      <c r="B1239" s="1545"/>
      <c r="C1239" s="1545"/>
      <c r="D1239" s="1545"/>
      <c r="E1239" s="1545"/>
      <c r="F1239" s="1545"/>
      <c r="G1239" s="1545"/>
      <c r="H1239" s="1545"/>
      <c r="I1239" s="1545"/>
      <c r="J1239" s="1545"/>
      <c r="K1239" s="1545"/>
      <c r="L1239" s="1545"/>
      <c r="M1239" s="1545"/>
      <c r="N1239" s="1545"/>
    </row>
    <row r="1241" spans="1:15" ht="14.1" customHeight="1">
      <c r="A1241" s="1543"/>
      <c r="B1241" s="1543"/>
      <c r="C1241" s="1543"/>
      <c r="D1241" s="1543"/>
      <c r="E1241" s="1543"/>
      <c r="F1241" s="1543"/>
      <c r="G1241" s="1543"/>
      <c r="H1241" s="1543"/>
      <c r="I1241" s="1543"/>
      <c r="J1241" s="1543"/>
      <c r="K1241" s="1543"/>
      <c r="L1241" s="1543"/>
      <c r="M1241" s="1543"/>
      <c r="N1241" s="1543"/>
    </row>
    <row r="1243" spans="1:15" ht="35.1" customHeight="1">
      <c r="B1243" s="546" t="s">
        <v>251</v>
      </c>
      <c r="C1243" s="547" t="str">
        <f>+VLOOKUP(O1243,'Planilla de Avance'!$A$10:$P$124,5,FALSE)</f>
        <v>57a</v>
      </c>
      <c r="D1243" s="1544" t="str">
        <f>+VLOOKUP(O1243,'Planilla de Avance'!$A$10:$P$124,6,FALSE)</f>
        <v>LIMPIEZA DE ESCOMBROS EN CUNETAS, ZANJAS EXISTENTES</v>
      </c>
      <c r="E1243" s="1544"/>
      <c r="F1243" s="1544"/>
      <c r="G1243" s="1544"/>
      <c r="H1243" s="1544"/>
      <c r="I1243" s="1544"/>
      <c r="J1243" s="1544"/>
      <c r="K1243" s="1544"/>
      <c r="L1243" s="1544"/>
      <c r="M1243" s="1544"/>
      <c r="N1243" s="1544"/>
      <c r="O1243" s="432">
        <v>6</v>
      </c>
    </row>
    <row r="1265" spans="1:14" ht="14.1" customHeight="1" thickBot="1">
      <c r="A1265" s="545"/>
      <c r="B1265" s="545"/>
      <c r="C1265" s="545"/>
      <c r="D1265" s="545"/>
      <c r="E1265" s="545"/>
      <c r="F1265" s="545"/>
      <c r="G1265" s="545"/>
      <c r="H1265" s="545"/>
      <c r="I1265" s="545"/>
      <c r="J1265" s="545"/>
      <c r="K1265" s="545"/>
      <c r="L1265" s="545"/>
      <c r="M1265" s="545"/>
      <c r="N1265" s="545"/>
    </row>
    <row r="1266" spans="1:14" ht="14.1" customHeight="1" thickTop="1" thickBot="1"/>
    <row r="1267" spans="1:14" ht="14.1" customHeight="1" thickTop="1">
      <c r="A1267" s="541"/>
      <c r="B1267" s="541"/>
      <c r="C1267" s="541"/>
      <c r="D1267" s="541"/>
      <c r="E1267" s="541"/>
      <c r="F1267" s="541"/>
      <c r="G1267" s="541"/>
      <c r="H1267" s="541"/>
      <c r="I1267" s="541"/>
      <c r="J1267" s="541"/>
      <c r="K1267" s="541"/>
      <c r="L1267" s="541"/>
      <c r="M1267" s="541"/>
      <c r="N1267" s="541"/>
    </row>
    <row r="1282" spans="1:15" ht="14.1" customHeight="1">
      <c r="B1282" s="543"/>
    </row>
    <row r="1283" spans="1:15" ht="14.1" customHeight="1">
      <c r="B1283" s="543"/>
    </row>
    <row r="1285" spans="1:15" ht="35.1" customHeight="1">
      <c r="A1285" s="1545" t="str">
        <f>+VLOOKUP(O1289,'Planilla de Avance'!$A$10:$P$124,4,FALSE)</f>
        <v>6. MEDIDAS DE MITIGACION AMBIENTAL</v>
      </c>
      <c r="B1285" s="1545"/>
      <c r="C1285" s="1545"/>
      <c r="D1285" s="1545"/>
      <c r="E1285" s="1545"/>
      <c r="F1285" s="1545"/>
      <c r="G1285" s="1545"/>
      <c r="H1285" s="1545"/>
      <c r="I1285" s="1545"/>
      <c r="J1285" s="1545"/>
      <c r="K1285" s="1545"/>
      <c r="L1285" s="1545"/>
      <c r="M1285" s="1545"/>
      <c r="N1285" s="1545"/>
    </row>
    <row r="1287" spans="1:15" ht="14.1" customHeight="1">
      <c r="A1287" s="1543"/>
      <c r="B1287" s="1543"/>
      <c r="C1287" s="1543"/>
      <c r="D1287" s="1543"/>
      <c r="E1287" s="1543"/>
      <c r="F1287" s="1543"/>
      <c r="G1287" s="1543"/>
      <c r="H1287" s="1543"/>
      <c r="I1287" s="1543"/>
      <c r="J1287" s="1543"/>
      <c r="K1287" s="1543"/>
      <c r="L1287" s="1543"/>
      <c r="M1287" s="1543"/>
      <c r="N1287" s="1543"/>
    </row>
    <row r="1289" spans="1:15" ht="35.1" customHeight="1">
      <c r="B1289" s="546" t="s">
        <v>251</v>
      </c>
      <c r="C1289" s="547">
        <f>+VLOOKUP(O1289,'Planilla de Avance'!$A$10:$P$124,5,FALSE)</f>
        <v>74</v>
      </c>
      <c r="D1289" s="1544" t="str">
        <f>+VLOOKUP(O1289,'Planilla de Avance'!$A$10:$P$124,6,FALSE)</f>
        <v>MEDIDAS DE MITIGACION AMBIENTAL</v>
      </c>
      <c r="E1289" s="1544"/>
      <c r="F1289" s="1544"/>
      <c r="G1289" s="1544"/>
      <c r="H1289" s="1544"/>
      <c r="I1289" s="1544"/>
      <c r="J1289" s="1544"/>
      <c r="K1289" s="1544"/>
      <c r="L1289" s="1544"/>
      <c r="M1289" s="1544"/>
      <c r="N1289" s="1544"/>
      <c r="O1289" s="432">
        <v>7</v>
      </c>
    </row>
    <row r="1311" spans="1:14" ht="14.1" customHeight="1" thickBot="1">
      <c r="A1311" s="545"/>
      <c r="B1311" s="545"/>
      <c r="C1311" s="545"/>
      <c r="D1311" s="545"/>
      <c r="E1311" s="545"/>
      <c r="F1311" s="545"/>
      <c r="G1311" s="545"/>
      <c r="H1311" s="545"/>
      <c r="I1311" s="545"/>
      <c r="J1311" s="545"/>
      <c r="K1311" s="545"/>
      <c r="L1311" s="545"/>
      <c r="M1311" s="545"/>
      <c r="N1311" s="545"/>
    </row>
    <row r="1312" spans="1:14" ht="14.1" customHeight="1" thickTop="1" thickBot="1"/>
    <row r="1313" spans="1:14" ht="14.1" customHeight="1" thickTop="1">
      <c r="A1313" s="541"/>
      <c r="B1313" s="541"/>
      <c r="C1313" s="541"/>
      <c r="D1313" s="541"/>
      <c r="E1313" s="541"/>
      <c r="F1313" s="541"/>
      <c r="G1313" s="541"/>
      <c r="H1313" s="541"/>
      <c r="I1313" s="541"/>
      <c r="J1313" s="541"/>
      <c r="K1313" s="541"/>
      <c r="L1313" s="541"/>
      <c r="M1313" s="541"/>
      <c r="N1313" s="541"/>
    </row>
    <row r="1328" spans="1:14" ht="14.1" customHeight="1">
      <c r="B1328" s="543"/>
    </row>
    <row r="1329" spans="1:15" ht="14.1" customHeight="1">
      <c r="B1329" s="543"/>
    </row>
    <row r="1331" spans="1:15" ht="35.1" customHeight="1">
      <c r="A1331" s="1545" t="str">
        <f>+VLOOKUP(O1335,'Planilla de Avance'!$A$10:$P$124,4,FALSE)</f>
        <v>7. SERVICIOS PARA EL INGENIERO</v>
      </c>
      <c r="B1331" s="1545"/>
      <c r="C1331" s="1545"/>
      <c r="D1331" s="1545"/>
      <c r="E1331" s="1545"/>
      <c r="F1331" s="1545"/>
      <c r="G1331" s="1545"/>
      <c r="H1331" s="1545"/>
      <c r="I1331" s="1545"/>
      <c r="J1331" s="1545"/>
      <c r="K1331" s="1545"/>
      <c r="L1331" s="1545"/>
      <c r="M1331" s="1545"/>
      <c r="N1331" s="1545"/>
    </row>
    <row r="1333" spans="1:15" ht="14.1" customHeight="1">
      <c r="A1333" s="1543"/>
      <c r="B1333" s="1543"/>
      <c r="C1333" s="1543"/>
      <c r="D1333" s="1543"/>
      <c r="E1333" s="1543"/>
      <c r="F1333" s="1543"/>
      <c r="G1333" s="1543"/>
      <c r="H1333" s="1543"/>
      <c r="I1333" s="1543"/>
      <c r="J1333" s="1543"/>
      <c r="K1333" s="1543"/>
      <c r="L1333" s="1543"/>
      <c r="M1333" s="1543"/>
      <c r="N1333" s="1543"/>
    </row>
    <row r="1335" spans="1:15" ht="35.1" customHeight="1">
      <c r="B1335" s="546" t="s">
        <v>251</v>
      </c>
      <c r="C1335" s="547">
        <f>+VLOOKUP(O1335,'Planilla de Avance'!$A$10:$P$124,5,FALSE)</f>
        <v>75</v>
      </c>
      <c r="D1335" s="1544" t="str">
        <f>+VLOOKUP(O1335,'Planilla de Avance'!$A$10:$P$124,6,FALSE)</f>
        <v xml:space="preserve">SERVICIO DE ALIMENTACION                             </v>
      </c>
      <c r="E1335" s="1544"/>
      <c r="F1335" s="1544"/>
      <c r="G1335" s="1544"/>
      <c r="H1335" s="1544"/>
      <c r="I1335" s="1544"/>
      <c r="J1335" s="1544"/>
      <c r="K1335" s="1544"/>
      <c r="L1335" s="1544"/>
      <c r="M1335" s="1544"/>
      <c r="N1335" s="1544"/>
      <c r="O1335" s="432">
        <v>8</v>
      </c>
    </row>
    <row r="1357" spans="1:14" ht="14.1" customHeight="1" thickBot="1">
      <c r="A1357" s="545"/>
      <c r="B1357" s="545"/>
      <c r="C1357" s="545"/>
      <c r="D1357" s="545"/>
      <c r="E1357" s="545"/>
      <c r="F1357" s="545"/>
      <c r="G1357" s="545"/>
      <c r="H1357" s="545"/>
      <c r="I1357" s="545"/>
      <c r="J1357" s="545"/>
      <c r="K1357" s="545"/>
      <c r="L1357" s="545"/>
      <c r="M1357" s="545"/>
      <c r="N1357" s="545"/>
    </row>
    <row r="1358" spans="1:14" ht="14.1" customHeight="1" thickTop="1" thickBot="1"/>
    <row r="1359" spans="1:14" ht="14.1" customHeight="1" thickTop="1">
      <c r="A1359" s="541"/>
      <c r="B1359" s="541"/>
      <c r="C1359" s="541"/>
      <c r="D1359" s="541"/>
      <c r="E1359" s="541"/>
      <c r="F1359" s="541"/>
      <c r="G1359" s="541"/>
      <c r="H1359" s="541"/>
      <c r="I1359" s="541"/>
      <c r="J1359" s="541"/>
      <c r="K1359" s="541"/>
      <c r="L1359" s="541"/>
      <c r="M1359" s="541"/>
      <c r="N1359" s="541"/>
    </row>
    <row r="1374" spans="2:2" ht="14.1" customHeight="1">
      <c r="B1374" s="543"/>
    </row>
    <row r="1375" spans="2:2" ht="14.1" customHeight="1">
      <c r="B1375" s="543"/>
    </row>
    <row r="1377" spans="1:15" ht="35.1" customHeight="1">
      <c r="A1377" s="1545" t="str">
        <f>+VLOOKUP(O1381,'Planilla de Avance'!$A$10:$P$124,4,FALSE)</f>
        <v>7. SERVICIOS PARA EL INGENIERO</v>
      </c>
      <c r="B1377" s="1545"/>
      <c r="C1377" s="1545"/>
      <c r="D1377" s="1545"/>
      <c r="E1377" s="1545"/>
      <c r="F1377" s="1545"/>
      <c r="G1377" s="1545"/>
      <c r="H1377" s="1545"/>
      <c r="I1377" s="1545"/>
      <c r="J1377" s="1545"/>
      <c r="K1377" s="1545"/>
      <c r="L1377" s="1545"/>
      <c r="M1377" s="1545"/>
      <c r="N1377" s="1545"/>
    </row>
    <row r="1379" spans="1:15" ht="14.1" customHeight="1">
      <c r="A1379" s="1543"/>
      <c r="B1379" s="1543"/>
      <c r="C1379" s="1543"/>
      <c r="D1379" s="1543"/>
      <c r="E1379" s="1543"/>
      <c r="F1379" s="1543"/>
      <c r="G1379" s="1543"/>
      <c r="H1379" s="1543"/>
      <c r="I1379" s="1543"/>
      <c r="J1379" s="1543"/>
      <c r="K1379" s="1543"/>
      <c r="L1379" s="1543"/>
      <c r="M1379" s="1543"/>
      <c r="N1379" s="1543"/>
    </row>
    <row r="1381" spans="1:15" ht="35.1" customHeight="1">
      <c r="B1381" s="546" t="s">
        <v>251</v>
      </c>
      <c r="C1381" s="547">
        <f>+VLOOKUP(O1381,'Planilla de Avance'!$A$10:$P$124,5,FALSE)</f>
        <v>78</v>
      </c>
      <c r="D1381" s="1544" t="str">
        <f>+VLOOKUP(O1381,'Planilla de Avance'!$A$10:$P$124,6,FALSE)</f>
        <v xml:space="preserve">MANTENIMIENTO, LUBRICANTES Y COMBUSTIBLE             </v>
      </c>
      <c r="E1381" s="1544"/>
      <c r="F1381" s="1544"/>
      <c r="G1381" s="1544"/>
      <c r="H1381" s="1544"/>
      <c r="I1381" s="1544"/>
      <c r="J1381" s="1544"/>
      <c r="K1381" s="1544"/>
      <c r="L1381" s="1544"/>
      <c r="M1381" s="1544"/>
      <c r="N1381" s="1544"/>
      <c r="O1381" s="432">
        <v>9</v>
      </c>
    </row>
    <row r="1403" spans="1:14" ht="14.1" customHeight="1" thickBot="1">
      <c r="A1403" s="545"/>
      <c r="B1403" s="545"/>
      <c r="C1403" s="545"/>
      <c r="D1403" s="545"/>
      <c r="E1403" s="545"/>
      <c r="F1403" s="545"/>
      <c r="G1403" s="545"/>
      <c r="H1403" s="545"/>
      <c r="I1403" s="545"/>
      <c r="J1403" s="545"/>
      <c r="K1403" s="545"/>
      <c r="L1403" s="545"/>
      <c r="M1403" s="545"/>
      <c r="N1403" s="545"/>
    </row>
    <row r="1404" spans="1:14" ht="14.1" customHeight="1" thickTop="1" thickBot="1"/>
    <row r="1405" spans="1:14" ht="14.1" customHeight="1" thickTop="1">
      <c r="A1405" s="541"/>
      <c r="B1405" s="541"/>
      <c r="C1405" s="541"/>
      <c r="D1405" s="541"/>
      <c r="E1405" s="541"/>
      <c r="F1405" s="541"/>
      <c r="G1405" s="541"/>
      <c r="H1405" s="541"/>
      <c r="I1405" s="541"/>
      <c r="J1405" s="541"/>
      <c r="K1405" s="541"/>
      <c r="L1405" s="541"/>
      <c r="M1405" s="541"/>
      <c r="N1405" s="541"/>
    </row>
    <row r="1420" spans="1:14" ht="14.1" customHeight="1">
      <c r="B1420" s="543"/>
    </row>
    <row r="1421" spans="1:14" ht="14.1" customHeight="1">
      <c r="B1421" s="543"/>
    </row>
    <row r="1423" spans="1:14" ht="35.1" customHeight="1">
      <c r="A1423" s="1545" t="str">
        <f>+VLOOKUP(O1427,'Planilla de Avance'!$A$10:$P$124,4,FALSE)</f>
        <v>7. SERVICIOS PARA EL INGENIERO</v>
      </c>
      <c r="B1423" s="1545"/>
      <c r="C1423" s="1545"/>
      <c r="D1423" s="1545"/>
      <c r="E1423" s="1545"/>
      <c r="F1423" s="1545"/>
      <c r="G1423" s="1545"/>
      <c r="H1423" s="1545"/>
      <c r="I1423" s="1545"/>
      <c r="J1423" s="1545"/>
      <c r="K1423" s="1545"/>
      <c r="L1423" s="1545"/>
      <c r="M1423" s="1545"/>
      <c r="N1423" s="1545"/>
    </row>
    <row r="1425" spans="1:15" ht="14.1" customHeight="1">
      <c r="A1425" s="1543"/>
      <c r="B1425" s="1543"/>
      <c r="C1425" s="1543"/>
      <c r="D1425" s="1543"/>
      <c r="E1425" s="1543"/>
      <c r="F1425" s="1543"/>
      <c r="G1425" s="1543"/>
      <c r="H1425" s="1543"/>
      <c r="I1425" s="1543"/>
      <c r="J1425" s="1543"/>
      <c r="K1425" s="1543"/>
      <c r="L1425" s="1543"/>
      <c r="M1425" s="1543"/>
      <c r="N1425" s="1543"/>
    </row>
    <row r="1427" spans="1:15" ht="35.1" customHeight="1">
      <c r="B1427" s="546" t="s">
        <v>251</v>
      </c>
      <c r="C1427" s="547">
        <f>+VLOOKUP(O1427,'Planilla de Avance'!$A$10:$P$124,5,FALSE)</f>
        <v>79</v>
      </c>
      <c r="D1427" s="1544" t="str">
        <f>+VLOOKUP(O1427,'Planilla de Avance'!$A$10:$P$124,6,FALSE)</f>
        <v>ALQUILER DE OFICINAS  VIVIENDAS Y OTRAS INSTALACIONES</v>
      </c>
      <c r="E1427" s="1544"/>
      <c r="F1427" s="1544"/>
      <c r="G1427" s="1544"/>
      <c r="H1427" s="1544"/>
      <c r="I1427" s="1544"/>
      <c r="J1427" s="1544"/>
      <c r="K1427" s="1544"/>
      <c r="L1427" s="1544"/>
      <c r="M1427" s="1544"/>
      <c r="N1427" s="1544"/>
      <c r="O1427" s="432">
        <v>10</v>
      </c>
    </row>
    <row r="1449" spans="1:14" ht="14.1" customHeight="1" thickBot="1">
      <c r="A1449" s="545"/>
      <c r="B1449" s="545"/>
      <c r="C1449" s="545"/>
      <c r="D1449" s="545"/>
      <c r="E1449" s="545"/>
      <c r="F1449" s="545"/>
      <c r="G1449" s="545"/>
      <c r="H1449" s="545"/>
      <c r="I1449" s="545"/>
      <c r="J1449" s="545"/>
      <c r="K1449" s="545"/>
      <c r="L1449" s="545"/>
      <c r="M1449" s="545"/>
      <c r="N1449" s="545"/>
    </row>
    <row r="1450" spans="1:14" ht="14.1" customHeight="1" thickTop="1" thickBot="1"/>
    <row r="1451" spans="1:14" ht="14.1" customHeight="1" thickTop="1">
      <c r="A1451" s="541"/>
      <c r="B1451" s="541"/>
      <c r="C1451" s="541"/>
      <c r="D1451" s="541"/>
      <c r="E1451" s="541"/>
      <c r="F1451" s="541"/>
      <c r="G1451" s="541"/>
      <c r="H1451" s="541"/>
      <c r="I1451" s="541"/>
      <c r="J1451" s="541"/>
      <c r="K1451" s="541"/>
      <c r="L1451" s="541"/>
      <c r="M1451" s="541"/>
      <c r="N1451" s="541"/>
    </row>
    <row r="1466" spans="1:14" ht="14.1" customHeight="1">
      <c r="B1466" s="543"/>
    </row>
    <row r="1467" spans="1:14" ht="14.1" customHeight="1">
      <c r="B1467" s="543"/>
    </row>
    <row r="1469" spans="1:14" ht="35.1" customHeight="1">
      <c r="A1469" s="1545" t="e">
        <f>+VLOOKUP(O1473,'Planilla de Avance'!$A$10:$P$124,4,FALSE)</f>
        <v>#N/A</v>
      </c>
      <c r="B1469" s="1545"/>
      <c r="C1469" s="1545"/>
      <c r="D1469" s="1545"/>
      <c r="E1469" s="1545"/>
      <c r="F1469" s="1545"/>
      <c r="G1469" s="1545"/>
      <c r="H1469" s="1545"/>
      <c r="I1469" s="1545"/>
      <c r="J1469" s="1545"/>
      <c r="K1469" s="1545"/>
      <c r="L1469" s="1545"/>
      <c r="M1469" s="1545"/>
      <c r="N1469" s="1545"/>
    </row>
    <row r="1471" spans="1:14" ht="14.1" customHeight="1">
      <c r="A1471" s="1543"/>
      <c r="B1471" s="1543"/>
      <c r="C1471" s="1543"/>
      <c r="D1471" s="1543"/>
      <c r="E1471" s="1543"/>
      <c r="F1471" s="1543"/>
      <c r="G1471" s="1543"/>
      <c r="H1471" s="1543"/>
      <c r="I1471" s="1543"/>
      <c r="J1471" s="1543"/>
      <c r="K1471" s="1543"/>
      <c r="L1471" s="1543"/>
      <c r="M1471" s="1543"/>
      <c r="N1471" s="1543"/>
    </row>
    <row r="1473" spans="2:15" ht="35.1" customHeight="1">
      <c r="B1473" s="546" t="s">
        <v>251</v>
      </c>
      <c r="C1473" s="547" t="e">
        <f>+VLOOKUP(O1473,'Planilla de Avance'!$A$10:$P$124,5,FALSE)</f>
        <v>#N/A</v>
      </c>
      <c r="D1473" s="1544" t="e">
        <f>+VLOOKUP(O1473,'Planilla de Avance'!$A$10:$P$124,6,FALSE)</f>
        <v>#N/A</v>
      </c>
      <c r="E1473" s="1544"/>
      <c r="F1473" s="1544"/>
      <c r="G1473" s="1544"/>
      <c r="H1473" s="1544"/>
      <c r="I1473" s="1544"/>
      <c r="J1473" s="1544"/>
      <c r="K1473" s="1544"/>
      <c r="L1473" s="1544"/>
      <c r="M1473" s="1544"/>
      <c r="N1473" s="1544"/>
      <c r="O1473" s="432">
        <v>11</v>
      </c>
    </row>
    <row r="1495" spans="1:14" ht="14.1" customHeight="1" thickBot="1">
      <c r="A1495" s="545"/>
      <c r="B1495" s="545"/>
      <c r="C1495" s="545"/>
      <c r="D1495" s="545"/>
      <c r="E1495" s="545"/>
      <c r="F1495" s="545"/>
      <c r="G1495" s="545"/>
      <c r="H1495" s="545"/>
      <c r="I1495" s="545"/>
      <c r="J1495" s="545"/>
      <c r="K1495" s="545"/>
      <c r="L1495" s="545"/>
      <c r="M1495" s="545"/>
      <c r="N1495" s="545"/>
    </row>
    <row r="1496" spans="1:14" ht="14.1" customHeight="1" thickTop="1" thickBot="1"/>
    <row r="1497" spans="1:14" ht="14.1" customHeight="1" thickTop="1">
      <c r="A1497" s="541"/>
      <c r="B1497" s="541"/>
      <c r="C1497" s="541"/>
      <c r="D1497" s="541"/>
      <c r="E1497" s="541"/>
      <c r="F1497" s="541"/>
      <c r="G1497" s="541"/>
      <c r="H1497" s="541"/>
      <c r="I1497" s="541"/>
      <c r="J1497" s="541"/>
      <c r="K1497" s="541"/>
      <c r="L1497" s="541"/>
      <c r="M1497" s="541"/>
      <c r="N1497" s="541"/>
    </row>
    <row r="1512" spans="1:15" ht="14.1" customHeight="1">
      <c r="B1512" s="543"/>
    </row>
    <row r="1513" spans="1:15" ht="14.1" customHeight="1">
      <c r="B1513" s="543"/>
    </row>
    <row r="1515" spans="1:15" ht="35.1" customHeight="1">
      <c r="A1515" s="1545" t="e">
        <f>+VLOOKUP(O1519,'Planilla de Avance'!$A$10:$P$124,4,FALSE)</f>
        <v>#N/A</v>
      </c>
      <c r="B1515" s="1545"/>
      <c r="C1515" s="1545"/>
      <c r="D1515" s="1545"/>
      <c r="E1515" s="1545"/>
      <c r="F1515" s="1545"/>
      <c r="G1515" s="1545"/>
      <c r="H1515" s="1545"/>
      <c r="I1515" s="1545"/>
      <c r="J1515" s="1545"/>
      <c r="K1515" s="1545"/>
      <c r="L1515" s="1545"/>
      <c r="M1515" s="1545"/>
      <c r="N1515" s="1545"/>
    </row>
    <row r="1517" spans="1:15" ht="14.1" customHeight="1">
      <c r="A1517" s="1543"/>
      <c r="B1517" s="1543"/>
      <c r="C1517" s="1543"/>
      <c r="D1517" s="1543"/>
      <c r="E1517" s="1543"/>
      <c r="F1517" s="1543"/>
      <c r="G1517" s="1543"/>
      <c r="H1517" s="1543"/>
      <c r="I1517" s="1543"/>
      <c r="J1517" s="1543"/>
      <c r="K1517" s="1543"/>
      <c r="L1517" s="1543"/>
      <c r="M1517" s="1543"/>
      <c r="N1517" s="1543"/>
    </row>
    <row r="1519" spans="1:15" ht="35.1" customHeight="1">
      <c r="B1519" s="546" t="s">
        <v>251</v>
      </c>
      <c r="C1519" s="547" t="e">
        <f>+VLOOKUP(O1519,'Planilla de Avance'!$A$10:$P$124,5,FALSE)</f>
        <v>#N/A</v>
      </c>
      <c r="D1519" s="1544" t="e">
        <f>+VLOOKUP(O1519,'Planilla de Avance'!$A$10:$P$124,6,FALSE)</f>
        <v>#N/A</v>
      </c>
      <c r="E1519" s="1544"/>
      <c r="F1519" s="1544"/>
      <c r="G1519" s="1544"/>
      <c r="H1519" s="1544"/>
      <c r="I1519" s="1544"/>
      <c r="J1519" s="1544"/>
      <c r="K1519" s="1544"/>
      <c r="L1519" s="1544"/>
      <c r="M1519" s="1544"/>
      <c r="N1519" s="1544"/>
      <c r="O1519" s="432">
        <v>12</v>
      </c>
    </row>
    <row r="1541" spans="1:14" ht="14.1" customHeight="1" thickBot="1">
      <c r="A1541" s="545"/>
      <c r="B1541" s="545"/>
      <c r="C1541" s="545"/>
      <c r="D1541" s="545"/>
      <c r="E1541" s="545"/>
      <c r="F1541" s="545"/>
      <c r="G1541" s="545"/>
      <c r="H1541" s="545"/>
      <c r="I1541" s="545"/>
      <c r="J1541" s="545"/>
      <c r="K1541" s="545"/>
      <c r="L1541" s="545"/>
      <c r="M1541" s="545"/>
      <c r="N1541" s="545"/>
    </row>
    <row r="1542" spans="1:14" ht="14.1" customHeight="1" thickTop="1" thickBot="1"/>
    <row r="1543" spans="1:14" ht="14.1" customHeight="1" thickTop="1">
      <c r="A1543" s="541"/>
      <c r="B1543" s="541"/>
      <c r="C1543" s="541"/>
      <c r="D1543" s="541"/>
      <c r="E1543" s="541"/>
      <c r="F1543" s="541"/>
      <c r="G1543" s="541"/>
      <c r="H1543" s="541"/>
      <c r="I1543" s="541"/>
      <c r="J1543" s="541"/>
      <c r="K1543" s="541"/>
      <c r="L1543" s="541"/>
      <c r="M1543" s="541"/>
      <c r="N1543" s="541"/>
    </row>
    <row r="1558" spans="1:15" ht="14.1" customHeight="1">
      <c r="B1558" s="543"/>
    </row>
    <row r="1559" spans="1:15" ht="14.1" customHeight="1">
      <c r="B1559" s="543"/>
    </row>
    <row r="1561" spans="1:15" ht="35.1" customHeight="1">
      <c r="A1561" s="1545" t="e">
        <f>+VLOOKUP(O1565,'Planilla de Avance'!$A$10:$P$124,4,FALSE)</f>
        <v>#N/A</v>
      </c>
      <c r="B1561" s="1545"/>
      <c r="C1561" s="1545"/>
      <c r="D1561" s="1545"/>
      <c r="E1561" s="1545"/>
      <c r="F1561" s="1545"/>
      <c r="G1561" s="1545"/>
      <c r="H1561" s="1545"/>
      <c r="I1561" s="1545"/>
      <c r="J1561" s="1545"/>
      <c r="K1561" s="1545"/>
      <c r="L1561" s="1545"/>
      <c r="M1561" s="1545"/>
      <c r="N1561" s="1545"/>
    </row>
    <row r="1563" spans="1:15" ht="14.1" customHeight="1">
      <c r="A1563" s="1543"/>
      <c r="B1563" s="1543"/>
      <c r="C1563" s="1543"/>
      <c r="D1563" s="1543"/>
      <c r="E1563" s="1543"/>
      <c r="F1563" s="1543"/>
      <c r="G1563" s="1543"/>
      <c r="H1563" s="1543"/>
      <c r="I1563" s="1543"/>
      <c r="J1563" s="1543"/>
      <c r="K1563" s="1543"/>
      <c r="L1563" s="1543"/>
      <c r="M1563" s="1543"/>
      <c r="N1563" s="1543"/>
    </row>
    <row r="1565" spans="1:15" ht="35.1" customHeight="1">
      <c r="B1565" s="546" t="s">
        <v>251</v>
      </c>
      <c r="C1565" s="547" t="e">
        <f>+VLOOKUP(O1565,'Planilla de Avance'!$A$10:$P$124,5,FALSE)</f>
        <v>#N/A</v>
      </c>
      <c r="D1565" s="1544" t="e">
        <f>+VLOOKUP(O1565,'Planilla de Avance'!$A$10:$P$124,6,FALSE)</f>
        <v>#N/A</v>
      </c>
      <c r="E1565" s="1544"/>
      <c r="F1565" s="1544"/>
      <c r="G1565" s="1544"/>
      <c r="H1565" s="1544"/>
      <c r="I1565" s="1544"/>
      <c r="J1565" s="1544"/>
      <c r="K1565" s="1544"/>
      <c r="L1565" s="1544"/>
      <c r="M1565" s="1544"/>
      <c r="N1565" s="1544"/>
      <c r="O1565" s="432">
        <v>13</v>
      </c>
    </row>
    <row r="1587" spans="1:14" ht="14.1" customHeight="1" thickBot="1">
      <c r="A1587" s="545"/>
      <c r="B1587" s="545"/>
      <c r="C1587" s="545"/>
      <c r="D1587" s="545"/>
      <c r="E1587" s="545"/>
      <c r="F1587" s="545"/>
      <c r="G1587" s="545"/>
      <c r="H1587" s="545"/>
      <c r="I1587" s="545"/>
      <c r="J1587" s="545"/>
      <c r="K1587" s="545"/>
      <c r="L1587" s="545"/>
      <c r="M1587" s="545"/>
      <c r="N1587" s="545"/>
    </row>
    <row r="1588" spans="1:14" ht="14.1" customHeight="1" thickTop="1" thickBot="1"/>
    <row r="1589" spans="1:14" ht="14.1" customHeight="1" thickTop="1">
      <c r="A1589" s="541"/>
      <c r="B1589" s="541"/>
      <c r="C1589" s="541"/>
      <c r="D1589" s="541"/>
      <c r="E1589" s="541"/>
      <c r="F1589" s="541"/>
      <c r="G1589" s="541"/>
      <c r="H1589" s="541"/>
      <c r="I1589" s="541"/>
      <c r="J1589" s="541"/>
      <c r="K1589" s="541"/>
      <c r="L1589" s="541"/>
      <c r="M1589" s="541"/>
      <c r="N1589" s="541"/>
    </row>
    <row r="1604" spans="1:15" ht="14.1" customHeight="1">
      <c r="B1604" s="543"/>
    </row>
    <row r="1605" spans="1:15" ht="14.1" customHeight="1">
      <c r="B1605" s="543"/>
    </row>
    <row r="1607" spans="1:15" ht="35.1" customHeight="1">
      <c r="A1607" s="1545" t="e">
        <f>+VLOOKUP(O1611,'Planilla de Avance'!$A$10:$P$124,4,FALSE)</f>
        <v>#N/A</v>
      </c>
      <c r="B1607" s="1545"/>
      <c r="C1607" s="1545"/>
      <c r="D1607" s="1545"/>
      <c r="E1607" s="1545"/>
      <c r="F1607" s="1545"/>
      <c r="G1607" s="1545"/>
      <c r="H1607" s="1545"/>
      <c r="I1607" s="1545"/>
      <c r="J1607" s="1545"/>
      <c r="K1607" s="1545"/>
      <c r="L1607" s="1545"/>
      <c r="M1607" s="1545"/>
      <c r="N1607" s="1545"/>
    </row>
    <row r="1609" spans="1:15" ht="14.1" customHeight="1">
      <c r="A1609" s="1543"/>
      <c r="B1609" s="1543"/>
      <c r="C1609" s="1543"/>
      <c r="D1609" s="1543"/>
      <c r="E1609" s="1543"/>
      <c r="F1609" s="1543"/>
      <c r="G1609" s="1543"/>
      <c r="H1609" s="1543"/>
      <c r="I1609" s="1543"/>
      <c r="J1609" s="1543"/>
      <c r="K1609" s="1543"/>
      <c r="L1609" s="1543"/>
      <c r="M1609" s="1543"/>
      <c r="N1609" s="1543"/>
    </row>
    <row r="1611" spans="1:15" ht="35.1" customHeight="1">
      <c r="B1611" s="546" t="s">
        <v>251</v>
      </c>
      <c r="C1611" s="547" t="e">
        <f>+VLOOKUP(O1611,'Planilla de Avance'!$A$10:$P$124,5,FALSE)</f>
        <v>#N/A</v>
      </c>
      <c r="D1611" s="1544" t="e">
        <f>+VLOOKUP(O1611,'Planilla de Avance'!$A$10:$P$124,6,FALSE)</f>
        <v>#N/A</v>
      </c>
      <c r="E1611" s="1544"/>
      <c r="F1611" s="1544"/>
      <c r="G1611" s="1544"/>
      <c r="H1611" s="1544"/>
      <c r="I1611" s="1544"/>
      <c r="J1611" s="1544"/>
      <c r="K1611" s="1544"/>
      <c r="L1611" s="1544"/>
      <c r="M1611" s="1544"/>
      <c r="N1611" s="1544"/>
      <c r="O1611" s="432">
        <v>14</v>
      </c>
    </row>
    <row r="1633" spans="1:14" ht="14.1" customHeight="1" thickBot="1">
      <c r="A1633" s="545"/>
      <c r="B1633" s="545"/>
      <c r="C1633" s="545"/>
      <c r="D1633" s="545"/>
      <c r="E1633" s="545"/>
      <c r="F1633" s="545"/>
      <c r="G1633" s="545"/>
      <c r="H1633" s="545"/>
      <c r="I1633" s="545"/>
      <c r="J1633" s="545"/>
      <c r="K1633" s="545"/>
      <c r="L1633" s="545"/>
      <c r="M1633" s="545"/>
      <c r="N1633" s="545"/>
    </row>
    <row r="1634" spans="1:14" ht="14.1" customHeight="1" thickTop="1" thickBot="1"/>
    <row r="1635" spans="1:14" ht="14.1" customHeight="1" thickTop="1">
      <c r="A1635" s="541"/>
      <c r="B1635" s="541"/>
      <c r="C1635" s="541"/>
      <c r="D1635" s="541"/>
      <c r="E1635" s="541"/>
      <c r="F1635" s="541"/>
      <c r="G1635" s="541"/>
      <c r="H1635" s="541"/>
      <c r="I1635" s="541"/>
      <c r="J1635" s="541"/>
      <c r="K1635" s="541"/>
      <c r="L1635" s="541"/>
      <c r="M1635" s="541"/>
      <c r="N1635" s="541"/>
    </row>
    <row r="1650" spans="1:15" ht="14.1" customHeight="1">
      <c r="B1650" s="543"/>
    </row>
    <row r="1651" spans="1:15" ht="14.1" customHeight="1">
      <c r="B1651" s="543"/>
    </row>
    <row r="1653" spans="1:15" ht="35.1" customHeight="1">
      <c r="A1653" s="1545" t="e">
        <f>+VLOOKUP(O1657,'Planilla de Avance'!$A$10:$P$124,4,FALSE)</f>
        <v>#N/A</v>
      </c>
      <c r="B1653" s="1545"/>
      <c r="C1653" s="1545"/>
      <c r="D1653" s="1545"/>
      <c r="E1653" s="1545"/>
      <c r="F1653" s="1545"/>
      <c r="G1653" s="1545"/>
      <c r="H1653" s="1545"/>
      <c r="I1653" s="1545"/>
      <c r="J1653" s="1545"/>
      <c r="K1653" s="1545"/>
      <c r="L1653" s="1545"/>
      <c r="M1653" s="1545"/>
      <c r="N1653" s="1545"/>
    </row>
    <row r="1655" spans="1:15" ht="14.1" customHeight="1">
      <c r="A1655" s="1543"/>
      <c r="B1655" s="1543"/>
      <c r="C1655" s="1543"/>
      <c r="D1655" s="1543"/>
      <c r="E1655" s="1543"/>
      <c r="F1655" s="1543"/>
      <c r="G1655" s="1543"/>
      <c r="H1655" s="1543"/>
      <c r="I1655" s="1543"/>
      <c r="J1655" s="1543"/>
      <c r="K1655" s="1543"/>
      <c r="L1655" s="1543"/>
      <c r="M1655" s="1543"/>
      <c r="N1655" s="1543"/>
    </row>
    <row r="1657" spans="1:15" ht="35.1" customHeight="1">
      <c r="B1657" s="546" t="s">
        <v>251</v>
      </c>
      <c r="C1657" s="547" t="e">
        <f>+VLOOKUP(O1657,'Planilla de Avance'!$A$10:$P$124,5,FALSE)</f>
        <v>#N/A</v>
      </c>
      <c r="D1657" s="1544" t="e">
        <f>+VLOOKUP(O1657,'Planilla de Avance'!$A$10:$P$124,6,FALSE)</f>
        <v>#N/A</v>
      </c>
      <c r="E1657" s="1544"/>
      <c r="F1657" s="1544"/>
      <c r="G1657" s="1544"/>
      <c r="H1657" s="1544"/>
      <c r="I1657" s="1544"/>
      <c r="J1657" s="1544"/>
      <c r="K1657" s="1544"/>
      <c r="L1657" s="1544"/>
      <c r="M1657" s="1544"/>
      <c r="N1657" s="1544"/>
      <c r="O1657" s="432">
        <v>15</v>
      </c>
    </row>
    <row r="1679" spans="1:14" ht="14.1" customHeight="1" thickBot="1">
      <c r="A1679" s="545"/>
      <c r="B1679" s="545"/>
      <c r="C1679" s="545"/>
      <c r="D1679" s="545"/>
      <c r="E1679" s="545"/>
      <c r="F1679" s="545"/>
      <c r="G1679" s="545"/>
      <c r="H1679" s="545"/>
      <c r="I1679" s="545"/>
      <c r="J1679" s="545"/>
      <c r="K1679" s="545"/>
      <c r="L1679" s="545"/>
      <c r="M1679" s="545"/>
      <c r="N1679" s="545"/>
    </row>
    <row r="1680" spans="1:14" ht="14.1" customHeight="1" thickTop="1" thickBot="1"/>
    <row r="1681" spans="1:14" ht="14.1" customHeight="1" thickTop="1">
      <c r="A1681" s="541"/>
      <c r="B1681" s="541"/>
      <c r="C1681" s="541"/>
      <c r="D1681" s="541"/>
      <c r="E1681" s="541"/>
      <c r="F1681" s="541"/>
      <c r="G1681" s="541"/>
      <c r="H1681" s="541"/>
      <c r="I1681" s="541"/>
      <c r="J1681" s="541"/>
      <c r="K1681" s="541"/>
      <c r="L1681" s="541"/>
      <c r="M1681" s="541"/>
      <c r="N1681" s="541"/>
    </row>
    <row r="1696" spans="1:14" ht="14.1" customHeight="1">
      <c r="B1696" s="543"/>
    </row>
    <row r="1697" spans="1:15" ht="14.1" customHeight="1">
      <c r="B1697" s="543"/>
    </row>
    <row r="1699" spans="1:15" ht="35.1" customHeight="1">
      <c r="A1699" s="1545" t="e">
        <f>+VLOOKUP(O1703,'Planilla de Avance'!$A$10:$P$124,4,FALSE)</f>
        <v>#N/A</v>
      </c>
      <c r="B1699" s="1545"/>
      <c r="C1699" s="1545"/>
      <c r="D1699" s="1545"/>
      <c r="E1699" s="1545"/>
      <c r="F1699" s="1545"/>
      <c r="G1699" s="1545"/>
      <c r="H1699" s="1545"/>
      <c r="I1699" s="1545"/>
      <c r="J1699" s="1545"/>
      <c r="K1699" s="1545"/>
      <c r="L1699" s="1545"/>
      <c r="M1699" s="1545"/>
      <c r="N1699" s="1545"/>
    </row>
    <row r="1701" spans="1:15" ht="14.1" customHeight="1">
      <c r="A1701" s="1543"/>
      <c r="B1701" s="1543"/>
      <c r="C1701" s="1543"/>
      <c r="D1701" s="1543"/>
      <c r="E1701" s="1543"/>
      <c r="F1701" s="1543"/>
      <c r="G1701" s="1543"/>
      <c r="H1701" s="1543"/>
      <c r="I1701" s="1543"/>
      <c r="J1701" s="1543"/>
      <c r="K1701" s="1543"/>
      <c r="L1701" s="1543"/>
      <c r="M1701" s="1543"/>
      <c r="N1701" s="1543"/>
    </row>
    <row r="1703" spans="1:15" ht="35.1" customHeight="1">
      <c r="B1703" s="546" t="s">
        <v>251</v>
      </c>
      <c r="C1703" s="547" t="e">
        <f>+VLOOKUP(O1703,'Planilla de Avance'!$A$10:$P$124,5,FALSE)</f>
        <v>#N/A</v>
      </c>
      <c r="D1703" s="1544" t="e">
        <f>+VLOOKUP(O1703,'Planilla de Avance'!$A$10:$P$124,6,FALSE)</f>
        <v>#N/A</v>
      </c>
      <c r="E1703" s="1544"/>
      <c r="F1703" s="1544"/>
      <c r="G1703" s="1544"/>
      <c r="H1703" s="1544"/>
      <c r="I1703" s="1544"/>
      <c r="J1703" s="1544"/>
      <c r="K1703" s="1544"/>
      <c r="L1703" s="1544"/>
      <c r="M1703" s="1544"/>
      <c r="N1703" s="1544"/>
      <c r="O1703" s="432">
        <v>16</v>
      </c>
    </row>
    <row r="1725" spans="1:14" ht="14.1" customHeight="1" thickBot="1">
      <c r="A1725" s="545"/>
      <c r="B1725" s="545"/>
      <c r="C1725" s="545"/>
      <c r="D1725" s="545"/>
      <c r="E1725" s="545"/>
      <c r="F1725" s="545"/>
      <c r="G1725" s="545"/>
      <c r="H1725" s="545"/>
      <c r="I1725" s="545"/>
      <c r="J1725" s="545"/>
      <c r="K1725" s="545"/>
      <c r="L1725" s="545"/>
      <c r="M1725" s="545"/>
      <c r="N1725" s="545"/>
    </row>
    <row r="1726" spans="1:14" ht="14.1" customHeight="1" thickTop="1" thickBot="1"/>
    <row r="1727" spans="1:14" ht="14.1" customHeight="1" thickTop="1">
      <c r="A1727" s="541"/>
      <c r="B1727" s="541"/>
      <c r="C1727" s="541"/>
      <c r="D1727" s="541"/>
      <c r="E1727" s="541"/>
      <c r="F1727" s="541"/>
      <c r="G1727" s="541"/>
      <c r="H1727" s="541"/>
      <c r="I1727" s="541"/>
      <c r="J1727" s="541"/>
      <c r="K1727" s="541"/>
      <c r="L1727" s="541"/>
      <c r="M1727" s="541"/>
      <c r="N1727" s="541"/>
    </row>
    <row r="1742" spans="2:2" ht="14.1" customHeight="1">
      <c r="B1742" s="543"/>
    </row>
    <row r="1743" spans="2:2" ht="14.1" customHeight="1">
      <c r="B1743" s="543"/>
    </row>
    <row r="1745" spans="1:15" ht="35.1" customHeight="1">
      <c r="A1745" s="1545" t="e">
        <f>+VLOOKUP(O1749,'Planilla de Avance'!$A$10:$P$124,4,FALSE)</f>
        <v>#N/A</v>
      </c>
      <c r="B1745" s="1545"/>
      <c r="C1745" s="1545"/>
      <c r="D1745" s="1545"/>
      <c r="E1745" s="1545"/>
      <c r="F1745" s="1545"/>
      <c r="G1745" s="1545"/>
      <c r="H1745" s="1545"/>
      <c r="I1745" s="1545"/>
      <c r="J1745" s="1545"/>
      <c r="K1745" s="1545"/>
      <c r="L1745" s="1545"/>
      <c r="M1745" s="1545"/>
      <c r="N1745" s="1545"/>
    </row>
    <row r="1747" spans="1:15" ht="14.1" customHeight="1">
      <c r="A1747" s="1543"/>
      <c r="B1747" s="1543"/>
      <c r="C1747" s="1543"/>
      <c r="D1747" s="1543"/>
      <c r="E1747" s="1543"/>
      <c r="F1747" s="1543"/>
      <c r="G1747" s="1543"/>
      <c r="H1747" s="1543"/>
      <c r="I1747" s="1543"/>
      <c r="J1747" s="1543"/>
      <c r="K1747" s="1543"/>
      <c r="L1747" s="1543"/>
      <c r="M1747" s="1543"/>
      <c r="N1747" s="1543"/>
    </row>
    <row r="1749" spans="1:15" ht="35.1" customHeight="1">
      <c r="B1749" s="546" t="s">
        <v>251</v>
      </c>
      <c r="C1749" s="547" t="e">
        <f>+VLOOKUP(O1749,'Planilla de Avance'!$A$10:$P$124,5,FALSE)</f>
        <v>#N/A</v>
      </c>
      <c r="D1749" s="1544" t="e">
        <f>+VLOOKUP(O1749,'Planilla de Avance'!$A$10:$P$124,6,FALSE)</f>
        <v>#N/A</v>
      </c>
      <c r="E1749" s="1544"/>
      <c r="F1749" s="1544"/>
      <c r="G1749" s="1544"/>
      <c r="H1749" s="1544"/>
      <c r="I1749" s="1544"/>
      <c r="J1749" s="1544"/>
      <c r="K1749" s="1544"/>
      <c r="L1749" s="1544"/>
      <c r="M1749" s="1544"/>
      <c r="N1749" s="1544"/>
      <c r="O1749" s="432">
        <v>17</v>
      </c>
    </row>
    <row r="1771" spans="1:14" ht="14.1" customHeight="1" thickBot="1">
      <c r="A1771" s="545"/>
      <c r="B1771" s="545"/>
      <c r="C1771" s="545"/>
      <c r="D1771" s="545"/>
      <c r="E1771" s="545"/>
      <c r="F1771" s="545"/>
      <c r="G1771" s="545"/>
      <c r="H1771" s="545"/>
      <c r="I1771" s="545"/>
      <c r="J1771" s="545"/>
      <c r="K1771" s="545"/>
      <c r="L1771" s="545"/>
      <c r="M1771" s="545"/>
      <c r="N1771" s="545"/>
    </row>
    <row r="1772" spans="1:14" ht="14.1" customHeight="1" thickTop="1" thickBot="1"/>
    <row r="1773" spans="1:14" ht="14.1" customHeight="1" thickTop="1">
      <c r="A1773" s="541"/>
      <c r="B1773" s="541"/>
      <c r="C1773" s="541"/>
      <c r="D1773" s="541"/>
      <c r="E1773" s="541"/>
      <c r="F1773" s="541"/>
      <c r="G1773" s="541"/>
      <c r="H1773" s="541"/>
      <c r="I1773" s="541"/>
      <c r="J1773" s="541"/>
      <c r="K1773" s="541"/>
      <c r="L1773" s="541"/>
      <c r="M1773" s="541"/>
      <c r="N1773" s="541"/>
    </row>
    <row r="1788" spans="1:14" ht="14.1" customHeight="1">
      <c r="B1788" s="543"/>
    </row>
    <row r="1789" spans="1:14" ht="14.1" customHeight="1">
      <c r="B1789" s="543"/>
    </row>
    <row r="1791" spans="1:14" ht="35.1" customHeight="1">
      <c r="A1791" s="1545" t="e">
        <f>+VLOOKUP(O1795,'Planilla de Avance'!$A$10:$P$124,4,FALSE)</f>
        <v>#N/A</v>
      </c>
      <c r="B1791" s="1545"/>
      <c r="C1791" s="1545"/>
      <c r="D1791" s="1545"/>
      <c r="E1791" s="1545"/>
      <c r="F1791" s="1545"/>
      <c r="G1791" s="1545"/>
      <c r="H1791" s="1545"/>
      <c r="I1791" s="1545"/>
      <c r="J1791" s="1545"/>
      <c r="K1791" s="1545"/>
      <c r="L1791" s="1545"/>
      <c r="M1791" s="1545"/>
      <c r="N1791" s="1545"/>
    </row>
    <row r="1793" spans="1:15" ht="14.1" customHeight="1">
      <c r="A1793" s="1543"/>
      <c r="B1793" s="1543"/>
      <c r="C1793" s="1543"/>
      <c r="D1793" s="1543"/>
      <c r="E1793" s="1543"/>
      <c r="F1793" s="1543"/>
      <c r="G1793" s="1543"/>
      <c r="H1793" s="1543"/>
      <c r="I1793" s="1543"/>
      <c r="J1793" s="1543"/>
      <c r="K1793" s="1543"/>
      <c r="L1793" s="1543"/>
      <c r="M1793" s="1543"/>
      <c r="N1793" s="1543"/>
    </row>
    <row r="1795" spans="1:15" ht="35.1" customHeight="1">
      <c r="B1795" s="546" t="s">
        <v>251</v>
      </c>
      <c r="C1795" s="547" t="e">
        <f>+VLOOKUP(O1795,'Planilla de Avance'!$A$10:$P$124,5,FALSE)</f>
        <v>#N/A</v>
      </c>
      <c r="D1795" s="1544" t="e">
        <f>+VLOOKUP(O1795,'Planilla de Avance'!$A$10:$P$124,6,FALSE)</f>
        <v>#N/A</v>
      </c>
      <c r="E1795" s="1544"/>
      <c r="F1795" s="1544"/>
      <c r="G1795" s="1544"/>
      <c r="H1795" s="1544"/>
      <c r="I1795" s="1544"/>
      <c r="J1795" s="1544"/>
      <c r="K1795" s="1544"/>
      <c r="L1795" s="1544"/>
      <c r="M1795" s="1544"/>
      <c r="N1795" s="1544"/>
      <c r="O1795" s="432">
        <v>18</v>
      </c>
    </row>
    <row r="1817" spans="1:14" ht="14.1" customHeight="1" thickBot="1">
      <c r="A1817" s="545"/>
      <c r="B1817" s="545"/>
      <c r="C1817" s="545"/>
      <c r="D1817" s="545"/>
      <c r="E1817" s="545"/>
      <c r="F1817" s="545"/>
      <c r="G1817" s="545"/>
      <c r="H1817" s="545"/>
      <c r="I1817" s="545"/>
      <c r="J1817" s="545"/>
      <c r="K1817" s="545"/>
      <c r="L1817" s="545"/>
      <c r="M1817" s="545"/>
      <c r="N1817" s="545"/>
    </row>
    <row r="1818" spans="1:14" ht="14.1" customHeight="1" thickTop="1" thickBot="1"/>
    <row r="1819" spans="1:14" ht="14.1" customHeight="1" thickTop="1">
      <c r="A1819" s="541"/>
      <c r="B1819" s="541"/>
      <c r="C1819" s="541"/>
      <c r="D1819" s="541"/>
      <c r="E1819" s="541"/>
      <c r="F1819" s="541"/>
      <c r="G1819" s="541"/>
      <c r="H1819" s="541"/>
      <c r="I1819" s="541"/>
      <c r="J1819" s="541"/>
      <c r="K1819" s="541"/>
      <c r="L1819" s="541"/>
      <c r="M1819" s="541"/>
      <c r="N1819" s="541"/>
    </row>
    <row r="1834" spans="1:14" ht="14.1" customHeight="1">
      <c r="B1834" s="543"/>
    </row>
    <row r="1835" spans="1:14" ht="14.1" customHeight="1">
      <c r="B1835" s="543"/>
    </row>
    <row r="1837" spans="1:14" ht="35.1" customHeight="1">
      <c r="A1837" s="1545" t="e">
        <f>+VLOOKUP(O1841,'Planilla de Avance'!$A$10:$P$124,4,FALSE)</f>
        <v>#N/A</v>
      </c>
      <c r="B1837" s="1545"/>
      <c r="C1837" s="1545"/>
      <c r="D1837" s="1545"/>
      <c r="E1837" s="1545"/>
      <c r="F1837" s="1545"/>
      <c r="G1837" s="1545"/>
      <c r="H1837" s="1545"/>
      <c r="I1837" s="1545"/>
      <c r="J1837" s="1545"/>
      <c r="K1837" s="1545"/>
      <c r="L1837" s="1545"/>
      <c r="M1837" s="1545"/>
      <c r="N1837" s="1545"/>
    </row>
    <row r="1839" spans="1:14" ht="14.1" customHeight="1">
      <c r="A1839" s="1543"/>
      <c r="B1839" s="1543"/>
      <c r="C1839" s="1543"/>
      <c r="D1839" s="1543"/>
      <c r="E1839" s="1543"/>
      <c r="F1839" s="1543"/>
      <c r="G1839" s="1543"/>
      <c r="H1839" s="1543"/>
      <c r="I1839" s="1543"/>
      <c r="J1839" s="1543"/>
      <c r="K1839" s="1543"/>
      <c r="L1839" s="1543"/>
      <c r="M1839" s="1543"/>
      <c r="N1839" s="1543"/>
    </row>
    <row r="1841" spans="2:15" ht="35.1" customHeight="1">
      <c r="B1841" s="546" t="s">
        <v>251</v>
      </c>
      <c r="C1841" s="547" t="e">
        <f>+VLOOKUP(O1841,'Planilla de Avance'!$A$10:$P$124,5,FALSE)</f>
        <v>#N/A</v>
      </c>
      <c r="D1841" s="1544" t="e">
        <f>+VLOOKUP(O1841,'Planilla de Avance'!$A$10:$P$124,6,FALSE)</f>
        <v>#N/A</v>
      </c>
      <c r="E1841" s="1544"/>
      <c r="F1841" s="1544"/>
      <c r="G1841" s="1544"/>
      <c r="H1841" s="1544"/>
      <c r="I1841" s="1544"/>
      <c r="J1841" s="1544"/>
      <c r="K1841" s="1544"/>
      <c r="L1841" s="1544"/>
      <c r="M1841" s="1544"/>
      <c r="N1841" s="1544"/>
      <c r="O1841" s="432">
        <v>19</v>
      </c>
    </row>
    <row r="1863" spans="1:14" ht="14.1" customHeight="1" thickBot="1">
      <c r="A1863" s="545"/>
      <c r="B1863" s="545"/>
      <c r="C1863" s="545"/>
      <c r="D1863" s="545"/>
      <c r="E1863" s="545"/>
      <c r="F1863" s="545"/>
      <c r="G1863" s="545"/>
      <c r="H1863" s="545"/>
      <c r="I1863" s="545"/>
      <c r="J1863" s="545"/>
      <c r="K1863" s="545"/>
      <c r="L1863" s="545"/>
      <c r="M1863" s="545"/>
      <c r="N1863" s="545"/>
    </row>
    <row r="1864" spans="1:14" ht="14.1" customHeight="1" thickTop="1" thickBot="1"/>
    <row r="1865" spans="1:14" ht="14.1" customHeight="1" thickTop="1">
      <c r="A1865" s="541"/>
      <c r="B1865" s="541"/>
      <c r="C1865" s="541"/>
      <c r="D1865" s="541"/>
      <c r="E1865" s="541"/>
      <c r="F1865" s="541"/>
      <c r="G1865" s="541"/>
      <c r="H1865" s="541"/>
      <c r="I1865" s="541"/>
      <c r="J1865" s="541"/>
      <c r="K1865" s="541"/>
      <c r="L1865" s="541"/>
      <c r="M1865" s="541"/>
      <c r="N1865" s="541"/>
    </row>
    <row r="1880" spans="1:15" ht="14.1" customHeight="1">
      <c r="B1880" s="543"/>
    </row>
    <row r="1881" spans="1:15" ht="14.1" customHeight="1">
      <c r="B1881" s="543"/>
    </row>
    <row r="1883" spans="1:15" ht="35.1" customHeight="1">
      <c r="A1883" s="1545" t="e">
        <f>+VLOOKUP(O1887,'Planilla de Avance'!$A$10:$P$124,4,FALSE)</f>
        <v>#N/A</v>
      </c>
      <c r="B1883" s="1545"/>
      <c r="C1883" s="1545"/>
      <c r="D1883" s="1545"/>
      <c r="E1883" s="1545"/>
      <c r="F1883" s="1545"/>
      <c r="G1883" s="1545"/>
      <c r="H1883" s="1545"/>
      <c r="I1883" s="1545"/>
      <c r="J1883" s="1545"/>
      <c r="K1883" s="1545"/>
      <c r="L1883" s="1545"/>
      <c r="M1883" s="1545"/>
      <c r="N1883" s="1545"/>
    </row>
    <row r="1885" spans="1:15" ht="14.1" customHeight="1">
      <c r="A1885" s="1543"/>
      <c r="B1885" s="1543"/>
      <c r="C1885" s="1543"/>
      <c r="D1885" s="1543"/>
      <c r="E1885" s="1543"/>
      <c r="F1885" s="1543"/>
      <c r="G1885" s="1543"/>
      <c r="H1885" s="1543"/>
      <c r="I1885" s="1543"/>
      <c r="J1885" s="1543"/>
      <c r="K1885" s="1543"/>
      <c r="L1885" s="1543"/>
      <c r="M1885" s="1543"/>
      <c r="N1885" s="1543"/>
    </row>
    <row r="1887" spans="1:15" ht="35.1" customHeight="1">
      <c r="B1887" s="546" t="s">
        <v>251</v>
      </c>
      <c r="C1887" s="547" t="e">
        <f>+VLOOKUP(O1887,'Planilla de Avance'!$A$10:$P$124,5,FALSE)</f>
        <v>#N/A</v>
      </c>
      <c r="D1887" s="1544" t="e">
        <f>+VLOOKUP(O1887,'Planilla de Avance'!$A$10:$P$124,6,FALSE)</f>
        <v>#N/A</v>
      </c>
      <c r="E1887" s="1544"/>
      <c r="F1887" s="1544"/>
      <c r="G1887" s="1544"/>
      <c r="H1887" s="1544"/>
      <c r="I1887" s="1544"/>
      <c r="J1887" s="1544"/>
      <c r="K1887" s="1544"/>
      <c r="L1887" s="1544"/>
      <c r="M1887" s="1544"/>
      <c r="N1887" s="1544"/>
      <c r="O1887" s="432">
        <v>20</v>
      </c>
    </row>
    <row r="1909" spans="1:14" ht="14.1" customHeight="1" thickBot="1">
      <c r="A1909" s="545"/>
      <c r="B1909" s="545"/>
      <c r="C1909" s="545"/>
      <c r="D1909" s="545"/>
      <c r="E1909" s="545"/>
      <c r="F1909" s="545"/>
      <c r="G1909" s="545"/>
      <c r="H1909" s="545"/>
      <c r="I1909" s="545"/>
      <c r="J1909" s="545"/>
      <c r="K1909" s="545"/>
      <c r="L1909" s="545"/>
      <c r="M1909" s="545"/>
      <c r="N1909" s="545"/>
    </row>
    <row r="1910" spans="1:14" ht="14.1" customHeight="1" thickTop="1" thickBot="1"/>
    <row r="1911" spans="1:14" ht="14.1" customHeight="1" thickTop="1">
      <c r="A1911" s="541"/>
      <c r="B1911" s="541"/>
      <c r="C1911" s="541"/>
      <c r="D1911" s="541"/>
      <c r="E1911" s="541"/>
      <c r="F1911" s="541"/>
      <c r="G1911" s="541"/>
      <c r="H1911" s="541"/>
      <c r="I1911" s="541"/>
      <c r="J1911" s="541"/>
      <c r="K1911" s="541"/>
      <c r="L1911" s="541"/>
      <c r="M1911" s="541"/>
      <c r="N1911" s="541"/>
    </row>
    <row r="1926" spans="1:15" ht="14.1" customHeight="1">
      <c r="B1926" s="543"/>
    </row>
    <row r="1927" spans="1:15" ht="14.1" customHeight="1">
      <c r="B1927" s="543"/>
    </row>
    <row r="1929" spans="1:15" ht="35.1" customHeight="1">
      <c r="A1929" s="1545" t="e">
        <f>+VLOOKUP(O1933,'Planilla de Avance'!$A$10:$P$124,4,FALSE)</f>
        <v>#N/A</v>
      </c>
      <c r="B1929" s="1545"/>
      <c r="C1929" s="1545"/>
      <c r="D1929" s="1545"/>
      <c r="E1929" s="1545"/>
      <c r="F1929" s="1545"/>
      <c r="G1929" s="1545"/>
      <c r="H1929" s="1545"/>
      <c r="I1929" s="1545"/>
      <c r="J1929" s="1545"/>
      <c r="K1929" s="1545"/>
      <c r="L1929" s="1545"/>
      <c r="M1929" s="1545"/>
      <c r="N1929" s="1545"/>
    </row>
    <row r="1931" spans="1:15" ht="14.1" customHeight="1">
      <c r="A1931" s="1543"/>
      <c r="B1931" s="1543"/>
      <c r="C1931" s="1543"/>
      <c r="D1931" s="1543"/>
      <c r="E1931" s="1543"/>
      <c r="F1931" s="1543"/>
      <c r="G1931" s="1543"/>
      <c r="H1931" s="1543"/>
      <c r="I1931" s="1543"/>
      <c r="J1931" s="1543"/>
      <c r="K1931" s="1543"/>
      <c r="L1931" s="1543"/>
      <c r="M1931" s="1543"/>
      <c r="N1931" s="1543"/>
    </row>
    <row r="1933" spans="1:15" ht="35.1" customHeight="1">
      <c r="B1933" s="546" t="s">
        <v>251</v>
      </c>
      <c r="C1933" s="547" t="e">
        <f>+VLOOKUP(O1933,'Planilla de Avance'!$A$10:$P$124,5,FALSE)</f>
        <v>#N/A</v>
      </c>
      <c r="D1933" s="1544" t="e">
        <f>+VLOOKUP(O1933,'Planilla de Avance'!$A$10:$P$124,6,FALSE)</f>
        <v>#N/A</v>
      </c>
      <c r="E1933" s="1544"/>
      <c r="F1933" s="1544"/>
      <c r="G1933" s="1544"/>
      <c r="H1933" s="1544"/>
      <c r="I1933" s="1544"/>
      <c r="J1933" s="1544"/>
      <c r="K1933" s="1544"/>
      <c r="L1933" s="1544"/>
      <c r="M1933" s="1544"/>
      <c r="N1933" s="1544"/>
      <c r="O1933" s="432">
        <v>21</v>
      </c>
    </row>
    <row r="1955" spans="1:14" ht="14.1" customHeight="1" thickBot="1">
      <c r="A1955" s="545"/>
      <c r="B1955" s="545"/>
      <c r="C1955" s="545"/>
      <c r="D1955" s="545"/>
      <c r="E1955" s="545"/>
      <c r="F1955" s="545"/>
      <c r="G1955" s="545"/>
      <c r="H1955" s="545"/>
      <c r="I1955" s="545"/>
      <c r="J1955" s="545"/>
      <c r="K1955" s="545"/>
      <c r="L1955" s="545"/>
      <c r="M1955" s="545"/>
      <c r="N1955" s="545"/>
    </row>
    <row r="1956" spans="1:14" ht="14.1" customHeight="1" thickTop="1" thickBot="1"/>
    <row r="1957" spans="1:14" ht="14.1" customHeight="1" thickTop="1">
      <c r="A1957" s="541"/>
      <c r="B1957" s="541"/>
      <c r="C1957" s="541"/>
      <c r="D1957" s="541"/>
      <c r="E1957" s="541"/>
      <c r="F1957" s="541"/>
      <c r="G1957" s="541"/>
      <c r="H1957" s="541"/>
      <c r="I1957" s="541"/>
      <c r="J1957" s="541"/>
      <c r="K1957" s="541"/>
      <c r="L1957" s="541"/>
      <c r="M1957" s="541"/>
      <c r="N1957" s="541"/>
    </row>
    <row r="1972" spans="1:15" ht="14.1" customHeight="1">
      <c r="B1972" s="543"/>
    </row>
    <row r="1973" spans="1:15" ht="14.1" customHeight="1">
      <c r="B1973" s="543"/>
    </row>
    <row r="1975" spans="1:15" ht="35.1" customHeight="1">
      <c r="A1975" s="1545" t="e">
        <f>+VLOOKUP(O1979,'Planilla de Avance'!$A$10:$P$124,4,FALSE)</f>
        <v>#N/A</v>
      </c>
      <c r="B1975" s="1545"/>
      <c r="C1975" s="1545"/>
      <c r="D1975" s="1545"/>
      <c r="E1975" s="1545"/>
      <c r="F1975" s="1545"/>
      <c r="G1975" s="1545"/>
      <c r="H1975" s="1545"/>
      <c r="I1975" s="1545"/>
      <c r="J1975" s="1545"/>
      <c r="K1975" s="1545"/>
      <c r="L1975" s="1545"/>
      <c r="M1975" s="1545"/>
      <c r="N1975" s="1545"/>
    </row>
    <row r="1977" spans="1:15" ht="14.1" customHeight="1">
      <c r="A1977" s="1543"/>
      <c r="B1977" s="1543"/>
      <c r="C1977" s="1543"/>
      <c r="D1977" s="1543"/>
      <c r="E1977" s="1543"/>
      <c r="F1977" s="1543"/>
      <c r="G1977" s="1543"/>
      <c r="H1977" s="1543"/>
      <c r="I1977" s="1543"/>
      <c r="J1977" s="1543"/>
      <c r="K1977" s="1543"/>
      <c r="L1977" s="1543"/>
      <c r="M1977" s="1543"/>
      <c r="N1977" s="1543"/>
    </row>
    <row r="1979" spans="1:15" ht="35.1" customHeight="1">
      <c r="B1979" s="546" t="s">
        <v>251</v>
      </c>
      <c r="C1979" s="547" t="e">
        <f>+VLOOKUP(O1979,'Planilla de Avance'!$A$10:$P$124,5,FALSE)</f>
        <v>#N/A</v>
      </c>
      <c r="D1979" s="1544" t="e">
        <f>+VLOOKUP(O1979,'Planilla de Avance'!$A$10:$P$124,6,FALSE)</f>
        <v>#N/A</v>
      </c>
      <c r="E1979" s="1544"/>
      <c r="F1979" s="1544"/>
      <c r="G1979" s="1544"/>
      <c r="H1979" s="1544"/>
      <c r="I1979" s="1544"/>
      <c r="J1979" s="1544"/>
      <c r="K1979" s="1544"/>
      <c r="L1979" s="1544"/>
      <c r="M1979" s="1544"/>
      <c r="N1979" s="1544"/>
      <c r="O1979" s="432">
        <v>22</v>
      </c>
    </row>
    <row r="2001" spans="1:14" ht="14.1" customHeight="1" thickBot="1">
      <c r="A2001" s="545"/>
      <c r="B2001" s="545"/>
      <c r="C2001" s="545"/>
      <c r="D2001" s="545"/>
      <c r="E2001" s="545"/>
      <c r="F2001" s="545"/>
      <c r="G2001" s="545"/>
      <c r="H2001" s="545"/>
      <c r="I2001" s="545"/>
      <c r="J2001" s="545"/>
      <c r="K2001" s="545"/>
      <c r="L2001" s="545"/>
      <c r="M2001" s="545"/>
      <c r="N2001" s="545"/>
    </row>
    <row r="2002" spans="1:14" ht="14.1" customHeight="1" thickTop="1" thickBot="1"/>
    <row r="2003" spans="1:14" ht="14.1" customHeight="1" thickTop="1">
      <c r="A2003" s="541"/>
      <c r="B2003" s="541"/>
      <c r="C2003" s="541"/>
      <c r="D2003" s="541"/>
      <c r="E2003" s="541"/>
      <c r="F2003" s="541"/>
      <c r="G2003" s="541"/>
      <c r="H2003" s="541"/>
      <c r="I2003" s="541"/>
      <c r="J2003" s="541"/>
      <c r="K2003" s="541"/>
      <c r="L2003" s="541"/>
      <c r="M2003" s="541"/>
      <c r="N2003" s="541"/>
    </row>
    <row r="2018" spans="1:15" ht="14.1" customHeight="1">
      <c r="B2018" s="543"/>
    </row>
    <row r="2019" spans="1:15" ht="14.1" customHeight="1">
      <c r="B2019" s="543"/>
    </row>
    <row r="2021" spans="1:15" ht="35.1" customHeight="1">
      <c r="A2021" s="1545" t="e">
        <f>+VLOOKUP(O2025,'Planilla de Avance'!$A$10:$P$124,4,FALSE)</f>
        <v>#N/A</v>
      </c>
      <c r="B2021" s="1545"/>
      <c r="C2021" s="1545"/>
      <c r="D2021" s="1545"/>
      <c r="E2021" s="1545"/>
      <c r="F2021" s="1545"/>
      <c r="G2021" s="1545"/>
      <c r="H2021" s="1545"/>
      <c r="I2021" s="1545"/>
      <c r="J2021" s="1545"/>
      <c r="K2021" s="1545"/>
      <c r="L2021" s="1545"/>
      <c r="M2021" s="1545"/>
      <c r="N2021" s="1545"/>
    </row>
    <row r="2023" spans="1:15" ht="14.1" customHeight="1">
      <c r="A2023" s="1543"/>
      <c r="B2023" s="1543"/>
      <c r="C2023" s="1543"/>
      <c r="D2023" s="1543"/>
      <c r="E2023" s="1543"/>
      <c r="F2023" s="1543"/>
      <c r="G2023" s="1543"/>
      <c r="H2023" s="1543"/>
      <c r="I2023" s="1543"/>
      <c r="J2023" s="1543"/>
      <c r="K2023" s="1543"/>
      <c r="L2023" s="1543"/>
      <c r="M2023" s="1543"/>
      <c r="N2023" s="1543"/>
    </row>
    <row r="2025" spans="1:15" ht="35.1" customHeight="1">
      <c r="B2025" s="546" t="s">
        <v>251</v>
      </c>
      <c r="C2025" s="547" t="e">
        <f>+VLOOKUP(O2025,'Planilla de Avance'!$A$10:$P$124,5,FALSE)</f>
        <v>#N/A</v>
      </c>
      <c r="D2025" s="1544" t="e">
        <f>+VLOOKUP(O2025,'Planilla de Avance'!$A$10:$P$124,6,FALSE)</f>
        <v>#N/A</v>
      </c>
      <c r="E2025" s="1544"/>
      <c r="F2025" s="1544"/>
      <c r="G2025" s="1544"/>
      <c r="H2025" s="1544"/>
      <c r="I2025" s="1544"/>
      <c r="J2025" s="1544"/>
      <c r="K2025" s="1544"/>
      <c r="L2025" s="1544"/>
      <c r="M2025" s="1544"/>
      <c r="N2025" s="1544"/>
      <c r="O2025" s="432">
        <v>23</v>
      </c>
    </row>
    <row r="2047" spans="1:14" ht="14.1" customHeight="1" thickBot="1">
      <c r="A2047" s="545"/>
      <c r="B2047" s="545"/>
      <c r="C2047" s="545"/>
      <c r="D2047" s="545"/>
      <c r="E2047" s="545"/>
      <c r="F2047" s="545"/>
      <c r="G2047" s="545"/>
      <c r="H2047" s="545"/>
      <c r="I2047" s="545"/>
      <c r="J2047" s="545"/>
      <c r="K2047" s="545"/>
      <c r="L2047" s="545"/>
      <c r="M2047" s="545"/>
      <c r="N2047" s="545"/>
    </row>
    <row r="2048" spans="1:14" ht="14.1" customHeight="1" thickTop="1" thickBot="1"/>
    <row r="2049" spans="1:14" ht="14.1" customHeight="1" thickTop="1">
      <c r="A2049" s="541"/>
      <c r="B2049" s="541"/>
      <c r="C2049" s="541"/>
      <c r="D2049" s="541"/>
      <c r="E2049" s="541"/>
      <c r="F2049" s="541"/>
      <c r="G2049" s="541"/>
      <c r="H2049" s="541"/>
      <c r="I2049" s="541"/>
      <c r="J2049" s="541"/>
      <c r="K2049" s="541"/>
      <c r="L2049" s="541"/>
      <c r="M2049" s="541"/>
      <c r="N2049" s="541"/>
    </row>
    <row r="2064" spans="1:14" ht="14.1" customHeight="1">
      <c r="B2064" s="543"/>
    </row>
    <row r="2065" spans="1:15" ht="14.1" customHeight="1">
      <c r="B2065" s="543"/>
    </row>
    <row r="2067" spans="1:15" ht="35.1" customHeight="1">
      <c r="A2067" s="1545" t="e">
        <f>+VLOOKUP(O2071,'Planilla de Avance'!$A$10:$P$124,4,FALSE)</f>
        <v>#N/A</v>
      </c>
      <c r="B2067" s="1545"/>
      <c r="C2067" s="1545"/>
      <c r="D2067" s="1545"/>
      <c r="E2067" s="1545"/>
      <c r="F2067" s="1545"/>
      <c r="G2067" s="1545"/>
      <c r="H2067" s="1545"/>
      <c r="I2067" s="1545"/>
      <c r="J2067" s="1545"/>
      <c r="K2067" s="1545"/>
      <c r="L2067" s="1545"/>
      <c r="M2067" s="1545"/>
      <c r="N2067" s="1545"/>
    </row>
    <row r="2069" spans="1:15" ht="14.1" customHeight="1">
      <c r="A2069" s="1543"/>
      <c r="B2069" s="1543"/>
      <c r="C2069" s="1543"/>
      <c r="D2069" s="1543"/>
      <c r="E2069" s="1543"/>
      <c r="F2069" s="1543"/>
      <c r="G2069" s="1543"/>
      <c r="H2069" s="1543"/>
      <c r="I2069" s="1543"/>
      <c r="J2069" s="1543"/>
      <c r="K2069" s="1543"/>
      <c r="L2069" s="1543"/>
      <c r="M2069" s="1543"/>
      <c r="N2069" s="1543"/>
    </row>
    <row r="2071" spans="1:15" ht="35.1" customHeight="1">
      <c r="B2071" s="546" t="s">
        <v>251</v>
      </c>
      <c r="C2071" s="547" t="e">
        <f>+VLOOKUP(O2071,'Planilla de Avance'!$A$10:$P$124,5,FALSE)</f>
        <v>#N/A</v>
      </c>
      <c r="D2071" s="1544" t="e">
        <f>+VLOOKUP(O2071,'Planilla de Avance'!$A$10:$P$124,6,FALSE)</f>
        <v>#N/A</v>
      </c>
      <c r="E2071" s="1544"/>
      <c r="F2071" s="1544"/>
      <c r="G2071" s="1544"/>
      <c r="H2071" s="1544"/>
      <c r="I2071" s="1544"/>
      <c r="J2071" s="1544"/>
      <c r="K2071" s="1544"/>
      <c r="L2071" s="1544"/>
      <c r="M2071" s="1544"/>
      <c r="N2071" s="1544"/>
      <c r="O2071" s="432">
        <v>24</v>
      </c>
    </row>
    <row r="2093" spans="1:14" ht="14.1" customHeight="1" thickBot="1">
      <c r="A2093" s="545"/>
      <c r="B2093" s="545"/>
      <c r="C2093" s="545"/>
      <c r="D2093" s="545"/>
      <c r="E2093" s="545"/>
      <c r="F2093" s="545"/>
      <c r="G2093" s="545"/>
      <c r="H2093" s="545"/>
      <c r="I2093" s="545"/>
      <c r="J2093" s="545"/>
      <c r="K2093" s="545"/>
      <c r="L2093" s="545"/>
      <c r="M2093" s="545"/>
      <c r="N2093" s="545"/>
    </row>
    <row r="2094" spans="1:14" ht="14.1" customHeight="1" thickTop="1" thickBot="1"/>
    <row r="2095" spans="1:14" ht="14.1" customHeight="1" thickTop="1">
      <c r="A2095" s="541"/>
      <c r="B2095" s="541"/>
      <c r="C2095" s="541"/>
      <c r="D2095" s="541"/>
      <c r="E2095" s="541"/>
      <c r="F2095" s="541"/>
      <c r="G2095" s="541"/>
      <c r="H2095" s="541"/>
      <c r="I2095" s="541"/>
      <c r="J2095" s="541"/>
      <c r="K2095" s="541"/>
      <c r="L2095" s="541"/>
      <c r="M2095" s="541"/>
      <c r="N2095" s="541"/>
    </row>
    <row r="2110" spans="2:2" ht="14.1" customHeight="1">
      <c r="B2110" s="543"/>
    </row>
    <row r="2111" spans="2:2" ht="14.1" customHeight="1">
      <c r="B2111" s="543"/>
    </row>
    <row r="2113" spans="1:15" ht="35.1" customHeight="1">
      <c r="A2113" s="1545" t="e">
        <f>+VLOOKUP(O2117,'Planilla de Avance'!$A$10:$P$124,4,FALSE)</f>
        <v>#N/A</v>
      </c>
      <c r="B2113" s="1545"/>
      <c r="C2113" s="1545"/>
      <c r="D2113" s="1545"/>
      <c r="E2113" s="1545"/>
      <c r="F2113" s="1545"/>
      <c r="G2113" s="1545"/>
      <c r="H2113" s="1545"/>
      <c r="I2113" s="1545"/>
      <c r="J2113" s="1545"/>
      <c r="K2113" s="1545"/>
      <c r="L2113" s="1545"/>
      <c r="M2113" s="1545"/>
      <c r="N2113" s="1545"/>
    </row>
    <row r="2115" spans="1:15" ht="14.1" customHeight="1">
      <c r="A2115" s="1543"/>
      <c r="B2115" s="1543"/>
      <c r="C2115" s="1543"/>
      <c r="D2115" s="1543"/>
      <c r="E2115" s="1543"/>
      <c r="F2115" s="1543"/>
      <c r="G2115" s="1543"/>
      <c r="H2115" s="1543"/>
      <c r="I2115" s="1543"/>
      <c r="J2115" s="1543"/>
      <c r="K2115" s="1543"/>
      <c r="L2115" s="1543"/>
      <c r="M2115" s="1543"/>
      <c r="N2115" s="1543"/>
    </row>
    <row r="2117" spans="1:15" ht="35.1" customHeight="1">
      <c r="B2117" s="546" t="s">
        <v>251</v>
      </c>
      <c r="C2117" s="547" t="e">
        <f>+VLOOKUP(O2117,'Planilla de Avance'!$A$10:$P$124,5,FALSE)</f>
        <v>#N/A</v>
      </c>
      <c r="D2117" s="1544" t="e">
        <f>+VLOOKUP(O2117,'Planilla de Avance'!$A$10:$P$124,6,FALSE)</f>
        <v>#N/A</v>
      </c>
      <c r="E2117" s="1544"/>
      <c r="F2117" s="1544"/>
      <c r="G2117" s="1544"/>
      <c r="H2117" s="1544"/>
      <c r="I2117" s="1544"/>
      <c r="J2117" s="1544"/>
      <c r="K2117" s="1544"/>
      <c r="L2117" s="1544"/>
      <c r="M2117" s="1544"/>
      <c r="N2117" s="1544"/>
      <c r="O2117" s="432">
        <v>25</v>
      </c>
    </row>
    <row r="2139" spans="1:14" ht="14.1" customHeight="1" thickBot="1">
      <c r="A2139" s="545"/>
      <c r="B2139" s="545"/>
      <c r="C2139" s="545"/>
      <c r="D2139" s="545"/>
      <c r="E2139" s="545"/>
      <c r="F2139" s="545"/>
      <c r="G2139" s="545"/>
      <c r="H2139" s="545"/>
      <c r="I2139" s="545"/>
      <c r="J2139" s="545"/>
      <c r="K2139" s="545"/>
      <c r="L2139" s="545"/>
      <c r="M2139" s="545"/>
      <c r="N2139" s="545"/>
    </row>
    <row r="2140" spans="1:14" ht="14.1" customHeight="1" thickTop="1" thickBot="1"/>
    <row r="2141" spans="1:14" ht="14.1" customHeight="1" thickTop="1">
      <c r="A2141" s="541"/>
      <c r="B2141" s="541"/>
      <c r="C2141" s="541"/>
      <c r="D2141" s="541"/>
      <c r="E2141" s="541"/>
      <c r="F2141" s="541"/>
      <c r="G2141" s="541"/>
      <c r="H2141" s="541"/>
      <c r="I2141" s="541"/>
      <c r="J2141" s="541"/>
      <c r="K2141" s="541"/>
      <c r="L2141" s="541"/>
      <c r="M2141" s="541"/>
      <c r="N2141" s="541"/>
    </row>
    <row r="2156" spans="1:14" ht="14.1" customHeight="1">
      <c r="B2156" s="543"/>
    </row>
    <row r="2157" spans="1:14" ht="14.1" customHeight="1">
      <c r="B2157" s="543"/>
    </row>
    <row r="2159" spans="1:14" ht="14.1" customHeight="1">
      <c r="A2159" s="1545" t="e">
        <f>+VLOOKUP(O2163,'Planilla de Avance'!$A$10:$P$124,4,FALSE)</f>
        <v>#N/A</v>
      </c>
      <c r="B2159" s="1545"/>
      <c r="C2159" s="1545"/>
      <c r="D2159" s="1545"/>
      <c r="E2159" s="1545"/>
      <c r="F2159" s="1545"/>
      <c r="G2159" s="1545"/>
      <c r="H2159" s="1545"/>
      <c r="I2159" s="1545"/>
      <c r="J2159" s="1545"/>
      <c r="K2159" s="1545"/>
      <c r="L2159" s="1545"/>
      <c r="M2159" s="1545"/>
      <c r="N2159" s="1545"/>
    </row>
    <row r="2161" spans="1:15" ht="14.1" customHeight="1">
      <c r="A2161" s="1543"/>
      <c r="B2161" s="1543"/>
      <c r="C2161" s="1543"/>
      <c r="D2161" s="1543"/>
      <c r="E2161" s="1543"/>
      <c r="F2161" s="1543"/>
      <c r="G2161" s="1543"/>
      <c r="H2161" s="1543"/>
      <c r="I2161" s="1543"/>
      <c r="J2161" s="1543"/>
      <c r="K2161" s="1543"/>
      <c r="L2161" s="1543"/>
      <c r="M2161" s="1543"/>
      <c r="N2161" s="1543"/>
    </row>
    <row r="2163" spans="1:15" ht="14.1" customHeight="1">
      <c r="B2163" s="546" t="s">
        <v>251</v>
      </c>
      <c r="C2163" s="547" t="e">
        <f>+VLOOKUP(O2163,'Planilla de Avance'!$A$10:$P$124,5,FALSE)</f>
        <v>#N/A</v>
      </c>
      <c r="D2163" s="1544" t="e">
        <f>+VLOOKUP(O2163,'Planilla de Avance'!$A$10:$P$124,6,FALSE)</f>
        <v>#N/A</v>
      </c>
      <c r="E2163" s="1544"/>
      <c r="F2163" s="1544"/>
      <c r="G2163" s="1544"/>
      <c r="H2163" s="1544"/>
      <c r="I2163" s="1544"/>
      <c r="J2163" s="1544"/>
      <c r="K2163" s="1544"/>
      <c r="L2163" s="1544"/>
      <c r="M2163" s="1544"/>
      <c r="N2163" s="1544"/>
      <c r="O2163" s="432">
        <v>26</v>
      </c>
    </row>
    <row r="2185" spans="1:14" ht="14.1" customHeight="1" thickBot="1">
      <c r="A2185" s="545"/>
      <c r="B2185" s="545"/>
      <c r="C2185" s="545"/>
      <c r="D2185" s="545"/>
      <c r="E2185" s="545"/>
      <c r="F2185" s="545"/>
      <c r="G2185" s="545"/>
      <c r="H2185" s="545"/>
      <c r="I2185" s="545"/>
      <c r="J2185" s="545"/>
      <c r="K2185" s="545"/>
      <c r="L2185" s="545"/>
      <c r="M2185" s="545"/>
      <c r="N2185" s="545"/>
    </row>
    <row r="2186" spans="1:14" ht="14.1" customHeight="1" thickTop="1" thickBot="1"/>
    <row r="2187" spans="1:14" ht="14.1" customHeight="1" thickTop="1">
      <c r="A2187" s="541"/>
      <c r="B2187" s="541"/>
      <c r="C2187" s="541"/>
      <c r="D2187" s="541"/>
      <c r="E2187" s="541"/>
      <c r="F2187" s="541"/>
      <c r="G2187" s="541"/>
      <c r="H2187" s="541"/>
      <c r="I2187" s="541"/>
      <c r="J2187" s="541"/>
      <c r="K2187" s="541"/>
      <c r="L2187" s="541"/>
      <c r="M2187" s="541"/>
      <c r="N2187" s="541"/>
    </row>
    <row r="2202" spans="1:14" ht="14.1" customHeight="1">
      <c r="B2202" s="543"/>
    </row>
    <row r="2203" spans="1:14" ht="14.1" customHeight="1">
      <c r="B2203" s="543"/>
    </row>
    <row r="2205" spans="1:14" ht="14.1" customHeight="1">
      <c r="A2205" s="1545" t="e">
        <f>+VLOOKUP(O2209,#REF!,4,FALSE)</f>
        <v>#REF!</v>
      </c>
      <c r="B2205" s="1545"/>
      <c r="C2205" s="1545"/>
      <c r="D2205" s="1545"/>
      <c r="E2205" s="1545"/>
      <c r="F2205" s="1545"/>
      <c r="G2205" s="1545"/>
      <c r="H2205" s="1545"/>
      <c r="I2205" s="1545"/>
      <c r="J2205" s="1545"/>
      <c r="K2205" s="1545"/>
      <c r="L2205" s="1545"/>
      <c r="M2205" s="1545"/>
      <c r="N2205" s="1545"/>
    </row>
    <row r="2207" spans="1:14" ht="14.1" customHeight="1">
      <c r="A2207" s="1543"/>
      <c r="B2207" s="1543"/>
      <c r="C2207" s="1543"/>
      <c r="D2207" s="1543"/>
      <c r="E2207" s="1543"/>
      <c r="F2207" s="1543"/>
      <c r="G2207" s="1543"/>
      <c r="H2207" s="1543"/>
      <c r="I2207" s="1543"/>
      <c r="J2207" s="1543"/>
      <c r="K2207" s="1543"/>
      <c r="L2207" s="1543"/>
      <c r="M2207" s="1543"/>
      <c r="N2207" s="1543"/>
    </row>
    <row r="2209" spans="2:15" ht="14.1" customHeight="1">
      <c r="B2209" s="546" t="s">
        <v>251</v>
      </c>
      <c r="C2209" s="547" t="e">
        <f>+VLOOKUP(O2209,#REF!,5,FALSE)</f>
        <v>#REF!</v>
      </c>
      <c r="D2209" s="1544" t="e">
        <f>+VLOOKUP(O2209,#REF!,6,FALSE)</f>
        <v>#REF!</v>
      </c>
      <c r="E2209" s="1544"/>
      <c r="F2209" s="1544"/>
      <c r="G2209" s="1544"/>
      <c r="H2209" s="1544"/>
      <c r="I2209" s="1544"/>
      <c r="J2209" s="1544"/>
      <c r="K2209" s="1544"/>
      <c r="L2209" s="1544"/>
      <c r="M2209" s="1544"/>
      <c r="N2209" s="1544"/>
      <c r="O2209" s="432">
        <v>27</v>
      </c>
    </row>
    <row r="2231" spans="1:14" ht="14.1" customHeight="1" thickBot="1">
      <c r="A2231" s="545"/>
      <c r="B2231" s="545"/>
      <c r="C2231" s="545"/>
      <c r="D2231" s="545"/>
      <c r="E2231" s="545"/>
      <c r="F2231" s="545"/>
      <c r="G2231" s="545"/>
      <c r="H2231" s="545"/>
      <c r="I2231" s="545"/>
      <c r="J2231" s="545"/>
      <c r="K2231" s="545"/>
      <c r="L2231" s="545"/>
      <c r="M2231" s="545"/>
      <c r="N2231" s="545"/>
    </row>
    <row r="2232" spans="1:14" ht="14.1" customHeight="1" thickTop="1" thickBot="1"/>
    <row r="2233" spans="1:14" ht="14.1" customHeight="1" thickTop="1">
      <c r="A2233" s="541"/>
      <c r="B2233" s="541"/>
      <c r="C2233" s="541"/>
      <c r="D2233" s="541"/>
      <c r="E2233" s="541"/>
      <c r="F2233" s="541"/>
      <c r="G2233" s="541"/>
      <c r="H2233" s="541"/>
      <c r="I2233" s="541"/>
      <c r="J2233" s="541"/>
      <c r="K2233" s="541"/>
      <c r="L2233" s="541"/>
      <c r="M2233" s="541"/>
      <c r="N2233" s="541"/>
    </row>
    <row r="2248" spans="1:15" ht="14.1" customHeight="1">
      <c r="B2248" s="543"/>
    </row>
    <row r="2249" spans="1:15" ht="14.1" customHeight="1">
      <c r="B2249" s="543"/>
    </row>
    <row r="2251" spans="1:15" ht="14.1" customHeight="1">
      <c r="A2251" s="1545" t="e">
        <f>+VLOOKUP(O2255,#REF!,4,FALSE)</f>
        <v>#REF!</v>
      </c>
      <c r="B2251" s="1545"/>
      <c r="C2251" s="1545"/>
      <c r="D2251" s="1545"/>
      <c r="E2251" s="1545"/>
      <c r="F2251" s="1545"/>
      <c r="G2251" s="1545"/>
      <c r="H2251" s="1545"/>
      <c r="I2251" s="1545"/>
      <c r="J2251" s="1545"/>
      <c r="K2251" s="1545"/>
      <c r="L2251" s="1545"/>
      <c r="M2251" s="1545"/>
      <c r="N2251" s="1545"/>
    </row>
    <row r="2253" spans="1:15" ht="14.1" customHeight="1">
      <c r="A2253" s="1543"/>
      <c r="B2253" s="1543"/>
      <c r="C2253" s="1543"/>
      <c r="D2253" s="1543"/>
      <c r="E2253" s="1543"/>
      <c r="F2253" s="1543"/>
      <c r="G2253" s="1543"/>
      <c r="H2253" s="1543"/>
      <c r="I2253" s="1543"/>
      <c r="J2253" s="1543"/>
      <c r="K2253" s="1543"/>
      <c r="L2253" s="1543"/>
      <c r="M2253" s="1543"/>
      <c r="N2253" s="1543"/>
    </row>
    <row r="2255" spans="1:15" ht="14.1" customHeight="1">
      <c r="B2255" s="546" t="s">
        <v>251</v>
      </c>
      <c r="C2255" s="547" t="e">
        <f>+VLOOKUP(O2255,#REF!,5,FALSE)</f>
        <v>#REF!</v>
      </c>
      <c r="D2255" s="1544" t="e">
        <f>+VLOOKUP(O2255,#REF!,6,FALSE)</f>
        <v>#REF!</v>
      </c>
      <c r="E2255" s="1544"/>
      <c r="F2255" s="1544"/>
      <c r="G2255" s="1544"/>
      <c r="H2255" s="1544"/>
      <c r="I2255" s="1544"/>
      <c r="J2255" s="1544"/>
      <c r="K2255" s="1544"/>
      <c r="L2255" s="1544"/>
      <c r="M2255" s="1544"/>
      <c r="N2255" s="1544"/>
      <c r="O2255" s="432">
        <v>28</v>
      </c>
    </row>
    <row r="2277" spans="1:14" ht="14.1" customHeight="1" thickBot="1">
      <c r="A2277" s="545"/>
      <c r="B2277" s="545"/>
      <c r="C2277" s="545"/>
      <c r="D2277" s="545"/>
      <c r="E2277" s="545"/>
      <c r="F2277" s="545"/>
      <c r="G2277" s="545"/>
      <c r="H2277" s="545"/>
      <c r="I2277" s="545"/>
      <c r="J2277" s="545"/>
      <c r="K2277" s="545"/>
      <c r="L2277" s="545"/>
      <c r="M2277" s="545"/>
      <c r="N2277" s="545"/>
    </row>
    <row r="2278" spans="1:14" ht="14.1" customHeight="1" thickTop="1"/>
  </sheetData>
  <mergeCells count="106">
    <mergeCell ref="A1837:N1837"/>
    <mergeCell ref="A1655:N1655"/>
    <mergeCell ref="D1657:N1657"/>
    <mergeCell ref="A1699:N1699"/>
    <mergeCell ref="A1701:N1701"/>
    <mergeCell ref="D1703:N1703"/>
    <mergeCell ref="A2023:N2023"/>
    <mergeCell ref="D2025:N2025"/>
    <mergeCell ref="A2067:N2067"/>
    <mergeCell ref="A1745:N1745"/>
    <mergeCell ref="A1747:N1747"/>
    <mergeCell ref="D1749:N1749"/>
    <mergeCell ref="A1791:N1791"/>
    <mergeCell ref="A1793:N1793"/>
    <mergeCell ref="D1795:N1795"/>
    <mergeCell ref="A2069:N2069"/>
    <mergeCell ref="D2071:N2071"/>
    <mergeCell ref="A2021:N2021"/>
    <mergeCell ref="A1839:N1839"/>
    <mergeCell ref="D1841:N1841"/>
    <mergeCell ref="A1883:N1883"/>
    <mergeCell ref="A1885:N1885"/>
    <mergeCell ref="D1887:N1887"/>
    <mergeCell ref="A1929:N1929"/>
    <mergeCell ref="A1931:N1931"/>
    <mergeCell ref="D1933:N1933"/>
    <mergeCell ref="A1975:N1975"/>
    <mergeCell ref="A1977:N1977"/>
    <mergeCell ref="D1979:N1979"/>
    <mergeCell ref="A1653:N1653"/>
    <mergeCell ref="A1471:N1471"/>
    <mergeCell ref="D1473:N1473"/>
    <mergeCell ref="A1515:N1515"/>
    <mergeCell ref="A1517:N1517"/>
    <mergeCell ref="D1519:N1519"/>
    <mergeCell ref="A1561:N1561"/>
    <mergeCell ref="A1563:N1563"/>
    <mergeCell ref="D1565:N1565"/>
    <mergeCell ref="A1607:N1607"/>
    <mergeCell ref="A1609:N1609"/>
    <mergeCell ref="D1611:N1611"/>
    <mergeCell ref="A1469:N1469"/>
    <mergeCell ref="A1287:N1287"/>
    <mergeCell ref="D1289:N1289"/>
    <mergeCell ref="A1331:N1331"/>
    <mergeCell ref="A1333:N1333"/>
    <mergeCell ref="D1335:N1335"/>
    <mergeCell ref="A1377:N1377"/>
    <mergeCell ref="A1379:N1379"/>
    <mergeCell ref="D1381:N1381"/>
    <mergeCell ref="A1423:N1423"/>
    <mergeCell ref="A1425:N1425"/>
    <mergeCell ref="D1427:N1427"/>
    <mergeCell ref="A1055:N1055"/>
    <mergeCell ref="D1013:N1013"/>
    <mergeCell ref="A1057:N1057"/>
    <mergeCell ref="D1059:N1059"/>
    <mergeCell ref="A1101:N1101"/>
    <mergeCell ref="A1285:N1285"/>
    <mergeCell ref="A1103:N1103"/>
    <mergeCell ref="D1105:N1105"/>
    <mergeCell ref="A1147:N1147"/>
    <mergeCell ref="A1149:N1149"/>
    <mergeCell ref="D1151:N1151"/>
    <mergeCell ref="A1193:N1193"/>
    <mergeCell ref="A1195:N1195"/>
    <mergeCell ref="D1197:N1197"/>
    <mergeCell ref="A1239:N1239"/>
    <mergeCell ref="A1241:N1241"/>
    <mergeCell ref="D1243:N1243"/>
    <mergeCell ref="A20:N20"/>
    <mergeCell ref="A1009:N1009"/>
    <mergeCell ref="A1011:N1011"/>
    <mergeCell ref="A245:N245"/>
    <mergeCell ref="A290:N290"/>
    <mergeCell ref="A335:N335"/>
    <mergeCell ref="A380:N380"/>
    <mergeCell ref="A875:N875"/>
    <mergeCell ref="A425:N425"/>
    <mergeCell ref="A470:N470"/>
    <mergeCell ref="A515:N515"/>
    <mergeCell ref="A830:N830"/>
    <mergeCell ref="A65:N65"/>
    <mergeCell ref="A110:N110"/>
    <mergeCell ref="A155:N155"/>
    <mergeCell ref="A200:N200"/>
    <mergeCell ref="A560:N560"/>
    <mergeCell ref="A605:N605"/>
    <mergeCell ref="A650:N650"/>
    <mergeCell ref="A740:N740"/>
    <mergeCell ref="A785:N785"/>
    <mergeCell ref="A694:N696"/>
    <mergeCell ref="A920:N920"/>
    <mergeCell ref="A965:N965"/>
    <mergeCell ref="A2253:N2253"/>
    <mergeCell ref="D2255:N2255"/>
    <mergeCell ref="D2163:N2163"/>
    <mergeCell ref="A2205:N2205"/>
    <mergeCell ref="A2207:N2207"/>
    <mergeCell ref="D2209:N2209"/>
    <mergeCell ref="A2251:N2251"/>
    <mergeCell ref="A2113:N2113"/>
    <mergeCell ref="A2115:N2115"/>
    <mergeCell ref="D2117:N2117"/>
    <mergeCell ref="A2159:N2159"/>
    <mergeCell ref="A2161:N2161"/>
  </mergeCells>
  <printOptions horizontalCentered="1" verticalCentered="1"/>
  <pageMargins left="0.78740157480314965" right="0.78740157480314965" top="0.78740157480314965" bottom="0.78740157480314965" header="0.98425196850393704" footer="1.1811023622047245"/>
  <pageSetup scale="99" orientation="portrait" r:id="rId1"/>
  <headerFooter alignWithMargins="0">
    <oddHeader>&amp;C&amp;"Century Gothic,Negrita"&amp;11PROYECTO: CONSTRUCCION Y REHABILITACION TRAMO CARRETERO
VILLA MONTES - LA VERTIENTE - PALO MARCADO</oddHeader>
    <oddFooter>&amp;C&amp;"Century Gothic,Negrita"&amp;12PERIODO: SEPTIEMBRE 2021</oddFooter>
  </headerFooter>
  <rowBreaks count="44" manualBreakCount="44">
    <brk id="45" max="13" man="1"/>
    <brk id="90" max="13" man="1"/>
    <brk id="135" max="13" man="1"/>
    <brk id="180" max="13" man="1"/>
    <brk id="225" max="13" man="1"/>
    <brk id="270" max="13" man="1"/>
    <brk id="315" max="13" man="1"/>
    <brk id="360" max="13" man="1"/>
    <brk id="405" max="13" man="1"/>
    <brk id="450" max="13" man="1"/>
    <brk id="495" max="13" man="1"/>
    <brk id="540" max="13" man="1"/>
    <brk id="585" max="13" man="1"/>
    <brk id="630" max="13" man="1"/>
    <brk id="675" max="13" man="1"/>
    <brk id="720" max="13" man="1"/>
    <brk id="765" max="13" man="1"/>
    <brk id="810" max="13" man="1"/>
    <brk id="855" max="13" man="1"/>
    <brk id="990" max="13" man="1"/>
    <brk id="1036" max="13" man="1"/>
    <brk id="1082" max="13" man="1"/>
    <brk id="1128" max="13" man="1"/>
    <brk id="1174" max="13" man="1"/>
    <brk id="1220" max="13" man="1"/>
    <brk id="1266" max="13" man="1"/>
    <brk id="1312" max="13" man="1"/>
    <brk id="1358" max="13" man="1"/>
    <brk id="1404" max="13" man="1"/>
    <brk id="1450" max="13" man="1"/>
    <brk id="1496" max="13" man="1"/>
    <brk id="1542" max="13" man="1"/>
    <brk id="1588" max="13" man="1"/>
    <brk id="1634" max="13" man="1"/>
    <brk id="1680" max="13" man="1"/>
    <brk id="1726" max="13" man="1"/>
    <brk id="1772" max="13" man="1"/>
    <brk id="1818" max="13" man="1"/>
    <brk id="1864" max="13" man="1"/>
    <brk id="1910" max="13" man="1"/>
    <brk id="1956" max="13" man="1"/>
    <brk id="2002" max="13" man="1"/>
    <brk id="2048" max="13" man="1"/>
    <brk id="2094" max="1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1">
    <tabColor rgb="FF00B0F0"/>
  </sheetPr>
  <dimension ref="A1:N39"/>
  <sheetViews>
    <sheetView showGridLines="0" view="pageBreakPreview" zoomScale="130" zoomScaleNormal="100" zoomScaleSheetLayoutView="130" workbookViewId="0">
      <selection activeCell="L13" sqref="L13"/>
    </sheetView>
  </sheetViews>
  <sheetFormatPr baseColWidth="10" defaultRowHeight="12.75"/>
  <cols>
    <col min="1" max="1" width="4.42578125" style="455" customWidth="1"/>
    <col min="2" max="2" width="11.28515625" style="455" customWidth="1"/>
    <col min="3" max="3" width="12.7109375" style="455" customWidth="1"/>
    <col min="4" max="4" width="13.42578125" style="455" customWidth="1"/>
    <col min="5" max="5" width="20.140625" style="455" customWidth="1"/>
    <col min="6" max="6" width="12.5703125" style="455" customWidth="1"/>
    <col min="7" max="7" width="12.7109375" style="455" customWidth="1"/>
    <col min="8" max="8" width="11.28515625" style="455" customWidth="1"/>
    <col min="9" max="9" width="11.42578125" style="455"/>
    <col min="10" max="10" width="29.85546875" style="455" bestFit="1" customWidth="1"/>
    <col min="11" max="13" width="11.42578125" style="455"/>
    <col min="14" max="14" width="0" style="455" hidden="1" customWidth="1"/>
    <col min="15" max="257" width="11.42578125" style="455"/>
    <col min="258" max="258" width="4.42578125" style="455" customWidth="1"/>
    <col min="259" max="259" width="12.85546875" style="455" customWidth="1"/>
    <col min="260" max="260" width="21.140625" style="455" customWidth="1"/>
    <col min="261" max="261" width="21.42578125" style="455" customWidth="1"/>
    <col min="262" max="263" width="11.42578125" style="455"/>
    <col min="264" max="264" width="13.140625" style="455" customWidth="1"/>
    <col min="265" max="513" width="11.42578125" style="455"/>
    <col min="514" max="514" width="4.42578125" style="455" customWidth="1"/>
    <col min="515" max="515" width="12.85546875" style="455" customWidth="1"/>
    <col min="516" max="516" width="21.140625" style="455" customWidth="1"/>
    <col min="517" max="517" width="21.42578125" style="455" customWidth="1"/>
    <col min="518" max="519" width="11.42578125" style="455"/>
    <col min="520" max="520" width="13.140625" style="455" customWidth="1"/>
    <col min="521" max="769" width="11.42578125" style="455"/>
    <col min="770" max="770" width="4.42578125" style="455" customWidth="1"/>
    <col min="771" max="771" width="12.85546875" style="455" customWidth="1"/>
    <col min="772" max="772" width="21.140625" style="455" customWidth="1"/>
    <col min="773" max="773" width="21.42578125" style="455" customWidth="1"/>
    <col min="774" max="775" width="11.42578125" style="455"/>
    <col min="776" max="776" width="13.140625" style="455" customWidth="1"/>
    <col min="777" max="1025" width="11.42578125" style="455"/>
    <col min="1026" max="1026" width="4.42578125" style="455" customWidth="1"/>
    <col min="1027" max="1027" width="12.85546875" style="455" customWidth="1"/>
    <col min="1028" max="1028" width="21.140625" style="455" customWidth="1"/>
    <col min="1029" max="1029" width="21.42578125" style="455" customWidth="1"/>
    <col min="1030" max="1031" width="11.42578125" style="455"/>
    <col min="1032" max="1032" width="13.140625" style="455" customWidth="1"/>
    <col min="1033" max="1281" width="11.42578125" style="455"/>
    <col min="1282" max="1282" width="4.42578125" style="455" customWidth="1"/>
    <col min="1283" max="1283" width="12.85546875" style="455" customWidth="1"/>
    <col min="1284" max="1284" width="21.140625" style="455" customWidth="1"/>
    <col min="1285" max="1285" width="21.42578125" style="455" customWidth="1"/>
    <col min="1286" max="1287" width="11.42578125" style="455"/>
    <col min="1288" max="1288" width="13.140625" style="455" customWidth="1"/>
    <col min="1289" max="1537" width="11.42578125" style="455"/>
    <col min="1538" max="1538" width="4.42578125" style="455" customWidth="1"/>
    <col min="1539" max="1539" width="12.85546875" style="455" customWidth="1"/>
    <col min="1540" max="1540" width="21.140625" style="455" customWidth="1"/>
    <col min="1541" max="1541" width="21.42578125" style="455" customWidth="1"/>
    <col min="1542" max="1543" width="11.42578125" style="455"/>
    <col min="1544" max="1544" width="13.140625" style="455" customWidth="1"/>
    <col min="1545" max="1793" width="11.42578125" style="455"/>
    <col min="1794" max="1794" width="4.42578125" style="455" customWidth="1"/>
    <col min="1795" max="1795" width="12.85546875" style="455" customWidth="1"/>
    <col min="1796" max="1796" width="21.140625" style="455" customWidth="1"/>
    <col min="1797" max="1797" width="21.42578125" style="455" customWidth="1"/>
    <col min="1798" max="1799" width="11.42578125" style="455"/>
    <col min="1800" max="1800" width="13.140625" style="455" customWidth="1"/>
    <col min="1801" max="2049" width="11.42578125" style="455"/>
    <col min="2050" max="2050" width="4.42578125" style="455" customWidth="1"/>
    <col min="2051" max="2051" width="12.85546875" style="455" customWidth="1"/>
    <col min="2052" max="2052" width="21.140625" style="455" customWidth="1"/>
    <col min="2053" max="2053" width="21.42578125" style="455" customWidth="1"/>
    <col min="2054" max="2055" width="11.42578125" style="455"/>
    <col min="2056" max="2056" width="13.140625" style="455" customWidth="1"/>
    <col min="2057" max="2305" width="11.42578125" style="455"/>
    <col min="2306" max="2306" width="4.42578125" style="455" customWidth="1"/>
    <col min="2307" max="2307" width="12.85546875" style="455" customWidth="1"/>
    <col min="2308" max="2308" width="21.140625" style="455" customWidth="1"/>
    <col min="2309" max="2309" width="21.42578125" style="455" customWidth="1"/>
    <col min="2310" max="2311" width="11.42578125" style="455"/>
    <col min="2312" max="2312" width="13.140625" style="455" customWidth="1"/>
    <col min="2313" max="2561" width="11.42578125" style="455"/>
    <col min="2562" max="2562" width="4.42578125" style="455" customWidth="1"/>
    <col min="2563" max="2563" width="12.85546875" style="455" customWidth="1"/>
    <col min="2564" max="2564" width="21.140625" style="455" customWidth="1"/>
    <col min="2565" max="2565" width="21.42578125" style="455" customWidth="1"/>
    <col min="2566" max="2567" width="11.42578125" style="455"/>
    <col min="2568" max="2568" width="13.140625" style="455" customWidth="1"/>
    <col min="2569" max="2817" width="11.42578125" style="455"/>
    <col min="2818" max="2818" width="4.42578125" style="455" customWidth="1"/>
    <col min="2819" max="2819" width="12.85546875" style="455" customWidth="1"/>
    <col min="2820" max="2820" width="21.140625" style="455" customWidth="1"/>
    <col min="2821" max="2821" width="21.42578125" style="455" customWidth="1"/>
    <col min="2822" max="2823" width="11.42578125" style="455"/>
    <col min="2824" max="2824" width="13.140625" style="455" customWidth="1"/>
    <col min="2825" max="3073" width="11.42578125" style="455"/>
    <col min="3074" max="3074" width="4.42578125" style="455" customWidth="1"/>
    <col min="3075" max="3075" width="12.85546875" style="455" customWidth="1"/>
    <col min="3076" max="3076" width="21.140625" style="455" customWidth="1"/>
    <col min="3077" max="3077" width="21.42578125" style="455" customWidth="1"/>
    <col min="3078" max="3079" width="11.42578125" style="455"/>
    <col min="3080" max="3080" width="13.140625" style="455" customWidth="1"/>
    <col min="3081" max="3329" width="11.42578125" style="455"/>
    <col min="3330" max="3330" width="4.42578125" style="455" customWidth="1"/>
    <col min="3331" max="3331" width="12.85546875" style="455" customWidth="1"/>
    <col min="3332" max="3332" width="21.140625" style="455" customWidth="1"/>
    <col min="3333" max="3333" width="21.42578125" style="455" customWidth="1"/>
    <col min="3334" max="3335" width="11.42578125" style="455"/>
    <col min="3336" max="3336" width="13.140625" style="455" customWidth="1"/>
    <col min="3337" max="3585" width="11.42578125" style="455"/>
    <col min="3586" max="3586" width="4.42578125" style="455" customWidth="1"/>
    <col min="3587" max="3587" width="12.85546875" style="455" customWidth="1"/>
    <col min="3588" max="3588" width="21.140625" style="455" customWidth="1"/>
    <col min="3589" max="3589" width="21.42578125" style="455" customWidth="1"/>
    <col min="3590" max="3591" width="11.42578125" style="455"/>
    <col min="3592" max="3592" width="13.140625" style="455" customWidth="1"/>
    <col min="3593" max="3841" width="11.42578125" style="455"/>
    <col min="3842" max="3842" width="4.42578125" style="455" customWidth="1"/>
    <col min="3843" max="3843" width="12.85546875" style="455" customWidth="1"/>
    <col min="3844" max="3844" width="21.140625" style="455" customWidth="1"/>
    <col min="3845" max="3845" width="21.42578125" style="455" customWidth="1"/>
    <col min="3846" max="3847" width="11.42578125" style="455"/>
    <col min="3848" max="3848" width="13.140625" style="455" customWidth="1"/>
    <col min="3849" max="4097" width="11.42578125" style="455"/>
    <col min="4098" max="4098" width="4.42578125" style="455" customWidth="1"/>
    <col min="4099" max="4099" width="12.85546875" style="455" customWidth="1"/>
    <col min="4100" max="4100" width="21.140625" style="455" customWidth="1"/>
    <col min="4101" max="4101" width="21.42578125" style="455" customWidth="1"/>
    <col min="4102" max="4103" width="11.42578125" style="455"/>
    <col min="4104" max="4104" width="13.140625" style="455" customWidth="1"/>
    <col min="4105" max="4353" width="11.42578125" style="455"/>
    <col min="4354" max="4354" width="4.42578125" style="455" customWidth="1"/>
    <col min="4355" max="4355" width="12.85546875" style="455" customWidth="1"/>
    <col min="4356" max="4356" width="21.140625" style="455" customWidth="1"/>
    <col min="4357" max="4357" width="21.42578125" style="455" customWidth="1"/>
    <col min="4358" max="4359" width="11.42578125" style="455"/>
    <col min="4360" max="4360" width="13.140625" style="455" customWidth="1"/>
    <col min="4361" max="4609" width="11.42578125" style="455"/>
    <col min="4610" max="4610" width="4.42578125" style="455" customWidth="1"/>
    <col min="4611" max="4611" width="12.85546875" style="455" customWidth="1"/>
    <col min="4612" max="4612" width="21.140625" style="455" customWidth="1"/>
    <col min="4613" max="4613" width="21.42578125" style="455" customWidth="1"/>
    <col min="4614" max="4615" width="11.42578125" style="455"/>
    <col min="4616" max="4616" width="13.140625" style="455" customWidth="1"/>
    <col min="4617" max="4865" width="11.42578125" style="455"/>
    <col min="4866" max="4866" width="4.42578125" style="455" customWidth="1"/>
    <col min="4867" max="4867" width="12.85546875" style="455" customWidth="1"/>
    <col min="4868" max="4868" width="21.140625" style="455" customWidth="1"/>
    <col min="4869" max="4869" width="21.42578125" style="455" customWidth="1"/>
    <col min="4870" max="4871" width="11.42578125" style="455"/>
    <col min="4872" max="4872" width="13.140625" style="455" customWidth="1"/>
    <col min="4873" max="5121" width="11.42578125" style="455"/>
    <col min="5122" max="5122" width="4.42578125" style="455" customWidth="1"/>
    <col min="5123" max="5123" width="12.85546875" style="455" customWidth="1"/>
    <col min="5124" max="5124" width="21.140625" style="455" customWidth="1"/>
    <col min="5125" max="5125" width="21.42578125" style="455" customWidth="1"/>
    <col min="5126" max="5127" width="11.42578125" style="455"/>
    <col min="5128" max="5128" width="13.140625" style="455" customWidth="1"/>
    <col min="5129" max="5377" width="11.42578125" style="455"/>
    <col min="5378" max="5378" width="4.42578125" style="455" customWidth="1"/>
    <col min="5379" max="5379" width="12.85546875" style="455" customWidth="1"/>
    <col min="5380" max="5380" width="21.140625" style="455" customWidth="1"/>
    <col min="5381" max="5381" width="21.42578125" style="455" customWidth="1"/>
    <col min="5382" max="5383" width="11.42578125" style="455"/>
    <col min="5384" max="5384" width="13.140625" style="455" customWidth="1"/>
    <col min="5385" max="5633" width="11.42578125" style="455"/>
    <col min="5634" max="5634" width="4.42578125" style="455" customWidth="1"/>
    <col min="5635" max="5635" width="12.85546875" style="455" customWidth="1"/>
    <col min="5636" max="5636" width="21.140625" style="455" customWidth="1"/>
    <col min="5637" max="5637" width="21.42578125" style="455" customWidth="1"/>
    <col min="5638" max="5639" width="11.42578125" style="455"/>
    <col min="5640" max="5640" width="13.140625" style="455" customWidth="1"/>
    <col min="5641" max="5889" width="11.42578125" style="455"/>
    <col min="5890" max="5890" width="4.42578125" style="455" customWidth="1"/>
    <col min="5891" max="5891" width="12.85546875" style="455" customWidth="1"/>
    <col min="5892" max="5892" width="21.140625" style="455" customWidth="1"/>
    <col min="5893" max="5893" width="21.42578125" style="455" customWidth="1"/>
    <col min="5894" max="5895" width="11.42578125" style="455"/>
    <col min="5896" max="5896" width="13.140625" style="455" customWidth="1"/>
    <col min="5897" max="6145" width="11.42578125" style="455"/>
    <col min="6146" max="6146" width="4.42578125" style="455" customWidth="1"/>
    <col min="6147" max="6147" width="12.85546875" style="455" customWidth="1"/>
    <col min="6148" max="6148" width="21.140625" style="455" customWidth="1"/>
    <col min="6149" max="6149" width="21.42578125" style="455" customWidth="1"/>
    <col min="6150" max="6151" width="11.42578125" style="455"/>
    <col min="6152" max="6152" width="13.140625" style="455" customWidth="1"/>
    <col min="6153" max="6401" width="11.42578125" style="455"/>
    <col min="6402" max="6402" width="4.42578125" style="455" customWidth="1"/>
    <col min="6403" max="6403" width="12.85546875" style="455" customWidth="1"/>
    <col min="6404" max="6404" width="21.140625" style="455" customWidth="1"/>
    <col min="6405" max="6405" width="21.42578125" style="455" customWidth="1"/>
    <col min="6406" max="6407" width="11.42578125" style="455"/>
    <col min="6408" max="6408" width="13.140625" style="455" customWidth="1"/>
    <col min="6409" max="6657" width="11.42578125" style="455"/>
    <col min="6658" max="6658" width="4.42578125" style="455" customWidth="1"/>
    <col min="6659" max="6659" width="12.85546875" style="455" customWidth="1"/>
    <col min="6660" max="6660" width="21.140625" style="455" customWidth="1"/>
    <col min="6661" max="6661" width="21.42578125" style="455" customWidth="1"/>
    <col min="6662" max="6663" width="11.42578125" style="455"/>
    <col min="6664" max="6664" width="13.140625" style="455" customWidth="1"/>
    <col min="6665" max="6913" width="11.42578125" style="455"/>
    <col min="6914" max="6914" width="4.42578125" style="455" customWidth="1"/>
    <col min="6915" max="6915" width="12.85546875" style="455" customWidth="1"/>
    <col min="6916" max="6916" width="21.140625" style="455" customWidth="1"/>
    <col min="6917" max="6917" width="21.42578125" style="455" customWidth="1"/>
    <col min="6918" max="6919" width="11.42578125" style="455"/>
    <col min="6920" max="6920" width="13.140625" style="455" customWidth="1"/>
    <col min="6921" max="7169" width="11.42578125" style="455"/>
    <col min="7170" max="7170" width="4.42578125" style="455" customWidth="1"/>
    <col min="7171" max="7171" width="12.85546875" style="455" customWidth="1"/>
    <col min="7172" max="7172" width="21.140625" style="455" customWidth="1"/>
    <col min="7173" max="7173" width="21.42578125" style="455" customWidth="1"/>
    <col min="7174" max="7175" width="11.42578125" style="455"/>
    <col min="7176" max="7176" width="13.140625" style="455" customWidth="1"/>
    <col min="7177" max="7425" width="11.42578125" style="455"/>
    <col min="7426" max="7426" width="4.42578125" style="455" customWidth="1"/>
    <col min="7427" max="7427" width="12.85546875" style="455" customWidth="1"/>
    <col min="7428" max="7428" width="21.140625" style="455" customWidth="1"/>
    <col min="7429" max="7429" width="21.42578125" style="455" customWidth="1"/>
    <col min="7430" max="7431" width="11.42578125" style="455"/>
    <col min="7432" max="7432" width="13.140625" style="455" customWidth="1"/>
    <col min="7433" max="7681" width="11.42578125" style="455"/>
    <col min="7682" max="7682" width="4.42578125" style="455" customWidth="1"/>
    <col min="7683" max="7683" width="12.85546875" style="455" customWidth="1"/>
    <col min="7684" max="7684" width="21.140625" style="455" customWidth="1"/>
    <col min="7685" max="7685" width="21.42578125" style="455" customWidth="1"/>
    <col min="7686" max="7687" width="11.42578125" style="455"/>
    <col min="7688" max="7688" width="13.140625" style="455" customWidth="1"/>
    <col min="7689" max="7937" width="11.42578125" style="455"/>
    <col min="7938" max="7938" width="4.42578125" style="455" customWidth="1"/>
    <col min="7939" max="7939" width="12.85546875" style="455" customWidth="1"/>
    <col min="7940" max="7940" width="21.140625" style="455" customWidth="1"/>
    <col min="7941" max="7941" width="21.42578125" style="455" customWidth="1"/>
    <col min="7942" max="7943" width="11.42578125" style="455"/>
    <col min="7944" max="7944" width="13.140625" style="455" customWidth="1"/>
    <col min="7945" max="8193" width="11.42578125" style="455"/>
    <col min="8194" max="8194" width="4.42578125" style="455" customWidth="1"/>
    <col min="8195" max="8195" width="12.85546875" style="455" customWidth="1"/>
    <col min="8196" max="8196" width="21.140625" style="455" customWidth="1"/>
    <col min="8197" max="8197" width="21.42578125" style="455" customWidth="1"/>
    <col min="8198" max="8199" width="11.42578125" style="455"/>
    <col min="8200" max="8200" width="13.140625" style="455" customWidth="1"/>
    <col min="8201" max="8449" width="11.42578125" style="455"/>
    <col min="8450" max="8450" width="4.42578125" style="455" customWidth="1"/>
    <col min="8451" max="8451" width="12.85546875" style="455" customWidth="1"/>
    <col min="8452" max="8452" width="21.140625" style="455" customWidth="1"/>
    <col min="8453" max="8453" width="21.42578125" style="455" customWidth="1"/>
    <col min="8454" max="8455" width="11.42578125" style="455"/>
    <col min="8456" max="8456" width="13.140625" style="455" customWidth="1"/>
    <col min="8457" max="8705" width="11.42578125" style="455"/>
    <col min="8706" max="8706" width="4.42578125" style="455" customWidth="1"/>
    <col min="8707" max="8707" width="12.85546875" style="455" customWidth="1"/>
    <col min="8708" max="8708" width="21.140625" style="455" customWidth="1"/>
    <col min="8709" max="8709" width="21.42578125" style="455" customWidth="1"/>
    <col min="8710" max="8711" width="11.42578125" style="455"/>
    <col min="8712" max="8712" width="13.140625" style="455" customWidth="1"/>
    <col min="8713" max="8961" width="11.42578125" style="455"/>
    <col min="8962" max="8962" width="4.42578125" style="455" customWidth="1"/>
    <col min="8963" max="8963" width="12.85546875" style="455" customWidth="1"/>
    <col min="8964" max="8964" width="21.140625" style="455" customWidth="1"/>
    <col min="8965" max="8965" width="21.42578125" style="455" customWidth="1"/>
    <col min="8966" max="8967" width="11.42578125" style="455"/>
    <col min="8968" max="8968" width="13.140625" style="455" customWidth="1"/>
    <col min="8969" max="9217" width="11.42578125" style="455"/>
    <col min="9218" max="9218" width="4.42578125" style="455" customWidth="1"/>
    <col min="9219" max="9219" width="12.85546875" style="455" customWidth="1"/>
    <col min="9220" max="9220" width="21.140625" style="455" customWidth="1"/>
    <col min="9221" max="9221" width="21.42578125" style="455" customWidth="1"/>
    <col min="9222" max="9223" width="11.42578125" style="455"/>
    <col min="9224" max="9224" width="13.140625" style="455" customWidth="1"/>
    <col min="9225" max="9473" width="11.42578125" style="455"/>
    <col min="9474" max="9474" width="4.42578125" style="455" customWidth="1"/>
    <col min="9475" max="9475" width="12.85546875" style="455" customWidth="1"/>
    <col min="9476" max="9476" width="21.140625" style="455" customWidth="1"/>
    <col min="9477" max="9477" width="21.42578125" style="455" customWidth="1"/>
    <col min="9478" max="9479" width="11.42578125" style="455"/>
    <col min="9480" max="9480" width="13.140625" style="455" customWidth="1"/>
    <col min="9481" max="9729" width="11.42578125" style="455"/>
    <col min="9730" max="9730" width="4.42578125" style="455" customWidth="1"/>
    <col min="9731" max="9731" width="12.85546875" style="455" customWidth="1"/>
    <col min="9732" max="9732" width="21.140625" style="455" customWidth="1"/>
    <col min="9733" max="9733" width="21.42578125" style="455" customWidth="1"/>
    <col min="9734" max="9735" width="11.42578125" style="455"/>
    <col min="9736" max="9736" width="13.140625" style="455" customWidth="1"/>
    <col min="9737" max="9985" width="11.42578125" style="455"/>
    <col min="9986" max="9986" width="4.42578125" style="455" customWidth="1"/>
    <col min="9987" max="9987" width="12.85546875" style="455" customWidth="1"/>
    <col min="9988" max="9988" width="21.140625" style="455" customWidth="1"/>
    <col min="9989" max="9989" width="21.42578125" style="455" customWidth="1"/>
    <col min="9990" max="9991" width="11.42578125" style="455"/>
    <col min="9992" max="9992" width="13.140625" style="455" customWidth="1"/>
    <col min="9993" max="10241" width="11.42578125" style="455"/>
    <col min="10242" max="10242" width="4.42578125" style="455" customWidth="1"/>
    <col min="10243" max="10243" width="12.85546875" style="455" customWidth="1"/>
    <col min="10244" max="10244" width="21.140625" style="455" customWidth="1"/>
    <col min="10245" max="10245" width="21.42578125" style="455" customWidth="1"/>
    <col min="10246" max="10247" width="11.42578125" style="455"/>
    <col min="10248" max="10248" width="13.140625" style="455" customWidth="1"/>
    <col min="10249" max="10497" width="11.42578125" style="455"/>
    <col min="10498" max="10498" width="4.42578125" style="455" customWidth="1"/>
    <col min="10499" max="10499" width="12.85546875" style="455" customWidth="1"/>
    <col min="10500" max="10500" width="21.140625" style="455" customWidth="1"/>
    <col min="10501" max="10501" width="21.42578125" style="455" customWidth="1"/>
    <col min="10502" max="10503" width="11.42578125" style="455"/>
    <col min="10504" max="10504" width="13.140625" style="455" customWidth="1"/>
    <col min="10505" max="10753" width="11.42578125" style="455"/>
    <col min="10754" max="10754" width="4.42578125" style="455" customWidth="1"/>
    <col min="10755" max="10755" width="12.85546875" style="455" customWidth="1"/>
    <col min="10756" max="10756" width="21.140625" style="455" customWidth="1"/>
    <col min="10757" max="10757" width="21.42578125" style="455" customWidth="1"/>
    <col min="10758" max="10759" width="11.42578125" style="455"/>
    <col min="10760" max="10760" width="13.140625" style="455" customWidth="1"/>
    <col min="10761" max="11009" width="11.42578125" style="455"/>
    <col min="11010" max="11010" width="4.42578125" style="455" customWidth="1"/>
    <col min="11011" max="11011" width="12.85546875" style="455" customWidth="1"/>
    <col min="11012" max="11012" width="21.140625" style="455" customWidth="1"/>
    <col min="11013" max="11013" width="21.42578125" style="455" customWidth="1"/>
    <col min="11014" max="11015" width="11.42578125" style="455"/>
    <col min="11016" max="11016" width="13.140625" style="455" customWidth="1"/>
    <col min="11017" max="11265" width="11.42578125" style="455"/>
    <col min="11266" max="11266" width="4.42578125" style="455" customWidth="1"/>
    <col min="11267" max="11267" width="12.85546875" style="455" customWidth="1"/>
    <col min="11268" max="11268" width="21.140625" style="455" customWidth="1"/>
    <col min="11269" max="11269" width="21.42578125" style="455" customWidth="1"/>
    <col min="11270" max="11271" width="11.42578125" style="455"/>
    <col min="11272" max="11272" width="13.140625" style="455" customWidth="1"/>
    <col min="11273" max="11521" width="11.42578125" style="455"/>
    <col min="11522" max="11522" width="4.42578125" style="455" customWidth="1"/>
    <col min="11523" max="11523" width="12.85546875" style="455" customWidth="1"/>
    <col min="11524" max="11524" width="21.140625" style="455" customWidth="1"/>
    <col min="11525" max="11525" width="21.42578125" style="455" customWidth="1"/>
    <col min="11526" max="11527" width="11.42578125" style="455"/>
    <col min="11528" max="11528" width="13.140625" style="455" customWidth="1"/>
    <col min="11529" max="11777" width="11.42578125" style="455"/>
    <col min="11778" max="11778" width="4.42578125" style="455" customWidth="1"/>
    <col min="11779" max="11779" width="12.85546875" style="455" customWidth="1"/>
    <col min="11780" max="11780" width="21.140625" style="455" customWidth="1"/>
    <col min="11781" max="11781" width="21.42578125" style="455" customWidth="1"/>
    <col min="11782" max="11783" width="11.42578125" style="455"/>
    <col min="11784" max="11784" width="13.140625" style="455" customWidth="1"/>
    <col min="11785" max="12033" width="11.42578125" style="455"/>
    <col min="12034" max="12034" width="4.42578125" style="455" customWidth="1"/>
    <col min="12035" max="12035" width="12.85546875" style="455" customWidth="1"/>
    <col min="12036" max="12036" width="21.140625" style="455" customWidth="1"/>
    <col min="12037" max="12037" width="21.42578125" style="455" customWidth="1"/>
    <col min="12038" max="12039" width="11.42578125" style="455"/>
    <col min="12040" max="12040" width="13.140625" style="455" customWidth="1"/>
    <col min="12041" max="12289" width="11.42578125" style="455"/>
    <col min="12290" max="12290" width="4.42578125" style="455" customWidth="1"/>
    <col min="12291" max="12291" width="12.85546875" style="455" customWidth="1"/>
    <col min="12292" max="12292" width="21.140625" style="455" customWidth="1"/>
    <col min="12293" max="12293" width="21.42578125" style="455" customWidth="1"/>
    <col min="12294" max="12295" width="11.42578125" style="455"/>
    <col min="12296" max="12296" width="13.140625" style="455" customWidth="1"/>
    <col min="12297" max="12545" width="11.42578125" style="455"/>
    <col min="12546" max="12546" width="4.42578125" style="455" customWidth="1"/>
    <col min="12547" max="12547" width="12.85546875" style="455" customWidth="1"/>
    <col min="12548" max="12548" width="21.140625" style="455" customWidth="1"/>
    <col min="12549" max="12549" width="21.42578125" style="455" customWidth="1"/>
    <col min="12550" max="12551" width="11.42578125" style="455"/>
    <col min="12552" max="12552" width="13.140625" style="455" customWidth="1"/>
    <col min="12553" max="12801" width="11.42578125" style="455"/>
    <col min="12802" max="12802" width="4.42578125" style="455" customWidth="1"/>
    <col min="12803" max="12803" width="12.85546875" style="455" customWidth="1"/>
    <col min="12804" max="12804" width="21.140625" style="455" customWidth="1"/>
    <col min="12805" max="12805" width="21.42578125" style="455" customWidth="1"/>
    <col min="12806" max="12807" width="11.42578125" style="455"/>
    <col min="12808" max="12808" width="13.140625" style="455" customWidth="1"/>
    <col min="12809" max="13057" width="11.42578125" style="455"/>
    <col min="13058" max="13058" width="4.42578125" style="455" customWidth="1"/>
    <col min="13059" max="13059" width="12.85546875" style="455" customWidth="1"/>
    <col min="13060" max="13060" width="21.140625" style="455" customWidth="1"/>
    <col min="13061" max="13061" width="21.42578125" style="455" customWidth="1"/>
    <col min="13062" max="13063" width="11.42578125" style="455"/>
    <col min="13064" max="13064" width="13.140625" style="455" customWidth="1"/>
    <col min="13065" max="13313" width="11.42578125" style="455"/>
    <col min="13314" max="13314" width="4.42578125" style="455" customWidth="1"/>
    <col min="13315" max="13315" width="12.85546875" style="455" customWidth="1"/>
    <col min="13316" max="13316" width="21.140625" style="455" customWidth="1"/>
    <col min="13317" max="13317" width="21.42578125" style="455" customWidth="1"/>
    <col min="13318" max="13319" width="11.42578125" style="455"/>
    <col min="13320" max="13320" width="13.140625" style="455" customWidth="1"/>
    <col min="13321" max="13569" width="11.42578125" style="455"/>
    <col min="13570" max="13570" width="4.42578125" style="455" customWidth="1"/>
    <col min="13571" max="13571" width="12.85546875" style="455" customWidth="1"/>
    <col min="13572" max="13572" width="21.140625" style="455" customWidth="1"/>
    <col min="13573" max="13573" width="21.42578125" style="455" customWidth="1"/>
    <col min="13574" max="13575" width="11.42578125" style="455"/>
    <col min="13576" max="13576" width="13.140625" style="455" customWidth="1"/>
    <col min="13577" max="13825" width="11.42578125" style="455"/>
    <col min="13826" max="13826" width="4.42578125" style="455" customWidth="1"/>
    <col min="13827" max="13827" width="12.85546875" style="455" customWidth="1"/>
    <col min="13828" max="13828" width="21.140625" style="455" customWidth="1"/>
    <col min="13829" max="13829" width="21.42578125" style="455" customWidth="1"/>
    <col min="13830" max="13831" width="11.42578125" style="455"/>
    <col min="13832" max="13832" width="13.140625" style="455" customWidth="1"/>
    <col min="13833" max="14081" width="11.42578125" style="455"/>
    <col min="14082" max="14082" width="4.42578125" style="455" customWidth="1"/>
    <col min="14083" max="14083" width="12.85546875" style="455" customWidth="1"/>
    <col min="14084" max="14084" width="21.140625" style="455" customWidth="1"/>
    <col min="14085" max="14085" width="21.42578125" style="455" customWidth="1"/>
    <col min="14086" max="14087" width="11.42578125" style="455"/>
    <col min="14088" max="14088" width="13.140625" style="455" customWidth="1"/>
    <col min="14089" max="14337" width="11.42578125" style="455"/>
    <col min="14338" max="14338" width="4.42578125" style="455" customWidth="1"/>
    <col min="14339" max="14339" width="12.85546875" style="455" customWidth="1"/>
    <col min="14340" max="14340" width="21.140625" style="455" customWidth="1"/>
    <col min="14341" max="14341" width="21.42578125" style="455" customWidth="1"/>
    <col min="14342" max="14343" width="11.42578125" style="455"/>
    <col min="14344" max="14344" width="13.140625" style="455" customWidth="1"/>
    <col min="14345" max="14593" width="11.42578125" style="455"/>
    <col min="14594" max="14594" width="4.42578125" style="455" customWidth="1"/>
    <col min="14595" max="14595" width="12.85546875" style="455" customWidth="1"/>
    <col min="14596" max="14596" width="21.140625" style="455" customWidth="1"/>
    <col min="14597" max="14597" width="21.42578125" style="455" customWidth="1"/>
    <col min="14598" max="14599" width="11.42578125" style="455"/>
    <col min="14600" max="14600" width="13.140625" style="455" customWidth="1"/>
    <col min="14601" max="14849" width="11.42578125" style="455"/>
    <col min="14850" max="14850" width="4.42578125" style="455" customWidth="1"/>
    <col min="14851" max="14851" width="12.85546875" style="455" customWidth="1"/>
    <col min="14852" max="14852" width="21.140625" style="455" customWidth="1"/>
    <col min="14853" max="14853" width="21.42578125" style="455" customWidth="1"/>
    <col min="14854" max="14855" width="11.42578125" style="455"/>
    <col min="14856" max="14856" width="13.140625" style="455" customWidth="1"/>
    <col min="14857" max="15105" width="11.42578125" style="455"/>
    <col min="15106" max="15106" width="4.42578125" style="455" customWidth="1"/>
    <col min="15107" max="15107" width="12.85546875" style="455" customWidth="1"/>
    <col min="15108" max="15108" width="21.140625" style="455" customWidth="1"/>
    <col min="15109" max="15109" width="21.42578125" style="455" customWidth="1"/>
    <col min="15110" max="15111" width="11.42578125" style="455"/>
    <col min="15112" max="15112" width="13.140625" style="455" customWidth="1"/>
    <col min="15113" max="15361" width="11.42578125" style="455"/>
    <col min="15362" max="15362" width="4.42578125" style="455" customWidth="1"/>
    <col min="15363" max="15363" width="12.85546875" style="455" customWidth="1"/>
    <col min="15364" max="15364" width="21.140625" style="455" customWidth="1"/>
    <col min="15365" max="15365" width="21.42578125" style="455" customWidth="1"/>
    <col min="15366" max="15367" width="11.42578125" style="455"/>
    <col min="15368" max="15368" width="13.140625" style="455" customWidth="1"/>
    <col min="15369" max="15617" width="11.42578125" style="455"/>
    <col min="15618" max="15618" width="4.42578125" style="455" customWidth="1"/>
    <col min="15619" max="15619" width="12.85546875" style="455" customWidth="1"/>
    <col min="15620" max="15620" width="21.140625" style="455" customWidth="1"/>
    <col min="15621" max="15621" width="21.42578125" style="455" customWidth="1"/>
    <col min="15622" max="15623" width="11.42578125" style="455"/>
    <col min="15624" max="15624" width="13.140625" style="455" customWidth="1"/>
    <col min="15625" max="15873" width="11.42578125" style="455"/>
    <col min="15874" max="15874" width="4.42578125" style="455" customWidth="1"/>
    <col min="15875" max="15875" width="12.85546875" style="455" customWidth="1"/>
    <col min="15876" max="15876" width="21.140625" style="455" customWidth="1"/>
    <col min="15877" max="15877" width="21.42578125" style="455" customWidth="1"/>
    <col min="15878" max="15879" width="11.42578125" style="455"/>
    <col min="15880" max="15880" width="13.140625" style="455" customWidth="1"/>
    <col min="15881" max="16129" width="11.42578125" style="455"/>
    <col min="16130" max="16130" width="4.42578125" style="455" customWidth="1"/>
    <col min="16131" max="16131" width="12.85546875" style="455" customWidth="1"/>
    <col min="16132" max="16132" width="21.140625" style="455" customWidth="1"/>
    <col min="16133" max="16133" width="21.42578125" style="455" customWidth="1"/>
    <col min="16134" max="16135" width="11.42578125" style="455"/>
    <col min="16136" max="16136" width="13.140625" style="455" customWidth="1"/>
    <col min="16137" max="16384" width="11.42578125" style="455"/>
  </cols>
  <sheetData>
    <row r="1" spans="1:14" ht="18.75" customHeight="1">
      <c r="A1" s="1554" t="s">
        <v>436</v>
      </c>
      <c r="B1" s="1555"/>
      <c r="C1" s="1555"/>
      <c r="D1" s="1555"/>
      <c r="E1" s="1555"/>
      <c r="F1" s="1555"/>
      <c r="G1" s="1555"/>
      <c r="H1" s="1556"/>
      <c r="M1" s="456"/>
    </row>
    <row r="2" spans="1:14" s="457" customFormat="1">
      <c r="A2" s="1557" t="s">
        <v>254</v>
      </c>
      <c r="B2" s="1558"/>
      <c r="C2" s="1558"/>
      <c r="D2" s="1558"/>
      <c r="E2" s="1558"/>
      <c r="F2" s="1558"/>
      <c r="G2" s="1558"/>
      <c r="H2" s="1559"/>
    </row>
    <row r="3" spans="1:14" s="457" customFormat="1" ht="15" customHeight="1">
      <c r="A3" s="458"/>
      <c r="B3" s="459"/>
      <c r="C3" s="1558" t="str">
        <f>"Contrato"&amp;" "&amp;Datos!B4</f>
        <v>Contrato ABC N° 818/19 GNT-SCT-OBR-TGN</v>
      </c>
      <c r="D3" s="1558"/>
      <c r="E3" s="1558"/>
      <c r="F3" s="1558"/>
      <c r="G3" s="459"/>
      <c r="H3" s="460" t="s">
        <v>255</v>
      </c>
    </row>
    <row r="4" spans="1:14" s="457" customFormat="1" ht="8.25" customHeight="1">
      <c r="A4" s="461"/>
      <c r="B4" s="462"/>
      <c r="C4" s="462"/>
      <c r="D4" s="462"/>
      <c r="E4" s="462"/>
      <c r="F4" s="462"/>
      <c r="G4" s="462"/>
      <c r="H4" s="463"/>
      <c r="J4" s="480"/>
    </row>
    <row r="5" spans="1:14" s="457" customFormat="1" ht="18" customHeight="1">
      <c r="A5" s="1560" t="s">
        <v>256</v>
      </c>
      <c r="B5" s="1561"/>
      <c r="C5" s="1562" t="str">
        <f>+Datos!B3</f>
        <v>CONSTRUCCION Y REHABILITACION TRAMO CARRETERO VILLA MONTES - LA VERTIENTE - PALO MARCADO</v>
      </c>
      <c r="D5" s="1562"/>
      <c r="E5" s="1562"/>
      <c r="F5" s="1562"/>
      <c r="G5" s="1562"/>
      <c r="H5" s="1563"/>
    </row>
    <row r="6" spans="1:14" s="457" customFormat="1" ht="18" customHeight="1">
      <c r="A6" s="1567">
        <f>+Datos!C20</f>
        <v>11</v>
      </c>
      <c r="B6" s="1568"/>
      <c r="C6" s="1568"/>
      <c r="D6" s="1568"/>
      <c r="E6" s="1253" t="s">
        <v>257</v>
      </c>
      <c r="F6" s="1564" t="str">
        <f>+Datos!C24</f>
        <v>SEPTIEMBRE 2021</v>
      </c>
      <c r="G6" s="1565"/>
      <c r="H6" s="1566"/>
      <c r="I6" s="480"/>
    </row>
    <row r="7" spans="1:14" s="457" customFormat="1" ht="18" customHeight="1">
      <c r="A7" s="1168" t="s">
        <v>605</v>
      </c>
      <c r="B7" s="1169"/>
      <c r="C7" s="1169"/>
      <c r="D7" s="1252" t="str">
        <f>+Certificado!H6</f>
        <v xml:space="preserve"> Del   1-sep.-2021  Al  30-sep.-2021</v>
      </c>
      <c r="E7" s="527"/>
      <c r="F7" s="1170"/>
      <c r="G7" s="1171"/>
      <c r="H7" s="1172"/>
      <c r="I7" s="480"/>
      <c r="J7" s="1362"/>
    </row>
    <row r="8" spans="1:14" s="457" customFormat="1" ht="6.75" customHeight="1" thickBot="1">
      <c r="A8" s="464"/>
      <c r="B8" s="465"/>
      <c r="C8" s="465"/>
      <c r="D8" s="465"/>
      <c r="E8" s="465"/>
      <c r="F8" s="465"/>
      <c r="G8" s="465"/>
      <c r="H8" s="466"/>
      <c r="K8" s="467"/>
    </row>
    <row r="9" spans="1:14" s="457" customFormat="1" ht="39" customHeight="1">
      <c r="A9" s="833" t="s">
        <v>438</v>
      </c>
      <c r="B9" s="468"/>
      <c r="C9" s="468"/>
      <c r="D9" s="468"/>
      <c r="E9" s="468"/>
      <c r="F9" s="468"/>
      <c r="G9" s="468"/>
      <c r="H9" s="807"/>
      <c r="K9" s="467"/>
    </row>
    <row r="10" spans="1:14" s="457" customFormat="1" ht="26.25" customHeight="1">
      <c r="A10" s="1254" t="s">
        <v>217</v>
      </c>
      <c r="B10" s="528"/>
      <c r="C10" s="1552" t="str">
        <f>+Datos!B10</f>
        <v>Ing. Eyber Lopez Lopez</v>
      </c>
      <c r="D10" s="1552"/>
      <c r="E10" s="1552"/>
      <c r="F10" s="1552"/>
      <c r="G10" s="1553"/>
      <c r="H10" s="1255"/>
      <c r="K10" s="467"/>
    </row>
    <row r="11" spans="1:14" s="470" customFormat="1" ht="26.25" customHeight="1">
      <c r="A11" s="1254" t="s">
        <v>8</v>
      </c>
      <c r="B11" s="529"/>
      <c r="C11" s="1552" t="str">
        <f>+Datos!B7</f>
        <v>Ing. Pedro Alberto Barreto Gutierrez</v>
      </c>
      <c r="D11" s="1552"/>
      <c r="E11" s="1552"/>
      <c r="F11" s="1552"/>
      <c r="G11" s="1553"/>
      <c r="H11" s="1256"/>
      <c r="I11" s="469"/>
      <c r="J11" s="469"/>
      <c r="K11" s="469"/>
      <c r="L11" s="469"/>
      <c r="M11" s="469"/>
      <c r="N11" s="469"/>
    </row>
    <row r="12" spans="1:14" s="457" customFormat="1" ht="37.5" customHeight="1" thickBot="1">
      <c r="A12" s="829" t="s">
        <v>258</v>
      </c>
      <c r="B12" s="830"/>
      <c r="C12" s="1550" t="s">
        <v>228</v>
      </c>
      <c r="D12" s="1550"/>
      <c r="E12" s="1550"/>
      <c r="F12" s="1550"/>
      <c r="G12" s="1551"/>
      <c r="H12" s="471"/>
    </row>
    <row r="13" spans="1:14" ht="6.75" customHeight="1" thickBot="1">
      <c r="A13" s="1257"/>
      <c r="B13" s="1258"/>
      <c r="C13" s="1258"/>
      <c r="D13" s="1258"/>
      <c r="E13" s="1258"/>
      <c r="F13" s="1258"/>
      <c r="G13" s="1258"/>
      <c r="H13" s="1259"/>
    </row>
    <row r="14" spans="1:14" ht="15" customHeight="1">
      <c r="A14" s="1589" t="s">
        <v>259</v>
      </c>
      <c r="B14" s="1591" t="s">
        <v>260</v>
      </c>
      <c r="C14" s="1585" t="s">
        <v>261</v>
      </c>
      <c r="D14" s="1586"/>
      <c r="E14" s="1591" t="s">
        <v>262</v>
      </c>
      <c r="F14" s="1575" t="s">
        <v>263</v>
      </c>
      <c r="G14" s="1575"/>
      <c r="H14" s="1595" t="s">
        <v>264</v>
      </c>
    </row>
    <row r="15" spans="1:14" ht="15" customHeight="1">
      <c r="A15" s="1590"/>
      <c r="B15" s="1592"/>
      <c r="C15" s="1587"/>
      <c r="D15" s="1588"/>
      <c r="E15" s="1592"/>
      <c r="F15" s="1260" t="s">
        <v>265</v>
      </c>
      <c r="G15" s="1260" t="s">
        <v>266</v>
      </c>
      <c r="H15" s="1596"/>
    </row>
    <row r="16" spans="1:14" ht="20.100000000000001" customHeight="1">
      <c r="A16" s="1576">
        <v>1</v>
      </c>
      <c r="B16" s="1569" t="s">
        <v>77</v>
      </c>
      <c r="C16" s="1579" t="str">
        <f>+Datos!D15</f>
        <v>Ing. Ernesto Vargas Amezaga        SUPERINTENDENTE DE OBRA a.i.</v>
      </c>
      <c r="D16" s="1580"/>
      <c r="E16" s="1572"/>
      <c r="F16" s="472"/>
      <c r="G16" s="472"/>
      <c r="H16" s="473"/>
    </row>
    <row r="17" spans="1:11" ht="20.100000000000001" customHeight="1">
      <c r="A17" s="1577"/>
      <c r="B17" s="1570"/>
      <c r="C17" s="1581"/>
      <c r="D17" s="1582"/>
      <c r="E17" s="1573"/>
      <c r="F17" s="474"/>
      <c r="G17" s="474"/>
      <c r="H17" s="475"/>
    </row>
    <row r="18" spans="1:11" ht="20.100000000000001" customHeight="1">
      <c r="A18" s="1577"/>
      <c r="B18" s="1570"/>
      <c r="C18" s="1581"/>
      <c r="D18" s="1582"/>
      <c r="E18" s="1573"/>
      <c r="F18" s="474"/>
      <c r="G18" s="474"/>
      <c r="H18" s="475"/>
    </row>
    <row r="19" spans="1:11" ht="20.100000000000001" customHeight="1">
      <c r="A19" s="1578"/>
      <c r="B19" s="1571"/>
      <c r="C19" s="1583"/>
      <c r="D19" s="1584"/>
      <c r="E19" s="1574"/>
      <c r="F19" s="476"/>
      <c r="G19" s="476"/>
      <c r="H19" s="477"/>
    </row>
    <row r="20" spans="1:11" ht="20.100000000000001" customHeight="1">
      <c r="A20" s="1576">
        <v>2</v>
      </c>
      <c r="B20" s="1569" t="s">
        <v>267</v>
      </c>
      <c r="C20" s="1579" t="str">
        <f>+Datos!D7&amp;" 
"&amp;Datos!B9</f>
        <v>Ing. Pedro Alberto Barreto Gutierrez      GERENTE SUPERVISION TECNICA  
ABC - REGIONAL TARIJA</v>
      </c>
      <c r="D20" s="1580"/>
      <c r="E20" s="1572"/>
      <c r="F20" s="472"/>
      <c r="G20" s="472"/>
      <c r="H20" s="473"/>
    </row>
    <row r="21" spans="1:11" ht="20.100000000000001" customHeight="1">
      <c r="A21" s="1577"/>
      <c r="B21" s="1570"/>
      <c r="C21" s="1581"/>
      <c r="D21" s="1582"/>
      <c r="E21" s="1573"/>
      <c r="F21" s="474"/>
      <c r="G21" s="474"/>
      <c r="H21" s="475"/>
    </row>
    <row r="22" spans="1:11" ht="20.100000000000001" customHeight="1">
      <c r="A22" s="1577"/>
      <c r="B22" s="1570"/>
      <c r="C22" s="1581"/>
      <c r="D22" s="1582"/>
      <c r="E22" s="1573"/>
      <c r="F22" s="474"/>
      <c r="G22" s="474"/>
      <c r="H22" s="475"/>
    </row>
    <row r="23" spans="1:11" ht="20.100000000000001" customHeight="1">
      <c r="A23" s="1578"/>
      <c r="B23" s="1571"/>
      <c r="C23" s="1583"/>
      <c r="D23" s="1584"/>
      <c r="E23" s="1574"/>
      <c r="F23" s="476"/>
      <c r="G23" s="476"/>
      <c r="H23" s="477"/>
    </row>
    <row r="24" spans="1:11" ht="20.100000000000001" customHeight="1">
      <c r="A24" s="1576">
        <v>3</v>
      </c>
      <c r="B24" s="1569" t="s">
        <v>268</v>
      </c>
      <c r="C24" s="1579" t="str">
        <f>+Datos!D10&amp;"                         
"&amp;Datos!B12</f>
        <v>Ing. Eyber Lopez Lopez                     FISCAL DE OBRA                         
ABC - REGIONAL TARIJA</v>
      </c>
      <c r="D24" s="1580"/>
      <c r="E24" s="1572"/>
      <c r="F24" s="472"/>
      <c r="G24" s="472"/>
      <c r="H24" s="473"/>
    </row>
    <row r="25" spans="1:11" ht="20.100000000000001" customHeight="1">
      <c r="A25" s="1577"/>
      <c r="B25" s="1570"/>
      <c r="C25" s="1581"/>
      <c r="D25" s="1582"/>
      <c r="E25" s="1573"/>
      <c r="F25" s="474"/>
      <c r="G25" s="474"/>
      <c r="H25" s="475"/>
    </row>
    <row r="26" spans="1:11" ht="20.100000000000001" customHeight="1">
      <c r="A26" s="1577"/>
      <c r="B26" s="1570"/>
      <c r="C26" s="1581"/>
      <c r="D26" s="1582"/>
      <c r="E26" s="1573"/>
      <c r="F26" s="474"/>
      <c r="G26" s="474"/>
      <c r="H26" s="475"/>
    </row>
    <row r="27" spans="1:11" ht="20.100000000000001" customHeight="1">
      <c r="A27" s="1578"/>
      <c r="B27" s="1571"/>
      <c r="C27" s="1583"/>
      <c r="D27" s="1584"/>
      <c r="E27" s="1574"/>
      <c r="F27" s="476"/>
      <c r="G27" s="476" t="s">
        <v>269</v>
      </c>
      <c r="H27" s="477"/>
    </row>
    <row r="28" spans="1:11" ht="20.100000000000001" customHeight="1">
      <c r="A28" s="1576">
        <v>4</v>
      </c>
      <c r="B28" s="1569" t="s">
        <v>579</v>
      </c>
      <c r="C28" s="1579" t="s">
        <v>622</v>
      </c>
      <c r="D28" s="1580"/>
      <c r="E28" s="1572"/>
      <c r="F28" s="472"/>
      <c r="G28" s="472"/>
      <c r="H28" s="473"/>
      <c r="K28" s="455" t="s">
        <v>269</v>
      </c>
    </row>
    <row r="29" spans="1:11" ht="20.100000000000001" customHeight="1">
      <c r="A29" s="1577"/>
      <c r="B29" s="1570"/>
      <c r="C29" s="1581"/>
      <c r="D29" s="1582"/>
      <c r="E29" s="1573"/>
      <c r="F29" s="474"/>
      <c r="G29" s="474"/>
      <c r="H29" s="475"/>
    </row>
    <row r="30" spans="1:11" ht="20.100000000000001" customHeight="1">
      <c r="A30" s="1577"/>
      <c r="B30" s="1570"/>
      <c r="C30" s="1581"/>
      <c r="D30" s="1582"/>
      <c r="E30" s="1573"/>
      <c r="F30" s="474"/>
      <c r="G30" s="474"/>
      <c r="H30" s="475"/>
    </row>
    <row r="31" spans="1:11" ht="20.100000000000001" customHeight="1">
      <c r="A31" s="1578"/>
      <c r="B31" s="1571"/>
      <c r="C31" s="1583"/>
      <c r="D31" s="1584"/>
      <c r="E31" s="1574"/>
      <c r="F31" s="476"/>
      <c r="G31" s="476"/>
      <c r="H31" s="477"/>
    </row>
    <row r="32" spans="1:11" ht="20.100000000000001" customHeight="1">
      <c r="A32" s="1576">
        <v>5</v>
      </c>
      <c r="B32" s="1569" t="s">
        <v>270</v>
      </c>
      <c r="C32" s="1579" t="s">
        <v>479</v>
      </c>
      <c r="D32" s="1580"/>
      <c r="E32" s="1572"/>
      <c r="F32" s="472"/>
      <c r="G32" s="472"/>
      <c r="H32" s="473"/>
    </row>
    <row r="33" spans="1:8" ht="20.100000000000001" customHeight="1">
      <c r="A33" s="1577"/>
      <c r="B33" s="1570"/>
      <c r="C33" s="1581"/>
      <c r="D33" s="1582"/>
      <c r="E33" s="1573"/>
      <c r="F33" s="474"/>
      <c r="G33" s="474"/>
      <c r="H33" s="475"/>
    </row>
    <row r="34" spans="1:8" ht="20.100000000000001" customHeight="1">
      <c r="A34" s="1577"/>
      <c r="B34" s="1570"/>
      <c r="C34" s="1581"/>
      <c r="D34" s="1582"/>
      <c r="E34" s="1573"/>
      <c r="F34" s="474"/>
      <c r="G34" s="474"/>
      <c r="H34" s="475"/>
    </row>
    <row r="35" spans="1:8" ht="20.100000000000001" customHeight="1">
      <c r="A35" s="1578"/>
      <c r="B35" s="1571"/>
      <c r="C35" s="1583"/>
      <c r="D35" s="1584"/>
      <c r="E35" s="1574"/>
      <c r="F35" s="476"/>
      <c r="G35" s="476"/>
      <c r="H35" s="477"/>
    </row>
    <row r="36" spans="1:8" ht="20.100000000000001" customHeight="1">
      <c r="A36" s="1576">
        <v>6</v>
      </c>
      <c r="B36" s="1569"/>
      <c r="C36" s="1579"/>
      <c r="D36" s="1580"/>
      <c r="E36" s="1572"/>
      <c r="F36" s="472"/>
      <c r="G36" s="472"/>
      <c r="H36" s="473"/>
    </row>
    <row r="37" spans="1:8" ht="20.100000000000001" customHeight="1">
      <c r="A37" s="1577"/>
      <c r="B37" s="1570"/>
      <c r="C37" s="1581"/>
      <c r="D37" s="1582"/>
      <c r="E37" s="1573"/>
      <c r="F37" s="474"/>
      <c r="G37" s="474"/>
      <c r="H37" s="475"/>
    </row>
    <row r="38" spans="1:8" ht="20.100000000000001" customHeight="1">
      <c r="A38" s="1577"/>
      <c r="B38" s="1570"/>
      <c r="C38" s="1581"/>
      <c r="D38" s="1582"/>
      <c r="E38" s="1573"/>
      <c r="F38" s="474"/>
      <c r="G38" s="474"/>
      <c r="H38" s="475"/>
    </row>
    <row r="39" spans="1:8" ht="20.100000000000001" customHeight="1" thickBot="1">
      <c r="A39" s="1597"/>
      <c r="B39" s="1598"/>
      <c r="C39" s="1593"/>
      <c r="D39" s="1594"/>
      <c r="E39" s="1599"/>
      <c r="F39" s="478"/>
      <c r="G39" s="478"/>
      <c r="H39" s="479"/>
    </row>
  </sheetData>
  <mergeCells count="40">
    <mergeCell ref="C36:D39"/>
    <mergeCell ref="C32:D35"/>
    <mergeCell ref="H14:H15"/>
    <mergeCell ref="A16:A19"/>
    <mergeCell ref="B16:B19"/>
    <mergeCell ref="E16:E19"/>
    <mergeCell ref="A36:A39"/>
    <mergeCell ref="B36:B39"/>
    <mergeCell ref="E36:E39"/>
    <mergeCell ref="A32:A35"/>
    <mergeCell ref="B32:B35"/>
    <mergeCell ref="E32:E35"/>
    <mergeCell ref="A24:A27"/>
    <mergeCell ref="B24:B27"/>
    <mergeCell ref="E24:E27"/>
    <mergeCell ref="A28:A31"/>
    <mergeCell ref="B28:B31"/>
    <mergeCell ref="E28:E31"/>
    <mergeCell ref="F14:G14"/>
    <mergeCell ref="A20:A23"/>
    <mergeCell ref="B20:B23"/>
    <mergeCell ref="C20:D23"/>
    <mergeCell ref="C16:D19"/>
    <mergeCell ref="C14:D15"/>
    <mergeCell ref="C28:D31"/>
    <mergeCell ref="C24:D27"/>
    <mergeCell ref="E20:E23"/>
    <mergeCell ref="A14:A15"/>
    <mergeCell ref="B14:B15"/>
    <mergeCell ref="E14:E15"/>
    <mergeCell ref="C12:G12"/>
    <mergeCell ref="C11:G11"/>
    <mergeCell ref="A1:H1"/>
    <mergeCell ref="A2:H2"/>
    <mergeCell ref="C3:F3"/>
    <mergeCell ref="A5:B5"/>
    <mergeCell ref="C5:H5"/>
    <mergeCell ref="F6:H6"/>
    <mergeCell ref="C10:G10"/>
    <mergeCell ref="A6:D6"/>
  </mergeCells>
  <printOptions horizontalCentered="1" verticalCentered="1"/>
  <pageMargins left="0.98425196850393704" right="0.59055118110236227" top="0.59055118110236227" bottom="0.59055118110236227" header="0" footer="0"/>
  <pageSetup scale="9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2">
    <pageSetUpPr fitToPage="1"/>
  </sheetPr>
  <dimension ref="A1:P53"/>
  <sheetViews>
    <sheetView showGridLines="0" view="pageBreakPreview" zoomScale="130" zoomScaleNormal="90" zoomScaleSheetLayoutView="130" workbookViewId="0"/>
  </sheetViews>
  <sheetFormatPr baseColWidth="10" defaultColWidth="11.42578125" defaultRowHeight="13.5"/>
  <cols>
    <col min="1" max="2" width="17.140625" style="1038" customWidth="1"/>
    <col min="3" max="3" width="15.7109375" style="1038" customWidth="1"/>
    <col min="4" max="4" width="17.28515625" style="1038" customWidth="1"/>
    <col min="5" max="5" width="3.7109375" style="1038" customWidth="1"/>
    <col min="6" max="6" width="5.7109375" style="1038" customWidth="1"/>
    <col min="7" max="7" width="19.42578125" style="1038" customWidth="1"/>
    <col min="8" max="8" width="25.85546875" style="1038" customWidth="1"/>
    <col min="9" max="9" width="18.140625" style="1038" customWidth="1"/>
    <col min="10" max="10" width="23.85546875" style="1038" customWidth="1"/>
    <col min="11" max="11" width="15.42578125" style="1038" customWidth="1"/>
    <col min="12" max="14" width="12" style="1038" hidden="1" customWidth="1"/>
    <col min="15" max="16" width="0" style="1038" hidden="1" customWidth="1"/>
    <col min="17" max="16384" width="11.42578125" style="1038"/>
  </cols>
  <sheetData>
    <row r="1" spans="1:16" ht="12.95" customHeight="1">
      <c r="A1" s="128"/>
      <c r="B1" s="1037"/>
      <c r="C1" s="1652" t="str">
        <f>+Datos!C22</f>
        <v>CERTIFICADO DE PAGO Nº 11</v>
      </c>
      <c r="D1" s="1653"/>
      <c r="E1" s="1653"/>
      <c r="F1" s="1653"/>
      <c r="G1" s="1653"/>
      <c r="H1" s="1653"/>
      <c r="I1" s="1654"/>
      <c r="J1" s="637"/>
      <c r="K1" s="309"/>
    </row>
    <row r="2" spans="1:16" ht="12.95" customHeight="1">
      <c r="A2" s="1039"/>
      <c r="B2" s="1040"/>
      <c r="C2" s="1655"/>
      <c r="D2" s="1656"/>
      <c r="E2" s="1656"/>
      <c r="F2" s="1656"/>
      <c r="G2" s="1656"/>
      <c r="H2" s="1656"/>
      <c r="I2" s="1657"/>
      <c r="J2" s="1041"/>
      <c r="K2" s="1042"/>
    </row>
    <row r="3" spans="1:16" ht="12.95" customHeight="1">
      <c r="A3" s="1658"/>
      <c r="B3" s="1659"/>
      <c r="C3" s="1660" t="str">
        <f>+Datos!B2</f>
        <v>PROYECTO: CONSTRUCCION Y REHABILITACION TRAMO CARRETERO
VILLA MONTES - LA VERTIENTE - PALO MARCADO</v>
      </c>
      <c r="D3" s="1661"/>
      <c r="E3" s="1661"/>
      <c r="F3" s="1661"/>
      <c r="G3" s="1661"/>
      <c r="H3" s="1661"/>
      <c r="I3" s="1662"/>
      <c r="J3" s="1041"/>
      <c r="K3" s="1042"/>
      <c r="L3" s="1043"/>
    </row>
    <row r="4" spans="1:16" ht="12.95" customHeight="1">
      <c r="A4" s="1658"/>
      <c r="B4" s="1659"/>
      <c r="C4" s="1660"/>
      <c r="D4" s="1661"/>
      <c r="E4" s="1661"/>
      <c r="F4" s="1661"/>
      <c r="G4" s="1661"/>
      <c r="H4" s="1661"/>
      <c r="I4" s="1662"/>
      <c r="J4" s="1044"/>
      <c r="K4" s="1045"/>
      <c r="L4" s="1043"/>
    </row>
    <row r="5" spans="1:16" ht="12.95" customHeight="1">
      <c r="A5" s="1663"/>
      <c r="B5" s="1664"/>
      <c r="C5" s="1046"/>
      <c r="D5" s="1047"/>
      <c r="E5" s="1047"/>
      <c r="F5" s="1047"/>
      <c r="G5" s="1047"/>
      <c r="H5" s="1047"/>
      <c r="I5" s="1048"/>
      <c r="J5" s="1665"/>
      <c r="K5" s="1666"/>
      <c r="M5" s="1049"/>
    </row>
    <row r="6" spans="1:16" s="1057" customFormat="1" ht="14.25" customHeight="1">
      <c r="A6" s="1050" t="s">
        <v>45</v>
      </c>
      <c r="B6" s="1051"/>
      <c r="C6" s="1052" t="s">
        <v>55</v>
      </c>
      <c r="D6" s="1052"/>
      <c r="E6" s="1053"/>
      <c r="F6" s="1054"/>
      <c r="G6" s="1055" t="s">
        <v>411</v>
      </c>
      <c r="H6" s="1056" t="str">
        <f>" Del   "&amp;Datos!C26&amp;"  "&amp;"Al  "&amp;Datos!E26</f>
        <v xml:space="preserve"> Del   1-sep.-2021  Al  30-sep.-2021</v>
      </c>
      <c r="J6" s="1058" t="s">
        <v>49</v>
      </c>
      <c r="K6" s="1059" t="str">
        <f>+Datos!C24</f>
        <v>SEPTIEMBRE 2021</v>
      </c>
      <c r="M6" s="1049"/>
    </row>
    <row r="7" spans="1:16" s="1057" customFormat="1" ht="14.25" customHeight="1">
      <c r="A7" s="1060" t="s">
        <v>46</v>
      </c>
      <c r="B7" s="1061"/>
      <c r="C7" s="1062" t="s">
        <v>407</v>
      </c>
      <c r="D7" s="1063"/>
      <c r="E7" s="1064"/>
      <c r="F7" s="1065"/>
      <c r="G7" s="1066" t="s">
        <v>12</v>
      </c>
      <c r="H7" s="1067" t="s">
        <v>228</v>
      </c>
      <c r="I7" s="1068"/>
      <c r="J7" s="1063"/>
      <c r="K7" s="1064"/>
      <c r="L7" s="1069"/>
      <c r="M7" s="1049"/>
    </row>
    <row r="8" spans="1:16" s="1057" customFormat="1" ht="14.25" customHeight="1">
      <c r="A8" s="1060" t="s">
        <v>47</v>
      </c>
      <c r="B8" s="1061"/>
      <c r="C8" s="1063" t="str">
        <f>+Datos!B4</f>
        <v>ABC N° 818/19 GNT-SCT-OBR-TGN</v>
      </c>
      <c r="D8" s="1063"/>
      <c r="E8" s="1064"/>
      <c r="F8" s="1065"/>
      <c r="G8" s="1066" t="s">
        <v>50</v>
      </c>
      <c r="H8" s="1063" t="s">
        <v>408</v>
      </c>
      <c r="I8" s="1063"/>
      <c r="J8" s="1070"/>
      <c r="K8" s="1071"/>
      <c r="M8" s="1049"/>
    </row>
    <row r="9" spans="1:16" s="1057" customFormat="1" ht="14.25" customHeight="1">
      <c r="A9" s="1060" t="s">
        <v>225</v>
      </c>
      <c r="B9" s="1061"/>
      <c r="C9" s="1063" t="s">
        <v>418</v>
      </c>
      <c r="D9" s="1063"/>
      <c r="E9" s="1064"/>
      <c r="F9" s="1072"/>
      <c r="G9" s="1073" t="s">
        <v>222</v>
      </c>
      <c r="H9" s="1074" t="s">
        <v>229</v>
      </c>
      <c r="I9" s="1075"/>
      <c r="J9" s="1076"/>
      <c r="K9" s="1077"/>
      <c r="M9" s="1078"/>
    </row>
    <row r="10" spans="1:16" s="1057" customFormat="1" ht="14.25" customHeight="1">
      <c r="A10" s="1079" t="s">
        <v>480</v>
      </c>
      <c r="B10" s="1080"/>
      <c r="C10" s="1063" t="s">
        <v>475</v>
      </c>
      <c r="D10" s="1063"/>
      <c r="E10" s="1064"/>
      <c r="F10" s="1667" t="s">
        <v>2</v>
      </c>
      <c r="G10" s="1668"/>
      <c r="H10" s="1668"/>
      <c r="I10" s="1668"/>
      <c r="J10" s="1081"/>
      <c r="K10" s="1082" t="s">
        <v>3</v>
      </c>
      <c r="L10" s="1403"/>
      <c r="M10" s="1404"/>
      <c r="N10" s="1404"/>
      <c r="O10" s="1405" t="s">
        <v>627</v>
      </c>
      <c r="P10" s="1406" t="s">
        <v>628</v>
      </c>
    </row>
    <row r="11" spans="1:16" s="1057" customFormat="1" ht="14.25" customHeight="1">
      <c r="A11" s="1079" t="s">
        <v>481</v>
      </c>
      <c r="B11" s="1083"/>
      <c r="C11" s="1063" t="str">
        <f>+Datos!F5</f>
        <v>ABC Nº 597/21 GTJ-MOD-TGN</v>
      </c>
      <c r="D11" s="1084"/>
      <c r="E11" s="1085"/>
      <c r="F11" s="1672" t="s">
        <v>5</v>
      </c>
      <c r="G11" s="1673"/>
      <c r="H11" s="1673"/>
      <c r="I11" s="1674"/>
      <c r="J11" s="1086"/>
      <c r="K11" s="863">
        <v>108397839.64</v>
      </c>
      <c r="L11" s="1407" t="s">
        <v>629</v>
      </c>
      <c r="M11" s="1408"/>
      <c r="N11" s="1409">
        <v>90</v>
      </c>
      <c r="O11" s="1410">
        <v>43726</v>
      </c>
      <c r="P11" s="1411">
        <f t="shared" ref="P11:P17" si="0">+O11+N11-1</f>
        <v>43815</v>
      </c>
    </row>
    <row r="12" spans="1:16" s="1057" customFormat="1" ht="14.25" customHeight="1">
      <c r="A12" s="1154" t="s">
        <v>51</v>
      </c>
      <c r="B12" s="1155"/>
      <c r="C12" s="1156"/>
      <c r="D12" s="1675">
        <f>540</f>
        <v>540</v>
      </c>
      <c r="E12" s="1676"/>
      <c r="F12" s="1645" t="s">
        <v>242</v>
      </c>
      <c r="G12" s="1646"/>
      <c r="H12" s="1646"/>
      <c r="I12" s="1647"/>
      <c r="J12" s="1087"/>
      <c r="K12" s="859">
        <v>108397839.64</v>
      </c>
      <c r="L12" s="1648" t="s">
        <v>630</v>
      </c>
      <c r="M12" s="1649"/>
      <c r="N12" s="1412">
        <v>360</v>
      </c>
      <c r="O12" s="1410">
        <f>+P11+1</f>
        <v>43816</v>
      </c>
      <c r="P12" s="1411">
        <f t="shared" si="0"/>
        <v>44175</v>
      </c>
    </row>
    <row r="13" spans="1:16" ht="14.25" customHeight="1">
      <c r="A13" s="1089" t="s">
        <v>409</v>
      </c>
      <c r="B13" s="1090"/>
      <c r="C13" s="1091"/>
      <c r="D13" s="1643">
        <v>30</v>
      </c>
      <c r="E13" s="1644"/>
      <c r="F13" s="1645" t="s">
        <v>484</v>
      </c>
      <c r="G13" s="1646"/>
      <c r="H13" s="1646"/>
      <c r="I13" s="1647"/>
      <c r="J13" s="1087"/>
      <c r="K13" s="859">
        <v>108397839.64</v>
      </c>
      <c r="L13" s="1650" t="s">
        <v>631</v>
      </c>
      <c r="M13" s="1651"/>
      <c r="N13" s="1412">
        <v>30</v>
      </c>
      <c r="O13" s="1410">
        <f t="shared" ref="O13:O15" si="1">+P12+1</f>
        <v>44176</v>
      </c>
      <c r="P13" s="1411">
        <f t="shared" si="0"/>
        <v>44205</v>
      </c>
    </row>
    <row r="14" spans="1:16" ht="14.25" customHeight="1">
      <c r="A14" s="1089" t="s">
        <v>423</v>
      </c>
      <c r="B14" s="1090"/>
      <c r="C14" s="1091"/>
      <c r="D14" s="1643">
        <v>164</v>
      </c>
      <c r="E14" s="1644"/>
      <c r="F14" s="1645" t="s">
        <v>485</v>
      </c>
      <c r="G14" s="1646"/>
      <c r="H14" s="1646"/>
      <c r="I14" s="1647"/>
      <c r="J14" s="1087"/>
      <c r="K14" s="859">
        <v>106631000.67</v>
      </c>
      <c r="L14" s="1413" t="s">
        <v>632</v>
      </c>
      <c r="M14" s="1414"/>
      <c r="N14" s="1412">
        <v>164</v>
      </c>
      <c r="O14" s="1410">
        <f t="shared" si="1"/>
        <v>44206</v>
      </c>
      <c r="P14" s="1411">
        <f t="shared" si="0"/>
        <v>44369</v>
      </c>
    </row>
    <row r="15" spans="1:16" ht="14.25" customHeight="1">
      <c r="A15" s="1089" t="s">
        <v>483</v>
      </c>
      <c r="B15" s="1090"/>
      <c r="C15" s="1091"/>
      <c r="D15" s="1643">
        <v>240</v>
      </c>
      <c r="E15" s="1644"/>
      <c r="F15" s="1669" t="s">
        <v>56</v>
      </c>
      <c r="G15" s="1670"/>
      <c r="H15" s="1670"/>
      <c r="I15" s="1671"/>
      <c r="J15" s="1088"/>
      <c r="K15" s="860">
        <f>+K14</f>
        <v>106631000.67</v>
      </c>
      <c r="L15" s="1415" t="s">
        <v>633</v>
      </c>
      <c r="M15" s="1416"/>
      <c r="N15" s="1412">
        <v>240</v>
      </c>
      <c r="O15" s="1410">
        <f t="shared" si="1"/>
        <v>44370</v>
      </c>
      <c r="P15" s="1411">
        <f t="shared" si="0"/>
        <v>44609</v>
      </c>
    </row>
    <row r="16" spans="1:16" ht="14.25" customHeight="1">
      <c r="A16" s="1089" t="s">
        <v>52</v>
      </c>
      <c r="B16" s="1090"/>
      <c r="C16" s="1091"/>
      <c r="D16" s="1643">
        <f>+D12+D13+D14+D15</f>
        <v>974</v>
      </c>
      <c r="E16" s="1644"/>
      <c r="F16" s="1092" t="s">
        <v>9</v>
      </c>
      <c r="G16" s="1625" t="s">
        <v>57</v>
      </c>
      <c r="H16" s="1625"/>
      <c r="I16" s="1625"/>
      <c r="J16" s="1626"/>
      <c r="K16" s="861">
        <f>+K18+K17</f>
        <v>6036914.4899999993</v>
      </c>
      <c r="L16" s="1415" t="s">
        <v>636</v>
      </c>
      <c r="M16" s="1416"/>
      <c r="N16" s="1412">
        <v>31</v>
      </c>
      <c r="O16" s="1410">
        <f t="shared" ref="O16" si="2">+P15+1</f>
        <v>44610</v>
      </c>
      <c r="P16" s="1411">
        <f t="shared" si="0"/>
        <v>44640</v>
      </c>
    </row>
    <row r="17" spans="1:16" ht="14.25" customHeight="1">
      <c r="A17" s="1089" t="s">
        <v>53</v>
      </c>
      <c r="B17" s="1090"/>
      <c r="C17" s="1091"/>
      <c r="D17" s="1641">
        <v>43726</v>
      </c>
      <c r="E17" s="1642"/>
      <c r="F17" s="1093" t="s">
        <v>14</v>
      </c>
      <c r="G17" s="1627" t="s">
        <v>58</v>
      </c>
      <c r="H17" s="1627"/>
      <c r="I17" s="1627"/>
      <c r="J17" s="1628"/>
      <c r="K17" s="859">
        <f>+'Planilla de Avance'!N114</f>
        <v>4270358.2499999991</v>
      </c>
      <c r="L17" s="1417" t="s">
        <v>634</v>
      </c>
      <c r="M17" s="1418"/>
      <c r="N17" s="1409">
        <v>90</v>
      </c>
      <c r="O17" s="1410">
        <f>+P16+1</f>
        <v>44641</v>
      </c>
      <c r="P17" s="1411">
        <f t="shared" si="0"/>
        <v>44730</v>
      </c>
    </row>
    <row r="18" spans="1:16" ht="14.25" customHeight="1">
      <c r="A18" s="1089" t="s">
        <v>424</v>
      </c>
      <c r="B18" s="1090"/>
      <c r="C18" s="1091"/>
      <c r="D18" s="1641">
        <f>D17+D12+D13-1</f>
        <v>44295</v>
      </c>
      <c r="E18" s="1642"/>
      <c r="F18" s="1094" t="s">
        <v>15</v>
      </c>
      <c r="G18" s="1629" t="s">
        <v>59</v>
      </c>
      <c r="H18" s="1629"/>
      <c r="I18" s="1629"/>
      <c r="J18" s="1630"/>
      <c r="K18" s="862">
        <f>+'Planilla de Avance'!P114</f>
        <v>1766556.24</v>
      </c>
      <c r="L18" s="1419"/>
      <c r="M18" s="1420"/>
      <c r="N18" s="1421"/>
      <c r="O18" s="1422" t="s">
        <v>627</v>
      </c>
      <c r="P18" s="1423" t="s">
        <v>628</v>
      </c>
    </row>
    <row r="19" spans="1:16" ht="14.25" customHeight="1">
      <c r="A19" s="1089" t="s">
        <v>425</v>
      </c>
      <c r="B19" s="1087"/>
      <c r="C19" s="1087"/>
      <c r="D19" s="1641">
        <f>D17+D12+D13+D14-1</f>
        <v>44459</v>
      </c>
      <c r="E19" s="1642"/>
      <c r="F19" s="1095" t="s">
        <v>16</v>
      </c>
      <c r="G19" s="1625" t="s">
        <v>243</v>
      </c>
      <c r="H19" s="1625"/>
      <c r="I19" s="1625"/>
      <c r="J19" s="1626"/>
      <c r="K19" s="859">
        <v>0</v>
      </c>
      <c r="L19" s="1424" t="s">
        <v>629</v>
      </c>
      <c r="M19" s="1425"/>
      <c r="N19" s="1426">
        <f>+N11</f>
        <v>90</v>
      </c>
      <c r="O19" s="1427">
        <v>43726</v>
      </c>
      <c r="P19" s="1428">
        <f>+O19+N19-1</f>
        <v>43815</v>
      </c>
    </row>
    <row r="20" spans="1:16" ht="14.25" customHeight="1">
      <c r="A20" s="1089" t="s">
        <v>482</v>
      </c>
      <c r="B20" s="1087"/>
      <c r="C20" s="1087"/>
      <c r="D20" s="1641">
        <f>D16+D17-1</f>
        <v>44699</v>
      </c>
      <c r="E20" s="1642"/>
      <c r="F20" s="1093" t="s">
        <v>17</v>
      </c>
      <c r="G20" s="1627" t="s">
        <v>60</v>
      </c>
      <c r="H20" s="1627"/>
      <c r="I20" s="1627"/>
      <c r="J20" s="1628"/>
      <c r="K20" s="859">
        <v>0</v>
      </c>
      <c r="L20" s="1648" t="s">
        <v>630</v>
      </c>
      <c r="M20" s="1649"/>
      <c r="N20" s="1412">
        <f>+N12+N13+N14+N15+N16</f>
        <v>825</v>
      </c>
      <c r="O20" s="1410">
        <f>+P19+1</f>
        <v>43816</v>
      </c>
      <c r="P20" s="1411">
        <f>+O20+N20-1</f>
        <v>44640</v>
      </c>
    </row>
    <row r="21" spans="1:16" ht="14.25" customHeight="1">
      <c r="A21" s="1089" t="s">
        <v>54</v>
      </c>
      <c r="B21" s="1090"/>
      <c r="C21" s="1091"/>
      <c r="D21" s="1643">
        <f>+Datos!E27-D17+1</f>
        <v>744</v>
      </c>
      <c r="E21" s="1644"/>
      <c r="F21" s="1096" t="s">
        <v>18</v>
      </c>
      <c r="G21" s="1629" t="s">
        <v>61</v>
      </c>
      <c r="H21" s="1629"/>
      <c r="I21" s="1629"/>
      <c r="J21" s="1630"/>
      <c r="K21" s="859">
        <f>+'Avance Financiero'!K26</f>
        <v>0</v>
      </c>
      <c r="L21" s="1417" t="s">
        <v>634</v>
      </c>
      <c r="M21" s="1429"/>
      <c r="N21" s="1412">
        <f>+N17</f>
        <v>90</v>
      </c>
      <c r="O21" s="1410">
        <f>+P20+1</f>
        <v>44641</v>
      </c>
      <c r="P21" s="1411">
        <f>+O21+N21-1</f>
        <v>44730</v>
      </c>
    </row>
    <row r="22" spans="1:16" ht="14.25" customHeight="1">
      <c r="A22" s="1098" t="s">
        <v>412</v>
      </c>
      <c r="B22" s="1099"/>
      <c r="C22" s="1100"/>
      <c r="D22" s="1623">
        <f>+D16-D21</f>
        <v>230</v>
      </c>
      <c r="E22" s="1624"/>
      <c r="F22" s="1101" t="s">
        <v>19</v>
      </c>
      <c r="G22" s="1625" t="s">
        <v>487</v>
      </c>
      <c r="H22" s="1625"/>
      <c r="I22" s="1625"/>
      <c r="J22" s="1626"/>
      <c r="K22" s="861">
        <f>+Retencion!H39</f>
        <v>422584.01999999996</v>
      </c>
      <c r="L22" s="1419" t="s">
        <v>635</v>
      </c>
      <c r="M22" s="1430"/>
      <c r="N22" s="1421">
        <f>SUM(N19:N21)</f>
        <v>1005</v>
      </c>
      <c r="O22" s="1431">
        <f>+O19</f>
        <v>43726</v>
      </c>
      <c r="P22" s="1432">
        <f>+P21</f>
        <v>44730</v>
      </c>
    </row>
    <row r="23" spans="1:16" ht="14.25" customHeight="1">
      <c r="A23" s="1614" t="s">
        <v>4</v>
      </c>
      <c r="B23" s="1615"/>
      <c r="C23" s="1615"/>
      <c r="D23" s="1615"/>
      <c r="E23" s="1616"/>
      <c r="F23" s="1093" t="s">
        <v>20</v>
      </c>
      <c r="G23" s="1627" t="s">
        <v>488</v>
      </c>
      <c r="H23" s="1627"/>
      <c r="I23" s="1627"/>
      <c r="J23" s="1628"/>
      <c r="K23" s="859">
        <f>K22-K24</f>
        <v>298925.07999999996</v>
      </c>
      <c r="L23" s="1097"/>
    </row>
    <row r="24" spans="1:16" ht="14.25" customHeight="1">
      <c r="A24" s="1102" t="s">
        <v>290</v>
      </c>
      <c r="B24" s="1103"/>
      <c r="C24" s="224">
        <v>21679567.93</v>
      </c>
      <c r="D24" s="1104">
        <f>+C24*100/K15</f>
        <v>20.331393116241681</v>
      </c>
      <c r="E24" s="1105" t="s">
        <v>43</v>
      </c>
      <c r="F24" s="1094" t="s">
        <v>21</v>
      </c>
      <c r="G24" s="1629" t="s">
        <v>489</v>
      </c>
      <c r="H24" s="1629"/>
      <c r="I24" s="1629"/>
      <c r="J24" s="1630"/>
      <c r="K24" s="862">
        <f>+ROUND(K18*0.07,2)</f>
        <v>123658.94</v>
      </c>
      <c r="L24" s="1097"/>
    </row>
    <row r="25" spans="1:16" ht="14.25" customHeight="1">
      <c r="A25" s="1102" t="s">
        <v>62</v>
      </c>
      <c r="B25" s="1103"/>
      <c r="C25" s="224">
        <f>+C27-C26</f>
        <v>854071.65999999992</v>
      </c>
      <c r="D25" s="1104">
        <f>+C25*100/K15</f>
        <v>0.80095999721803968</v>
      </c>
      <c r="E25" s="1105" t="s">
        <v>43</v>
      </c>
      <c r="F25" s="1092" t="s">
        <v>22</v>
      </c>
      <c r="G25" s="1625" t="s">
        <v>490</v>
      </c>
      <c r="H25" s="1625"/>
      <c r="I25" s="1625"/>
      <c r="J25" s="1626"/>
      <c r="K25" s="861">
        <f>+'Avance Financiero'!I31</f>
        <v>1207382.9099999999</v>
      </c>
      <c r="L25" s="1097"/>
    </row>
    <row r="26" spans="1:16" ht="14.25" customHeight="1">
      <c r="A26" s="1102" t="s">
        <v>63</v>
      </c>
      <c r="B26" s="1106"/>
      <c r="C26" s="1107">
        <f>+ROUND(K18*0.2,2)</f>
        <v>353311.25</v>
      </c>
      <c r="D26" s="1107">
        <f>+C26*100/K15</f>
        <v>0.33134008663523873</v>
      </c>
      <c r="E26" s="1105" t="s">
        <v>43</v>
      </c>
      <c r="F26" s="1096" t="s">
        <v>23</v>
      </c>
      <c r="G26" s="1631" t="s">
        <v>491</v>
      </c>
      <c r="H26" s="1631"/>
      <c r="I26" s="1631"/>
      <c r="J26" s="1632"/>
      <c r="K26" s="1033">
        <f>+ROUND(K18*0.2,2)</f>
        <v>353311.25</v>
      </c>
      <c r="L26" s="1108"/>
    </row>
    <row r="27" spans="1:16" ht="14.25" customHeight="1">
      <c r="A27" s="1102" t="s">
        <v>64</v>
      </c>
      <c r="B27" s="1109"/>
      <c r="C27" s="1107">
        <f>+K25</f>
        <v>1207382.9099999999</v>
      </c>
      <c r="D27" s="1107">
        <f>+D25+D26</f>
        <v>1.1323000838532784</v>
      </c>
      <c r="E27" s="1105" t="s">
        <v>43</v>
      </c>
      <c r="F27" s="1110"/>
      <c r="G27" s="1633" t="s">
        <v>72</v>
      </c>
      <c r="H27" s="1633"/>
      <c r="I27" s="1634"/>
      <c r="J27" s="1635">
        <f>+K18-K24-K26</f>
        <v>1289586.05</v>
      </c>
      <c r="K27" s="1636"/>
      <c r="N27" s="1038">
        <v>6348771.9500000002</v>
      </c>
      <c r="O27" s="1433">
        <f>+N27/K15</f>
        <v>5.9539645226139096E-2</v>
      </c>
    </row>
    <row r="28" spans="1:16" ht="14.25" customHeight="1">
      <c r="A28" s="1102" t="s">
        <v>65</v>
      </c>
      <c r="B28" s="1109"/>
      <c r="C28" s="1111">
        <f>+C24-C27</f>
        <v>20472185.02</v>
      </c>
      <c r="D28" s="221">
        <f>+D24-D27</f>
        <v>19.199093032388404</v>
      </c>
      <c r="E28" s="1105" t="s">
        <v>43</v>
      </c>
      <c r="F28" s="1046"/>
      <c r="G28" s="1637" t="s">
        <v>73</v>
      </c>
      <c r="H28" s="1637"/>
      <c r="I28" s="1638"/>
      <c r="J28" s="1639">
        <f>+J27</f>
        <v>1289586.05</v>
      </c>
      <c r="K28" s="1640"/>
      <c r="L28" s="1097"/>
      <c r="N28" s="1038">
        <v>5303488.3099999987</v>
      </c>
      <c r="O28" s="1433">
        <f>+N28/K15</f>
        <v>4.9736833347491072E-2</v>
      </c>
      <c r="P28" s="1434">
        <f>+O27-O28</f>
        <v>9.8028118786480239E-3</v>
      </c>
    </row>
    <row r="29" spans="1:16" ht="14.25" customHeight="1">
      <c r="A29" s="1614" t="s">
        <v>232</v>
      </c>
      <c r="B29" s="1615"/>
      <c r="C29" s="1615"/>
      <c r="D29" s="1615"/>
      <c r="E29" s="1616"/>
      <c r="F29" s="1617" t="str">
        <f ca="1">"SON: "&amp;'.'!H1</f>
        <v>SON: UN MILLÓN DOSCIENTOS OCHENTA Y NUEVE MIL QUINIENTOS OCHENTA Y SEIS 05/100 BOLIVIANOS</v>
      </c>
      <c r="G29" s="1618"/>
      <c r="H29" s="1618"/>
      <c r="I29" s="1618"/>
      <c r="J29" s="1618"/>
      <c r="K29" s="1619"/>
      <c r="L29" s="1097"/>
    </row>
    <row r="30" spans="1:16" ht="14.25" customHeight="1">
      <c r="A30" s="1102" t="s">
        <v>271</v>
      </c>
      <c r="B30" s="1103"/>
      <c r="C30" s="224">
        <f>ROUND(K15*0.07,2)</f>
        <v>7464170.0499999998</v>
      </c>
      <c r="D30" s="1104">
        <f>+C30*100/K15</f>
        <v>7.000000002907222</v>
      </c>
      <c r="E30" s="1105" t="s">
        <v>43</v>
      </c>
      <c r="F30" s="1620"/>
      <c r="G30" s="1621"/>
      <c r="H30" s="1621"/>
      <c r="I30" s="1621"/>
      <c r="J30" s="1621"/>
      <c r="K30" s="1622"/>
      <c r="L30" s="1097"/>
    </row>
    <row r="31" spans="1:16" ht="14.25" customHeight="1">
      <c r="A31" s="1102" t="s">
        <v>272</v>
      </c>
      <c r="B31" s="1103"/>
      <c r="C31" s="224">
        <f>+C33-C32</f>
        <v>298925.07999999996</v>
      </c>
      <c r="D31" s="1104">
        <f>+C31*100/K15</f>
        <v>0.28033599808850029</v>
      </c>
      <c r="E31" s="1105" t="s">
        <v>43</v>
      </c>
      <c r="F31" s="1112"/>
      <c r="G31" s="1113"/>
      <c r="H31" s="1113"/>
      <c r="I31" s="1112"/>
      <c r="J31" s="1113"/>
      <c r="K31" s="1114"/>
      <c r="L31" s="1097"/>
    </row>
    <row r="32" spans="1:16" ht="14.25" customHeight="1">
      <c r="A32" s="1102" t="s">
        <v>273</v>
      </c>
      <c r="B32" s="1106"/>
      <c r="C32" s="1107">
        <f>+K24</f>
        <v>123658.94</v>
      </c>
      <c r="D32" s="1107">
        <f>+C32*100/K15</f>
        <v>0.11596903266686749</v>
      </c>
      <c r="E32" s="1105" t="s">
        <v>43</v>
      </c>
      <c r="F32" s="1115"/>
      <c r="G32" s="1109"/>
      <c r="H32" s="1109"/>
      <c r="I32" s="1115"/>
      <c r="J32" s="1109"/>
      <c r="K32" s="1116"/>
    </row>
    <row r="33" spans="1:12" ht="14.25" customHeight="1">
      <c r="A33" s="1102" t="s">
        <v>274</v>
      </c>
      <c r="B33" s="1109"/>
      <c r="C33" s="1107">
        <f>+K22</f>
        <v>422584.01999999996</v>
      </c>
      <c r="D33" s="1107">
        <f>+C33*100/K15</f>
        <v>0.39630503075536777</v>
      </c>
      <c r="E33" s="1105" t="s">
        <v>43</v>
      </c>
      <c r="F33" s="1115"/>
      <c r="G33" s="1109"/>
      <c r="H33" s="1109"/>
      <c r="I33" s="1115"/>
      <c r="J33" s="1109"/>
      <c r="K33" s="1116"/>
      <c r="L33" s="1117"/>
    </row>
    <row r="34" spans="1:12" ht="14.25" customHeight="1">
      <c r="A34" s="1102" t="s">
        <v>275</v>
      </c>
      <c r="B34" s="1109"/>
      <c r="C34" s="1111">
        <f>+C30-C33</f>
        <v>7041586.0300000003</v>
      </c>
      <c r="D34" s="221">
        <f>+D30-D33</f>
        <v>6.6036949721518541</v>
      </c>
      <c r="E34" s="1105" t="s">
        <v>43</v>
      </c>
      <c r="F34" s="1115"/>
      <c r="G34" s="1109"/>
      <c r="H34" s="1109"/>
      <c r="I34" s="1115"/>
      <c r="J34" s="1109"/>
      <c r="K34" s="1116"/>
    </row>
    <row r="35" spans="1:12" ht="14.25" customHeight="1">
      <c r="A35" s="1601" t="s">
        <v>223</v>
      </c>
      <c r="B35" s="1602"/>
      <c r="C35" s="1601" t="s">
        <v>68</v>
      </c>
      <c r="D35" s="1603"/>
      <c r="E35" s="1602"/>
      <c r="F35" s="1115"/>
      <c r="G35" s="1109"/>
      <c r="H35" s="1109"/>
      <c r="I35" s="1115"/>
      <c r="J35" s="1109"/>
      <c r="K35" s="1116"/>
      <c r="L35" s="1118"/>
    </row>
    <row r="36" spans="1:12" ht="14.25" customHeight="1">
      <c r="A36" s="1089" t="s">
        <v>66</v>
      </c>
      <c r="B36" s="1159">
        <f>+K17/K15</f>
        <v>4.0047999391995194E-2</v>
      </c>
      <c r="C36" s="1089" t="s">
        <v>66</v>
      </c>
      <c r="D36" s="1157">
        <f>+D38-D37</f>
        <v>0.23254897060134658</v>
      </c>
      <c r="E36" s="1119"/>
      <c r="F36" s="1115"/>
      <c r="G36" s="1109"/>
      <c r="H36" s="1109"/>
      <c r="I36" s="1115"/>
      <c r="J36" s="1109"/>
      <c r="K36" s="1116"/>
    </row>
    <row r="37" spans="1:12" ht="14.25" customHeight="1">
      <c r="A37" s="1089" t="s">
        <v>67</v>
      </c>
      <c r="B37" s="1159">
        <f>+K18/K15</f>
        <v>1.6567004237980579E-2</v>
      </c>
      <c r="C37" s="1089" t="s">
        <v>67</v>
      </c>
      <c r="D37" s="1157">
        <f>+J28/K15</f>
        <v>1.2093913044959517E-2</v>
      </c>
      <c r="E37" s="1119"/>
      <c r="F37" s="1115"/>
      <c r="G37" s="1109"/>
      <c r="H37" s="1109"/>
      <c r="I37" s="1115"/>
      <c r="J37" s="1109"/>
      <c r="K37" s="1116"/>
    </row>
    <row r="38" spans="1:12" ht="14.25" customHeight="1">
      <c r="A38" s="1098" t="s">
        <v>26</v>
      </c>
      <c r="B38" s="1160">
        <f>(B36+B37)</f>
        <v>5.6615003629975777E-2</v>
      </c>
      <c r="C38" s="1098" t="s">
        <v>26</v>
      </c>
      <c r="D38" s="1158">
        <f>+'Avance Financiero'!R31</f>
        <v>0.2446428836463061</v>
      </c>
      <c r="E38" s="1120"/>
      <c r="F38" s="1121"/>
      <c r="G38" s="1106"/>
      <c r="H38" s="1106"/>
      <c r="I38" s="1121"/>
      <c r="J38" s="1106"/>
      <c r="K38" s="1122"/>
      <c r="L38" s="1123"/>
    </row>
    <row r="39" spans="1:12" ht="14.25" customHeight="1">
      <c r="A39" s="1604" t="s">
        <v>227</v>
      </c>
      <c r="B39" s="1605"/>
      <c r="C39" s="1605"/>
      <c r="D39" s="1605"/>
      <c r="E39" s="1606"/>
      <c r="F39" s="1115"/>
      <c r="G39" s="1109"/>
      <c r="H39" s="1109"/>
      <c r="I39" s="1115"/>
      <c r="J39" s="1109"/>
      <c r="K39" s="1116"/>
      <c r="L39" s="1109"/>
    </row>
    <row r="40" spans="1:12" ht="14.25" customHeight="1">
      <c r="A40" s="1124" t="s">
        <v>69</v>
      </c>
      <c r="B40" s="1125" t="s">
        <v>230</v>
      </c>
      <c r="C40" s="1126" t="s">
        <v>70</v>
      </c>
      <c r="D40" s="1125" t="s">
        <v>231</v>
      </c>
      <c r="E40" s="1127"/>
      <c r="F40" s="1128"/>
      <c r="G40" s="1129" t="str">
        <f>+Datos!B15</f>
        <v>Ing. Ernesto Vargas Amezaga</v>
      </c>
      <c r="H40" s="1017" t="s">
        <v>428</v>
      </c>
      <c r="I40" s="1607" t="str">
        <f>+Datos!B7</f>
        <v>Ing. Pedro Alberto Barreto Gutierrez</v>
      </c>
      <c r="J40" s="1608"/>
      <c r="K40" s="1017" t="s">
        <v>428</v>
      </c>
      <c r="L40" s="1109"/>
    </row>
    <row r="41" spans="1:12" ht="14.25" customHeight="1">
      <c r="A41" s="1130" t="s">
        <v>71</v>
      </c>
      <c r="B41" s="1131">
        <v>193208025</v>
      </c>
      <c r="C41" s="1132" t="s">
        <v>574</v>
      </c>
      <c r="D41" s="1133">
        <v>10000009604451</v>
      </c>
      <c r="E41" s="1134"/>
      <c r="F41" s="1135"/>
      <c r="G41" s="1136" t="str">
        <f>+Datos!B16</f>
        <v>SUPERINTENDENTE DE OBRA a.i.</v>
      </c>
      <c r="H41" s="1047"/>
      <c r="I41" s="1609" t="str">
        <f>+Datos!B8</f>
        <v xml:space="preserve">GERENTE SUPERVISION TECNICA </v>
      </c>
      <c r="J41" s="1600"/>
      <c r="K41" s="1137"/>
      <c r="L41" s="1109"/>
    </row>
    <row r="42" spans="1:12" ht="12.75" customHeight="1">
      <c r="A42" s="1138"/>
      <c r="B42" s="1139"/>
      <c r="C42" s="1139"/>
      <c r="D42" s="1140"/>
      <c r="E42" s="1139"/>
      <c r="F42" s="1113"/>
      <c r="G42" s="1113"/>
      <c r="H42" s="1113"/>
      <c r="I42" s="1113"/>
      <c r="J42" s="1113"/>
      <c r="K42" s="1114"/>
    </row>
    <row r="43" spans="1:12" ht="12.75" customHeight="1">
      <c r="A43" s="1141"/>
      <c r="B43" s="1142"/>
      <c r="C43" s="1143"/>
      <c r="D43" s="1144"/>
      <c r="E43" s="1143"/>
      <c r="F43" s="1145"/>
      <c r="G43" s="1145"/>
      <c r="H43" s="1145"/>
      <c r="I43" s="1145"/>
      <c r="J43" s="1145"/>
      <c r="K43" s="1127"/>
    </row>
    <row r="44" spans="1:12" ht="12.75" customHeight="1">
      <c r="A44" s="1141"/>
      <c r="B44" s="1142"/>
      <c r="C44" s="1143"/>
      <c r="D44" s="1144"/>
      <c r="E44" s="1143"/>
      <c r="F44" s="1145"/>
      <c r="G44" s="1145"/>
      <c r="H44" s="1145"/>
      <c r="I44" s="1145"/>
      <c r="J44" s="1145"/>
      <c r="K44" s="1127"/>
    </row>
    <row r="45" spans="1:12" ht="12.75" customHeight="1">
      <c r="A45" s="1102"/>
      <c r="B45" s="1109"/>
      <c r="C45" s="1109"/>
      <c r="D45" s="1115"/>
      <c r="E45" s="1109"/>
      <c r="F45" s="1145"/>
      <c r="G45" s="1109"/>
      <c r="H45" s="1145"/>
      <c r="I45" s="1145"/>
      <c r="J45" s="1145"/>
      <c r="K45" s="1127"/>
    </row>
    <row r="46" spans="1:12" ht="12.75" customHeight="1">
      <c r="A46" s="1146"/>
      <c r="B46" s="1147"/>
      <c r="C46" s="1147"/>
      <c r="D46" s="1146"/>
      <c r="E46" s="1147"/>
      <c r="F46" s="1109"/>
      <c r="G46" s="1109"/>
      <c r="H46" s="1147"/>
      <c r="I46" s="1147"/>
      <c r="J46" s="1109"/>
      <c r="K46" s="1116"/>
    </row>
    <row r="47" spans="1:12" ht="12.75" customHeight="1">
      <c r="A47" s="1146"/>
      <c r="B47" s="1147"/>
      <c r="C47" s="1147"/>
      <c r="D47" s="1146"/>
      <c r="E47" s="1147"/>
      <c r="F47" s="1109"/>
      <c r="G47" s="1109"/>
      <c r="H47" s="1147"/>
      <c r="I47" s="1147"/>
      <c r="J47" s="1109"/>
      <c r="K47" s="1116"/>
    </row>
    <row r="48" spans="1:12" ht="12.75" customHeight="1">
      <c r="A48" s="1146"/>
      <c r="B48" s="1147"/>
      <c r="C48" s="1147"/>
      <c r="D48" s="1146"/>
      <c r="E48" s="1147"/>
      <c r="F48" s="1109"/>
      <c r="G48" s="1109"/>
      <c r="H48" s="1147"/>
      <c r="I48" s="1147"/>
      <c r="J48" s="1109"/>
      <c r="K48" s="1116"/>
    </row>
    <row r="49" spans="1:11" ht="12.75" customHeight="1">
      <c r="A49" s="1146"/>
      <c r="B49" s="1147"/>
      <c r="C49" s="1147"/>
      <c r="D49" s="1146"/>
      <c r="E49" s="1147"/>
      <c r="F49" s="1109"/>
      <c r="G49" s="1109"/>
      <c r="H49" s="1147"/>
      <c r="I49" s="1147"/>
      <c r="J49" s="1109"/>
      <c r="K49" s="1116"/>
    </row>
    <row r="50" spans="1:11" ht="12.75" customHeight="1">
      <c r="A50" s="1610"/>
      <c r="B50" s="1611"/>
      <c r="C50" s="1148"/>
      <c r="D50" s="1149"/>
      <c r="E50" s="1148"/>
      <c r="F50" s="1109"/>
      <c r="G50" s="1109"/>
      <c r="H50" s="1109"/>
      <c r="I50" s="1109"/>
      <c r="J50" s="1109"/>
      <c r="K50" s="1116"/>
    </row>
    <row r="51" spans="1:11" ht="12.75" customHeight="1">
      <c r="A51" s="1607" t="str">
        <f>+Datos!B10</f>
        <v>Ing. Eyber Lopez Lopez</v>
      </c>
      <c r="B51" s="1608"/>
      <c r="C51" s="1150" t="s">
        <v>573</v>
      </c>
      <c r="D51" s="1607" t="s">
        <v>575</v>
      </c>
      <c r="E51" s="1608"/>
      <c r="F51" s="1608"/>
      <c r="G51" s="1150" t="s">
        <v>573</v>
      </c>
      <c r="H51" s="1129" t="str">
        <f>+Datos!B13</f>
        <v>Ing. Herlan Ramos Estrada</v>
      </c>
      <c r="I51" s="1150" t="s">
        <v>573</v>
      </c>
      <c r="J51" s="1129" t="s">
        <v>403</v>
      </c>
      <c r="K51" s="1116" t="s">
        <v>573</v>
      </c>
    </row>
    <row r="52" spans="1:11" ht="12.75" customHeight="1">
      <c r="A52" s="1612" t="str">
        <f>+Datos!B11</f>
        <v>FISCAL DE OBRA</v>
      </c>
      <c r="B52" s="1613"/>
      <c r="C52" s="1109"/>
      <c r="D52" s="1612" t="str">
        <f>+Datos!B14</f>
        <v>INGENIERO RESPONSABLE DE TRAMO</v>
      </c>
      <c r="E52" s="1613"/>
      <c r="F52" s="1613"/>
      <c r="G52" s="1151"/>
      <c r="H52" s="1152" t="s">
        <v>576</v>
      </c>
      <c r="J52" s="1152" t="s">
        <v>384</v>
      </c>
      <c r="K52" s="1153"/>
    </row>
    <row r="53" spans="1:11">
      <c r="A53" s="1046"/>
      <c r="B53" s="1600"/>
      <c r="C53" s="1600"/>
      <c r="D53" s="1046"/>
      <c r="E53" s="1047"/>
      <c r="F53" s="1047"/>
      <c r="G53" s="1136"/>
      <c r="H53" s="1047"/>
      <c r="I53" s="1136"/>
      <c r="J53" s="1047"/>
      <c r="K53" s="1048"/>
    </row>
  </sheetData>
  <mergeCells count="54">
    <mergeCell ref="L12:M12"/>
    <mergeCell ref="L13:M13"/>
    <mergeCell ref="L20:M20"/>
    <mergeCell ref="C1:I2"/>
    <mergeCell ref="A3:B4"/>
    <mergeCell ref="C3:I4"/>
    <mergeCell ref="A5:B5"/>
    <mergeCell ref="J5:K5"/>
    <mergeCell ref="F10:I10"/>
    <mergeCell ref="D14:E14"/>
    <mergeCell ref="F14:I14"/>
    <mergeCell ref="D15:E15"/>
    <mergeCell ref="F15:I15"/>
    <mergeCell ref="F11:I11"/>
    <mergeCell ref="D12:E12"/>
    <mergeCell ref="F12:I12"/>
    <mergeCell ref="D13:E13"/>
    <mergeCell ref="F13:I13"/>
    <mergeCell ref="D16:E16"/>
    <mergeCell ref="G16:J16"/>
    <mergeCell ref="D17:E17"/>
    <mergeCell ref="G17:J17"/>
    <mergeCell ref="D19:E19"/>
    <mergeCell ref="G19:J19"/>
    <mergeCell ref="D18:E18"/>
    <mergeCell ref="G18:J18"/>
    <mergeCell ref="G21:J21"/>
    <mergeCell ref="D20:E20"/>
    <mergeCell ref="G20:J20"/>
    <mergeCell ref="D21:E21"/>
    <mergeCell ref="A29:E29"/>
    <mergeCell ref="F29:K30"/>
    <mergeCell ref="D22:E22"/>
    <mergeCell ref="G22:J22"/>
    <mergeCell ref="A23:E23"/>
    <mergeCell ref="G23:J23"/>
    <mergeCell ref="G24:J24"/>
    <mergeCell ref="G25:J25"/>
    <mergeCell ref="G26:J26"/>
    <mergeCell ref="G27:I27"/>
    <mergeCell ref="J27:K27"/>
    <mergeCell ref="G28:I28"/>
    <mergeCell ref="J28:K28"/>
    <mergeCell ref="B53:C53"/>
    <mergeCell ref="A35:B35"/>
    <mergeCell ref="C35:E35"/>
    <mergeCell ref="A39:E39"/>
    <mergeCell ref="I40:J40"/>
    <mergeCell ref="I41:J41"/>
    <mergeCell ref="A50:B50"/>
    <mergeCell ref="A51:B51"/>
    <mergeCell ref="D51:F51"/>
    <mergeCell ref="A52:B52"/>
    <mergeCell ref="D52:F52"/>
  </mergeCells>
  <printOptions horizontalCentered="1" verticalCentered="1"/>
  <pageMargins left="0.19685039370078741" right="0.19685039370078741" top="0.59055118110236227" bottom="0.19685039370078741" header="0" footer="0"/>
  <pageSetup scale="7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5">
    <tabColor rgb="FF92D050"/>
    <pageSetUpPr fitToPage="1"/>
  </sheetPr>
  <dimension ref="A1:T56"/>
  <sheetViews>
    <sheetView showGridLines="0" view="pageBreakPreview" topLeftCell="A4" zoomScaleNormal="85" zoomScaleSheetLayoutView="100" workbookViewId="0">
      <selection activeCell="O35" sqref="O35"/>
    </sheetView>
  </sheetViews>
  <sheetFormatPr baseColWidth="10" defaultColWidth="11.42578125" defaultRowHeight="15"/>
  <cols>
    <col min="1" max="1" width="8.7109375" style="289" customWidth="1"/>
    <col min="2" max="2" width="10.7109375" style="108" customWidth="1"/>
    <col min="3" max="3" width="13.7109375" style="108" customWidth="1"/>
    <col min="4" max="4" width="6.7109375" style="108" customWidth="1"/>
    <col min="5" max="5" width="14.28515625" style="108" customWidth="1"/>
    <col min="6" max="6" width="15" style="108" customWidth="1"/>
    <col min="7" max="7" width="14.28515625" style="108" customWidth="1"/>
    <col min="8" max="8" width="6.7109375" style="108" customWidth="1"/>
    <col min="9" max="9" width="12.7109375" style="108" customWidth="1"/>
    <col min="10" max="10" width="6.7109375" style="108" customWidth="1"/>
    <col min="11" max="11" width="12.7109375" style="108" customWidth="1"/>
    <col min="12" max="12" width="6.7109375" style="108" customWidth="1"/>
    <col min="13" max="13" width="12.7109375" style="108" hidden="1" customWidth="1"/>
    <col min="14" max="14" width="6.7109375" style="108" hidden="1" customWidth="1"/>
    <col min="15" max="15" width="12.7109375" style="108" customWidth="1"/>
    <col min="16" max="16" width="6.7109375" style="108" customWidth="1"/>
    <col min="17" max="17" width="13.140625" style="103" bestFit="1" customWidth="1"/>
    <col min="18" max="18" width="6.7109375" style="103" customWidth="1"/>
    <col min="19" max="19" width="15.140625" style="103" bestFit="1" customWidth="1"/>
    <col min="20" max="20" width="14.140625" style="103" bestFit="1" customWidth="1"/>
    <col min="21" max="16384" width="11.42578125" style="103"/>
  </cols>
  <sheetData>
    <row r="1" spans="1:19" s="106" customFormat="1" ht="15.75">
      <c r="A1" s="1680"/>
      <c r="B1" s="1681"/>
      <c r="C1" s="1681"/>
      <c r="D1" s="294"/>
      <c r="E1" s="1695" t="str">
        <f>+Certificado!C1</f>
        <v>CERTIFICADO DE PAGO Nº 11</v>
      </c>
      <c r="F1" s="1696"/>
      <c r="G1" s="1696"/>
      <c r="H1" s="1696"/>
      <c r="I1" s="1696"/>
      <c r="J1" s="1696"/>
      <c r="K1" s="1696"/>
      <c r="L1" s="1696"/>
      <c r="M1" s="1696"/>
      <c r="N1" s="1697"/>
      <c r="O1" s="115"/>
      <c r="P1" s="298"/>
      <c r="Q1" s="306"/>
      <c r="R1" s="300"/>
    </row>
    <row r="2" spans="1:19" s="106" customFormat="1" ht="15" customHeight="1">
      <c r="A2" s="285"/>
      <c r="B2" s="111"/>
      <c r="C2" s="293"/>
      <c r="D2" s="363"/>
      <c r="E2" s="1698"/>
      <c r="F2" s="1699"/>
      <c r="G2" s="1699"/>
      <c r="H2" s="1699"/>
      <c r="I2" s="1699"/>
      <c r="J2" s="1699"/>
      <c r="K2" s="1699"/>
      <c r="L2" s="1699"/>
      <c r="M2" s="1699"/>
      <c r="N2" s="1700"/>
      <c r="O2" s="116"/>
      <c r="P2" s="299"/>
      <c r="Q2" s="303"/>
      <c r="R2" s="117"/>
    </row>
    <row r="3" spans="1:19" s="106" customFormat="1" ht="15" customHeight="1">
      <c r="A3" s="285"/>
      <c r="B3" s="111"/>
      <c r="C3" s="293"/>
      <c r="D3" s="363"/>
      <c r="E3" s="1692" t="str">
        <f>+Datos!B2</f>
        <v>PROYECTO: CONSTRUCCION Y REHABILITACION TRAMO CARRETERO
VILLA MONTES - LA VERTIENTE - PALO MARCADO</v>
      </c>
      <c r="F3" s="1693"/>
      <c r="G3" s="1693"/>
      <c r="H3" s="1693"/>
      <c r="I3" s="1693"/>
      <c r="J3" s="1693"/>
      <c r="K3" s="1693"/>
      <c r="L3" s="1693"/>
      <c r="M3" s="1693"/>
      <c r="N3" s="1694"/>
      <c r="O3" s="116"/>
      <c r="P3" s="299"/>
      <c r="Q3" s="303"/>
      <c r="R3" s="117"/>
    </row>
    <row r="4" spans="1:19" s="106" customFormat="1" ht="15" customHeight="1">
      <c r="A4" s="285"/>
      <c r="B4" s="111"/>
      <c r="C4" s="293"/>
      <c r="D4" s="363"/>
      <c r="E4" s="1692"/>
      <c r="F4" s="1693"/>
      <c r="G4" s="1693"/>
      <c r="H4" s="1693"/>
      <c r="I4" s="1693"/>
      <c r="J4" s="1693"/>
      <c r="K4" s="1693"/>
      <c r="L4" s="1693"/>
      <c r="M4" s="1693"/>
      <c r="N4" s="1694"/>
      <c r="O4" s="116"/>
      <c r="P4" s="299"/>
      <c r="Q4" s="303"/>
      <c r="R4" s="117"/>
    </row>
    <row r="5" spans="1:19" s="106" customFormat="1" ht="15" customHeight="1">
      <c r="A5" s="286"/>
      <c r="B5" s="112"/>
      <c r="C5" s="293"/>
      <c r="D5" s="114"/>
      <c r="E5" s="1707" t="s">
        <v>181</v>
      </c>
      <c r="F5" s="1708"/>
      <c r="G5" s="1708"/>
      <c r="H5" s="1708"/>
      <c r="I5" s="1708"/>
      <c r="J5" s="1708"/>
      <c r="K5" s="1708"/>
      <c r="L5" s="1708"/>
      <c r="M5" s="1708"/>
      <c r="N5" s="1709"/>
      <c r="O5" s="304"/>
      <c r="P5" s="305"/>
      <c r="Q5" s="305"/>
      <c r="R5" s="292"/>
    </row>
    <row r="6" spans="1:19" s="106" customFormat="1" ht="11.25" customHeight="1">
      <c r="A6" s="1689" t="s">
        <v>7</v>
      </c>
      <c r="B6" s="1690"/>
      <c r="C6" s="1690"/>
      <c r="D6" s="1691"/>
      <c r="E6" s="1710"/>
      <c r="F6" s="1711"/>
      <c r="G6" s="1711"/>
      <c r="H6" s="1711"/>
      <c r="I6" s="1711"/>
      <c r="J6" s="1711"/>
      <c r="K6" s="1711"/>
      <c r="L6" s="1711"/>
      <c r="M6" s="1711"/>
      <c r="N6" s="1712"/>
      <c r="O6" s="1717" t="s">
        <v>77</v>
      </c>
      <c r="P6" s="1718"/>
      <c r="Q6" s="1718"/>
      <c r="R6" s="1719"/>
    </row>
    <row r="7" spans="1:19" s="1187" customFormat="1" ht="20.100000000000001" customHeight="1">
      <c r="A7" s="1188" t="s">
        <v>580</v>
      </c>
      <c r="B7" s="1189"/>
      <c r="C7" s="1190"/>
      <c r="D7" s="1190"/>
      <c r="E7" s="1191">
        <f>+Certificado!K11</f>
        <v>108397839.64</v>
      </c>
      <c r="F7" s="1192"/>
      <c r="G7" s="1192"/>
      <c r="H7" s="1193"/>
      <c r="I7" s="1189"/>
      <c r="J7" s="1190"/>
      <c r="K7" s="1193" t="s">
        <v>584</v>
      </c>
      <c r="L7" s="1725">
        <v>106631000.67</v>
      </c>
      <c r="M7" s="1725"/>
      <c r="N7" s="1725"/>
      <c r="O7" s="1725"/>
      <c r="P7" s="1184"/>
      <c r="Q7" s="1185"/>
      <c r="R7" s="1186"/>
    </row>
    <row r="8" spans="1:19" s="107" customFormat="1" ht="21.75" customHeight="1">
      <c r="A8" s="1703" t="s">
        <v>182</v>
      </c>
      <c r="B8" s="1705" t="s">
        <v>38</v>
      </c>
      <c r="C8" s="1684" t="s">
        <v>37</v>
      </c>
      <c r="D8" s="1685"/>
      <c r="E8" s="1682" t="s">
        <v>187</v>
      </c>
      <c r="F8" s="1683"/>
      <c r="G8" s="1683"/>
      <c r="H8" s="1683"/>
      <c r="I8" s="1713" t="s">
        <v>221</v>
      </c>
      <c r="J8" s="1714"/>
      <c r="K8" s="1713" t="s">
        <v>244</v>
      </c>
      <c r="L8" s="1714"/>
      <c r="M8" s="1722" t="s">
        <v>192</v>
      </c>
      <c r="N8" s="1721"/>
      <c r="O8" s="1724" t="s">
        <v>189</v>
      </c>
      <c r="P8" s="1714"/>
      <c r="Q8" s="1713" t="s">
        <v>40</v>
      </c>
      <c r="R8" s="1714"/>
    </row>
    <row r="9" spans="1:19" s="107" customFormat="1" ht="21.75" customHeight="1">
      <c r="A9" s="1704"/>
      <c r="B9" s="1706"/>
      <c r="C9" s="1686"/>
      <c r="D9" s="1687"/>
      <c r="E9" s="597" t="s">
        <v>179</v>
      </c>
      <c r="F9" s="598" t="s">
        <v>190</v>
      </c>
      <c r="G9" s="1688" t="s">
        <v>188</v>
      </c>
      <c r="H9" s="1688"/>
      <c r="I9" s="1715"/>
      <c r="J9" s="1716"/>
      <c r="K9" s="1715"/>
      <c r="L9" s="1716"/>
      <c r="M9" s="1723"/>
      <c r="N9" s="1716"/>
      <c r="O9" s="1723"/>
      <c r="P9" s="1716"/>
      <c r="Q9" s="1720"/>
      <c r="R9" s="1721"/>
    </row>
    <row r="10" spans="1:19" s="107" customFormat="1" ht="17.100000000000001" customHeight="1">
      <c r="A10" s="287" t="s">
        <v>185</v>
      </c>
      <c r="B10" s="194" t="s">
        <v>184</v>
      </c>
      <c r="C10" s="295" t="s">
        <v>183</v>
      </c>
      <c r="D10" s="194" t="s">
        <v>186</v>
      </c>
      <c r="E10" s="195" t="s">
        <v>183</v>
      </c>
      <c r="F10" s="297" t="s">
        <v>183</v>
      </c>
      <c r="G10" s="297" t="s">
        <v>183</v>
      </c>
      <c r="H10" s="193" t="s">
        <v>186</v>
      </c>
      <c r="I10" s="195" t="s">
        <v>183</v>
      </c>
      <c r="J10" s="284" t="s">
        <v>186</v>
      </c>
      <c r="K10" s="195" t="s">
        <v>183</v>
      </c>
      <c r="L10" s="284" t="s">
        <v>186</v>
      </c>
      <c r="M10" s="296" t="s">
        <v>183</v>
      </c>
      <c r="N10" s="284" t="s">
        <v>186</v>
      </c>
      <c r="O10" s="296" t="s">
        <v>183</v>
      </c>
      <c r="P10" s="284" t="s">
        <v>186</v>
      </c>
      <c r="Q10" s="195" t="s">
        <v>183</v>
      </c>
      <c r="R10" s="284" t="s">
        <v>186</v>
      </c>
    </row>
    <row r="11" spans="1:19" s="107" customFormat="1" ht="17.100000000000001" customHeight="1">
      <c r="A11" s="616" t="s">
        <v>394</v>
      </c>
      <c r="B11" s="646">
        <v>43726</v>
      </c>
      <c r="C11" s="647">
        <v>0</v>
      </c>
      <c r="D11" s="648">
        <f>+C11*100/E$7</f>
        <v>0</v>
      </c>
      <c r="E11" s="647"/>
      <c r="F11" s="649"/>
      <c r="G11" s="649"/>
      <c r="H11" s="648"/>
      <c r="I11" s="647"/>
      <c r="J11" s="650"/>
      <c r="K11" s="647"/>
      <c r="L11" s="650"/>
      <c r="M11" s="651"/>
      <c r="N11" s="650"/>
      <c r="O11" s="652"/>
      <c r="P11" s="650"/>
      <c r="Q11" s="653">
        <f>+Anticipo!J8</f>
        <v>21679567.93</v>
      </c>
      <c r="R11" s="654">
        <f t="shared" ref="R11:R20" si="0">+Q11/$L$7</f>
        <v>0.20331393116241681</v>
      </c>
    </row>
    <row r="12" spans="1:19" s="107" customFormat="1" ht="17.100000000000001" customHeight="1">
      <c r="A12" s="655">
        <v>1</v>
      </c>
      <c r="B12" s="646">
        <v>44075</v>
      </c>
      <c r="C12" s="656">
        <f>IF(A12="","",LOOKUP(A12,    'Cant. Ejec,'!$V$2:$BH$2,      'Cant. Ejec,'!$V$4:$BH$4))</f>
        <v>230575.22</v>
      </c>
      <c r="D12" s="657">
        <f>+C12/$L$7</f>
        <v>2.162365714953578E-3</v>
      </c>
      <c r="E12" s="658"/>
      <c r="F12" s="659"/>
      <c r="G12" s="659"/>
      <c r="H12" s="660"/>
      <c r="I12" s="658">
        <f t="shared" ref="I12:I22" si="1">+ROUND(C12*0.2,2)</f>
        <v>46115.040000000001</v>
      </c>
      <c r="J12" s="657">
        <f>+I12/$L$7</f>
        <v>4.3247310547817259E-4</v>
      </c>
      <c r="K12" s="658">
        <f>+ROUND(C12*0.07,2)</f>
        <v>16140.27</v>
      </c>
      <c r="L12" s="661">
        <f t="shared" ref="L12:L20" si="2">+K12/$L$7</f>
        <v>1.5136564318617493E-4</v>
      </c>
      <c r="M12" s="662"/>
      <c r="N12" s="663"/>
      <c r="O12" s="658"/>
      <c r="P12" s="663"/>
      <c r="Q12" s="658">
        <f t="shared" ref="Q12:Q17" si="3">+C12-I12-K12</f>
        <v>168319.91</v>
      </c>
      <c r="R12" s="654">
        <f t="shared" si="0"/>
        <v>1.5785269662892305E-3</v>
      </c>
      <c r="S12" s="569"/>
    </row>
    <row r="13" spans="1:19" s="107" customFormat="1" ht="17.100000000000001" customHeight="1">
      <c r="A13" s="655">
        <f>IF(Datos!$C$20&gt;A12,A12+1,"")</f>
        <v>2</v>
      </c>
      <c r="B13" s="646">
        <v>44105</v>
      </c>
      <c r="C13" s="656">
        <f>IF(A13="","",LOOKUP(A13,    'Cant. Ejec,'!$V$2:$BH$2,      'Cant. Ejec,'!$V$4:$BH$4))</f>
        <v>515942.19999999995</v>
      </c>
      <c r="D13" s="657">
        <f t="shared" ref="D13:D21" si="4">+C13/$L$7</f>
        <v>4.8385759934555057E-3</v>
      </c>
      <c r="E13" s="658"/>
      <c r="F13" s="659"/>
      <c r="G13" s="659"/>
      <c r="H13" s="660"/>
      <c r="I13" s="658">
        <f t="shared" si="1"/>
        <v>103188.44</v>
      </c>
      <c r="J13" s="661">
        <f>+I13/$L$7</f>
        <v>9.6771519869110129E-4</v>
      </c>
      <c r="K13" s="658">
        <f t="shared" ref="K13:K17" si="5">+ROUND(C13*0.07,2)</f>
        <v>36115.949999999997</v>
      </c>
      <c r="L13" s="661">
        <f t="shared" si="2"/>
        <v>3.3870028202934236E-4</v>
      </c>
      <c r="M13" s="662"/>
      <c r="N13" s="663"/>
      <c r="O13" s="658"/>
      <c r="P13" s="663"/>
      <c r="Q13" s="658">
        <f t="shared" si="3"/>
        <v>376637.80999999994</v>
      </c>
      <c r="R13" s="654">
        <f t="shared" si="0"/>
        <v>3.5321605127350618E-3</v>
      </c>
      <c r="S13" s="569"/>
    </row>
    <row r="14" spans="1:19" s="107" customFormat="1" ht="17.100000000000001" customHeight="1">
      <c r="A14" s="655">
        <f>IF(Datos!$C$20&gt;A13,A13+1,"")</f>
        <v>3</v>
      </c>
      <c r="B14" s="646">
        <v>44136</v>
      </c>
      <c r="C14" s="658">
        <f>IF(A14="","",LOOKUP(A14,    'Cant. Ejec,'!$V$2:$BH$2,      'Cant. Ejec,'!$V$4:$BH$4))</f>
        <v>778326.78</v>
      </c>
      <c r="D14" s="657">
        <f>+C14/$L$7</f>
        <v>7.2992542047762817E-3</v>
      </c>
      <c r="E14" s="658"/>
      <c r="F14" s="659"/>
      <c r="G14" s="659"/>
      <c r="H14" s="660"/>
      <c r="I14" s="658">
        <f t="shared" si="1"/>
        <v>155665.35999999999</v>
      </c>
      <c r="J14" s="661">
        <f t="shared" ref="J14:J20" si="6">+I14/$L$7</f>
        <v>1.4598508784677991E-3</v>
      </c>
      <c r="K14" s="658">
        <f t="shared" si="5"/>
        <v>54482.87</v>
      </c>
      <c r="L14" s="661">
        <f t="shared" si="2"/>
        <v>5.1094775119491528E-4</v>
      </c>
      <c r="M14" s="662"/>
      <c r="N14" s="663"/>
      <c r="O14" s="658"/>
      <c r="P14" s="663"/>
      <c r="Q14" s="658">
        <f t="shared" si="3"/>
        <v>568178.55000000005</v>
      </c>
      <c r="R14" s="654">
        <f t="shared" si="0"/>
        <v>5.3284555751135672E-3</v>
      </c>
      <c r="S14" s="569"/>
    </row>
    <row r="15" spans="1:19" s="107" customFormat="1" ht="17.100000000000001" customHeight="1">
      <c r="A15" s="655">
        <f>IF(Datos!$C$20&gt;A14,A14+1,"")</f>
        <v>4</v>
      </c>
      <c r="B15" s="646" t="s">
        <v>426</v>
      </c>
      <c r="C15" s="658">
        <f>IF(A15="","",LOOKUP(A15,    'Cant. Ejec,'!$V$2:$BH$2,      'Cant. Ejec,'!$V$4:$BH$4))</f>
        <v>86910.98</v>
      </c>
      <c r="D15" s="657">
        <f t="shared" si="4"/>
        <v>8.1506296906066534E-4</v>
      </c>
      <c r="E15" s="658"/>
      <c r="F15" s="659"/>
      <c r="G15" s="659"/>
      <c r="H15" s="660"/>
      <c r="I15" s="658">
        <f t="shared" si="1"/>
        <v>17382.2</v>
      </c>
      <c r="J15" s="661">
        <f t="shared" si="6"/>
        <v>1.6301263132467611E-4</v>
      </c>
      <c r="K15" s="658">
        <f t="shared" si="5"/>
        <v>6083.77</v>
      </c>
      <c r="L15" s="661">
        <f t="shared" si="2"/>
        <v>5.7054420963636636E-5</v>
      </c>
      <c r="M15" s="662"/>
      <c r="N15" s="663"/>
      <c r="O15" s="658"/>
      <c r="P15" s="663"/>
      <c r="Q15" s="658">
        <f t="shared" si="3"/>
        <v>63445.009999999995</v>
      </c>
      <c r="R15" s="654">
        <f t="shared" si="0"/>
        <v>5.9499591677235255E-4</v>
      </c>
      <c r="S15" s="570"/>
    </row>
    <row r="16" spans="1:19" s="107" customFormat="1" ht="17.100000000000001" customHeight="1">
      <c r="A16" s="655">
        <f>IF(Datos!$C$20&gt;A15,A15+1,"")</f>
        <v>5</v>
      </c>
      <c r="B16" s="646">
        <v>44256</v>
      </c>
      <c r="C16" s="658">
        <f>IF(A16="","",LOOKUP(A16,    'Cant. Ejec,'!$V$2:$BH$2,      'Cant. Ejec,'!$V$4:$BH$4))</f>
        <v>38094.980000000003</v>
      </c>
      <c r="D16" s="657">
        <f>+C16/$L$7</f>
        <v>3.5725989403302861E-4</v>
      </c>
      <c r="E16" s="658"/>
      <c r="F16" s="659"/>
      <c r="G16" s="659"/>
      <c r="H16" s="660"/>
      <c r="I16" s="658">
        <f t="shared" si="1"/>
        <v>7619</v>
      </c>
      <c r="J16" s="661">
        <f>+I16/$L$7</f>
        <v>7.1452016319148743E-5</v>
      </c>
      <c r="K16" s="658">
        <f t="shared" si="5"/>
        <v>2666.65</v>
      </c>
      <c r="L16" s="661">
        <f t="shared" si="2"/>
        <v>2.5008205711702059E-5</v>
      </c>
      <c r="M16" s="662"/>
      <c r="N16" s="663"/>
      <c r="O16" s="658"/>
      <c r="P16" s="663"/>
      <c r="Q16" s="658">
        <f t="shared" si="3"/>
        <v>27809.33</v>
      </c>
      <c r="R16" s="654">
        <f t="shared" si="0"/>
        <v>2.6079967200217779E-4</v>
      </c>
      <c r="S16" s="280"/>
    </row>
    <row r="17" spans="1:20" s="107" customFormat="1" ht="17.100000000000001" customHeight="1">
      <c r="A17" s="655">
        <f>IF(Datos!$C$20&gt;A16,A16+1,"")</f>
        <v>6</v>
      </c>
      <c r="B17" s="646">
        <v>44287</v>
      </c>
      <c r="C17" s="658">
        <f>IF(A17="","",LOOKUP(A17,    'Cant. Ejec,'!$V$2:$BH$2,      'Cant. Ejec,'!$V$4:$BH$4))</f>
        <v>81632.100000000006</v>
      </c>
      <c r="D17" s="657">
        <f>+C17/$L$7</f>
        <v>7.6555691578506131E-4</v>
      </c>
      <c r="E17" s="658"/>
      <c r="F17" s="659"/>
      <c r="G17" s="659"/>
      <c r="H17" s="660"/>
      <c r="I17" s="658">
        <f t="shared" si="1"/>
        <v>16326.42</v>
      </c>
      <c r="J17" s="661">
        <f>+I17/$L$7</f>
        <v>1.5311138315701224E-4</v>
      </c>
      <c r="K17" s="658">
        <f t="shared" si="5"/>
        <v>5714.25</v>
      </c>
      <c r="L17" s="661">
        <f t="shared" si="2"/>
        <v>5.3589012239361554E-5</v>
      </c>
      <c r="M17" s="662"/>
      <c r="N17" s="663"/>
      <c r="O17" s="658"/>
      <c r="P17" s="663"/>
      <c r="Q17" s="658">
        <f t="shared" si="3"/>
        <v>59591.430000000008</v>
      </c>
      <c r="R17" s="654">
        <f t="shared" si="0"/>
        <v>5.5885652038868748E-4</v>
      </c>
    </row>
    <row r="18" spans="1:20" s="107" customFormat="1" ht="17.100000000000001" customHeight="1">
      <c r="A18" s="655">
        <f>IF(Datos!$C$20&gt;A17,A17+1,"")</f>
        <v>7</v>
      </c>
      <c r="B18" s="646">
        <v>44317</v>
      </c>
      <c r="C18" s="658">
        <f>IF(A18="","",LOOKUP(A18,    'Cant. Ejec,'!$V$2:$BH$2,      'Cant. Ejec,'!$V$4:$BH$4))</f>
        <v>9267.23</v>
      </c>
      <c r="D18" s="657">
        <f t="shared" si="4"/>
        <v>8.690934101500259E-5</v>
      </c>
      <c r="E18" s="658"/>
      <c r="F18" s="659"/>
      <c r="G18" s="659"/>
      <c r="H18" s="660"/>
      <c r="I18" s="658">
        <f t="shared" si="1"/>
        <v>1853.45</v>
      </c>
      <c r="J18" s="661">
        <f>+I18/$L$7</f>
        <v>1.7381905715543541E-5</v>
      </c>
      <c r="K18" s="658">
        <f t="shared" ref="K18" si="7">+ROUND(C18*0.07,2)</f>
        <v>648.71</v>
      </c>
      <c r="L18" s="661">
        <f t="shared" si="2"/>
        <v>6.0836904457796276E-6</v>
      </c>
      <c r="M18" s="662"/>
      <c r="N18" s="663"/>
      <c r="O18" s="658"/>
      <c r="P18" s="663"/>
      <c r="Q18" s="658">
        <f t="shared" ref="Q18" si="8">+C18-I18-K18</f>
        <v>6765.07</v>
      </c>
      <c r="R18" s="654">
        <f t="shared" si="0"/>
        <v>6.3443744853679422E-5</v>
      </c>
    </row>
    <row r="19" spans="1:20" s="107" customFormat="1" ht="17.100000000000001" customHeight="1">
      <c r="A19" s="655">
        <f>IF(Datos!$C$20&gt;A18,A18+1,"")</f>
        <v>8</v>
      </c>
      <c r="B19" s="646">
        <v>44348</v>
      </c>
      <c r="C19" s="658">
        <f>IF(A19="","",LOOKUP(A19,    'Cant. Ejec,'!$V$2:$BH$2,      'Cant. Ejec,'!$V$4:$BH$4))</f>
        <v>17878.849999999999</v>
      </c>
      <c r="D19" s="657">
        <f t="shared" si="4"/>
        <v>1.676702824475144E-4</v>
      </c>
      <c r="E19" s="658"/>
      <c r="F19" s="659"/>
      <c r="G19" s="659"/>
      <c r="H19" s="660"/>
      <c r="I19" s="658">
        <f t="shared" si="1"/>
        <v>3575.77</v>
      </c>
      <c r="J19" s="661">
        <f>+I19/$L$7</f>
        <v>3.3534056489502882E-5</v>
      </c>
      <c r="K19" s="658">
        <f>+ROUND(C19*0.07,2)</f>
        <v>1251.52</v>
      </c>
      <c r="L19" s="661">
        <f t="shared" si="2"/>
        <v>1.1736924460393888E-5</v>
      </c>
      <c r="M19" s="662"/>
      <c r="N19" s="663"/>
      <c r="O19" s="658"/>
      <c r="P19" s="663"/>
      <c r="Q19" s="658">
        <f>+C19-I19-K19</f>
        <v>13051.559999999998</v>
      </c>
      <c r="R19" s="654">
        <f t="shared" si="0"/>
        <v>1.2239930149761762E-4</v>
      </c>
    </row>
    <row r="20" spans="1:20" s="107" customFormat="1" ht="17.100000000000001" customHeight="1">
      <c r="A20" s="1225">
        <f>IF(Datos!$C$20&gt;A19,A19+1,"")</f>
        <v>9</v>
      </c>
      <c r="B20" s="1226">
        <v>44378</v>
      </c>
      <c r="C20" s="658">
        <f>IF(A20="","",LOOKUP(A20,    'Cant. Ejec,'!$V$2:$BH$2,      'Cant. Ejec,'!$V$4:$BH$4))</f>
        <v>261075.14</v>
      </c>
      <c r="D20" s="657">
        <f t="shared" si="4"/>
        <v>2.4483981052374382E-3</v>
      </c>
      <c r="E20" s="658"/>
      <c r="F20" s="659"/>
      <c r="G20" s="659"/>
      <c r="H20" s="660"/>
      <c r="I20" s="658">
        <f t="shared" si="1"/>
        <v>52215.03</v>
      </c>
      <c r="J20" s="661">
        <f t="shared" si="6"/>
        <v>4.8967963980375915E-4</v>
      </c>
      <c r="K20" s="658">
        <f>+ROUND(C20*0.07,2)</f>
        <v>18275.259999999998</v>
      </c>
      <c r="L20" s="661">
        <f t="shared" si="2"/>
        <v>1.7138786924224779E-4</v>
      </c>
      <c r="M20" s="662"/>
      <c r="N20" s="663"/>
      <c r="O20" s="658"/>
      <c r="P20" s="663"/>
      <c r="Q20" s="658">
        <f>+C20-I20-K20</f>
        <v>190584.85</v>
      </c>
      <c r="R20" s="654">
        <f t="shared" si="0"/>
        <v>1.7873305961914312E-3</v>
      </c>
    </row>
    <row r="21" spans="1:20" s="107" customFormat="1" ht="17.100000000000001" customHeight="1">
      <c r="A21" s="1225">
        <f>IF(Datos!$C$20&gt;A20,A20+1,"")</f>
        <v>10</v>
      </c>
      <c r="B21" s="1226">
        <v>44409</v>
      </c>
      <c r="C21" s="658">
        <f>IF(A21="","",LOOKUP(A21,    'Cant. Ejec,'!$V$2:$BH$2,      'Cant. Ejec,'!$V$4:$BH$4))</f>
        <v>2250654.7699999996</v>
      </c>
      <c r="D21" s="657">
        <f t="shared" si="4"/>
        <v>2.1106945971231122E-2</v>
      </c>
      <c r="E21" s="658"/>
      <c r="F21" s="659"/>
      <c r="G21" s="659"/>
      <c r="H21" s="660"/>
      <c r="I21" s="658">
        <f t="shared" si="1"/>
        <v>450130.95</v>
      </c>
      <c r="J21" s="661">
        <f t="shared" ref="J21" si="9">+I21/$L$7</f>
        <v>4.2213891567336823E-3</v>
      </c>
      <c r="K21" s="658">
        <f>+ROUND(C21*0.07,2)</f>
        <v>157545.82999999999</v>
      </c>
      <c r="L21" s="661">
        <f t="shared" ref="L21" si="10">+K21/$L$7</f>
        <v>1.4774861814114493E-3</v>
      </c>
      <c r="M21" s="662"/>
      <c r="N21" s="663"/>
      <c r="O21" s="658"/>
      <c r="P21" s="663"/>
      <c r="Q21" s="658">
        <f>+C21-I21-K21</f>
        <v>1642977.9899999995</v>
      </c>
      <c r="R21" s="654">
        <f t="shared" ref="R21" si="11">+Q21/$L$7</f>
        <v>1.5408070633085989E-2</v>
      </c>
      <c r="S21" s="371"/>
      <c r="T21" s="372"/>
    </row>
    <row r="22" spans="1:20" s="107" customFormat="1" ht="17.100000000000001" customHeight="1">
      <c r="A22" s="1215">
        <f>IF(Datos!$C$20&gt;A21,A21+1,"")</f>
        <v>11</v>
      </c>
      <c r="B22" s="1216">
        <v>44440</v>
      </c>
      <c r="C22" s="1217">
        <f>IF(A22="","",LOOKUP(A22,    'Cant. Ejec,'!$V$2:$BH$2,      'Cant. Ejec,'!$V$4:$BH$4))</f>
        <v>1766556.24</v>
      </c>
      <c r="D22" s="1218">
        <f t="shared" ref="D22" si="12">+C22/$L$7</f>
        <v>1.6567004237980579E-2</v>
      </c>
      <c r="E22" s="1217"/>
      <c r="F22" s="1219"/>
      <c r="G22" s="1219"/>
      <c r="H22" s="1220"/>
      <c r="I22" s="1217">
        <f t="shared" si="1"/>
        <v>353311.25</v>
      </c>
      <c r="J22" s="1221">
        <f t="shared" ref="J22" si="13">+I22/$L$7</f>
        <v>3.3134008663523872E-3</v>
      </c>
      <c r="K22" s="1217">
        <f>+ROUND(C22*0.07,2)</f>
        <v>123658.94</v>
      </c>
      <c r="L22" s="1221">
        <f t="shared" ref="L22" si="14">+K22/$L$7</f>
        <v>1.1596903266686751E-3</v>
      </c>
      <c r="M22" s="1222"/>
      <c r="N22" s="1223"/>
      <c r="O22" s="1217"/>
      <c r="P22" s="1223"/>
      <c r="Q22" s="1217">
        <f>+C22-I22-K22</f>
        <v>1289586.05</v>
      </c>
      <c r="R22" s="1224">
        <f t="shared" ref="R22" si="15">+Q22/$L$7</f>
        <v>1.2093913044959517E-2</v>
      </c>
      <c r="T22" s="371"/>
    </row>
    <row r="23" spans="1:20" s="107" customFormat="1" ht="17.100000000000001" customHeight="1">
      <c r="A23" s="1225" t="str">
        <f>IF(Datos!$C$20&gt;A22,A22+1,"")</f>
        <v/>
      </c>
      <c r="B23" s="1226"/>
      <c r="C23" s="658"/>
      <c r="D23" s="660"/>
      <c r="E23" s="658"/>
      <c r="F23" s="659"/>
      <c r="G23" s="659"/>
      <c r="H23" s="660"/>
      <c r="I23" s="658"/>
      <c r="J23" s="663"/>
      <c r="K23" s="658"/>
      <c r="L23" s="663"/>
      <c r="M23" s="662"/>
      <c r="N23" s="663"/>
      <c r="O23" s="658"/>
      <c r="P23" s="663"/>
      <c r="Q23" s="658"/>
      <c r="R23" s="1227"/>
    </row>
    <row r="24" spans="1:20" s="107" customFormat="1" ht="17.100000000000001" customHeight="1">
      <c r="A24" s="1225" t="str">
        <f>IF(Datos!$C$20&gt;A23,A23+1,"")</f>
        <v/>
      </c>
      <c r="B24" s="1226"/>
      <c r="C24" s="658"/>
      <c r="D24" s="660"/>
      <c r="E24" s="658"/>
      <c r="F24" s="659"/>
      <c r="G24" s="659"/>
      <c r="H24" s="660"/>
      <c r="I24" s="658"/>
      <c r="J24" s="663"/>
      <c r="K24" s="658"/>
      <c r="L24" s="663"/>
      <c r="M24" s="662"/>
      <c r="N24" s="663"/>
      <c r="O24" s="658"/>
      <c r="P24" s="663"/>
      <c r="Q24" s="658"/>
      <c r="R24" s="1227"/>
    </row>
    <row r="25" spans="1:20" s="107" customFormat="1" ht="17.100000000000001" customHeight="1">
      <c r="A25" s="1225" t="str">
        <f>IF(Datos!$C$20&gt;A24,A24+1,"")</f>
        <v/>
      </c>
      <c r="B25" s="1226"/>
      <c r="C25" s="658"/>
      <c r="D25" s="660"/>
      <c r="E25" s="658"/>
      <c r="F25" s="659"/>
      <c r="G25" s="659"/>
      <c r="H25" s="660"/>
      <c r="I25" s="658"/>
      <c r="J25" s="663"/>
      <c r="K25" s="658"/>
      <c r="L25" s="663"/>
      <c r="M25" s="662"/>
      <c r="N25" s="663"/>
      <c r="O25" s="658"/>
      <c r="P25" s="663"/>
      <c r="Q25" s="658"/>
      <c r="R25" s="1227"/>
    </row>
    <row r="26" spans="1:20" s="107" customFormat="1" ht="17.100000000000001" customHeight="1">
      <c r="A26" s="1225" t="str">
        <f>IF(Datos!$C$20&gt;A25,A25+1,"")</f>
        <v/>
      </c>
      <c r="B26" s="1226"/>
      <c r="C26" s="658"/>
      <c r="D26" s="660"/>
      <c r="E26" s="658"/>
      <c r="F26" s="659"/>
      <c r="G26" s="659"/>
      <c r="H26" s="660"/>
      <c r="I26" s="658"/>
      <c r="J26" s="663"/>
      <c r="K26" s="658"/>
      <c r="L26" s="663"/>
      <c r="M26" s="662"/>
      <c r="N26" s="663"/>
      <c r="O26" s="658"/>
      <c r="P26" s="663"/>
      <c r="Q26" s="658"/>
      <c r="R26" s="1227"/>
    </row>
    <row r="27" spans="1:20" s="107" customFormat="1" ht="17.100000000000001" customHeight="1">
      <c r="A27" s="1225" t="str">
        <f>IF(Datos!$C$20&gt;A26,A26+1,"")</f>
        <v/>
      </c>
      <c r="B27" s="1226"/>
      <c r="C27" s="658"/>
      <c r="D27" s="660"/>
      <c r="E27" s="658"/>
      <c r="F27" s="659"/>
      <c r="G27" s="659"/>
      <c r="H27" s="660"/>
      <c r="I27" s="658"/>
      <c r="J27" s="663"/>
      <c r="K27" s="658"/>
      <c r="L27" s="663"/>
      <c r="M27" s="662"/>
      <c r="N27" s="663"/>
      <c r="O27" s="658"/>
      <c r="P27" s="663"/>
      <c r="Q27" s="658"/>
      <c r="R27" s="1227"/>
    </row>
    <row r="28" spans="1:20" s="107" customFormat="1" ht="17.100000000000001" customHeight="1">
      <c r="A28" s="1225" t="str">
        <f>IF(Datos!$C$20&gt;A27,A27+1,"")</f>
        <v/>
      </c>
      <c r="B28" s="1226"/>
      <c r="C28" s="658"/>
      <c r="D28" s="660"/>
      <c r="E28" s="658"/>
      <c r="F28" s="659"/>
      <c r="G28" s="659"/>
      <c r="H28" s="660"/>
      <c r="I28" s="658"/>
      <c r="J28" s="663"/>
      <c r="K28" s="658"/>
      <c r="L28" s="663"/>
      <c r="M28" s="662"/>
      <c r="N28" s="663"/>
      <c r="O28" s="658"/>
      <c r="P28" s="663"/>
      <c r="Q28" s="658"/>
      <c r="R28" s="1227"/>
    </row>
    <row r="29" spans="1:20" s="107" customFormat="1" ht="17.100000000000001" customHeight="1">
      <c r="A29" s="1225" t="str">
        <f>IF(Datos!$C$20&gt;A28,A28+1,"")</f>
        <v/>
      </c>
      <c r="B29" s="1226"/>
      <c r="C29" s="658"/>
      <c r="D29" s="660"/>
      <c r="E29" s="658"/>
      <c r="F29" s="659"/>
      <c r="G29" s="659"/>
      <c r="H29" s="660"/>
      <c r="I29" s="658"/>
      <c r="J29" s="663"/>
      <c r="K29" s="658"/>
      <c r="L29" s="663"/>
      <c r="M29" s="662"/>
      <c r="N29" s="663"/>
      <c r="O29" s="658"/>
      <c r="P29" s="663"/>
      <c r="Q29" s="658"/>
      <c r="R29" s="1227"/>
    </row>
    <row r="30" spans="1:20" s="107" customFormat="1" ht="17.100000000000001" customHeight="1">
      <c r="A30" s="1225" t="str">
        <f>IF(Datos!$C$20&gt;A29,A29+1,"")</f>
        <v/>
      </c>
      <c r="B30" s="1228"/>
      <c r="C30" s="1229"/>
      <c r="D30" s="660"/>
      <c r="E30" s="658"/>
      <c r="F30" s="1230"/>
      <c r="G30" s="659"/>
      <c r="H30" s="660"/>
      <c r="I30" s="658"/>
      <c r="J30" s="663"/>
      <c r="K30" s="658"/>
      <c r="L30" s="663"/>
      <c r="M30" s="662"/>
      <c r="N30" s="663"/>
      <c r="O30" s="658"/>
      <c r="P30" s="663"/>
      <c r="Q30" s="1229"/>
      <c r="R30" s="1231"/>
    </row>
    <row r="31" spans="1:20" s="107" customFormat="1" ht="17.100000000000001" customHeight="1">
      <c r="A31" s="1701" t="s">
        <v>44</v>
      </c>
      <c r="B31" s="1702"/>
      <c r="C31" s="664">
        <f>SUM(C11:C30)</f>
        <v>6036914.4900000002</v>
      </c>
      <c r="D31" s="665">
        <f>+C31/L7</f>
        <v>5.6615003629975784E-2</v>
      </c>
      <c r="E31" s="664"/>
      <c r="F31" s="666"/>
      <c r="G31" s="667">
        <f t="shared" ref="G31:P31" si="16">SUM(G11:G30)</f>
        <v>0</v>
      </c>
      <c r="H31" s="668">
        <f t="shared" si="16"/>
        <v>0</v>
      </c>
      <c r="I31" s="664">
        <f>SUM(I11:I30)</f>
        <v>1207382.9099999999</v>
      </c>
      <c r="J31" s="665">
        <f>+I31/L7</f>
        <v>1.1323000838532785E-2</v>
      </c>
      <c r="K31" s="664">
        <f>SUM(K11:K30)</f>
        <v>422584.01999999996</v>
      </c>
      <c r="L31" s="665">
        <f>+K31/L7</f>
        <v>3.9630503075536779E-3</v>
      </c>
      <c r="M31" s="669">
        <f t="shared" si="16"/>
        <v>0</v>
      </c>
      <c r="N31" s="668">
        <f t="shared" si="16"/>
        <v>0</v>
      </c>
      <c r="O31" s="669">
        <f t="shared" si="16"/>
        <v>0</v>
      </c>
      <c r="P31" s="668">
        <f t="shared" si="16"/>
        <v>0</v>
      </c>
      <c r="Q31" s="664">
        <f>SUM(Q11:Q30)</f>
        <v>26086515.489999998</v>
      </c>
      <c r="R31" s="665">
        <f>+Q31/L7</f>
        <v>0.2446428836463061</v>
      </c>
      <c r="S31" s="1402">
        <f>SUM(Q12:Q30)</f>
        <v>4406947.5599999996</v>
      </c>
      <c r="T31" s="569">
        <v>26086515.489999998</v>
      </c>
    </row>
    <row r="32" spans="1:20" s="107" customFormat="1" ht="16.5">
      <c r="A32" s="288"/>
      <c r="B32" s="104"/>
      <c r="C32" s="104"/>
      <c r="D32" s="1175"/>
      <c r="E32" s="104"/>
      <c r="F32" s="104"/>
      <c r="G32" s="104"/>
      <c r="H32" s="104"/>
      <c r="I32" s="104"/>
      <c r="J32" s="104"/>
      <c r="K32" s="104"/>
      <c r="L32" s="104"/>
      <c r="M32" s="119"/>
      <c r="N32" s="119"/>
      <c r="O32" s="104"/>
      <c r="P32" s="104"/>
      <c r="Q32" s="104"/>
      <c r="R32" s="118"/>
    </row>
    <row r="33" spans="1:18" s="105" customFormat="1" ht="16.5">
      <c r="A33" s="290" t="s">
        <v>12</v>
      </c>
      <c r="B33" s="120"/>
      <c r="C33" s="120"/>
      <c r="D33" s="120"/>
      <c r="E33" s="113">
        <f>L7-C31</f>
        <v>100594086.18000001</v>
      </c>
      <c r="F33" s="302"/>
      <c r="G33" s="291"/>
      <c r="H33" s="291"/>
      <c r="I33" s="291"/>
      <c r="J33" s="291"/>
      <c r="K33" s="291" t="s">
        <v>191</v>
      </c>
      <c r="L33" s="120"/>
      <c r="M33" s="302"/>
      <c r="N33" s="302"/>
      <c r="O33" s="113"/>
      <c r="P33" s="113"/>
      <c r="Q33" s="120"/>
      <c r="R33" s="121"/>
    </row>
    <row r="34" spans="1:18" s="107" customFormat="1" ht="16.5">
      <c r="A34" s="288"/>
      <c r="B34" s="104"/>
      <c r="C34" s="104"/>
      <c r="D34" s="104"/>
      <c r="E34" s="104"/>
      <c r="F34" s="104"/>
      <c r="G34" s="104"/>
      <c r="H34" s="104"/>
      <c r="I34" s="104"/>
      <c r="J34" s="104"/>
      <c r="K34" s="119"/>
      <c r="L34" s="119"/>
      <c r="M34" s="104"/>
      <c r="N34" s="104"/>
      <c r="O34" s="104">
        <f>L7*0.7</f>
        <v>74641700.468999997</v>
      </c>
      <c r="P34" s="104"/>
      <c r="Q34" s="119">
        <f>L7-Q31</f>
        <v>80544485.180000007</v>
      </c>
      <c r="R34" s="118"/>
    </row>
    <row r="35" spans="1:18" s="107" customFormat="1" ht="16.5">
      <c r="A35" s="288"/>
      <c r="B35" s="104"/>
      <c r="C35" s="104"/>
      <c r="D35" s="104"/>
      <c r="E35" s="104"/>
      <c r="F35" s="104"/>
      <c r="G35" s="104"/>
      <c r="H35" s="104"/>
      <c r="I35" s="104"/>
      <c r="J35" s="104"/>
      <c r="K35" s="119"/>
      <c r="L35" s="119"/>
      <c r="M35" s="104"/>
      <c r="N35" s="104"/>
      <c r="O35" s="104">
        <f>L7*0.3</f>
        <v>31989300.200999998</v>
      </c>
      <c r="P35" s="104"/>
      <c r="Q35" s="104"/>
      <c r="R35" s="118"/>
    </row>
    <row r="36" spans="1:18" s="107" customFormat="1" ht="16.5">
      <c r="A36" s="288"/>
      <c r="B36" s="104"/>
      <c r="C36" s="104"/>
      <c r="D36" s="104"/>
      <c r="E36" s="104"/>
      <c r="F36" s="104"/>
      <c r="G36" s="104"/>
      <c r="H36" s="104"/>
      <c r="I36" s="104"/>
      <c r="J36" s="104"/>
      <c r="K36" s="119"/>
      <c r="L36" s="119"/>
      <c r="M36" s="104"/>
      <c r="N36" s="104"/>
      <c r="O36" s="104">
        <f>O34+O35</f>
        <v>106631000.66999999</v>
      </c>
      <c r="P36" s="104"/>
      <c r="Q36" s="104"/>
      <c r="R36" s="118"/>
    </row>
    <row r="37" spans="1:18" s="107" customFormat="1" ht="16.5">
      <c r="A37" s="288"/>
      <c r="B37" s="104"/>
      <c r="C37" s="104"/>
      <c r="D37" s="104"/>
      <c r="E37" s="104"/>
      <c r="F37" s="104"/>
      <c r="G37" s="104"/>
      <c r="H37" s="104"/>
      <c r="I37" s="104"/>
      <c r="J37" s="104"/>
      <c r="K37" s="119"/>
      <c r="L37" s="119"/>
      <c r="M37" s="104"/>
      <c r="N37" s="104"/>
      <c r="O37" s="104"/>
      <c r="P37" s="104"/>
      <c r="Q37" s="104"/>
      <c r="R37" s="118"/>
    </row>
    <row r="38" spans="1:18" s="107" customFormat="1" ht="16.5">
      <c r="A38" s="288"/>
      <c r="B38" s="104"/>
      <c r="C38" s="104"/>
      <c r="D38" s="104"/>
      <c r="E38" s="104"/>
      <c r="F38" s="104"/>
      <c r="G38" s="104"/>
      <c r="H38" s="104"/>
      <c r="I38" s="104"/>
      <c r="J38" s="104"/>
      <c r="K38" s="119"/>
      <c r="L38" s="119"/>
      <c r="M38" s="104"/>
      <c r="N38" s="104"/>
      <c r="O38" s="104"/>
      <c r="P38" s="104"/>
      <c r="Q38" s="104"/>
      <c r="R38" s="118"/>
    </row>
    <row r="39" spans="1:18" s="107" customFormat="1" ht="16.5">
      <c r="A39" s="288"/>
      <c r="B39" s="104"/>
      <c r="C39" s="104"/>
      <c r="D39" s="104"/>
      <c r="E39" s="104"/>
      <c r="F39" s="104"/>
      <c r="G39" s="104"/>
      <c r="H39" s="104"/>
      <c r="I39" s="104"/>
      <c r="J39" s="104"/>
      <c r="K39" s="210"/>
      <c r="L39" s="210"/>
      <c r="M39" s="104"/>
      <c r="N39" s="104"/>
      <c r="O39" s="211"/>
      <c r="P39" s="211"/>
      <c r="Q39" s="104"/>
      <c r="R39" s="118"/>
    </row>
    <row r="40" spans="1:18" s="107" customFormat="1" ht="16.5">
      <c r="A40" s="288"/>
      <c r="B40" s="1677" t="str">
        <f>+Datos!B15</f>
        <v>Ing. Ernesto Vargas Amezaga</v>
      </c>
      <c r="C40" s="1677"/>
      <c r="D40" s="1677"/>
      <c r="E40" s="1677"/>
      <c r="F40" s="1677"/>
      <c r="G40" s="104"/>
      <c r="H40" s="104"/>
      <c r="I40" s="104"/>
      <c r="J40" s="104"/>
      <c r="K40" s="104"/>
      <c r="L40" s="1173" t="str">
        <f>+Datos!B7</f>
        <v>Ing. Pedro Alberto Barreto Gutierrez</v>
      </c>
      <c r="M40" s="301"/>
      <c r="N40" s="130" t="str">
        <f>+Datos!B7</f>
        <v>Ing. Pedro Alberto Barreto Gutierrez</v>
      </c>
      <c r="O40" s="122"/>
      <c r="P40" s="122"/>
      <c r="Q40" s="104"/>
      <c r="R40" s="118"/>
    </row>
    <row r="41" spans="1:18" s="107" customFormat="1" ht="16.5">
      <c r="A41" s="288"/>
      <c r="B41" s="1678" t="str">
        <f>+Datos!B16</f>
        <v>SUPERINTENDENTE DE OBRA a.i.</v>
      </c>
      <c r="C41" s="1678"/>
      <c r="D41" s="1678"/>
      <c r="E41" s="1678"/>
      <c r="F41" s="1678"/>
      <c r="G41" s="120"/>
      <c r="H41" s="120"/>
      <c r="I41" s="120"/>
      <c r="J41" s="120"/>
      <c r="K41" s="120"/>
      <c r="L41" s="1174" t="s">
        <v>567</v>
      </c>
      <c r="M41" s="301"/>
      <c r="N41" s="123" t="str">
        <f>+Datos!B8</f>
        <v xml:space="preserve">GERENTE SUPERVISION TECNICA </v>
      </c>
      <c r="O41" s="123"/>
      <c r="P41" s="123"/>
      <c r="Q41" s="104"/>
      <c r="R41" s="118"/>
    </row>
    <row r="42" spans="1:18" s="107" customFormat="1" ht="33.75" customHeight="1">
      <c r="A42" s="671"/>
      <c r="B42" s="1679" t="str">
        <f>+Datos!B17</f>
        <v>EMPRESA ESTRATÉGICA BOLIVIANA DE CONSTRUCCIÓN
Y CONSERVACIÓN DE INFRAESTRUCTURA CIVIL (EBC)</v>
      </c>
      <c r="C42" s="1679"/>
      <c r="D42" s="1679"/>
      <c r="E42" s="1679"/>
      <c r="F42" s="1679"/>
      <c r="G42" s="129"/>
      <c r="H42" s="129"/>
      <c r="I42" s="129"/>
      <c r="J42" s="129"/>
      <c r="K42" s="129"/>
      <c r="L42" s="555" t="s">
        <v>291</v>
      </c>
      <c r="M42" s="124"/>
      <c r="N42" s="555" t="str">
        <f>+Datos!B9</f>
        <v>ABC - REGIONAL TARIJA</v>
      </c>
      <c r="O42" s="125"/>
      <c r="P42" s="125"/>
      <c r="Q42" s="124"/>
      <c r="R42" s="126"/>
    </row>
    <row r="43" spans="1:18">
      <c r="C43" s="373"/>
      <c r="D43" s="373"/>
      <c r="E43" s="373"/>
      <c r="F43" s="373"/>
      <c r="G43" s="373"/>
      <c r="R43" s="380"/>
    </row>
    <row r="44" spans="1:18">
      <c r="G44" s="374"/>
    </row>
    <row r="45" spans="1:18">
      <c r="C45" s="109"/>
      <c r="D45" s="109"/>
      <c r="E45" s="109"/>
      <c r="F45" s="109"/>
      <c r="G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</row>
    <row r="46" spans="1:18">
      <c r="J46" s="392"/>
    </row>
    <row r="54" spans="3:18"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</row>
    <row r="55" spans="3:18"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10"/>
      <c r="R55" s="110"/>
    </row>
    <row r="56" spans="3:18"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</row>
  </sheetData>
  <mergeCells count="21">
    <mergeCell ref="O6:R6"/>
    <mergeCell ref="Q8:R9"/>
    <mergeCell ref="K8:L9"/>
    <mergeCell ref="M8:N9"/>
    <mergeCell ref="O8:P9"/>
    <mergeCell ref="L7:O7"/>
    <mergeCell ref="B40:F40"/>
    <mergeCell ref="B41:F41"/>
    <mergeCell ref="B42:F42"/>
    <mergeCell ref="A1:C1"/>
    <mergeCell ref="E8:H8"/>
    <mergeCell ref="C8:D9"/>
    <mergeCell ref="G9:H9"/>
    <mergeCell ref="A6:D6"/>
    <mergeCell ref="E3:N4"/>
    <mergeCell ref="E1:N2"/>
    <mergeCell ref="A31:B31"/>
    <mergeCell ref="A8:A9"/>
    <mergeCell ref="B8:B9"/>
    <mergeCell ref="E5:N6"/>
    <mergeCell ref="I8:J9"/>
  </mergeCells>
  <printOptions horizontalCentered="1"/>
  <pageMargins left="0.59055118110236227" right="0.59055118110236227" top="0.78740157480314965" bottom="0.59055118110236227" header="0.31496062992125984" footer="0.31496062992125984"/>
  <pageSetup scale="71" fitToWidth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3">
    <tabColor rgb="FF92D050"/>
    <pageSetUpPr fitToPage="1"/>
  </sheetPr>
  <dimension ref="B2:R63"/>
  <sheetViews>
    <sheetView showGridLines="0" view="pageBreakPreview" zoomScaleNormal="75" zoomScaleSheetLayoutView="100" workbookViewId="0">
      <selection activeCell="L13" sqref="L13"/>
    </sheetView>
  </sheetViews>
  <sheetFormatPr baseColWidth="10" defaultColWidth="11.42578125" defaultRowHeight="12.75"/>
  <cols>
    <col min="1" max="1" width="1.42578125" style="131" customWidth="1"/>
    <col min="2" max="2" width="8.7109375" style="131" customWidth="1"/>
    <col min="3" max="3" width="11.42578125" style="131" customWidth="1"/>
    <col min="4" max="4" width="14.5703125" style="131" customWidth="1"/>
    <col min="5" max="5" width="12.7109375" style="131" customWidth="1"/>
    <col min="6" max="6" width="13" style="131" customWidth="1"/>
    <col min="7" max="7" width="13.140625" style="131" customWidth="1"/>
    <col min="8" max="8" width="12.85546875" style="131" customWidth="1"/>
    <col min="9" max="9" width="15.85546875" style="131" customWidth="1"/>
    <col min="10" max="10" width="20.28515625" style="131" customWidth="1"/>
    <col min="11" max="12" width="12.5703125" style="131" bestFit="1" customWidth="1"/>
    <col min="13" max="13" width="13.85546875" style="131" hidden="1" customWidth="1"/>
    <col min="14" max="14" width="28.42578125" style="131" customWidth="1"/>
    <col min="15" max="16384" width="11.42578125" style="131"/>
  </cols>
  <sheetData>
    <row r="2" spans="2:15" ht="13.5">
      <c r="B2" s="1737"/>
      <c r="C2" s="1738"/>
      <c r="D2" s="1739"/>
      <c r="E2" s="604"/>
      <c r="F2" s="607"/>
      <c r="G2" s="607"/>
      <c r="H2" s="607"/>
      <c r="I2" s="608"/>
      <c r="J2" s="599"/>
    </row>
    <row r="3" spans="2:15" ht="16.5">
      <c r="B3" s="155"/>
      <c r="C3" s="132"/>
      <c r="D3" s="183"/>
      <c r="E3" s="1740" t="str">
        <f>+Datos!C22</f>
        <v>CERTIFICADO DE PAGO Nº 11</v>
      </c>
      <c r="F3" s="1741"/>
      <c r="G3" s="1741"/>
      <c r="H3" s="1741"/>
      <c r="I3" s="1742"/>
      <c r="J3" s="159"/>
    </row>
    <row r="4" spans="2:15" ht="15" customHeight="1">
      <c r="B4" s="155"/>
      <c r="C4" s="132"/>
      <c r="D4" s="183"/>
      <c r="E4" s="1743" t="str">
        <f>+Datos!B2</f>
        <v>PROYECTO: CONSTRUCCION Y REHABILITACION TRAMO CARRETERO
VILLA MONTES - LA VERTIENTE - PALO MARCADO</v>
      </c>
      <c r="F4" s="1744"/>
      <c r="G4" s="1744"/>
      <c r="H4" s="1744"/>
      <c r="I4" s="1745"/>
      <c r="J4" s="160"/>
    </row>
    <row r="5" spans="2:15" ht="15.75" customHeight="1">
      <c r="B5" s="156"/>
      <c r="C5" s="134"/>
      <c r="D5" s="606"/>
      <c r="E5" s="1743"/>
      <c r="F5" s="1744"/>
      <c r="G5" s="1744"/>
      <c r="H5" s="1744"/>
      <c r="I5" s="1745"/>
      <c r="J5" s="609"/>
    </row>
    <row r="6" spans="2:15" ht="17.25" customHeight="1">
      <c r="B6" s="605"/>
      <c r="C6" s="146"/>
      <c r="D6" s="157"/>
      <c r="E6" s="1746" t="s">
        <v>235</v>
      </c>
      <c r="F6" s="1747"/>
      <c r="G6" s="1747"/>
      <c r="H6" s="1747"/>
      <c r="I6" s="1748"/>
      <c r="J6" s="609"/>
    </row>
    <row r="7" spans="2:15" ht="19.5" customHeight="1">
      <c r="B7" s="1752" t="s">
        <v>7</v>
      </c>
      <c r="C7" s="1753"/>
      <c r="D7" s="1754"/>
      <c r="E7" s="1749"/>
      <c r="F7" s="1750"/>
      <c r="G7" s="1750"/>
      <c r="H7" s="1750"/>
      <c r="I7" s="1751"/>
      <c r="J7" s="610" t="s">
        <v>77</v>
      </c>
    </row>
    <row r="8" spans="2:15" ht="27.75" customHeight="1">
      <c r="C8" s="1180" t="s">
        <v>582</v>
      </c>
      <c r="D8" s="1181">
        <f>+Certificado!K11</f>
        <v>108397839.64</v>
      </c>
      <c r="F8" s="1180" t="s">
        <v>583</v>
      </c>
      <c r="G8" s="1181">
        <v>106631000.67</v>
      </c>
      <c r="H8" s="1735" t="s">
        <v>39</v>
      </c>
      <c r="I8" s="1735"/>
      <c r="J8" s="1179">
        <f>ROUND(D8*0.2,2)</f>
        <v>21679567.93</v>
      </c>
      <c r="K8" s="575"/>
    </row>
    <row r="9" spans="2:15" ht="15" customHeight="1">
      <c r="B9" s="1736" t="s">
        <v>393</v>
      </c>
      <c r="C9" s="1734" t="s">
        <v>38</v>
      </c>
      <c r="D9" s="1736" t="s">
        <v>415</v>
      </c>
      <c r="E9" s="1736" t="s">
        <v>387</v>
      </c>
      <c r="F9" s="1736" t="s">
        <v>391</v>
      </c>
      <c r="G9" s="1736"/>
      <c r="H9" s="1736"/>
      <c r="I9" s="1736" t="s">
        <v>392</v>
      </c>
      <c r="J9" s="1734" t="s">
        <v>11</v>
      </c>
    </row>
    <row r="10" spans="2:15" ht="26.25" customHeight="1">
      <c r="B10" s="1736"/>
      <c r="C10" s="1734"/>
      <c r="D10" s="1736"/>
      <c r="E10" s="1736"/>
      <c r="F10" s="603" t="s">
        <v>388</v>
      </c>
      <c r="G10" s="603" t="s">
        <v>389</v>
      </c>
      <c r="H10" s="603" t="s">
        <v>390</v>
      </c>
      <c r="I10" s="1736"/>
      <c r="J10" s="1734"/>
      <c r="M10" s="135"/>
      <c r="N10" s="135"/>
    </row>
    <row r="11" spans="2:15" ht="18" customHeight="1">
      <c r="B11" s="175" t="s">
        <v>394</v>
      </c>
      <c r="C11" s="646">
        <v>43726</v>
      </c>
      <c r="D11" s="136">
        <f>+D8</f>
        <v>108397839.64</v>
      </c>
      <c r="E11" s="420">
        <v>0.2</v>
      </c>
      <c r="F11" s="186">
        <v>0</v>
      </c>
      <c r="G11" s="187">
        <v>0</v>
      </c>
      <c r="H11" s="188">
        <f>G11</f>
        <v>0</v>
      </c>
      <c r="I11" s="184">
        <f>ROUND(D11*E11,2)</f>
        <v>21679567.93</v>
      </c>
      <c r="J11" s="394" t="s">
        <v>386</v>
      </c>
      <c r="K11" s="568"/>
      <c r="L11" s="135"/>
      <c r="M11" s="135"/>
      <c r="N11" s="135"/>
      <c r="O11" s="135"/>
    </row>
    <row r="12" spans="2:15" ht="18" customHeight="1">
      <c r="B12" s="176">
        <v>1</v>
      </c>
      <c r="C12" s="646" t="s">
        <v>414</v>
      </c>
      <c r="D12" s="137">
        <f>+'Avance Financiero'!C12</f>
        <v>230575.22</v>
      </c>
      <c r="E12" s="420">
        <v>0.2</v>
      </c>
      <c r="F12" s="189">
        <f t="shared" ref="F12:F17" si="0">+H11</f>
        <v>0</v>
      </c>
      <c r="G12" s="100">
        <f t="shared" ref="G12:G20" si="1">ROUND(D12*E12,2)</f>
        <v>46115.040000000001</v>
      </c>
      <c r="H12" s="190">
        <f>+F12+G12</f>
        <v>46115.040000000001</v>
      </c>
      <c r="I12" s="185">
        <f t="shared" ref="I12:I17" si="2">+I11-G12</f>
        <v>21633452.890000001</v>
      </c>
      <c r="J12" s="179"/>
      <c r="K12" s="568"/>
      <c r="L12" s="135"/>
      <c r="M12" s="135"/>
      <c r="N12" s="135"/>
      <c r="O12" s="135"/>
    </row>
    <row r="13" spans="2:15" ht="18" customHeight="1">
      <c r="B13" s="176">
        <v>2</v>
      </c>
      <c r="C13" s="646">
        <v>44105</v>
      </c>
      <c r="D13" s="137">
        <f>+'Avance Financiero'!C13</f>
        <v>515942.19999999995</v>
      </c>
      <c r="E13" s="420">
        <v>0.2</v>
      </c>
      <c r="F13" s="189">
        <f t="shared" si="0"/>
        <v>46115.040000000001</v>
      </c>
      <c r="G13" s="100">
        <f t="shared" si="1"/>
        <v>103188.44</v>
      </c>
      <c r="H13" s="190">
        <f t="shared" ref="H13:H20" si="3">+H12+G13</f>
        <v>149303.48000000001</v>
      </c>
      <c r="I13" s="185">
        <f t="shared" si="2"/>
        <v>21530264.449999999</v>
      </c>
      <c r="J13" s="179"/>
      <c r="K13" s="568"/>
      <c r="L13" s="135"/>
      <c r="M13" s="135"/>
      <c r="N13" s="135"/>
      <c r="O13" s="135"/>
    </row>
    <row r="14" spans="2:15" ht="18" customHeight="1">
      <c r="B14" s="176">
        <v>3</v>
      </c>
      <c r="C14" s="646">
        <v>44136</v>
      </c>
      <c r="D14" s="137">
        <f>+'Avance Financiero'!C14</f>
        <v>778326.78</v>
      </c>
      <c r="E14" s="420">
        <v>0.2</v>
      </c>
      <c r="F14" s="189">
        <f t="shared" si="0"/>
        <v>149303.48000000001</v>
      </c>
      <c r="G14" s="100">
        <f t="shared" si="1"/>
        <v>155665.35999999999</v>
      </c>
      <c r="H14" s="190">
        <f t="shared" si="3"/>
        <v>304968.83999999997</v>
      </c>
      <c r="I14" s="185">
        <f t="shared" si="2"/>
        <v>21374599.09</v>
      </c>
      <c r="J14" s="179"/>
      <c r="K14" s="568"/>
      <c r="L14" s="135"/>
      <c r="M14" s="135"/>
      <c r="N14" s="135"/>
      <c r="O14" s="135"/>
    </row>
    <row r="15" spans="2:15" ht="18" customHeight="1">
      <c r="B15" s="176">
        <v>4</v>
      </c>
      <c r="C15" s="646" t="s">
        <v>426</v>
      </c>
      <c r="D15" s="137">
        <f>+'Avance Financiero'!C15</f>
        <v>86910.98</v>
      </c>
      <c r="E15" s="420">
        <v>0.2</v>
      </c>
      <c r="F15" s="189">
        <f t="shared" si="0"/>
        <v>304968.83999999997</v>
      </c>
      <c r="G15" s="100">
        <f t="shared" si="1"/>
        <v>17382.2</v>
      </c>
      <c r="H15" s="190">
        <f t="shared" si="3"/>
        <v>322351.03999999998</v>
      </c>
      <c r="I15" s="185">
        <f t="shared" si="2"/>
        <v>21357216.890000001</v>
      </c>
      <c r="J15" s="179"/>
      <c r="K15" s="568"/>
      <c r="L15" s="135"/>
      <c r="M15" s="135"/>
      <c r="N15" s="135"/>
      <c r="O15" s="135"/>
    </row>
    <row r="16" spans="2:15" ht="18" customHeight="1">
      <c r="B16" s="176">
        <v>5</v>
      </c>
      <c r="C16" s="646">
        <v>44256</v>
      </c>
      <c r="D16" s="137">
        <f>+'Avance Financiero'!C16</f>
        <v>38094.980000000003</v>
      </c>
      <c r="E16" s="420">
        <v>0.2</v>
      </c>
      <c r="F16" s="189">
        <f t="shared" si="0"/>
        <v>322351.03999999998</v>
      </c>
      <c r="G16" s="100">
        <f t="shared" si="1"/>
        <v>7619</v>
      </c>
      <c r="H16" s="190">
        <f t="shared" si="3"/>
        <v>329970.03999999998</v>
      </c>
      <c r="I16" s="185">
        <f t="shared" si="2"/>
        <v>21349597.890000001</v>
      </c>
      <c r="J16" s="179"/>
      <c r="K16" s="568"/>
      <c r="L16" s="135"/>
      <c r="M16" s="135"/>
      <c r="N16" s="135"/>
      <c r="O16" s="135"/>
    </row>
    <row r="17" spans="2:15" ht="18" customHeight="1">
      <c r="B17" s="176">
        <v>6</v>
      </c>
      <c r="C17" s="646">
        <v>44287</v>
      </c>
      <c r="D17" s="137">
        <f>+'Avance Financiero'!C17</f>
        <v>81632.100000000006</v>
      </c>
      <c r="E17" s="420">
        <v>0.2</v>
      </c>
      <c r="F17" s="189">
        <f t="shared" si="0"/>
        <v>329970.03999999998</v>
      </c>
      <c r="G17" s="100">
        <f t="shared" si="1"/>
        <v>16326.42</v>
      </c>
      <c r="H17" s="190">
        <f t="shared" si="3"/>
        <v>346296.45999999996</v>
      </c>
      <c r="I17" s="185">
        <f t="shared" si="2"/>
        <v>21333271.469999999</v>
      </c>
      <c r="J17" s="179"/>
      <c r="L17" s="232"/>
      <c r="M17" s="135"/>
      <c r="N17" s="135"/>
      <c r="O17" s="135"/>
    </row>
    <row r="18" spans="2:15" ht="18" customHeight="1">
      <c r="B18" s="176">
        <v>7</v>
      </c>
      <c r="C18" s="646">
        <v>44317</v>
      </c>
      <c r="D18" s="137">
        <f>+'Avance Financiero'!C18</f>
        <v>9267.23</v>
      </c>
      <c r="E18" s="420">
        <v>0.2</v>
      </c>
      <c r="F18" s="189">
        <f t="shared" ref="F18" si="4">+H17</f>
        <v>346296.45999999996</v>
      </c>
      <c r="G18" s="100">
        <f t="shared" si="1"/>
        <v>1853.45</v>
      </c>
      <c r="H18" s="190">
        <f t="shared" si="3"/>
        <v>348149.91</v>
      </c>
      <c r="I18" s="185">
        <f t="shared" ref="I18" si="5">+I17-G18</f>
        <v>21331418.02</v>
      </c>
      <c r="J18" s="179"/>
      <c r="L18" s="135"/>
      <c r="M18" s="135"/>
      <c r="N18" s="135"/>
      <c r="O18" s="135"/>
    </row>
    <row r="19" spans="2:15" ht="18" customHeight="1">
      <c r="B19" s="176">
        <f>+'Avance Financiero'!A19</f>
        <v>8</v>
      </c>
      <c r="C19" s="646">
        <v>44348</v>
      </c>
      <c r="D19" s="137">
        <f>+'Avance Financiero'!C19</f>
        <v>17878.849999999999</v>
      </c>
      <c r="E19" s="420">
        <v>0.2</v>
      </c>
      <c r="F19" s="189">
        <f t="shared" ref="F19:F20" si="6">+H18</f>
        <v>348149.91</v>
      </c>
      <c r="G19" s="100">
        <f t="shared" si="1"/>
        <v>3575.77</v>
      </c>
      <c r="H19" s="190">
        <f t="shared" si="3"/>
        <v>351725.68</v>
      </c>
      <c r="I19" s="185">
        <f t="shared" ref="I19:I20" si="7">+I18-G19</f>
        <v>21327842.25</v>
      </c>
      <c r="J19" s="179"/>
      <c r="L19" s="135"/>
      <c r="M19" s="135"/>
      <c r="N19" s="135"/>
      <c r="O19" s="135"/>
    </row>
    <row r="20" spans="2:15" ht="18" customHeight="1">
      <c r="B20" s="176">
        <f>+'Avance Financiero'!A20</f>
        <v>9</v>
      </c>
      <c r="C20" s="646">
        <v>44378</v>
      </c>
      <c r="D20" s="137">
        <f>+'Avance Financiero'!C20</f>
        <v>261075.14</v>
      </c>
      <c r="E20" s="420">
        <v>0.2</v>
      </c>
      <c r="F20" s="189">
        <f t="shared" si="6"/>
        <v>351725.68</v>
      </c>
      <c r="G20" s="100">
        <f t="shared" si="1"/>
        <v>52215.03</v>
      </c>
      <c r="H20" s="190">
        <f t="shared" si="3"/>
        <v>403940.70999999996</v>
      </c>
      <c r="I20" s="185">
        <f t="shared" si="7"/>
        <v>21275627.219999999</v>
      </c>
      <c r="J20" s="1240"/>
      <c r="L20" s="135"/>
      <c r="M20" s="135"/>
      <c r="N20" s="135"/>
      <c r="O20" s="135"/>
    </row>
    <row r="21" spans="2:15" ht="18" customHeight="1">
      <c r="B21" s="176">
        <f>+'Avance Financiero'!A21</f>
        <v>10</v>
      </c>
      <c r="C21" s="646">
        <v>44409</v>
      </c>
      <c r="D21" s="137">
        <f>+'Avance Financiero'!C21</f>
        <v>2250654.7699999996</v>
      </c>
      <c r="E21" s="420">
        <v>0.2</v>
      </c>
      <c r="F21" s="189">
        <f t="shared" ref="F21" si="8">+H20</f>
        <v>403940.70999999996</v>
      </c>
      <c r="G21" s="100">
        <f>ROUND(D21*E21,2)</f>
        <v>450130.95</v>
      </c>
      <c r="H21" s="190">
        <f t="shared" ref="H21" si="9">+H20+G21</f>
        <v>854071.65999999992</v>
      </c>
      <c r="I21" s="185">
        <f t="shared" ref="I21" si="10">+I20-G21</f>
        <v>20825496.27</v>
      </c>
      <c r="J21" s="179"/>
      <c r="L21" s="135"/>
      <c r="M21" s="135"/>
      <c r="N21" s="135"/>
      <c r="O21" s="135"/>
    </row>
    <row r="22" spans="2:15" ht="18" customHeight="1">
      <c r="B22" s="1232">
        <f>+'Avance Financiero'!A22</f>
        <v>11</v>
      </c>
      <c r="C22" s="1233">
        <v>44440</v>
      </c>
      <c r="D22" s="1234">
        <f>+'Avance Financiero'!C22</f>
        <v>1766556.24</v>
      </c>
      <c r="E22" s="1235">
        <v>0.2</v>
      </c>
      <c r="F22" s="1236">
        <f t="shared" ref="F22" si="11">+H21</f>
        <v>854071.65999999992</v>
      </c>
      <c r="G22" s="1237">
        <f>ROUND(D22*E22,2)</f>
        <v>353311.25</v>
      </c>
      <c r="H22" s="1238">
        <f>+H21+G22</f>
        <v>1207382.9099999999</v>
      </c>
      <c r="I22" s="1239">
        <f t="shared" ref="I22" si="12">+I21-G22</f>
        <v>20472185.02</v>
      </c>
      <c r="J22" s="179"/>
      <c r="L22" s="135"/>
      <c r="M22" s="135"/>
      <c r="N22" s="135"/>
      <c r="O22" s="135"/>
    </row>
    <row r="23" spans="2:15" ht="18" customHeight="1">
      <c r="B23" s="176" t="str">
        <f>+'Avance Financiero'!A23</f>
        <v/>
      </c>
      <c r="C23" s="646"/>
      <c r="D23" s="137"/>
      <c r="E23" s="420"/>
      <c r="F23" s="189"/>
      <c r="G23" s="100"/>
      <c r="H23" s="190"/>
      <c r="I23" s="185"/>
      <c r="J23" s="179"/>
      <c r="L23" s="135"/>
      <c r="M23" s="135"/>
      <c r="N23" s="135"/>
      <c r="O23" s="135"/>
    </row>
    <row r="24" spans="2:15" ht="18" customHeight="1">
      <c r="B24" s="176" t="str">
        <f>+'Avance Financiero'!A24</f>
        <v/>
      </c>
      <c r="C24" s="646"/>
      <c r="D24" s="137"/>
      <c r="E24" s="420"/>
      <c r="F24" s="189"/>
      <c r="G24" s="100"/>
      <c r="H24" s="190"/>
      <c r="I24" s="185"/>
      <c r="J24" s="179"/>
      <c r="L24" s="135"/>
      <c r="M24" s="135"/>
      <c r="N24" s="135"/>
      <c r="O24" s="135"/>
    </row>
    <row r="25" spans="2:15" ht="18" customHeight="1">
      <c r="B25" s="176" t="str">
        <f>+'Avance Financiero'!A25</f>
        <v/>
      </c>
      <c r="C25" s="646"/>
      <c r="D25" s="137"/>
      <c r="E25" s="420"/>
      <c r="F25" s="189"/>
      <c r="G25" s="100"/>
      <c r="H25" s="190"/>
      <c r="I25" s="185"/>
      <c r="J25" s="179"/>
      <c r="L25" s="135"/>
      <c r="M25" s="135"/>
      <c r="N25" s="135"/>
      <c r="O25" s="135"/>
    </row>
    <row r="26" spans="2:15" ht="18" customHeight="1">
      <c r="B26" s="176" t="str">
        <f>+'Avance Financiero'!A26</f>
        <v/>
      </c>
      <c r="C26" s="646"/>
      <c r="D26" s="137"/>
      <c r="E26" s="420"/>
      <c r="F26" s="189"/>
      <c r="G26" s="100"/>
      <c r="H26" s="190"/>
      <c r="I26" s="185"/>
      <c r="J26" s="179"/>
      <c r="L26" s="135"/>
    </row>
    <row r="27" spans="2:15" ht="18" customHeight="1">
      <c r="B27" s="176" t="str">
        <f>+'Avance Financiero'!A27</f>
        <v/>
      </c>
      <c r="C27" s="646"/>
      <c r="D27" s="137"/>
      <c r="E27" s="420"/>
      <c r="F27" s="189"/>
      <c r="G27" s="100"/>
      <c r="H27" s="190"/>
      <c r="I27" s="185"/>
      <c r="J27" s="179"/>
    </row>
    <row r="28" spans="2:15" ht="18" customHeight="1">
      <c r="B28" s="176" t="str">
        <f>+'Avance Financiero'!A28</f>
        <v/>
      </c>
      <c r="C28" s="646"/>
      <c r="D28" s="137"/>
      <c r="E28" s="420"/>
      <c r="F28" s="189"/>
      <c r="G28" s="100"/>
      <c r="H28" s="190"/>
      <c r="I28" s="185"/>
      <c r="J28" s="179"/>
    </row>
    <row r="29" spans="2:15" ht="18" customHeight="1">
      <c r="B29" s="176" t="str">
        <f>+'Avance Financiero'!A29</f>
        <v/>
      </c>
      <c r="C29" s="646"/>
      <c r="D29" s="137"/>
      <c r="E29" s="420"/>
      <c r="F29" s="189"/>
      <c r="G29" s="100"/>
      <c r="H29" s="190"/>
      <c r="I29" s="185"/>
      <c r="J29" s="179"/>
    </row>
    <row r="30" spans="2:15" ht="18" customHeight="1">
      <c r="B30" s="176" t="str">
        <f>+'Avance Financiero'!A30</f>
        <v/>
      </c>
      <c r="C30" s="646"/>
      <c r="D30" s="137"/>
      <c r="E30" s="420"/>
      <c r="F30" s="189"/>
      <c r="G30" s="100"/>
      <c r="H30" s="190"/>
      <c r="I30" s="185"/>
      <c r="J30" s="179"/>
    </row>
    <row r="31" spans="2:15" ht="18" customHeight="1">
      <c r="B31" s="176"/>
      <c r="C31" s="646"/>
      <c r="D31" s="137"/>
      <c r="E31" s="420"/>
      <c r="F31" s="189"/>
      <c r="G31" s="100"/>
      <c r="H31" s="190"/>
      <c r="I31" s="185"/>
      <c r="J31" s="179"/>
    </row>
    <row r="32" spans="2:15" ht="18" customHeight="1">
      <c r="B32" s="176"/>
      <c r="C32" s="127"/>
      <c r="D32" s="139"/>
      <c r="E32" s="139"/>
      <c r="F32" s="189"/>
      <c r="G32" s="192"/>
      <c r="H32" s="190"/>
      <c r="I32" s="185"/>
      <c r="J32" s="182"/>
    </row>
    <row r="33" spans="2:18" ht="18" customHeight="1">
      <c r="B33" s="176"/>
      <c r="C33" s="177"/>
      <c r="D33" s="139"/>
      <c r="E33" s="139"/>
      <c r="F33" s="189"/>
      <c r="G33" s="192"/>
      <c r="H33" s="190"/>
      <c r="I33" s="185"/>
      <c r="J33" s="182"/>
    </row>
    <row r="34" spans="2:18" ht="18" customHeight="1">
      <c r="B34" s="176"/>
      <c r="C34" s="177"/>
      <c r="D34" s="139"/>
      <c r="E34" s="139"/>
      <c r="F34" s="189"/>
      <c r="G34" s="192"/>
      <c r="H34" s="190"/>
      <c r="I34" s="185"/>
      <c r="J34" s="182"/>
    </row>
    <row r="35" spans="2:18" ht="18" customHeight="1">
      <c r="B35" s="176"/>
      <c r="C35" s="177"/>
      <c r="D35" s="139"/>
      <c r="E35" s="139"/>
      <c r="F35" s="189"/>
      <c r="G35" s="192"/>
      <c r="H35" s="190"/>
      <c r="I35" s="185"/>
      <c r="J35" s="182"/>
    </row>
    <row r="36" spans="2:18" ht="18" customHeight="1">
      <c r="B36" s="176"/>
      <c r="C36" s="177"/>
      <c r="D36" s="139"/>
      <c r="E36" s="139"/>
      <c r="F36" s="189"/>
      <c r="G36" s="192"/>
      <c r="H36" s="190"/>
      <c r="I36" s="185"/>
      <c r="J36" s="182"/>
    </row>
    <row r="37" spans="2:18" ht="18" customHeight="1">
      <c r="B37" s="176"/>
      <c r="C37" s="177"/>
      <c r="D37" s="139"/>
      <c r="E37" s="139"/>
      <c r="F37" s="189"/>
      <c r="G37" s="192"/>
      <c r="H37" s="190"/>
      <c r="I37" s="185"/>
      <c r="J37" s="182"/>
    </row>
    <row r="38" spans="2:18" ht="18" customHeight="1">
      <c r="B38" s="176"/>
      <c r="C38" s="177"/>
      <c r="D38" s="139"/>
      <c r="E38" s="139"/>
      <c r="F38" s="189"/>
      <c r="G38" s="192"/>
      <c r="H38" s="190"/>
      <c r="I38" s="185"/>
      <c r="J38" s="182"/>
    </row>
    <row r="39" spans="2:18" ht="18" customHeight="1">
      <c r="B39" s="176"/>
      <c r="C39" s="177"/>
      <c r="D39" s="139"/>
      <c r="E39" s="139"/>
      <c r="F39" s="189"/>
      <c r="G39" s="192"/>
      <c r="H39" s="190"/>
      <c r="I39" s="185"/>
      <c r="J39" s="182"/>
    </row>
    <row r="40" spans="2:18" ht="18" customHeight="1">
      <c r="B40" s="178"/>
      <c r="C40" s="177"/>
      <c r="D40" s="139"/>
      <c r="E40" s="139"/>
      <c r="F40" s="189"/>
      <c r="G40" s="192"/>
      <c r="H40" s="190"/>
      <c r="I40" s="185"/>
      <c r="J40" s="182"/>
    </row>
    <row r="41" spans="2:18" ht="18" customHeight="1">
      <c r="B41" s="1732" t="s">
        <v>92</v>
      </c>
      <c r="C41" s="1733"/>
      <c r="D41" s="1733"/>
      <c r="E41" s="1733"/>
      <c r="F41" s="197">
        <f>MAX(F11:F40)</f>
        <v>854071.65999999992</v>
      </c>
      <c r="G41" s="198">
        <f>+H41-F41</f>
        <v>353311.25</v>
      </c>
      <c r="H41" s="199">
        <f>MAX(H11:H40)</f>
        <v>1207382.9099999999</v>
      </c>
      <c r="I41" s="200">
        <f>J8-H41</f>
        <v>20472185.02</v>
      </c>
      <c r="J41" s="196"/>
    </row>
    <row r="42" spans="2:18" ht="18" customHeight="1">
      <c r="B42" s="1732" t="s">
        <v>435</v>
      </c>
      <c r="C42" s="1733"/>
      <c r="D42" s="1733"/>
      <c r="E42" s="1733"/>
      <c r="F42" s="828">
        <f t="shared" ref="F42:I42" si="13">+F41/$J$8*0.2</f>
        <v>7.8790468772963231E-3</v>
      </c>
      <c r="G42" s="828">
        <f t="shared" si="13"/>
        <v>3.2593938323935965E-3</v>
      </c>
      <c r="H42" s="828">
        <f>+H41/G8</f>
        <v>1.1323000838532785E-2</v>
      </c>
      <c r="I42" s="828">
        <f t="shared" si="13"/>
        <v>0.18886155929031009</v>
      </c>
      <c r="J42" s="196"/>
    </row>
    <row r="43" spans="2:18" ht="8.25" customHeight="1">
      <c r="B43" s="155"/>
      <c r="C43" s="132"/>
      <c r="D43" s="132"/>
      <c r="E43" s="132"/>
      <c r="F43" s="132"/>
      <c r="G43" s="132"/>
      <c r="H43" s="132"/>
      <c r="I43" s="132"/>
      <c r="J43" s="183"/>
    </row>
    <row r="44" spans="2:18">
      <c r="B44" s="161"/>
      <c r="C44" s="162"/>
      <c r="D44" s="601"/>
      <c r="E44" s="163"/>
      <c r="F44" s="163"/>
      <c r="G44" s="163"/>
      <c r="H44" s="163"/>
      <c r="I44" s="163"/>
      <c r="J44" s="164"/>
      <c r="K44" s="140"/>
      <c r="L44" s="140"/>
      <c r="M44" s="140"/>
      <c r="N44" s="141"/>
      <c r="O44" s="141"/>
      <c r="P44" s="141"/>
      <c r="Q44" s="141"/>
      <c r="R44" s="142"/>
    </row>
    <row r="45" spans="2:18">
      <c r="B45" s="165" t="s">
        <v>12</v>
      </c>
      <c r="C45" s="143"/>
      <c r="D45" s="143"/>
      <c r="E45" s="144"/>
      <c r="F45" s="132"/>
      <c r="G45" s="146" t="s">
        <v>8</v>
      </c>
      <c r="H45" s="147"/>
      <c r="I45" s="132"/>
      <c r="J45" s="166"/>
      <c r="K45" s="148"/>
      <c r="L45" s="132"/>
      <c r="M45" s="132"/>
      <c r="N45" s="147"/>
      <c r="O45" s="147"/>
      <c r="P45" s="147"/>
      <c r="Q45" s="147"/>
      <c r="R45" s="147"/>
    </row>
    <row r="46" spans="2:18">
      <c r="B46" s="167"/>
      <c r="C46" s="144"/>
      <c r="D46" s="144"/>
      <c r="E46" s="144"/>
      <c r="F46" s="132"/>
      <c r="G46" s="132"/>
      <c r="H46" s="147"/>
      <c r="I46" s="149"/>
      <c r="J46" s="166"/>
      <c r="K46" s="147"/>
      <c r="L46" s="147"/>
      <c r="M46" s="147"/>
      <c r="N46" s="147"/>
      <c r="O46" s="147"/>
      <c r="P46" s="147"/>
      <c r="Q46" s="147"/>
      <c r="R46" s="147"/>
    </row>
    <row r="47" spans="2:18">
      <c r="B47" s="167"/>
      <c r="C47" s="144"/>
      <c r="D47" s="144"/>
      <c r="E47" s="144"/>
      <c r="F47" s="132"/>
      <c r="G47" s="132"/>
      <c r="H47" s="147"/>
      <c r="I47" s="149"/>
      <c r="J47" s="166"/>
      <c r="K47" s="147"/>
      <c r="L47" s="147"/>
      <c r="M47" s="147"/>
      <c r="N47" s="147"/>
      <c r="O47" s="147"/>
      <c r="P47" s="147"/>
      <c r="Q47" s="147"/>
      <c r="R47" s="147"/>
    </row>
    <row r="48" spans="2:18">
      <c r="B48" s="167"/>
      <c r="C48" s="144"/>
      <c r="D48" s="144"/>
      <c r="E48" s="144"/>
      <c r="F48" s="132"/>
      <c r="G48" s="132"/>
      <c r="H48" s="147"/>
      <c r="I48" s="149"/>
      <c r="J48" s="166"/>
      <c r="K48" s="147"/>
      <c r="L48" s="147"/>
      <c r="M48" s="147"/>
      <c r="N48" s="147"/>
      <c r="O48" s="147"/>
      <c r="P48" s="147"/>
      <c r="Q48" s="147"/>
      <c r="R48" s="147"/>
    </row>
    <row r="49" spans="2:18">
      <c r="B49" s="167"/>
      <c r="C49" s="144"/>
      <c r="D49" s="144"/>
      <c r="E49" s="144"/>
      <c r="F49" s="132"/>
      <c r="G49" s="132"/>
      <c r="H49" s="147"/>
      <c r="I49" s="149"/>
      <c r="J49" s="166"/>
      <c r="K49" s="147"/>
      <c r="L49" s="147"/>
      <c r="M49" s="147"/>
      <c r="N49" s="147"/>
      <c r="O49" s="147"/>
      <c r="P49" s="147"/>
      <c r="Q49" s="147"/>
      <c r="R49" s="147"/>
    </row>
    <row r="50" spans="2:18">
      <c r="B50" s="167"/>
      <c r="C50" s="144"/>
      <c r="D50" s="144"/>
      <c r="E50" s="144"/>
      <c r="F50" s="132"/>
      <c r="G50" s="132"/>
      <c r="H50" s="147"/>
      <c r="I50" s="149"/>
      <c r="J50" s="166"/>
      <c r="K50" s="147"/>
      <c r="L50" s="147"/>
      <c r="M50" s="147"/>
      <c r="N50" s="147"/>
      <c r="O50" s="147"/>
      <c r="P50" s="147"/>
      <c r="Q50" s="147"/>
      <c r="R50" s="147"/>
    </row>
    <row r="51" spans="2:18">
      <c r="B51" s="168"/>
      <c r="C51" s="150"/>
      <c r="D51" s="150"/>
      <c r="E51" s="140"/>
      <c r="F51" s="132"/>
      <c r="G51" s="132"/>
      <c r="H51" s="140"/>
      <c r="I51" s="140"/>
      <c r="J51" s="169"/>
      <c r="K51" s="140"/>
      <c r="L51" s="140"/>
      <c r="M51" s="140"/>
      <c r="N51" s="140"/>
      <c r="O51" s="140"/>
      <c r="P51" s="140"/>
      <c r="Q51" s="140"/>
      <c r="R51" s="142"/>
    </row>
    <row r="52" spans="2:18">
      <c r="B52" s="168"/>
      <c r="C52" s="150"/>
      <c r="D52" s="150"/>
      <c r="E52" s="140"/>
      <c r="F52" s="132"/>
      <c r="G52" s="132"/>
      <c r="H52" s="140"/>
      <c r="I52" s="140"/>
      <c r="J52" s="169"/>
      <c r="K52" s="140"/>
      <c r="L52" s="140"/>
      <c r="M52" s="140"/>
      <c r="N52" s="140"/>
      <c r="O52" s="140"/>
      <c r="P52" s="140"/>
      <c r="Q52" s="140"/>
      <c r="R52" s="142"/>
    </row>
    <row r="53" spans="2:18">
      <c r="B53" s="1730" t="str">
        <f>+Datos!B15</f>
        <v>Ing. Ernesto Vargas Amezaga</v>
      </c>
      <c r="C53" s="1731"/>
      <c r="D53" s="1731"/>
      <c r="E53" s="1731"/>
      <c r="F53" s="1731"/>
      <c r="G53" s="132"/>
      <c r="H53" s="132"/>
      <c r="I53" s="670" t="str">
        <f>+Datos!B7</f>
        <v>Ing. Pedro Alberto Barreto Gutierrez</v>
      </c>
      <c r="J53" s="171"/>
      <c r="K53" s="153"/>
      <c r="L53" s="153"/>
      <c r="M53" s="153"/>
      <c r="N53" s="153"/>
      <c r="O53" s="132"/>
      <c r="P53" s="153"/>
      <c r="Q53" s="153"/>
      <c r="R53" s="153"/>
    </row>
    <row r="54" spans="2:18">
      <c r="B54" s="1728" t="str">
        <f>+'Avance Financiero'!B41:F41</f>
        <v>SUPERINTENDENTE DE OBRA a.i.</v>
      </c>
      <c r="C54" s="1729"/>
      <c r="D54" s="1729"/>
      <c r="E54" s="1729"/>
      <c r="F54" s="1729"/>
      <c r="G54" s="132"/>
      <c r="H54" s="132"/>
      <c r="I54" s="150" t="str">
        <f>+Datos!B8</f>
        <v xml:space="preserve">GERENTE SUPERVISION TECNICA </v>
      </c>
      <c r="J54" s="171"/>
      <c r="K54" s="150"/>
      <c r="L54" s="150"/>
      <c r="M54" s="150"/>
      <c r="N54" s="150"/>
      <c r="O54" s="132"/>
      <c r="P54" s="150"/>
      <c r="Q54" s="150"/>
      <c r="R54" s="150"/>
    </row>
    <row r="55" spans="2:18" ht="29.25" customHeight="1">
      <c r="B55" s="1726" t="str">
        <f>+Datos!B17</f>
        <v>EMPRESA ESTRATÉGICA BOLIVIANA DE CONSTRUCCIÓN
Y CONSERVACIÓN DE INFRAESTRUCTURA CIVIL (EBC)</v>
      </c>
      <c r="C55" s="1727"/>
      <c r="D55" s="1727"/>
      <c r="E55" s="1727"/>
      <c r="F55" s="1727"/>
      <c r="G55" s="132"/>
      <c r="H55" s="132"/>
      <c r="I55" s="865" t="str">
        <f>+Datos!B9</f>
        <v>ABC - REGIONAL TARIJA</v>
      </c>
      <c r="J55" s="171"/>
      <c r="K55" s="150"/>
      <c r="L55" s="150"/>
      <c r="M55" s="150"/>
      <c r="N55" s="150"/>
      <c r="O55" s="132"/>
      <c r="P55" s="150"/>
      <c r="Q55" s="150"/>
      <c r="R55" s="150"/>
    </row>
    <row r="56" spans="2:18">
      <c r="B56" s="866"/>
      <c r="C56" s="864"/>
      <c r="D56" s="864"/>
      <c r="E56" s="864"/>
      <c r="F56" s="864"/>
      <c r="G56" s="132"/>
      <c r="H56" s="132"/>
      <c r="I56" s="865"/>
      <c r="J56" s="171"/>
      <c r="K56" s="850"/>
      <c r="L56" s="850"/>
      <c r="M56" s="850"/>
      <c r="N56" s="850"/>
      <c r="O56" s="132"/>
      <c r="P56" s="850"/>
      <c r="Q56" s="850"/>
      <c r="R56" s="850"/>
    </row>
    <row r="57" spans="2:18">
      <c r="B57" s="848"/>
      <c r="C57" s="849"/>
      <c r="D57" s="849"/>
      <c r="E57" s="849"/>
      <c r="F57" s="849"/>
      <c r="G57" s="173"/>
      <c r="H57" s="173"/>
      <c r="I57" s="600"/>
      <c r="J57" s="174"/>
      <c r="K57" s="850"/>
      <c r="L57" s="850"/>
      <c r="M57" s="850"/>
      <c r="N57" s="850"/>
      <c r="O57" s="132"/>
      <c r="P57" s="850"/>
      <c r="Q57" s="850"/>
      <c r="R57" s="850"/>
    </row>
    <row r="63" spans="2:18">
      <c r="E63" s="135"/>
    </row>
  </sheetData>
  <mergeCells count="18">
    <mergeCell ref="H8:I8"/>
    <mergeCell ref="D9:D10"/>
    <mergeCell ref="E9:E10"/>
    <mergeCell ref="F9:H9"/>
    <mergeCell ref="B2:D2"/>
    <mergeCell ref="E3:I3"/>
    <mergeCell ref="E4:I5"/>
    <mergeCell ref="I9:I10"/>
    <mergeCell ref="B9:B10"/>
    <mergeCell ref="C9:C10"/>
    <mergeCell ref="E6:I7"/>
    <mergeCell ref="B7:D7"/>
    <mergeCell ref="B55:F55"/>
    <mergeCell ref="B54:F54"/>
    <mergeCell ref="B53:F53"/>
    <mergeCell ref="B41:E41"/>
    <mergeCell ref="J9:J10"/>
    <mergeCell ref="B42:E42"/>
  </mergeCells>
  <printOptions horizontalCentered="1"/>
  <pageMargins left="0.78740157480314965" right="0.59055118110236227" top="0.59055118110236227" bottom="0.59055118110236227" header="0" footer="0"/>
  <pageSetup scale="74" orientation="portrait" r:id="rId1"/>
  <headerFooter alignWithMargins="0"/>
  <rowBreaks count="1" manualBreakCount="1">
    <brk id="8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34</vt:i4>
      </vt:variant>
      <vt:variant>
        <vt:lpstr>Rangos con nombre</vt:lpstr>
      </vt:variant>
      <vt:variant>
        <vt:i4>35</vt:i4>
      </vt:variant>
    </vt:vector>
  </HeadingPairs>
  <TitlesOfParts>
    <vt:vector size="69" baseType="lpstr">
      <vt:lpstr>.</vt:lpstr>
      <vt:lpstr>Datos</vt:lpstr>
      <vt:lpstr>I</vt:lpstr>
      <vt:lpstr>C</vt:lpstr>
      <vt:lpstr>S</vt:lpstr>
      <vt:lpstr>H.Crtl</vt:lpstr>
      <vt:lpstr>Certificado</vt:lpstr>
      <vt:lpstr>Avance Financiero</vt:lpstr>
      <vt:lpstr>Anticipo</vt:lpstr>
      <vt:lpstr>Retencion</vt:lpstr>
      <vt:lpstr>Multas</vt:lpstr>
      <vt:lpstr>Cant. Ejec,</vt:lpstr>
      <vt:lpstr>Planilla de Avance</vt:lpstr>
      <vt:lpstr>Personal</vt:lpstr>
      <vt:lpstr>CRON.DES.</vt:lpstr>
      <vt:lpstr>POLIZAS</vt:lpstr>
      <vt:lpstr>1</vt:lpstr>
      <vt:lpstr>5</vt:lpstr>
      <vt:lpstr>11a</vt:lpstr>
      <vt:lpstr>11b</vt:lpstr>
      <vt:lpstr>11c</vt:lpstr>
      <vt:lpstr>11d</vt:lpstr>
      <vt:lpstr>11e</vt:lpstr>
      <vt:lpstr>11f</vt:lpstr>
      <vt:lpstr>57a</vt:lpstr>
      <vt:lpstr>74</vt:lpstr>
      <vt:lpstr>75</vt:lpstr>
      <vt:lpstr>76</vt:lpstr>
      <vt:lpstr>77</vt:lpstr>
      <vt:lpstr>78</vt:lpstr>
      <vt:lpstr>79</vt:lpstr>
      <vt:lpstr>Planilla de Avance (3)</vt:lpstr>
      <vt:lpstr>Hoja2</vt:lpstr>
      <vt:lpstr>Planilla de Avance (2)</vt:lpstr>
      <vt:lpstr>'1'!Área_de_impresión</vt:lpstr>
      <vt:lpstr>'11a'!Área_de_impresión</vt:lpstr>
      <vt:lpstr>'11b'!Área_de_impresión</vt:lpstr>
      <vt:lpstr>'11c'!Área_de_impresión</vt:lpstr>
      <vt:lpstr>'11d'!Área_de_impresión</vt:lpstr>
      <vt:lpstr>'11e'!Área_de_impresión</vt:lpstr>
      <vt:lpstr>'11f'!Área_de_impresión</vt:lpstr>
      <vt:lpstr>'5'!Área_de_impresión</vt:lpstr>
      <vt:lpstr>'57a'!Área_de_impresión</vt:lpstr>
      <vt:lpstr>'74'!Área_de_impresión</vt:lpstr>
      <vt:lpstr>'75'!Área_de_impresión</vt:lpstr>
      <vt:lpstr>'76'!Área_de_impresión</vt:lpstr>
      <vt:lpstr>'77'!Área_de_impresión</vt:lpstr>
      <vt:lpstr>'78'!Área_de_impresión</vt:lpstr>
      <vt:lpstr>'79'!Área_de_impresión</vt:lpstr>
      <vt:lpstr>Anticipo!Área_de_impresión</vt:lpstr>
      <vt:lpstr>'Avance Financiero'!Área_de_impresión</vt:lpstr>
      <vt:lpstr>'C'!Área_de_impresión</vt:lpstr>
      <vt:lpstr>'Cant. Ejec,'!Área_de_impresión</vt:lpstr>
      <vt:lpstr>Certificado!Área_de_impresión</vt:lpstr>
      <vt:lpstr>CRON.DES.!Área_de_impresión</vt:lpstr>
      <vt:lpstr>H.Crtl!Área_de_impresión</vt:lpstr>
      <vt:lpstr>I!Área_de_impresión</vt:lpstr>
      <vt:lpstr>Multas!Área_de_impresión</vt:lpstr>
      <vt:lpstr>Personal!Área_de_impresión</vt:lpstr>
      <vt:lpstr>'Planilla de Avance'!Área_de_impresión</vt:lpstr>
      <vt:lpstr>'Planilla de Avance (2)'!Área_de_impresión</vt:lpstr>
      <vt:lpstr>'Planilla de Avance (3)'!Área_de_impresión</vt:lpstr>
      <vt:lpstr>POLIZAS!Área_de_impresión</vt:lpstr>
      <vt:lpstr>Retencion!Área_de_impresión</vt:lpstr>
      <vt:lpstr>S!Área_de_impresión</vt:lpstr>
      <vt:lpstr>'Cant. Ejec,'!Títulos_a_imprimir</vt:lpstr>
      <vt:lpstr>'Planilla de Avance'!Títulos_a_imprimir</vt:lpstr>
      <vt:lpstr>'Planilla de Avance (2)'!Títulos_a_imprimir</vt:lpstr>
      <vt:lpstr>'Planilla de Avance (3)'!Títulos_a_imprimir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Topografia 1</dc:creator>
  <cp:lastModifiedBy>Usuario</cp:lastModifiedBy>
  <cp:lastPrinted>2021-10-28T20:34:27Z</cp:lastPrinted>
  <dcterms:created xsi:type="dcterms:W3CDTF">2009-12-04T02:53:26Z</dcterms:created>
  <dcterms:modified xsi:type="dcterms:W3CDTF">2022-01-03T14:05:18Z</dcterms:modified>
</cp:coreProperties>
</file>