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BC\PLANILLAS\No 6 ABRIL 2021\1.- Certificado de Pago Nº6\"/>
    </mc:Choice>
  </mc:AlternateContent>
  <bookViews>
    <workbookView xWindow="-120" yWindow="-120" windowWidth="29040" windowHeight="15840" tabRatio="739" firstSheet="6" activeTab="14"/>
  </bookViews>
  <sheets>
    <sheet name="." sheetId="388" state="hidden" r:id="rId1"/>
    <sheet name="Datos" sheetId="429" r:id="rId2"/>
    <sheet name="Cant. Ejec," sheetId="454" state="hidden" r:id="rId3"/>
    <sheet name="I" sheetId="439" r:id="rId4"/>
    <sheet name="C" sheetId="437" r:id="rId5"/>
    <sheet name="S" sheetId="440" r:id="rId6"/>
    <sheet name="H.Crtl" sheetId="438" r:id="rId7"/>
    <sheet name="Certificado" sheetId="26" r:id="rId8"/>
    <sheet name="Avance Financiero" sheetId="36" r:id="rId9"/>
    <sheet name="Anticipo" sheetId="37" r:id="rId10"/>
    <sheet name="Retencion" sheetId="430" r:id="rId11"/>
    <sheet name="Multas" sheetId="38" r:id="rId12"/>
    <sheet name="Personal" sheetId="418" r:id="rId13"/>
    <sheet name="Planilla de Avance" sheetId="25" r:id="rId14"/>
    <sheet name="CRON.DESEMBOLSOS" sheetId="421" r:id="rId15"/>
    <sheet name="POLIZAS" sheetId="206" r:id="rId16"/>
    <sheet name="ww" sheetId="203" state="hidden" r:id="rId17"/>
    <sheet name="1" sheetId="33" r:id="rId18"/>
    <sheet name="5" sheetId="446" state="hidden" r:id="rId19"/>
    <sheet name="74" sheetId="453" state="hidden" r:id="rId20"/>
    <sheet name="79" sheetId="450" state="hidden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\A">#N/A</definedName>
    <definedName name="_" localSheetId="19" hidden="1">#REF!</definedName>
    <definedName name="_" localSheetId="2" hidden="1">#REF!</definedName>
    <definedName name="_" localSheetId="6" hidden="1">#REF!</definedName>
    <definedName name="_" localSheetId="3" hidden="1">#REF!</definedName>
    <definedName name="_" localSheetId="5" hidden="1">#REF!</definedName>
    <definedName name="_" hidden="1">#REF!</definedName>
    <definedName name="_1" localSheetId="19" hidden="1">'[1]Flujo de Caja Consorcio'!#REF!</definedName>
    <definedName name="_1" localSheetId="2" hidden="1">'[1]Flujo de Caja Consorcio'!#REF!</definedName>
    <definedName name="_1" localSheetId="6" hidden="1">'[1]Flujo de Caja Consorcio'!#REF!</definedName>
    <definedName name="_1" localSheetId="3" hidden="1">'[1]Flujo de Caja Consorcio'!#REF!</definedName>
    <definedName name="_1" localSheetId="5" hidden="1">'[1]Flujo de Caja Consorcio'!#REF!</definedName>
    <definedName name="_1" hidden="1">'[1]Flujo de Caja Consorcio'!#REF!</definedName>
    <definedName name="_2" localSheetId="19" hidden="1">'[1]Flujo de Caja Consorcio'!#REF!</definedName>
    <definedName name="_2" localSheetId="2" hidden="1">'[1]Flujo de Caja Consorcio'!#REF!</definedName>
    <definedName name="_2" localSheetId="6" hidden="1">'[1]Flujo de Caja Consorcio'!#REF!</definedName>
    <definedName name="_2" localSheetId="3" hidden="1">'[1]Flujo de Caja Consorcio'!#REF!</definedName>
    <definedName name="_2" localSheetId="5" hidden="1">'[1]Flujo de Caja Consorcio'!#REF!</definedName>
    <definedName name="_2" hidden="1">'[1]Flujo de Caja Consorcio'!#REF!</definedName>
    <definedName name="_2Excel_BuiltIn_Print_Area_7_1" localSheetId="19">[2]SUBBASE!#REF!</definedName>
    <definedName name="_2Excel_BuiltIn_Print_Area_7_1" localSheetId="2">[2]SUBBASE!#REF!</definedName>
    <definedName name="_2Excel_BuiltIn_Print_Area_7_1" localSheetId="6">[2]SUBBASE!#REF!</definedName>
    <definedName name="_2Excel_BuiltIn_Print_Area_7_1" localSheetId="3">[2]SUBBASE!#REF!</definedName>
    <definedName name="_2Excel_BuiltIn_Print_Area_7_1" localSheetId="5">[2]SUBBASE!#REF!</definedName>
    <definedName name="_2Excel_BuiltIn_Print_Area_7_1">[2]SUBBASE!#REF!</definedName>
    <definedName name="_Fill" localSheetId="19" hidden="1">#REF!</definedName>
    <definedName name="_Fill" localSheetId="4" hidden="1">#REF!</definedName>
    <definedName name="_Fill" localSheetId="2" hidden="1">#REF!</definedName>
    <definedName name="_Fill" localSheetId="6" hidden="1">#REF!</definedName>
    <definedName name="_Fill" localSheetId="3" hidden="1">#REF!</definedName>
    <definedName name="_Fill" localSheetId="11" hidden="1">#REF!</definedName>
    <definedName name="_Fill" localSheetId="5" hidden="1">#REF!</definedName>
    <definedName name="_Fill" hidden="1">#REF!</definedName>
    <definedName name="_xlnm._FilterDatabase" localSheetId="2" hidden="1">'Cant. Ejec,'!$A$4:$BB$4</definedName>
    <definedName name="_xlnm._FilterDatabase" localSheetId="7" hidden="1">Certificado!$A$15:$K$60</definedName>
    <definedName name="_HMA1" localSheetId="19" hidden="1">'[1]Flujo de Caja Consorcio'!#REF!</definedName>
    <definedName name="_HMA1" localSheetId="2" hidden="1">'[1]Flujo de Caja Consorcio'!#REF!</definedName>
    <definedName name="_HMA1" localSheetId="6" hidden="1">'[1]Flujo de Caja Consorcio'!#REF!</definedName>
    <definedName name="_HMA1" localSheetId="3" hidden="1">'[1]Flujo de Caja Consorcio'!#REF!</definedName>
    <definedName name="_HMA1" localSheetId="5" hidden="1">'[1]Flujo de Caja Consorcio'!#REF!</definedName>
    <definedName name="_HMA1" hidden="1">'[1]Flujo de Caja Consorcio'!#REF!</definedName>
    <definedName name="_i" localSheetId="19" hidden="1">'[1]Flujo de Caja Consorcio'!#REF!</definedName>
    <definedName name="_i" localSheetId="2" hidden="1">'[1]Flujo de Caja Consorcio'!#REF!</definedName>
    <definedName name="_i" localSheetId="6" hidden="1">'[1]Flujo de Caja Consorcio'!#REF!</definedName>
    <definedName name="_i" localSheetId="3" hidden="1">'[1]Flujo de Caja Consorcio'!#REF!</definedName>
    <definedName name="_i" localSheetId="5" hidden="1">'[1]Flujo de Caja Consorcio'!#REF!</definedName>
    <definedName name="_i" hidden="1">'[1]Flujo de Caja Consorcio'!#REF!</definedName>
    <definedName name="_Key1" localSheetId="19" hidden="1">'[3]Flujo de Caja Consorcio'!#REF!</definedName>
    <definedName name="_Key1" localSheetId="4" hidden="1">'[1]Flujo de Caja Consorcio'!#REF!</definedName>
    <definedName name="_Key1" localSheetId="2" hidden="1">'[3]Flujo de Caja Consorcio'!#REF!</definedName>
    <definedName name="_Key1" localSheetId="6" hidden="1">'[1]Flujo de Caja Consorcio'!#REF!</definedName>
    <definedName name="_Key1" localSheetId="3" hidden="1">'[3]Flujo de Caja Consorcio'!#REF!</definedName>
    <definedName name="_Key1" localSheetId="5" hidden="1">'[1]Flujo de Caja Consorcio'!#REF!</definedName>
    <definedName name="_Key1" hidden="1">'[3]Flujo de Caja Consorcio'!#REF!</definedName>
    <definedName name="_key2" localSheetId="19" hidden="1">'[1]Flujo de Caja Consorcio'!#REF!</definedName>
    <definedName name="_key2" localSheetId="2" hidden="1">'[1]Flujo de Caja Consorcio'!#REF!</definedName>
    <definedName name="_key2" localSheetId="6" hidden="1">'[1]Flujo de Caja Consorcio'!#REF!</definedName>
    <definedName name="_key2" localSheetId="3" hidden="1">'[1]Flujo de Caja Consorcio'!#REF!</definedName>
    <definedName name="_key2" localSheetId="5" hidden="1">'[1]Flujo de Caja Consorcio'!#REF!</definedName>
    <definedName name="_key2" hidden="1">'[1]Flujo de Caja Consorcio'!#REF!</definedName>
    <definedName name="_m" localSheetId="19" hidden="1">'[1]Flujo de Caja Consorcio'!#REF!</definedName>
    <definedName name="_m" localSheetId="2" hidden="1">'[1]Flujo de Caja Consorcio'!#REF!</definedName>
    <definedName name="_m" localSheetId="6" hidden="1">'[1]Flujo de Caja Consorcio'!#REF!</definedName>
    <definedName name="_m" localSheetId="3" hidden="1">'[1]Flujo de Caja Consorcio'!#REF!</definedName>
    <definedName name="_m" localSheetId="5" hidden="1">'[1]Flujo de Caja Consorcio'!#REF!</definedName>
    <definedName name="_m" hidden="1">'[1]Flujo de Caja Consorcio'!#REF!</definedName>
    <definedName name="_o" localSheetId="19" hidden="1">'[1]Flujo de Caja Consorcio'!#REF!</definedName>
    <definedName name="_o" localSheetId="2" hidden="1">'[1]Flujo de Caja Consorcio'!#REF!</definedName>
    <definedName name="_o" localSheetId="6" hidden="1">'[1]Flujo de Caja Consorcio'!#REF!</definedName>
    <definedName name="_o" localSheetId="3" hidden="1">'[1]Flujo de Caja Consorcio'!#REF!</definedName>
    <definedName name="_o" localSheetId="5" hidden="1">'[1]Flujo de Caja Consorcio'!#REF!</definedName>
    <definedName name="_o" hidden="1">'[1]Flujo de Caja Consorcio'!#REF!</definedName>
    <definedName name="_Order1" hidden="1">255</definedName>
    <definedName name="_Order2" hidden="1">255</definedName>
    <definedName name="_p" localSheetId="19" hidden="1">'[1]Flujo de Caja Consorcio'!#REF!</definedName>
    <definedName name="_p" localSheetId="2" hidden="1">'[1]Flujo de Caja Consorcio'!#REF!</definedName>
    <definedName name="_p" localSheetId="6" hidden="1">'[1]Flujo de Caja Consorcio'!#REF!</definedName>
    <definedName name="_p" localSheetId="3" hidden="1">'[1]Flujo de Caja Consorcio'!#REF!</definedName>
    <definedName name="_p" localSheetId="5" hidden="1">'[1]Flujo de Caja Consorcio'!#REF!</definedName>
    <definedName name="_p" hidden="1">'[1]Flujo de Caja Consorcio'!#REF!</definedName>
    <definedName name="_po" localSheetId="19" hidden="1">'[1]Flujo de Caja Consorcio'!#REF!</definedName>
    <definedName name="_po" localSheetId="2" hidden="1">'[1]Flujo de Caja Consorcio'!#REF!</definedName>
    <definedName name="_po" localSheetId="6" hidden="1">'[1]Flujo de Caja Consorcio'!#REF!</definedName>
    <definedName name="_po" localSheetId="3" hidden="1">'[1]Flujo de Caja Consorcio'!#REF!</definedName>
    <definedName name="_po" localSheetId="5" hidden="1">'[1]Flujo de Caja Consorcio'!#REF!</definedName>
    <definedName name="_po" hidden="1">'[1]Flujo de Caja Consorcio'!#REF!</definedName>
    <definedName name="_sh1" localSheetId="19">#REF!</definedName>
    <definedName name="_sh1" localSheetId="4">#REF!</definedName>
    <definedName name="_sh1" localSheetId="2">#REF!</definedName>
    <definedName name="_sh1" localSheetId="6">#REF!</definedName>
    <definedName name="_sh1" localSheetId="3">#REF!</definedName>
    <definedName name="_sh1" localSheetId="5">#REF!</definedName>
    <definedName name="_sh1">#REF!</definedName>
    <definedName name="_sh2" localSheetId="19">#REF!</definedName>
    <definedName name="_sh2" localSheetId="4">#REF!</definedName>
    <definedName name="_sh2" localSheetId="2">#REF!</definedName>
    <definedName name="_sh2" localSheetId="6">#REF!</definedName>
    <definedName name="_sh2" localSheetId="3">#REF!</definedName>
    <definedName name="_sh2" localSheetId="5">#REF!</definedName>
    <definedName name="_sh2">#REF!</definedName>
    <definedName name="_Sort" localSheetId="19" hidden="1">'[3]Flujo de Caja Consorcio'!#REF!</definedName>
    <definedName name="_Sort" localSheetId="4" hidden="1">'[1]Flujo de Caja Consorcio'!#REF!</definedName>
    <definedName name="_Sort" localSheetId="2" hidden="1">'[3]Flujo de Caja Consorcio'!#REF!</definedName>
    <definedName name="_Sort" localSheetId="6" hidden="1">'[1]Flujo de Caja Consorcio'!#REF!</definedName>
    <definedName name="_Sort" localSheetId="3" hidden="1">'[3]Flujo de Caja Consorcio'!#REF!</definedName>
    <definedName name="_Sort" localSheetId="5" hidden="1">'[1]Flujo de Caja Consorcio'!#REF!</definedName>
    <definedName name="_Sort" hidden="1">'[3]Flujo de Caja Consorcio'!#REF!</definedName>
    <definedName name="_ss1" localSheetId="19">#REF!</definedName>
    <definedName name="_ss1" localSheetId="4">#REF!</definedName>
    <definedName name="_ss1" localSheetId="2">#REF!</definedName>
    <definedName name="_ss1" localSheetId="6">#REF!</definedName>
    <definedName name="_ss1" localSheetId="3">#REF!</definedName>
    <definedName name="_ss1" localSheetId="5">#REF!</definedName>
    <definedName name="_ss1">#REF!</definedName>
    <definedName name="_ss2" localSheetId="19">#REF!</definedName>
    <definedName name="_ss2" localSheetId="4">#REF!</definedName>
    <definedName name="_ss2" localSheetId="2">#REF!</definedName>
    <definedName name="_ss2" localSheetId="6">#REF!</definedName>
    <definedName name="_ss2" localSheetId="3">#REF!</definedName>
    <definedName name="_ss2" localSheetId="5">#REF!</definedName>
    <definedName name="_ss2">#REF!</definedName>
    <definedName name="_SSS" localSheetId="19">#REF!</definedName>
    <definedName name="_SSS" localSheetId="4">#REF!</definedName>
    <definedName name="_SSS" localSheetId="2">#REF!</definedName>
    <definedName name="_SSS" localSheetId="6">#REF!</definedName>
    <definedName name="_SSS" localSheetId="3">#REF!</definedName>
    <definedName name="_SSS" localSheetId="5">#REF!</definedName>
    <definedName name="_SSS">#REF!</definedName>
    <definedName name="_TIT1">[4]DEFINICION!$B$12</definedName>
    <definedName name="_TIT2">[4]DEFINICION!$B$13</definedName>
    <definedName name="A" localSheetId="4">'[1]BASES DE DATOS'!$A$8:$E$215</definedName>
    <definedName name="A" localSheetId="6">'[1]BASES DE DATOS'!$A$8:$E$215</definedName>
    <definedName name="A" localSheetId="5">'[1]BASES DE DATOS'!$A$8:$E$215</definedName>
    <definedName name="A">'[3]BASES DE DATOS'!$A$8:$E$215</definedName>
    <definedName name="A_2" localSheetId="19">'[3]BASES DE DATOS'!#REF!</definedName>
    <definedName name="A_2" localSheetId="4">'[1]BASES DE DATOS'!#REF!</definedName>
    <definedName name="A_2" localSheetId="2">'[3]BASES DE DATOS'!#REF!</definedName>
    <definedName name="A_2" localSheetId="6">'[1]BASES DE DATOS'!#REF!</definedName>
    <definedName name="A_2" localSheetId="3">'[3]BASES DE DATOS'!#REF!</definedName>
    <definedName name="A_2" localSheetId="5">'[1]BASES DE DATOS'!#REF!</definedName>
    <definedName name="A_2">'[3]BASES DE DATOS'!#REF!</definedName>
    <definedName name="A_3" localSheetId="19">'[1]BASES DE DATOS'!#REF!</definedName>
    <definedName name="A_3" localSheetId="2">'[1]BASES DE DATOS'!#REF!</definedName>
    <definedName name="A_3" localSheetId="3">'[1]BASES DE DATOS'!#REF!</definedName>
    <definedName name="A_3" localSheetId="5">'[1]BASES DE DATOS'!#REF!</definedName>
    <definedName name="A_3">'[1]BASES DE DATOS'!#REF!</definedName>
    <definedName name="aa" localSheetId="19">#REF!</definedName>
    <definedName name="aa" localSheetId="2" hidden="1">{"'Hoja1 (13)'!$A$6:$F$53"}</definedName>
    <definedName name="aa" localSheetId="7" hidden="1">{"'Hoja1 (13)'!$A$6:$F$53"}</definedName>
    <definedName name="aa" localSheetId="6">#REF!</definedName>
    <definedName name="aa" localSheetId="3">#REF!</definedName>
    <definedName name="aa" localSheetId="13" hidden="1">{"'Hoja1 (13)'!$A$6:$F$53"}</definedName>
    <definedName name="aa" localSheetId="5">#REF!</definedName>
    <definedName name="aa">#REF!</definedName>
    <definedName name="aaa" localSheetId="19">#REF!</definedName>
    <definedName name="aaa" localSheetId="4">#REF!</definedName>
    <definedName name="aaa" localSheetId="2">#REF!</definedName>
    <definedName name="aaa" localSheetId="6" hidden="1">#REF!</definedName>
    <definedName name="aaa" localSheetId="3">#REF!</definedName>
    <definedName name="aaa" localSheetId="5">#REF!</definedName>
    <definedName name="aaa">#REF!</definedName>
    <definedName name="AAAA" localSheetId="19">'[5]ESTACADO DEL EJE'!#REF!</definedName>
    <definedName name="AAAA" localSheetId="2">'[5]ESTACADO DEL EJE'!#REF!</definedName>
    <definedName name="AAAA" localSheetId="6">'[5]ESTACADO DEL EJE'!#REF!</definedName>
    <definedName name="AAAA" localSheetId="3">'[5]ESTACADO DEL EJE'!#REF!</definedName>
    <definedName name="AAAA" localSheetId="5">'[5]ESTACADO DEL EJE'!#REF!</definedName>
    <definedName name="AAAA">'[5]ESTACADO DEL EJE'!#REF!</definedName>
    <definedName name="aaaaaaaaa" localSheetId="19">'[3]Flujo de Caja Consorcio'!#REF!</definedName>
    <definedName name="aaaaaaaaa" localSheetId="4">'[3]Flujo de Caja Consorcio'!#REF!</definedName>
    <definedName name="aaaaaaaaa" localSheetId="2">'[3]Flujo de Caja Consorcio'!#REF!</definedName>
    <definedName name="aaaaaaaaa" localSheetId="3">'[3]Flujo de Caja Consorcio'!#REF!</definedName>
    <definedName name="aaaaaaaaa" localSheetId="5">'[3]Flujo de Caja Consorcio'!#REF!</definedName>
    <definedName name="aaaaaaaaa">'[3]Flujo de Caja Consorcio'!#REF!</definedName>
    <definedName name="aaaaaaaaaaaaaawq" localSheetId="19">#REF!</definedName>
    <definedName name="aaaaaaaaaaaaaawq" localSheetId="4">#REF!</definedName>
    <definedName name="aaaaaaaaaaaaaawq" localSheetId="2">#REF!</definedName>
    <definedName name="aaaaaaaaaaaaaawq" localSheetId="3">#REF!</definedName>
    <definedName name="aaaaaaaaaaaaaawq" localSheetId="5">#REF!</definedName>
    <definedName name="aaaaaaaaaaaaaawq">#REF!</definedName>
    <definedName name="ABCD" localSheetId="19">#REF!</definedName>
    <definedName name="ABCD" localSheetId="2">#REF!</definedName>
    <definedName name="ABCD" localSheetId="6">#REF!</definedName>
    <definedName name="ABCD" localSheetId="3">#REF!</definedName>
    <definedName name="ABCD" localSheetId="5">#REF!</definedName>
    <definedName name="ABCD">#REF!</definedName>
    <definedName name="ac" localSheetId="19">#REF!</definedName>
    <definedName name="ac" localSheetId="4">#REF!</definedName>
    <definedName name="ac" localSheetId="2">#REF!</definedName>
    <definedName name="ac" localSheetId="6">#REF!</definedName>
    <definedName name="ac" localSheetId="3">#REF!</definedName>
    <definedName name="ac" localSheetId="5">#REF!</definedName>
    <definedName name="ac">#REF!</definedName>
    <definedName name="agbinderp" localSheetId="6">[6]analisis!$M$12</definedName>
    <definedName name="agbinderp">[7]analisis!$M$12</definedName>
    <definedName name="agp" localSheetId="6">[6]analisis!$I$12</definedName>
    <definedName name="agp">[7]analisis!$I$12</definedName>
    <definedName name="ah" localSheetId="19">#REF!</definedName>
    <definedName name="ah" localSheetId="4">#REF!</definedName>
    <definedName name="ah" localSheetId="2">#REF!</definedName>
    <definedName name="ah" localSheetId="6">#REF!</definedName>
    <definedName name="ah" localSheetId="3">#REF!</definedName>
    <definedName name="ah" localSheetId="5">#REF!</definedName>
    <definedName name="ah">#REF!</definedName>
    <definedName name="alambrep" localSheetId="6">[6]analisis!$M$16</definedName>
    <definedName name="alambrep">[7]analisis!$M$16</definedName>
    <definedName name="albp" localSheetId="6">[6]analisis!$P$5</definedName>
    <definedName name="albp">[7]analisis!$P$5</definedName>
    <definedName name="alcan48" localSheetId="6">[6]analisis!$K$19</definedName>
    <definedName name="alcan48">[7]analisis!$K$19</definedName>
    <definedName name="alcan48p" localSheetId="6">[6]analisis!$M$19</definedName>
    <definedName name="alcan48p">[7]analisis!$M$19</definedName>
    <definedName name="alcan60" localSheetId="6">[6]analisis!$K$20</definedName>
    <definedName name="alcan60">[7]analisis!$K$20</definedName>
    <definedName name="alcan60p" localSheetId="6">[6]analisis!$M$20</definedName>
    <definedName name="alcan60p">[7]analisis!$M$20</definedName>
    <definedName name="ALIM" localSheetId="19" hidden="1">'[3]Flujo de Caja Consorcio'!#REF!</definedName>
    <definedName name="ALIM" localSheetId="4" hidden="1">'[1]Flujo de Caja Consorcio'!#REF!</definedName>
    <definedName name="ALIM" localSheetId="2" hidden="1">'[3]Flujo de Caja Consorcio'!#REF!</definedName>
    <definedName name="ALIM" localSheetId="6" hidden="1">'[1]Flujo de Caja Consorcio'!#REF!</definedName>
    <definedName name="ALIM" localSheetId="3" hidden="1">'[3]Flujo de Caja Consorcio'!#REF!</definedName>
    <definedName name="ALIM" localSheetId="5" hidden="1">'[1]Flujo de Caja Consorcio'!#REF!</definedName>
    <definedName name="ALIM" hidden="1">'[3]Flujo de Caja Consorcio'!#REF!</definedName>
    <definedName name="Alq">#N/A</definedName>
    <definedName name="Alqui" localSheetId="19">#REF!</definedName>
    <definedName name="Alqui" localSheetId="2">#REF!</definedName>
    <definedName name="Alqui" localSheetId="6">#REF!</definedName>
    <definedName name="Alqui" localSheetId="3">#REF!</definedName>
    <definedName name="Alqui" localSheetId="11">#REF!</definedName>
    <definedName name="Alqui" localSheetId="5">#REF!</definedName>
    <definedName name="Alqui">#REF!</definedName>
    <definedName name="ANTI" localSheetId="19">'[3]C.D. INSUMOS'!#REF!</definedName>
    <definedName name="ANTI" localSheetId="4">'[1]C.D. INSUMOS'!#REF!</definedName>
    <definedName name="ANTI" localSheetId="2">'[3]C.D. INSUMOS'!#REF!</definedName>
    <definedName name="ANTI" localSheetId="6">'[1]C.D. INSUMOS'!#REF!</definedName>
    <definedName name="ANTI" localSheetId="3">'[3]C.D. INSUMOS'!#REF!</definedName>
    <definedName name="ANTI" localSheetId="5">'[1]C.D. INSUMOS'!#REF!</definedName>
    <definedName name="ANTI">'[3]C.D. INSUMOS'!#REF!</definedName>
    <definedName name="ANTICIPO" localSheetId="19">'[3]C.D. INSUMOS'!#REF!</definedName>
    <definedName name="ANTICIPO" localSheetId="4">'[1]C.D. INSUMOS'!#REF!</definedName>
    <definedName name="ANTICIPO" localSheetId="2">'[3]C.D. INSUMOS'!#REF!</definedName>
    <definedName name="ANTICIPO" localSheetId="6">'[1]C.D. INSUMOS'!#REF!</definedName>
    <definedName name="ANTICIPO" localSheetId="3">'[3]C.D. INSUMOS'!#REF!</definedName>
    <definedName name="ANTICIPO" localSheetId="5">'[1]C.D. INSUMOS'!#REF!</definedName>
    <definedName name="ANTICIPO">'[3]C.D. INSUMOS'!#REF!</definedName>
    <definedName name="_xlnm.Extract" localSheetId="19">#REF!</definedName>
    <definedName name="_xlnm.Extract" localSheetId="2">#REF!</definedName>
    <definedName name="_xlnm.Extract" localSheetId="14">#REF!</definedName>
    <definedName name="_xlnm.Extract" localSheetId="3">#REF!</definedName>
    <definedName name="_xlnm.Extract" localSheetId="11">#REF!</definedName>
    <definedName name="_xlnm.Extract" localSheetId="15">#REF!</definedName>
    <definedName name="_xlnm.Extract" localSheetId="10">#REF!</definedName>
    <definedName name="_xlnm.Extract" localSheetId="5">#REF!</definedName>
    <definedName name="_xlnm.Extract">#REF!</definedName>
    <definedName name="_xlnm.Print_Area" localSheetId="17">'1'!$B$1:$H$57</definedName>
    <definedName name="_xlnm.Print_Area" localSheetId="18">'5'!$B$1:$H$60</definedName>
    <definedName name="_xlnm.Print_Area" localSheetId="19">'74'!$B$1:$H$60</definedName>
    <definedName name="_xlnm.Print_Area" localSheetId="20">'79'!$B$1:$H$60</definedName>
    <definedName name="_xlnm.Print_Area" localSheetId="9">Anticipo!$B$2:$J$54</definedName>
    <definedName name="_xlnm.Print_Area" localSheetId="8">'Avance Financiero'!$A$1:$R$43</definedName>
    <definedName name="_xlnm.Print_Area" localSheetId="4">'C'!$A$1:$N$45</definedName>
    <definedName name="_xlnm.Print_Area" localSheetId="2">'Cant. Ejec,'!$E$2:$U$102</definedName>
    <definedName name="_xlnm.Print_Area" localSheetId="7">Certificado!$A$1:$K$61</definedName>
    <definedName name="_xlnm.Print_Area" localSheetId="14">CRON.DESEMBOLSOS!$C$1:$O$120</definedName>
    <definedName name="_xlnm.Print_Area" localSheetId="6">H.Crtl!$A$1:$G$47</definedName>
    <definedName name="_xlnm.Print_Area" localSheetId="3">I!$A$2:$J$35</definedName>
    <definedName name="_xlnm.Print_Area" localSheetId="11">Multas!$B$2:$H$38</definedName>
    <definedName name="_xlnm.Print_Area" localSheetId="12">Personal!$A$1:$G$27</definedName>
    <definedName name="_xlnm.Print_Area" localSheetId="13">'Planilla de Avance'!$E$2:$U$116</definedName>
    <definedName name="_xlnm.Print_Area" localSheetId="15">POLIZAS!$B$2:$K$33</definedName>
    <definedName name="_xlnm.Print_Area" localSheetId="10">Retencion!$B$2:$J$50</definedName>
    <definedName name="_xlnm.Print_Area" localSheetId="5">S!$A$1:$N$946</definedName>
    <definedName name="_xlnm.Print_Area" localSheetId="16">ww!$A$1:$P$267</definedName>
    <definedName name="arep" localSheetId="6">[6]analisis!$M$7</definedName>
    <definedName name="arep">[7]analisis!$M$7</definedName>
    <definedName name="as" localSheetId="19" hidden="1">'[3]Flujo de Caja Consorcio'!#REF!</definedName>
    <definedName name="as" localSheetId="4" hidden="1">'[3]Flujo de Caja Consorcio'!#REF!</definedName>
    <definedName name="as" localSheetId="2" hidden="1">'[3]Flujo de Caja Consorcio'!#REF!</definedName>
    <definedName name="as" localSheetId="3" hidden="1">'[3]Flujo de Caja Consorcio'!#REF!</definedName>
    <definedName name="as" localSheetId="5" hidden="1">'[3]Flujo de Caja Consorcio'!#REF!</definedName>
    <definedName name="as" hidden="1">'[3]Flujo de Caja Consorcio'!#REF!</definedName>
    <definedName name="asfaljuntasp" localSheetId="6">[6]analisis!$M$17</definedName>
    <definedName name="asfaljuntasp">[7]analisis!$M$17</definedName>
    <definedName name="asfaltop" localSheetId="6">[6]analisis!$M$2</definedName>
    <definedName name="asfaltop">[7]analisis!$M$2</definedName>
    <definedName name="Ass" localSheetId="19">'[1]BASES DE DATOS'!#REF!</definedName>
    <definedName name="Ass" localSheetId="2">'[1]BASES DE DATOS'!#REF!</definedName>
    <definedName name="Ass" localSheetId="3">'[1]BASES DE DATOS'!#REF!</definedName>
    <definedName name="Ass" localSheetId="5">'[1]BASES DE DATOS'!#REF!</definedName>
    <definedName name="Ass">'[1]BASES DE DATOS'!#REF!</definedName>
    <definedName name="ayucop" localSheetId="6">[6]analisis!$P$4</definedName>
    <definedName name="ayucop">[7]analisis!$P$4</definedName>
    <definedName name="AYUDANTE">'[1]BASES DE DATOS'!$B$9:$B$198</definedName>
    <definedName name="B" localSheetId="19" hidden="1">#REF!</definedName>
    <definedName name="B" localSheetId="2" hidden="1">#REF!</definedName>
    <definedName name="B" localSheetId="6" hidden="1">#REF!</definedName>
    <definedName name="B" localSheetId="3" hidden="1">#REF!</definedName>
    <definedName name="B" localSheetId="5" hidden="1">#REF!</definedName>
    <definedName name="B" hidden="1">#REF!</definedName>
    <definedName name="_xlnm.Database" localSheetId="19">#REF!</definedName>
    <definedName name="_xlnm.Database" localSheetId="4">#REF!</definedName>
    <definedName name="_xlnm.Database" localSheetId="2">#REF!</definedName>
    <definedName name="_xlnm.Database" localSheetId="6">#REF!</definedName>
    <definedName name="_xlnm.Database" localSheetId="3">#REF!</definedName>
    <definedName name="_xlnm.Database" localSheetId="5">#REF!</definedName>
    <definedName name="_xlnm.Database">#REF!</definedName>
    <definedName name="BBB" localSheetId="19">'[8]ESTACADO DEL EJE'!#REF!</definedName>
    <definedName name="BBB" localSheetId="2">'[8]ESTACADO DEL EJE'!#REF!</definedName>
    <definedName name="BBB" localSheetId="6">'[8]ESTACADO DEL EJE'!#REF!</definedName>
    <definedName name="BBB" localSheetId="3">'[8]ESTACADO DEL EJE'!#REF!</definedName>
    <definedName name="BBB" localSheetId="5">'[8]ESTACADO DEL EJE'!#REF!</definedName>
    <definedName name="BBB">'[8]ESTACADO DEL EJE'!#REF!</definedName>
    <definedName name="bbbbbbbbbbbbbb" localSheetId="19">#REF!</definedName>
    <definedName name="bbbbbbbbbbbbbb" localSheetId="2">#REF!</definedName>
    <definedName name="bbbbbbbbbbbbbb" localSheetId="6">#REF!</definedName>
    <definedName name="bbbbbbbbbbbbbb" localSheetId="3">#REF!</definedName>
    <definedName name="bbbbbbbbbbbbbb" localSheetId="5">#REF!</definedName>
    <definedName name="bbbbbbbbbbbbbb">#REF!</definedName>
    <definedName name="BJK" localSheetId="19" hidden="1">'[1]Flujo de Caja Consorcio'!#REF!</definedName>
    <definedName name="BJK" localSheetId="2" hidden="1">'[1]Flujo de Caja Consorcio'!#REF!</definedName>
    <definedName name="BJK" localSheetId="6" hidden="1">'[1]Flujo de Caja Consorcio'!#REF!</definedName>
    <definedName name="BJK" localSheetId="3" hidden="1">'[1]Flujo de Caja Consorcio'!#REF!</definedName>
    <definedName name="BJK" localSheetId="5" hidden="1">'[1]Flujo de Caja Consorcio'!#REF!</definedName>
    <definedName name="BJK" hidden="1">'[1]Flujo de Caja Consorcio'!#REF!</definedName>
    <definedName name="ca" localSheetId="19" hidden="1">'[1]Flujo de Caja Consorcio'!#REF!</definedName>
    <definedName name="ca" localSheetId="2" hidden="1">'[1]Flujo de Caja Consorcio'!#REF!</definedName>
    <definedName name="ca" localSheetId="3" hidden="1">'[1]Flujo de Caja Consorcio'!#REF!</definedName>
    <definedName name="ca" localSheetId="5" hidden="1">'[1]Flujo de Caja Consorcio'!#REF!</definedName>
    <definedName name="ca" hidden="1">'[1]Flujo de Caja Consorcio'!#REF!</definedName>
    <definedName name="capap" localSheetId="6">[6]analisis!$P$2</definedName>
    <definedName name="capap">[7]analisis!$P$2</definedName>
    <definedName name="cbasep" localSheetId="6">[6]analisis!$M$5</definedName>
    <definedName name="cbasep">[7]analisis!$M$5</definedName>
    <definedName name="cemp" localSheetId="6">[6]analisis!$M$4</definedName>
    <definedName name="cemp">[7]analisis!$M$4</definedName>
    <definedName name="Certificado4" localSheetId="3" hidden="1">{"'Hoja1 (13)'!$A$6:$F$53"}</definedName>
    <definedName name="Certificado4" localSheetId="15" hidden="1">{"'Hoja1 (13)'!$A$6:$F$53"}</definedName>
    <definedName name="Certificado4" hidden="1">{"'Hoja1 (13)'!$A$6:$F$53"}</definedName>
    <definedName name="CHAPEAU" localSheetId="19">'[1]Flujo de Caja Consorcio'!#REF!</definedName>
    <definedName name="CHAPEAU" localSheetId="4">'[1]Flujo de Caja Consorcio'!#REF!</definedName>
    <definedName name="CHAPEAU" localSheetId="2">'[1]Flujo de Caja Consorcio'!#REF!</definedName>
    <definedName name="CHAPEAU" localSheetId="3">'[1]Flujo de Caja Consorcio'!#REF!</definedName>
    <definedName name="CHAPEAU" localSheetId="5">'[1]Flujo de Caja Consorcio'!#REF!</definedName>
    <definedName name="CHAPEAU">'[1]Flujo de Caja Consorcio'!#REF!</definedName>
    <definedName name="choferp" localSheetId="6">[6]analisis!$P$6</definedName>
    <definedName name="choferp">[7]analisis!$P$6</definedName>
    <definedName name="cip" localSheetId="6">[6]analisis!$I$8</definedName>
    <definedName name="cip">[7]analisis!$I$8</definedName>
    <definedName name="clavosp" localSheetId="6">[6]analisis!$M$14</definedName>
    <definedName name="clavosp">[7]analisis!$M$14</definedName>
    <definedName name="Cll_4N__15_AE_40_San_Eduardo_II_Etapa._Tel_750372._Cúcuta_Colombia." localSheetId="19">#REF!</definedName>
    <definedName name="Cll_4N__15_AE_40_San_Eduardo_II_Etapa._Tel_750372._Cúcuta_Colombia." localSheetId="4">#REF!</definedName>
    <definedName name="Cll_4N__15_AE_40_San_Eduardo_II_Etapa._Tel_750372._Cúcuta_Colombia." localSheetId="2">#REF!</definedName>
    <definedName name="Cll_4N__15_AE_40_San_Eduardo_II_Etapa._Tel_750372._Cúcuta_Colombia." localSheetId="6">#REF!</definedName>
    <definedName name="Cll_4N__15_AE_40_San_Eduardo_II_Etapa._Tel_750372._Cúcuta_Colombia." localSheetId="3">#REF!</definedName>
    <definedName name="Cll_4N__15_AE_40_San_Eduardo_II_Etapa._Tel_750372._Cúcuta_Colombia." localSheetId="11">#REF!</definedName>
    <definedName name="Cll_4N__15_AE_40_San_Eduardo_II_Etapa._Tel_750372._Cúcuta_Colombia." localSheetId="5">#REF!</definedName>
    <definedName name="Cll_4N__15_AE_40_San_Eduardo_II_Etapa._Tel_750372._Cúcuta_Colombia.">#REF!</definedName>
    <definedName name="cnep" localSheetId="6">[6]analisis!$I$7</definedName>
    <definedName name="cnep">[7]analisis!$I$7</definedName>
    <definedName name="ColProg" localSheetId="11">#REF!</definedName>
    <definedName name="columna" localSheetId="19">'[1]Flujo de Caja Consorcio'!#REF!</definedName>
    <definedName name="columna" localSheetId="4">'[1]Flujo de Caja Consorcio'!#REF!</definedName>
    <definedName name="columna" localSheetId="2">'[1]Flujo de Caja Consorcio'!#REF!</definedName>
    <definedName name="columna" localSheetId="3">'[1]Flujo de Caja Consorcio'!#REF!</definedName>
    <definedName name="columna" localSheetId="5">'[1]Flujo de Caja Consorcio'!#REF!</definedName>
    <definedName name="columna">'[1]Flujo de Caja Consorcio'!#REF!</definedName>
    <definedName name="COMIENZO" localSheetId="19">'[8]ESTACADO DEL EJE'!#REF!</definedName>
    <definedName name="COMIENZO" localSheetId="2">'[8]ESTACADO DEL EJE'!#REF!</definedName>
    <definedName name="COMIENZO" localSheetId="3">'[8]ESTACADO DEL EJE'!#REF!</definedName>
    <definedName name="COMIENZO" localSheetId="5">'[8]ESTACADO DEL EJE'!#REF!</definedName>
    <definedName name="COMIENZO">'[8]ESTACADO DEL EJE'!#REF!</definedName>
    <definedName name="compresorap" localSheetId="6">[6]analisis!$I$4</definedName>
    <definedName name="compresorap">[7]analisis!$I$4</definedName>
    <definedName name="COSTO_DIRECTO" localSheetId="19">'[1]Flujo de Caja Consorcio'!#REF!</definedName>
    <definedName name="COSTO_DIRECTO" localSheetId="4">'[1]Flujo de Caja Consorcio'!#REF!</definedName>
    <definedName name="COSTO_DIRECTO" localSheetId="2">'[1]Flujo de Caja Consorcio'!#REF!</definedName>
    <definedName name="COSTO_DIRECTO" localSheetId="3">'[1]Flujo de Caja Consorcio'!#REF!</definedName>
    <definedName name="COSTO_DIRECTO" localSheetId="5">'[1]Flujo de Caja Consorcio'!#REF!</definedName>
    <definedName name="COSTO_DIRECTO">'[1]Flujo de Caja Consorcio'!#REF!</definedName>
    <definedName name="COSTO_INDIRECTO" localSheetId="19">'[1]Flujo de Caja Consorcio'!#REF!</definedName>
    <definedName name="COSTO_INDIRECTO" localSheetId="4">'[1]Flujo de Caja Consorcio'!#REF!</definedName>
    <definedName name="COSTO_INDIRECTO" localSheetId="2">'[1]Flujo de Caja Consorcio'!#REF!</definedName>
    <definedName name="COSTO_INDIRECTO" localSheetId="3">'[1]Flujo de Caja Consorcio'!#REF!</definedName>
    <definedName name="COSTO_INDIRECTO" localSheetId="5">'[1]Flujo de Caja Consorcio'!#REF!</definedName>
    <definedName name="COSTO_INDIRECTO">'[1]Flujo de Caja Consorcio'!#REF!</definedName>
    <definedName name="cplacap" localSheetId="6">[6]analisis!$I$14</definedName>
    <definedName name="cplacap">[7]analisis!$I$14</definedName>
    <definedName name="CrDesOC7" localSheetId="6" hidden="1">{"'Hoja1 (13)'!$A$6:$F$53"}</definedName>
    <definedName name="CrDesOC7" localSheetId="3" hidden="1">{"'Hoja1 (13)'!$A$6:$F$53"}</definedName>
    <definedName name="CrDesOC7" hidden="1">{"'Hoja1 (13)'!$A$6:$F$53"}</definedName>
    <definedName name="cvp" localSheetId="6">[6]analisis!$I$13</definedName>
    <definedName name="cvp">[7]analisis!$I$13</definedName>
    <definedName name="d" localSheetId="19" hidden="1">'[9]Flujo de Caja Consorcio'!#REF!</definedName>
    <definedName name="d" localSheetId="4" hidden="1">'[10]Flujo de Caja Consorcio'!#REF!</definedName>
    <definedName name="d" localSheetId="2" hidden="1">'[9]Flujo de Caja Consorcio'!#REF!</definedName>
    <definedName name="d" localSheetId="3" hidden="1">'[9]Flujo de Caja Consorcio'!#REF!</definedName>
    <definedName name="d" localSheetId="11" hidden="1">'[11]Flujo de Caja Consorcio'!#REF!</definedName>
    <definedName name="d" localSheetId="5" hidden="1">'[10]Flujo de Caja Consorcio'!#REF!</definedName>
    <definedName name="d" hidden="1">'[9]Flujo de Caja Consorcio'!#REF!</definedName>
    <definedName name="D_APU">[12]DEFINICIONES!$B$16</definedName>
    <definedName name="DARIPAVA_SOFTWARE_INC" localSheetId="19">#REF!</definedName>
    <definedName name="DARIPAVA_SOFTWARE_INC" localSheetId="4">#REF!</definedName>
    <definedName name="DARIPAVA_SOFTWARE_INC" localSheetId="2">#REF!</definedName>
    <definedName name="DARIPAVA_SOFTWARE_INC" localSheetId="6">#REF!</definedName>
    <definedName name="DARIPAVA_SOFTWARE_INC" localSheetId="3">#REF!</definedName>
    <definedName name="DARIPAVA_SOFTWARE_INC" localSheetId="11">#REF!</definedName>
    <definedName name="DARIPAVA_SOFTWARE_INC" localSheetId="5">#REF!</definedName>
    <definedName name="DARIPAVA_SOFTWARE_INC">#REF!</definedName>
    <definedName name="dd" localSheetId="3" hidden="1">{"'Hoja1 (13)'!$A$6:$F$53"}</definedName>
    <definedName name="dd" localSheetId="15" hidden="1">{"'Hoja1 (13)'!$A$6:$F$53"}</definedName>
    <definedName name="dd" hidden="1">{"'Hoja1 (13)'!$A$6:$F$53"}</definedName>
    <definedName name="DDD" localSheetId="19" hidden="1">#REF!</definedName>
    <definedName name="DDD" localSheetId="2" hidden="1">#REF!</definedName>
    <definedName name="DDD" localSheetId="6" hidden="1">#REF!</definedName>
    <definedName name="DDD" localSheetId="3" hidden="1">#REF!</definedName>
    <definedName name="DDD" localSheetId="5" hidden="1">#REF!</definedName>
    <definedName name="DDD" hidden="1">#REF!</definedName>
    <definedName name="ddddd" localSheetId="19">'[8]ESTACADO DEL EJE'!#REF!</definedName>
    <definedName name="ddddd" localSheetId="2">'[8]ESTACADO DEL EJE'!#REF!</definedName>
    <definedName name="ddddd" localSheetId="6">'[8]ESTACADO DEL EJE'!#REF!</definedName>
    <definedName name="ddddd" localSheetId="3">'[8]ESTACADO DEL EJE'!#REF!</definedName>
    <definedName name="ddddd" localSheetId="5">'[8]ESTACADO DEL EJE'!#REF!</definedName>
    <definedName name="ddddd">'[8]ESTACADO DEL EJE'!#REF!</definedName>
    <definedName name="ddsa" localSheetId="11" hidden="1">#REF!</definedName>
    <definedName name="derretidorp" localSheetId="6">[6]analisis!$I$15</definedName>
    <definedName name="derretidorp">[7]analisis!$I$15</definedName>
    <definedName name="DEWDWD" localSheetId="19">'[1]Flujo de Caja Consorcio'!#REF!</definedName>
    <definedName name="DEWDWD" localSheetId="2">'[1]Flujo de Caja Consorcio'!#REF!</definedName>
    <definedName name="DEWDWD" localSheetId="3">'[1]Flujo de Caja Consorcio'!#REF!</definedName>
    <definedName name="DEWDWD" localSheetId="5">'[1]Flujo de Caja Consorcio'!#REF!</definedName>
    <definedName name="DEWDWD">'[1]Flujo de Caja Consorcio'!#REF!</definedName>
    <definedName name="DILMAR" localSheetId="19">#REF!</definedName>
    <definedName name="DILMAR" localSheetId="2">#REF!</definedName>
    <definedName name="DILMAR" localSheetId="6">#REF!</definedName>
    <definedName name="DILMAR" localSheetId="3">#REF!</definedName>
    <definedName name="DILMAR" localSheetId="5">#REF!</definedName>
    <definedName name="DILMAR">#REF!</definedName>
    <definedName name="DOLAR" localSheetId="19">'[3]Flujo de Caja Consorcio'!#REF!</definedName>
    <definedName name="DOLAR" localSheetId="4">'[1]Flujo de Caja Consorcio'!#REF!</definedName>
    <definedName name="DOLAR" localSheetId="2">'[3]Flujo de Caja Consorcio'!#REF!</definedName>
    <definedName name="DOLAR" localSheetId="6">'[1]Flujo de Caja Consorcio'!#REF!</definedName>
    <definedName name="DOLAR" localSheetId="3">'[3]Flujo de Caja Consorcio'!#REF!</definedName>
    <definedName name="DOLAR" localSheetId="5">'[1]Flujo de Caja Consorcio'!#REF!</definedName>
    <definedName name="DOLAR">'[3]Flujo de Caja Consorcio'!#REF!</definedName>
    <definedName name="dscd" localSheetId="19">'[1]Flujo de Caja Consorcio'!#REF!</definedName>
    <definedName name="dscd" localSheetId="2">'[1]Flujo de Caja Consorcio'!#REF!</definedName>
    <definedName name="dscd" localSheetId="3">'[1]Flujo de Caja Consorcio'!#REF!</definedName>
    <definedName name="dscd" localSheetId="5">'[1]Flujo de Caja Consorcio'!#REF!</definedName>
    <definedName name="dscd">'[1]Flujo de Caja Consorcio'!#REF!</definedName>
    <definedName name="dsdf" localSheetId="19" hidden="1">'[3]Flujo de Caja Consorcio'!#REF!</definedName>
    <definedName name="dsdf" localSheetId="4" hidden="1">'[1]Flujo de Caja Consorcio'!#REF!</definedName>
    <definedName name="dsdf" localSheetId="2" hidden="1">'[3]Flujo de Caja Consorcio'!#REF!</definedName>
    <definedName name="dsdf" localSheetId="6" hidden="1">'[1]Flujo de Caja Consorcio'!#REF!</definedName>
    <definedName name="dsdf" localSheetId="3" hidden="1">'[3]Flujo de Caja Consorcio'!#REF!</definedName>
    <definedName name="dsdf" localSheetId="5" hidden="1">'[1]Flujo de Caja Consorcio'!#REF!</definedName>
    <definedName name="dsdf" hidden="1">'[3]Flujo de Caja Consorcio'!#REF!</definedName>
    <definedName name="ERT" localSheetId="19">'[3]Flujo de Caja Consorcio'!#REF!</definedName>
    <definedName name="ERT" localSheetId="4">'[1]Flujo de Caja Consorcio'!#REF!</definedName>
    <definedName name="ERT" localSheetId="2">'[3]Flujo de Caja Consorcio'!#REF!</definedName>
    <definedName name="ERT" localSheetId="6">'[1]Flujo de Caja Consorcio'!#REF!</definedName>
    <definedName name="ERT" localSheetId="3">'[3]Flujo de Caja Consorcio'!#REF!</definedName>
    <definedName name="ERT" localSheetId="5">'[1]Flujo de Caja Consorcio'!#REF!</definedName>
    <definedName name="ERT">'[3]Flujo de Caja Consorcio'!#REF!</definedName>
    <definedName name="exc" localSheetId="6">[6]analisis!$H$19</definedName>
    <definedName name="exc">[7]analisis!$H$19</definedName>
    <definedName name="excavacion" localSheetId="19" hidden="1">'[1]Flujo de Caja Consorcio'!#REF!</definedName>
    <definedName name="excavacion" localSheetId="2" hidden="1">'[1]Flujo de Caja Consorcio'!#REF!</definedName>
    <definedName name="excavacion" localSheetId="3" hidden="1">'[1]Flujo de Caja Consorcio'!#REF!</definedName>
    <definedName name="excavacion" localSheetId="5" hidden="1">'[1]Flujo de Caja Consorcio'!#REF!</definedName>
    <definedName name="excavacion" hidden="1">'[1]Flujo de Caja Consorcio'!#REF!</definedName>
    <definedName name="Excel_BuiltIn_Print_Area_1" localSheetId="19">#REF!</definedName>
    <definedName name="Excel_BuiltIn_Print_Area_1" localSheetId="2">#REF!</definedName>
    <definedName name="Excel_BuiltIn_Print_Area_1" localSheetId="6">#REF!</definedName>
    <definedName name="Excel_BuiltIn_Print_Area_1" localSheetId="3">#REF!</definedName>
    <definedName name="Excel_BuiltIn_Print_Area_1" localSheetId="5">#REF!</definedName>
    <definedName name="Excel_BuiltIn_Print_Area_1">#REF!</definedName>
    <definedName name="Excel_BuiltIn_Print_Titles_1" localSheetId="19">#REF!</definedName>
    <definedName name="Excel_BuiltIn_Print_Titles_1" localSheetId="2">#REF!</definedName>
    <definedName name="Excel_BuiltIn_Print_Titles_1" localSheetId="6">#REF!</definedName>
    <definedName name="Excel_BuiltIn_Print_Titles_1" localSheetId="3">#REF!</definedName>
    <definedName name="Excel_BuiltIn_Print_Titles_1" localSheetId="5">#REF!</definedName>
    <definedName name="Excel_BuiltIn_Print_Titles_1">#REF!</definedName>
    <definedName name="Excel_BuiltIn_Print_Titles_7" localSheetId="19">[2]SUBBASE!#REF!</definedName>
    <definedName name="Excel_BuiltIn_Print_Titles_7" localSheetId="2">[2]SUBBASE!#REF!</definedName>
    <definedName name="Excel_BuiltIn_Print_Titles_7" localSheetId="6">[2]SUBBASE!#REF!</definedName>
    <definedName name="Excel_BuiltIn_Print_Titles_7" localSheetId="3">[2]SUBBASE!#REF!</definedName>
    <definedName name="Excel_BuiltIn_Print_Titles_7" localSheetId="5">[2]SUBBASE!#REF!</definedName>
    <definedName name="Excel_BuiltIn_Print_Titles_7">[2]SUBBASE!#REF!</definedName>
    <definedName name="excp" localSheetId="6">[6]analisis!$I$19</definedName>
    <definedName name="excp">[7]analisis!$I$19</definedName>
    <definedName name="EXPOSICION" localSheetId="19">'[3]C.D. INSUMOS'!#REF!</definedName>
    <definedName name="EXPOSICION" localSheetId="4">'[1]C.D. INSUMOS'!#REF!</definedName>
    <definedName name="EXPOSICION" localSheetId="2">'[3]C.D. INSUMOS'!#REF!</definedName>
    <definedName name="EXPOSICION" localSheetId="6">'[1]C.D. INSUMOS'!#REF!</definedName>
    <definedName name="EXPOSICION" localSheetId="3">'[3]C.D. INSUMOS'!#REF!</definedName>
    <definedName name="EXPOSICION" localSheetId="5">'[1]C.D. INSUMOS'!#REF!</definedName>
    <definedName name="EXPOSICION">'[3]C.D. INSUMOS'!#REF!</definedName>
    <definedName name="fce" localSheetId="19">#REF!</definedName>
    <definedName name="fce" localSheetId="4">#REF!</definedName>
    <definedName name="fce" localSheetId="2">#REF!</definedName>
    <definedName name="fce" localSheetId="6">#REF!</definedName>
    <definedName name="fce" localSheetId="3">#REF!</definedName>
    <definedName name="fce" localSheetId="5">#REF!</definedName>
    <definedName name="fce">#REF!</definedName>
    <definedName name="Fecha" localSheetId="11">#REF!</definedName>
    <definedName name="ferna" localSheetId="19">'[8]ESTACADO DEL EJE'!#REF!</definedName>
    <definedName name="ferna" localSheetId="2">'[8]ESTACADO DEL EJE'!#REF!</definedName>
    <definedName name="ferna" localSheetId="6">'[8]ESTACADO DEL EJE'!#REF!</definedName>
    <definedName name="ferna" localSheetId="3">'[8]ESTACADO DEL EJE'!#REF!</definedName>
    <definedName name="ferna" localSheetId="5">'[8]ESTACADO DEL EJE'!#REF!</definedName>
    <definedName name="ferna">'[8]ESTACADO DEL EJE'!#REF!</definedName>
    <definedName name="FF" localSheetId="4">'[1]C.D. INSUMOS'!$H$2</definedName>
    <definedName name="FF" localSheetId="6">'[1]C.D. INSUMOS'!$H$2</definedName>
    <definedName name="FF" localSheetId="5">'[1]C.D. INSUMOS'!$H$2</definedName>
    <definedName name="FF">'[3]C.D. INSUMOS'!$H$2</definedName>
    <definedName name="FG" localSheetId="19">#REF!</definedName>
    <definedName name="FG" localSheetId="2">#REF!</definedName>
    <definedName name="FG" localSheetId="6">#REF!</definedName>
    <definedName name="FG" localSheetId="3">#REF!</definedName>
    <definedName name="FG" localSheetId="5">#REF!</definedName>
    <definedName name="FG">#REF!</definedName>
    <definedName name="FGE" localSheetId="19" hidden="1">'[1]Flujo de Caja Consorcio'!#REF!</definedName>
    <definedName name="FGE" localSheetId="2" hidden="1">'[1]Flujo de Caja Consorcio'!#REF!</definedName>
    <definedName name="FGE" localSheetId="6" hidden="1">'[1]Flujo de Caja Consorcio'!#REF!</definedName>
    <definedName name="FGE" localSheetId="3" hidden="1">'[1]Flujo de Caja Consorcio'!#REF!</definedName>
    <definedName name="FGE" localSheetId="5" hidden="1">'[1]Flujo de Caja Consorcio'!#REF!</definedName>
    <definedName name="FGE" hidden="1">'[1]Flujo de Caja Consorcio'!#REF!</definedName>
    <definedName name="fierrop" localSheetId="6">[6]analisis!$M$15</definedName>
    <definedName name="fierrop">[7]analisis!$M$15</definedName>
    <definedName name="FINAL" localSheetId="19">'[8]ESTACADO DEL EJE'!#REF!</definedName>
    <definedName name="FINAL" localSheetId="2">'[8]ESTACADO DEL EJE'!#REF!</definedName>
    <definedName name="FINAL" localSheetId="3">'[8]ESTACADO DEL EJE'!#REF!</definedName>
    <definedName name="FINAL" localSheetId="5">'[8]ESTACADO DEL EJE'!#REF!</definedName>
    <definedName name="FINAL">'[8]ESTACADO DEL EJE'!#REF!</definedName>
    <definedName name="finop" localSheetId="6">[6]analisis!$M$9</definedName>
    <definedName name="finop">[7]analisis!$M$9</definedName>
    <definedName name="FREDDDY" localSheetId="19">'[1]Flujo de Caja Consorcio'!#REF!</definedName>
    <definedName name="FREDDDY" localSheetId="2">'[1]Flujo de Caja Consorcio'!#REF!</definedName>
    <definedName name="FREDDDY" localSheetId="3">'[1]Flujo de Caja Consorcio'!#REF!</definedName>
    <definedName name="FREDDDY" localSheetId="5">'[1]Flujo de Caja Consorcio'!#REF!</definedName>
    <definedName name="FREDDDY">'[1]Flujo de Caja Consorcio'!#REF!</definedName>
    <definedName name="FREDDY" localSheetId="19">'[1]C.D. INSUMOS'!#REF!</definedName>
    <definedName name="FREDDY" localSheetId="2">'[1]C.D. INSUMOS'!#REF!</definedName>
    <definedName name="FREDDY" localSheetId="3">'[1]C.D. INSUMOS'!#REF!</definedName>
    <definedName name="FREDDY" localSheetId="5">'[1]C.D. INSUMOS'!#REF!</definedName>
    <definedName name="FREDDY">'[1]C.D. INSUMOS'!#REF!</definedName>
    <definedName name="G_G">[13]DEFINICIONES!$B$3</definedName>
    <definedName name="ga" localSheetId="6">[14]OT!$D$108</definedName>
    <definedName name="ga">[15]OT!$D$108</definedName>
    <definedName name="Gar">#N/A</definedName>
    <definedName name="Garantia" localSheetId="19">#REF!</definedName>
    <definedName name="Garantia" localSheetId="2">#REF!</definedName>
    <definedName name="Garantia" localSheetId="6">#REF!</definedName>
    <definedName name="Garantia" localSheetId="3">#REF!</definedName>
    <definedName name="Garantia" localSheetId="11">#REF!</definedName>
    <definedName name="Garantia" localSheetId="5">#REF!</definedName>
    <definedName name="Garantia">#REF!</definedName>
    <definedName name="gavionp" localSheetId="6">[6]analisis!$M$18</definedName>
    <definedName name="gavionp">[7]analisis!$M$18</definedName>
    <definedName name="Generación_de_análisis_de_precios_Unitarios." localSheetId="19">#REF!</definedName>
    <definedName name="Generación_de_análisis_de_precios_Unitarios." localSheetId="4">#REF!</definedName>
    <definedName name="Generación_de_análisis_de_precios_Unitarios." localSheetId="2">#REF!</definedName>
    <definedName name="Generación_de_análisis_de_precios_Unitarios." localSheetId="6">#REF!</definedName>
    <definedName name="Generación_de_análisis_de_precios_Unitarios." localSheetId="3">#REF!</definedName>
    <definedName name="Generación_de_análisis_de_precios_Unitarios." localSheetId="11">#REF!</definedName>
    <definedName name="Generación_de_análisis_de_precios_Unitarios." localSheetId="5">#REF!</definedName>
    <definedName name="Generación_de_análisis_de_precios_Unitarios.">#REF!</definedName>
    <definedName name="GFG" localSheetId="19">'[3]C.D. INSUMOS'!#REF!</definedName>
    <definedName name="GFG" localSheetId="4">'[1]C.D. INSUMOS'!#REF!</definedName>
    <definedName name="GFG" localSheetId="2">'[3]C.D. INSUMOS'!#REF!</definedName>
    <definedName name="GFG" localSheetId="6">'[1]C.D. INSUMOS'!#REF!</definedName>
    <definedName name="GFG" localSheetId="3">'[3]C.D. INSUMOS'!#REF!</definedName>
    <definedName name="GFG" localSheetId="5">'[1]C.D. INSUMOS'!#REF!</definedName>
    <definedName name="GFG">'[3]C.D. INSUMOS'!#REF!</definedName>
    <definedName name="GG" localSheetId="19">'[3]Flujo de Caja Consorcio'!#REF!</definedName>
    <definedName name="GG" localSheetId="4">'[1]Flujo de Caja Consorcio'!#REF!</definedName>
    <definedName name="GG" localSheetId="2">'[3]Flujo de Caja Consorcio'!#REF!</definedName>
    <definedName name="GG" localSheetId="6">'[1]Flujo de Caja Consorcio'!#REF!</definedName>
    <definedName name="GG" localSheetId="3">'[3]Flujo de Caja Consorcio'!#REF!</definedName>
    <definedName name="GG" localSheetId="5">'[1]Flujo de Caja Consorcio'!#REF!</definedName>
    <definedName name="GG">'[3]Flujo de Caja Consorcio'!#REF!</definedName>
    <definedName name="gggereteey" localSheetId="19">#REF!</definedName>
    <definedName name="gggereteey" localSheetId="2">#REF!</definedName>
    <definedName name="gggereteey" localSheetId="6">#REF!</definedName>
    <definedName name="gggereteey" localSheetId="3">#REF!</definedName>
    <definedName name="gggereteey" localSheetId="5">#REF!</definedName>
    <definedName name="gggereteey">#REF!</definedName>
    <definedName name="_xlnm.Recorder" localSheetId="19">#REF!</definedName>
    <definedName name="_xlnm.Recorder" localSheetId="4">#REF!</definedName>
    <definedName name="_xlnm.Recorder" localSheetId="2">#REF!</definedName>
    <definedName name="_xlnm.Recorder" localSheetId="14">#REF!</definedName>
    <definedName name="_xlnm.Recorder" localSheetId="3">#REF!</definedName>
    <definedName name="_xlnm.Recorder" localSheetId="11">#REF!</definedName>
    <definedName name="_xlnm.Recorder" localSheetId="15">#REF!</definedName>
    <definedName name="_xlnm.Recorder" localSheetId="10">#REF!</definedName>
    <definedName name="_xlnm.Recorder" localSheetId="5">#REF!</definedName>
    <definedName name="_xlnm.Recorder">#REF!</definedName>
    <definedName name="Gral">#N/A</definedName>
    <definedName name="gruesop" localSheetId="6">[6]analisis!$M$8</definedName>
    <definedName name="gruesop">[7]analisis!$M$8</definedName>
    <definedName name="gshgdhgsgdu" localSheetId="19">#REF!</definedName>
    <definedName name="gshgdhgsgdu" localSheetId="2">#REF!</definedName>
    <definedName name="gshgdhgsgdu" localSheetId="6">#REF!</definedName>
    <definedName name="gshgdhgsgdu" localSheetId="3">#REF!</definedName>
    <definedName name="gshgdhgsgdu" localSheetId="5">#REF!</definedName>
    <definedName name="gshgdhgsgdu">#REF!</definedName>
    <definedName name="GVarios" localSheetId="19">#REF!</definedName>
    <definedName name="GVarios" localSheetId="2">#REF!</definedName>
    <definedName name="GVarios" localSheetId="6">#REF!</definedName>
    <definedName name="GVarios" localSheetId="3">#REF!</definedName>
    <definedName name="GVarios" localSheetId="11">#REF!</definedName>
    <definedName name="GVarios" localSheetId="5">#REF!</definedName>
    <definedName name="GVarios">#REF!</definedName>
    <definedName name="H1_APU">[13]DEFINICIONES!$B$14</definedName>
    <definedName name="HOJA5000" localSheetId="19">#REF!</definedName>
    <definedName name="HOJA5000" localSheetId="2">#REF!</definedName>
    <definedName name="HOJA5000" localSheetId="6">#REF!</definedName>
    <definedName name="HOJA5000" localSheetId="3">#REF!</definedName>
    <definedName name="HOJA5000" localSheetId="5">#REF!</definedName>
    <definedName name="HOJA5000">#REF!</definedName>
    <definedName name="HR" localSheetId="4">'[1]BASES DE DATOS'!$C$9:$C$198</definedName>
    <definedName name="HR" localSheetId="6">'[1]BASES DE DATOS'!$C$9:$C$198</definedName>
    <definedName name="HR" localSheetId="5">'[1]BASES DE DATOS'!$C$9:$C$198</definedName>
    <definedName name="HR">'[3]BASES DE DATOS'!$C$9:$C$198</definedName>
    <definedName name="HTML_CodePage" hidden="1">1252</definedName>
    <definedName name="HTML_Control" localSheetId="2" hidden="1">{"'Hoja1 (13)'!$A$6:$F$53"}</definedName>
    <definedName name="HTML_Control" localSheetId="7" hidden="1">{"'Hoja1 (13)'!$A$6:$F$53"}</definedName>
    <definedName name="HTML_Control" localSheetId="6" hidden="1">{"'Hoja1 (13)'!$A$6:$F$53"}</definedName>
    <definedName name="HTML_Control" localSheetId="3" hidden="1">{"'Hoja1 (13)'!$A$6:$F$53"}</definedName>
    <definedName name="HTML_Control" localSheetId="13" hidden="1">{"'Hoja1 (13)'!$A$6:$F$53"}</definedName>
    <definedName name="HTML_Control" hidden="1">{"'Hoja1 (13)'!$A$6:$F$53"}</definedName>
    <definedName name="HTML_Description" hidden="1">""</definedName>
    <definedName name="HTML_Email" hidden="1">""</definedName>
    <definedName name="HTML_Header" hidden="1">"Hoja1 (13)"</definedName>
    <definedName name="HTML_LastUpdate" hidden="1">"18/01/99"</definedName>
    <definedName name="HTML_LineAfter" hidden="1">FALSE</definedName>
    <definedName name="HTML_LineBefore" hidden="1">FALSE</definedName>
    <definedName name="HTML_Name" hidden="1">"Sistemas Inteligentes"</definedName>
    <definedName name="HTML_OBDlg2" hidden="1">TRUE</definedName>
    <definedName name="HTML_OBDlg4" hidden="1">TRUE</definedName>
    <definedName name="HTML_OS" hidden="1">0</definedName>
    <definedName name="HTML_PathFile" hidden="1">"d:\Mis documentos\HTML.htm"</definedName>
    <definedName name="HTML_Title" hidden="1">"items"</definedName>
    <definedName name="IJ" localSheetId="19">'[1]C.D. INSUMOS'!#REF!</definedName>
    <definedName name="IJ" localSheetId="4">'[1]C.D. INSUMOS'!#REF!</definedName>
    <definedName name="IJ" localSheetId="2">'[1]C.D. INSUMOS'!#REF!</definedName>
    <definedName name="IJ" localSheetId="3">'[1]C.D. INSUMOS'!#REF!</definedName>
    <definedName name="IJ" localSheetId="5">'[1]C.D. INSUMOS'!#REF!</definedName>
    <definedName name="IJ">'[1]C.D. INSUMOS'!#REF!</definedName>
    <definedName name="Imp" localSheetId="11">#REF!</definedName>
    <definedName name="IMP">[13]DEFINICIONES!$B$5</definedName>
    <definedName name="impacto" localSheetId="19">#REF!</definedName>
    <definedName name="impacto" localSheetId="4">'[1]Flujo de Caja Consorcio'!#REF!</definedName>
    <definedName name="impacto" localSheetId="2">#REF!</definedName>
    <definedName name="impacto" localSheetId="6">#REF!</definedName>
    <definedName name="impacto" localSheetId="3">#REF!</definedName>
    <definedName name="impacto" localSheetId="5">'[1]Flujo de Caja Consorcio'!#REF!</definedName>
    <definedName name="impacto">#REF!</definedName>
    <definedName name="Impuesto" localSheetId="19">#REF!</definedName>
    <definedName name="Impuesto" localSheetId="2">#REF!</definedName>
    <definedName name="Impuesto" localSheetId="6">#REF!</definedName>
    <definedName name="Impuesto" localSheetId="3">#REF!</definedName>
    <definedName name="Impuesto" localSheetId="11">#REF!</definedName>
    <definedName name="Impuesto" localSheetId="5">#REF!</definedName>
    <definedName name="Impuesto">#REF!</definedName>
    <definedName name="INICIO" localSheetId="19">'[8]ESTACADO DEL EJE'!#REF!</definedName>
    <definedName name="INICIO" localSheetId="2">'[8]ESTACADO DEL EJE'!#REF!</definedName>
    <definedName name="INICIO" localSheetId="6">'[8]ESTACADO DEL EJE'!#REF!</definedName>
    <definedName name="INICIO" localSheetId="3">'[8]ESTACADO DEL EJE'!#REF!</definedName>
    <definedName name="INICIO" localSheetId="5">'[8]ESTACADO DEL EJE'!#REF!</definedName>
    <definedName name="INICIO">'[8]ESTACADO DEL EJE'!#REF!</definedName>
    <definedName name="INTERESES" localSheetId="19">'[3]C.D. INSUMOS'!#REF!</definedName>
    <definedName name="INTERESES" localSheetId="4">'[1]C.D. INSUMOS'!#REF!</definedName>
    <definedName name="INTERESES" localSheetId="2">'[3]C.D. INSUMOS'!#REF!</definedName>
    <definedName name="INTERESES" localSheetId="6">'[1]C.D. INSUMOS'!#REF!</definedName>
    <definedName name="INTERESES" localSheetId="3">'[3]C.D. INSUMOS'!#REF!</definedName>
    <definedName name="INTERESES" localSheetId="5">'[1]C.D. INSUMOS'!#REF!</definedName>
    <definedName name="INTERESES">'[3]C.D. INSUMOS'!#REF!</definedName>
    <definedName name="IVA" localSheetId="19">'[3]Flujo de Caja Consorcio'!#REF!</definedName>
    <definedName name="IVA" localSheetId="4">'[1]Flujo de Caja Consorcio'!#REF!</definedName>
    <definedName name="IVA" localSheetId="2">'[3]Flujo de Caja Consorcio'!#REF!</definedName>
    <definedName name="IVA" localSheetId="6">'[1]Flujo de Caja Consorcio'!#REF!</definedName>
    <definedName name="IVA" localSheetId="3">'[3]Flujo de Caja Consorcio'!#REF!</definedName>
    <definedName name="IVA" localSheetId="5">'[1]Flujo de Caja Consorcio'!#REF!</definedName>
    <definedName name="IVA">'[3]Flujo de Caja Consorcio'!#REF!</definedName>
    <definedName name="J" localSheetId="19">#REF!</definedName>
    <definedName name="J" localSheetId="2">#REF!</definedName>
    <definedName name="J" localSheetId="6">#REF!</definedName>
    <definedName name="J" localSheetId="3">#REF!</definedName>
    <definedName name="J" localSheetId="5">#REF!</definedName>
    <definedName name="J">#REF!</definedName>
    <definedName name="JKHGKJG" localSheetId="19">#REF!</definedName>
    <definedName name="JKHGKJG" localSheetId="2">#REF!</definedName>
    <definedName name="JKHGKJG" localSheetId="6">#REF!</definedName>
    <definedName name="JKHGKJG" localSheetId="3">#REF!</definedName>
    <definedName name="JKHGKJG" localSheetId="11">#REF!</definedName>
    <definedName name="JKHGKJG" localSheetId="5">#REF!</definedName>
    <definedName name="JKHGKJG">#REF!</definedName>
    <definedName name="JUAN" localSheetId="19">'[1]C.D. INSUMOS'!#REF!</definedName>
    <definedName name="JUAN" localSheetId="2">'[1]C.D. INSUMOS'!#REF!</definedName>
    <definedName name="JUAN" localSheetId="6">'[1]C.D. INSUMOS'!#REF!</definedName>
    <definedName name="JUAN" localSheetId="3">'[1]C.D. INSUMOS'!#REF!</definedName>
    <definedName name="JUAN" localSheetId="5">'[1]C.D. INSUMOS'!#REF!</definedName>
    <definedName name="JUAN">'[1]C.D. INSUMOS'!#REF!</definedName>
    <definedName name="kerp" localSheetId="6">[6]analisis!$M$3</definedName>
    <definedName name="kerp">[7]analisis!$M$3</definedName>
    <definedName name="L" localSheetId="19" hidden="1">'[3]Flujo de Caja Consorcio'!#REF!</definedName>
    <definedName name="L" localSheetId="4" hidden="1">'[1]Flujo de Caja Consorcio'!#REF!</definedName>
    <definedName name="L" localSheetId="2" hidden="1">'[3]Flujo de Caja Consorcio'!#REF!</definedName>
    <definedName name="L" localSheetId="6" hidden="1">'[1]Flujo de Caja Consorcio'!#REF!</definedName>
    <definedName name="L" localSheetId="3" hidden="1">'[3]Flujo de Caja Consorcio'!#REF!</definedName>
    <definedName name="L" localSheetId="5" hidden="1">'[1]Flujo de Caja Consorcio'!#REF!</definedName>
    <definedName name="L" hidden="1">'[3]Flujo de Caja Consorcio'!#REF!</definedName>
    <definedName name="Lg">"Grupo 141"</definedName>
    <definedName name="LL" localSheetId="19">'[3]C.D. INSUMOS'!#REF!</definedName>
    <definedName name="LL" localSheetId="4">'[1]C.D. INSUMOS'!#REF!</definedName>
    <definedName name="LL" localSheetId="2">'[3]C.D. INSUMOS'!#REF!</definedName>
    <definedName name="LL" localSheetId="6">'[1]C.D. INSUMOS'!#REF!</definedName>
    <definedName name="LL" localSheetId="3">'[3]C.D. INSUMOS'!#REF!</definedName>
    <definedName name="LL" localSheetId="5">'[1]C.D. INSUMOS'!#REF!</definedName>
    <definedName name="LL">'[3]C.D. INSUMOS'!#REF!</definedName>
    <definedName name="Lv" localSheetId="19">#REF!</definedName>
    <definedName name="Lv" localSheetId="4">#REF!</definedName>
    <definedName name="Lv" localSheetId="2">#REF!</definedName>
    <definedName name="Lv" localSheetId="6">#REF!</definedName>
    <definedName name="Lv" localSheetId="3">#REF!</definedName>
    <definedName name="Lv" localSheetId="5">#REF!</definedName>
    <definedName name="Lv">#REF!</definedName>
    <definedName name="M" localSheetId="19">#REF!</definedName>
    <definedName name="M" localSheetId="2">#REF!</definedName>
    <definedName name="M" localSheetId="6">#REF!</definedName>
    <definedName name="M" localSheetId="3">#REF!</definedName>
    <definedName name="M" localSheetId="5">#REF!</definedName>
    <definedName name="M">#REF!</definedName>
    <definedName name="madp" localSheetId="6">[6]analisis!$M$10</definedName>
    <definedName name="madp">[7]analisis!$M$10</definedName>
    <definedName name="material" localSheetId="19" hidden="1">'[1]Flujo de Caja Consorcio'!#REF!</definedName>
    <definedName name="material" localSheetId="2" hidden="1">'[1]Flujo de Caja Consorcio'!#REF!</definedName>
    <definedName name="material" localSheetId="3" hidden="1">'[1]Flujo de Caja Consorcio'!#REF!</definedName>
    <definedName name="material" localSheetId="5" hidden="1">'[1]Flujo de Caja Consorcio'!#REF!</definedName>
    <definedName name="material" hidden="1">'[1]Flujo de Caja Consorcio'!#REF!</definedName>
    <definedName name="mbvcgj" localSheetId="19" hidden="1">'[1]Flujo de Caja Consorcio'!#REF!</definedName>
    <definedName name="mbvcgj" localSheetId="2" hidden="1">'[1]Flujo de Caja Consorcio'!#REF!</definedName>
    <definedName name="mbvcgj" localSheetId="3" hidden="1">'[1]Flujo de Caja Consorcio'!#REF!</definedName>
    <definedName name="mbvcgj" localSheetId="5" hidden="1">'[1]Flujo de Caja Consorcio'!#REF!</definedName>
    <definedName name="mbvcgj" hidden="1">'[1]Flujo de Caja Consorcio'!#REF!</definedName>
    <definedName name="MES" localSheetId="19">#REF!</definedName>
    <definedName name="MES" localSheetId="2">#REF!</definedName>
    <definedName name="MES" localSheetId="6">#REF!</definedName>
    <definedName name="MES" localSheetId="3">#REF!</definedName>
    <definedName name="MES" localSheetId="5">#REF!</definedName>
    <definedName name="MES">#REF!</definedName>
    <definedName name="mezclap" localSheetId="6">[6]analisis!$I$16</definedName>
    <definedName name="mezclap">[7]analisis!$I$16</definedName>
    <definedName name="Misc">#N/A</definedName>
    <definedName name="Miscel" localSheetId="19">#REF!</definedName>
    <definedName name="Miscel" localSheetId="2">#REF!</definedName>
    <definedName name="Miscel" localSheetId="6">#REF!</definedName>
    <definedName name="Miscel" localSheetId="3">#REF!</definedName>
    <definedName name="Miscel" localSheetId="11">#REF!</definedName>
    <definedName name="Miscel" localSheetId="5">#REF!</definedName>
    <definedName name="Miscel">#REF!</definedName>
    <definedName name="MONEDA" localSheetId="4">[4]DEFINICION!$B$15</definedName>
    <definedName name="MONEDA" localSheetId="6">[4]DEFINICION!$B$15</definedName>
    <definedName name="MONEDA" localSheetId="3">[4]DEFINICION!$B$15</definedName>
    <definedName name="MONEDA" localSheetId="5">[4]DEFINICION!$B$15</definedName>
    <definedName name="MONEDA">'[16]PARAMETROS GENERALES'!$C$1</definedName>
    <definedName name="moneda1">[4]DEFINICION!$C$15</definedName>
    <definedName name="mtp" localSheetId="6">[6]analisis!$I$2</definedName>
    <definedName name="mtp">[7]analisis!$I$2</definedName>
    <definedName name="N0" localSheetId="19">'[1]C.D. INSUMOS'!#REF!</definedName>
    <definedName name="N0" localSheetId="2">'[1]C.D. INSUMOS'!#REF!</definedName>
    <definedName name="N0" localSheetId="3">'[1]C.D. INSUMOS'!#REF!</definedName>
    <definedName name="N0" localSheetId="5">'[1]C.D. INSUMOS'!#REF!</definedName>
    <definedName name="N0">'[1]C.D. INSUMOS'!#REF!</definedName>
    <definedName name="NN" localSheetId="19" hidden="1">'[1]Flujo de Caja Consorcio'!#REF!</definedName>
    <definedName name="NN" localSheetId="2" hidden="1">'[1]Flujo de Caja Consorcio'!#REF!</definedName>
    <definedName name="NN" localSheetId="3" hidden="1">'[1]Flujo de Caja Consorcio'!#REF!</definedName>
    <definedName name="NN" localSheetId="5" hidden="1">'[1]Flujo de Caja Consorcio'!#REF!</definedName>
    <definedName name="NN" hidden="1">'[1]Flujo de Caja Consorcio'!#REF!</definedName>
    <definedName name="NOMBRE" localSheetId="19">#REF!</definedName>
    <definedName name="NOMBRE" localSheetId="2">#REF!</definedName>
    <definedName name="NOMBRE" localSheetId="6">#REF!</definedName>
    <definedName name="NOMBRE" localSheetId="3">#REF!</definedName>
    <definedName name="NOMBRE" localSheetId="11">#REF!</definedName>
    <definedName name="NOMBRE" localSheetId="5">#REF!</definedName>
    <definedName name="NOMBRE">#REF!</definedName>
    <definedName name="NUMERO" localSheetId="19">#REF!</definedName>
    <definedName name="NUMERO" localSheetId="2">#REF!</definedName>
    <definedName name="NUMERO" localSheetId="6">#REF!</definedName>
    <definedName name="NUMERO" localSheetId="3">#REF!</definedName>
    <definedName name="NUMERO" localSheetId="5">#REF!</definedName>
    <definedName name="NUMERO">#REF!</definedName>
    <definedName name="O" localSheetId="19" hidden="1">'[9]Flujo de Caja Consorcio'!#REF!</definedName>
    <definedName name="O" localSheetId="4" hidden="1">'[10]Flujo de Caja Consorcio'!#REF!</definedName>
    <definedName name="O" localSheetId="2" hidden="1">'[9]Flujo de Caja Consorcio'!#REF!</definedName>
    <definedName name="O" localSheetId="6" hidden="1">'[10]Flujo de Caja Consorcio'!#REF!</definedName>
    <definedName name="O" localSheetId="3" hidden="1">'[9]Flujo de Caja Consorcio'!#REF!</definedName>
    <definedName name="O" localSheetId="11" hidden="1">'[17]Flujo de Caja Consorcio'!#REF!</definedName>
    <definedName name="O" localSheetId="5" hidden="1">'[10]Flujo de Caja Consorcio'!#REF!</definedName>
    <definedName name="O" hidden="1">'[9]Flujo de Caja Consorcio'!#REF!</definedName>
    <definedName name="opap" localSheetId="6">[6]analisis!$P$3</definedName>
    <definedName name="opap">[7]analisis!$P$3</definedName>
    <definedName name="ORDEN" localSheetId="19">#REF!</definedName>
    <definedName name="ORDEN" localSheetId="4">#REF!</definedName>
    <definedName name="ORDEN" localSheetId="2">#REF!</definedName>
    <definedName name="ORDEN" localSheetId="6">#REF!</definedName>
    <definedName name="ORDEN" localSheetId="3">#REF!</definedName>
    <definedName name="ORDEN" localSheetId="5">#REF!</definedName>
    <definedName name="ORDEN">#REF!</definedName>
    <definedName name="p" localSheetId="19" hidden="1">'[1]Flujo de Caja Consorcio'!#REF!</definedName>
    <definedName name="p" localSheetId="2" hidden="1">'[1]Flujo de Caja Consorcio'!#REF!</definedName>
    <definedName name="p" localSheetId="6" hidden="1">'[1]Flujo de Caja Consorcio'!#REF!</definedName>
    <definedName name="p" localSheetId="3" hidden="1">'[1]Flujo de Caja Consorcio'!#REF!</definedName>
    <definedName name="p" localSheetId="5" hidden="1">'[1]Flujo de Caja Consorcio'!#REF!</definedName>
    <definedName name="p" hidden="1">'[1]Flujo de Caja Consorcio'!#REF!</definedName>
    <definedName name="Pas">#N/A</definedName>
    <definedName name="Pasaje" localSheetId="19">#REF!</definedName>
    <definedName name="Pasaje" localSheetId="2">#REF!</definedName>
    <definedName name="Pasaje" localSheetId="6">#REF!</definedName>
    <definedName name="Pasaje" localSheetId="3">#REF!</definedName>
    <definedName name="Pasaje" localSheetId="11">#REF!</definedName>
    <definedName name="Pasaje" localSheetId="5">#REF!</definedName>
    <definedName name="Pasaje">#REF!</definedName>
    <definedName name="pf" localSheetId="19">'[3]C.D. INSUMOS'!#REF!</definedName>
    <definedName name="pf" localSheetId="4">'[1]C.D. INSUMOS'!#REF!</definedName>
    <definedName name="pf" localSheetId="2">'[3]C.D. INSUMOS'!#REF!</definedName>
    <definedName name="pf" localSheetId="6">'[1]C.D. INSUMOS'!#REF!</definedName>
    <definedName name="pf" localSheetId="3">'[3]C.D. INSUMOS'!#REF!</definedName>
    <definedName name="pf" localSheetId="5">'[1]C.D. INSUMOS'!#REF!</definedName>
    <definedName name="pf">'[3]C.D. INSUMOS'!#REF!</definedName>
    <definedName name="piedrap" localSheetId="6">[6]analisis!$M$13</definedName>
    <definedName name="piedrap">[7]analisis!$M$13</definedName>
    <definedName name="planasfp" localSheetId="6">[6]analisis!$I$10</definedName>
    <definedName name="planasfp">[7]analisis!$I$10</definedName>
    <definedName name="plazo" localSheetId="19">'[3]C.D. INSUMOS'!#REF!</definedName>
    <definedName name="plazo" localSheetId="4">'[1]C.D. INSUMOS'!#REF!</definedName>
    <definedName name="plazo" localSheetId="2">'[3]C.D. INSUMOS'!#REF!</definedName>
    <definedName name="plazo" localSheetId="6">'[1]C.D. INSUMOS'!#REF!</definedName>
    <definedName name="plazo" localSheetId="3">'[3]C.D. INSUMOS'!#REF!</definedName>
    <definedName name="plazo" localSheetId="5">'[1]C.D. INSUMOS'!#REF!</definedName>
    <definedName name="plazo">'[3]C.D. INSUMOS'!#REF!</definedName>
    <definedName name="plp" localSheetId="6">[6]analisis!$I$11</definedName>
    <definedName name="plp">[7]analisis!$I$11</definedName>
    <definedName name="PNac">#N/A</definedName>
    <definedName name="PRECIO" localSheetId="19">'[3]Flujo de Caja Consorcio'!#REF!</definedName>
    <definedName name="PRECIO" localSheetId="4">'[1]Flujo de Caja Consorcio'!#REF!</definedName>
    <definedName name="PRECIO" localSheetId="2">'[3]Flujo de Caja Consorcio'!#REF!</definedName>
    <definedName name="PRECIO" localSheetId="6">'[1]Flujo de Caja Consorcio'!#REF!</definedName>
    <definedName name="PRECIO" localSheetId="3">'[3]Flujo de Caja Consorcio'!#REF!</definedName>
    <definedName name="PRECIO" localSheetId="5">'[1]Flujo de Caja Consorcio'!#REF!</definedName>
    <definedName name="PRECIO">'[3]Flujo de Caja Consorcio'!#REF!</definedName>
    <definedName name="Print_Area_MI" localSheetId="19">#REF!</definedName>
    <definedName name="Print_Area_MI" localSheetId="4">#REF!</definedName>
    <definedName name="Print_Area_MI" localSheetId="2">#REF!</definedName>
    <definedName name="Print_Area_MI" localSheetId="3">#REF!</definedName>
    <definedName name="Print_Area_MI" localSheetId="5">#REF!</definedName>
    <definedName name="Print_Area_MI">#REF!</definedName>
    <definedName name="Prot" localSheetId="19">#REF!</definedName>
    <definedName name="Prot" localSheetId="2">#REF!</definedName>
    <definedName name="Prot" localSheetId="6">#REF!</definedName>
    <definedName name="Prot" localSheetId="3">#REF!</definedName>
    <definedName name="Prot" localSheetId="11">#REF!</definedName>
    <definedName name="Prot" localSheetId="5">#REF!</definedName>
    <definedName name="Prot">#REF!</definedName>
    <definedName name="PRUEVA" localSheetId="19">'[1]Flujo de Caja Consorcio'!#REF!</definedName>
    <definedName name="PRUEVA" localSheetId="2">'[1]Flujo de Caja Consorcio'!#REF!</definedName>
    <definedName name="PRUEVA" localSheetId="6">'[1]Flujo de Caja Consorcio'!#REF!</definedName>
    <definedName name="PRUEVA" localSheetId="3">'[1]Flujo de Caja Consorcio'!#REF!</definedName>
    <definedName name="PRUEVA" localSheetId="5">'[1]Flujo de Caja Consorcio'!#REF!</definedName>
    <definedName name="PRUEVA">'[1]Flujo de Caja Consorcio'!#REF!</definedName>
    <definedName name="Q" localSheetId="19">#REF!</definedName>
    <definedName name="Q" localSheetId="4">#REF!</definedName>
    <definedName name="Q" localSheetId="2">#REF!</definedName>
    <definedName name="Q" localSheetId="3">#REF!</definedName>
    <definedName name="Q" localSheetId="5">#REF!</definedName>
    <definedName name="Q">#REF!</definedName>
    <definedName name="re" localSheetId="6">[14]OT!$D$106</definedName>
    <definedName name="re">[15]OT!$D$106</definedName>
    <definedName name="red" localSheetId="19" hidden="1">'[1]Flujo de Caja Consorcio'!#REF!</definedName>
    <definedName name="red" localSheetId="2" hidden="1">'[1]Flujo de Caja Consorcio'!#REF!</definedName>
    <definedName name="red" localSheetId="3" hidden="1">'[1]Flujo de Caja Consorcio'!#REF!</definedName>
    <definedName name="red" localSheetId="5" hidden="1">'[1]Flujo de Caja Consorcio'!#REF!</definedName>
    <definedName name="red" hidden="1">'[1]Flujo de Caja Consorcio'!#REF!</definedName>
    <definedName name="REPRESENTANTE">[4]DEFINICION!$B$17</definedName>
    <definedName name="RES" localSheetId="19">'[1]C.D. INSUMOS'!#REF!</definedName>
    <definedName name="RES" localSheetId="2">'[1]C.D. INSUMOS'!#REF!</definedName>
    <definedName name="RES" localSheetId="3">'[1]C.D. INSUMOS'!#REF!</definedName>
    <definedName name="RES" localSheetId="5">'[1]C.D. INSUMOS'!#REF!</definedName>
    <definedName name="RES">'[1]C.D. INSUMOS'!#REF!</definedName>
    <definedName name="RET" localSheetId="19" hidden="1">'[3]Flujo de Caja Consorcio'!#REF!</definedName>
    <definedName name="RET" localSheetId="4" hidden="1">'[1]Flujo de Caja Consorcio'!#REF!</definedName>
    <definedName name="RET" localSheetId="2" hidden="1">'[3]Flujo de Caja Consorcio'!#REF!</definedName>
    <definedName name="RET" localSheetId="6" hidden="1">'[1]Flujo de Caja Consorcio'!#REF!</definedName>
    <definedName name="RET" localSheetId="3" hidden="1">'[3]Flujo de Caja Consorcio'!#REF!</definedName>
    <definedName name="RET" localSheetId="5" hidden="1">'[1]Flujo de Caja Consorcio'!#REF!</definedName>
    <definedName name="RET" hidden="1">'[3]Flujo de Caja Consorcio'!#REF!</definedName>
    <definedName name="ripp" localSheetId="6">[6]analisis!$M$6</definedName>
    <definedName name="ripp">[7]analisis!$M$6</definedName>
    <definedName name="RL" localSheetId="19">'[1]C.D. INSUMOS'!#REF!</definedName>
    <definedName name="RL" localSheetId="2">'[1]C.D. INSUMOS'!#REF!</definedName>
    <definedName name="RL" localSheetId="3">'[1]C.D. INSUMOS'!#REF!</definedName>
    <definedName name="RL" localSheetId="5">'[1]C.D. INSUMOS'!#REF!</definedName>
    <definedName name="RL">'[1]C.D. INSUMOS'!#REF!</definedName>
    <definedName name="rompepavip" localSheetId="6">[6]analisis!$I$5</definedName>
    <definedName name="rompepavip">[7]analisis!$I$5</definedName>
    <definedName name="RTW" localSheetId="19" hidden="1">'[3]Flujo de Caja Consorcio'!#REF!</definedName>
    <definedName name="RTW" localSheetId="4" hidden="1">'[1]Flujo de Caja Consorcio'!#REF!</definedName>
    <definedName name="RTW" localSheetId="2" hidden="1">'[3]Flujo de Caja Consorcio'!#REF!</definedName>
    <definedName name="RTW" localSheetId="6" hidden="1">'[1]Flujo de Caja Consorcio'!#REF!</definedName>
    <definedName name="RTW" localSheetId="3" hidden="1">'[3]Flujo de Caja Consorcio'!#REF!</definedName>
    <definedName name="RTW" localSheetId="5" hidden="1">'[1]Flujo de Caja Consorcio'!#REF!</definedName>
    <definedName name="RTW" hidden="1">'[3]Flujo de Caja Consorcio'!#REF!</definedName>
    <definedName name="S" localSheetId="19" hidden="1">#REF!</definedName>
    <definedName name="S" localSheetId="4" hidden="1">#REF!</definedName>
    <definedName name="S" localSheetId="2" hidden="1">#REF!</definedName>
    <definedName name="S" localSheetId="6" hidden="1">#REF!</definedName>
    <definedName name="S" localSheetId="3" hidden="1">#REF!</definedName>
    <definedName name="s" localSheetId="11" hidden="1">#REF!</definedName>
    <definedName name="S" localSheetId="5" hidden="1">#REF!</definedName>
    <definedName name="S" hidden="1">#REF!</definedName>
    <definedName name="s1c" localSheetId="19">#REF!</definedName>
    <definedName name="s1c" localSheetId="4">#REF!</definedName>
    <definedName name="s1c" localSheetId="2">#REF!</definedName>
    <definedName name="s1c" localSheetId="6">#REF!</definedName>
    <definedName name="s1c" localSheetId="3">#REF!</definedName>
    <definedName name="s1c" localSheetId="5">#REF!</definedName>
    <definedName name="s1c">#REF!</definedName>
    <definedName name="s2c" localSheetId="19">#REF!</definedName>
    <definedName name="s2c" localSheetId="4">#REF!</definedName>
    <definedName name="s2c" localSheetId="2">#REF!</definedName>
    <definedName name="s2c" localSheetId="6">#REF!</definedName>
    <definedName name="s2c" localSheetId="3">#REF!</definedName>
    <definedName name="s2c" localSheetId="5">#REF!</definedName>
    <definedName name="s2c">#REF!</definedName>
    <definedName name="sa" localSheetId="11" hidden="1">#REF!</definedName>
    <definedName name="SADSAD" localSheetId="19">'[18]ESTACADO DEL EJE'!#REF!</definedName>
    <definedName name="SADSAD" localSheetId="2">'[18]ESTACADO DEL EJE'!#REF!</definedName>
    <definedName name="SADSAD" localSheetId="6">'[18]ESTACADO DEL EJE'!#REF!</definedName>
    <definedName name="SADSAD" localSheetId="3">'[18]ESTACADO DEL EJE'!#REF!</definedName>
    <definedName name="SADSAD" localSheetId="5">'[18]ESTACADO DEL EJE'!#REF!</definedName>
    <definedName name="SADSAD">'[18]ESTACADO DEL EJE'!#REF!</definedName>
    <definedName name="sbase" localSheetId="6">[6]analisis!$K$21</definedName>
    <definedName name="sbase">[7]analisis!$K$21</definedName>
    <definedName name="sbasep" localSheetId="6">[6]analisis!$M$21</definedName>
    <definedName name="sbasep">[7]analisis!$M$21</definedName>
    <definedName name="SD" localSheetId="11" hidden="1">#REF!</definedName>
    <definedName name="SDVSD" localSheetId="19" hidden="1">'[1]Flujo de Caja Consorcio'!#REF!</definedName>
    <definedName name="SDVSD" localSheetId="2" hidden="1">'[1]Flujo de Caja Consorcio'!#REF!</definedName>
    <definedName name="SDVSD" localSheetId="3" hidden="1">'[1]Flujo de Caja Consorcio'!#REF!</definedName>
    <definedName name="SDVSD" localSheetId="5" hidden="1">'[1]Flujo de Caja Consorcio'!#REF!</definedName>
    <definedName name="SDVSD" hidden="1">'[1]Flujo de Caja Consorcio'!#REF!</definedName>
    <definedName name="SEC" localSheetId="19" hidden="1">'[1]Flujo de Caja Consorcio'!#REF!</definedName>
    <definedName name="SEC" localSheetId="2" hidden="1">'[1]Flujo de Caja Consorcio'!#REF!</definedName>
    <definedName name="SEC" localSheetId="3" hidden="1">'[1]Flujo de Caja Consorcio'!#REF!</definedName>
    <definedName name="SEC" localSheetId="5" hidden="1">'[1]Flujo de Caja Consorcio'!#REF!</definedName>
    <definedName name="SEC" hidden="1">'[1]Flujo de Caja Consorcio'!#REF!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SHARED_FORMULA_6">#N/A</definedName>
    <definedName name="SHARED_FORMULA_7">#N/A</definedName>
    <definedName name="sol" localSheetId="6">[14]OT!$D$990</definedName>
    <definedName name="sol">[15]OT!$D$990</definedName>
    <definedName name="sss" localSheetId="19" hidden="1">'[1]Flujo de Caja Consorcio'!#REF!</definedName>
    <definedName name="sss" localSheetId="2" hidden="1">'[1]Flujo de Caja Consorcio'!#REF!</definedName>
    <definedName name="sss" localSheetId="3" hidden="1">'[1]Flujo de Caja Consorcio'!#REF!</definedName>
    <definedName name="sss" localSheetId="5" hidden="1">'[1]Flujo de Caja Consorcio'!#REF!</definedName>
    <definedName name="sss" hidden="1">'[1]Flujo de Caja Consorcio'!#REF!</definedName>
    <definedName name="sssssssssssss" localSheetId="19" hidden="1">'[1]Flujo de Caja Consorcio'!#REF!</definedName>
    <definedName name="sssssssssssss" localSheetId="2" hidden="1">'[1]Flujo de Caja Consorcio'!#REF!</definedName>
    <definedName name="sssssssssssss" localSheetId="3" hidden="1">'[1]Flujo de Caja Consorcio'!#REF!</definedName>
    <definedName name="sssssssssssss" localSheetId="5" hidden="1">'[1]Flujo de Caja Consorcio'!#REF!</definedName>
    <definedName name="sssssssssssss" hidden="1">'[1]Flujo de Caja Consorcio'!#REF!</definedName>
    <definedName name="Su" localSheetId="19">#REF!</definedName>
    <definedName name="Su" localSheetId="2">#REF!</definedName>
    <definedName name="Su" localSheetId="14">#REF!</definedName>
    <definedName name="Su" localSheetId="3">#REF!</definedName>
    <definedName name="Su" localSheetId="11">#REF!</definedName>
    <definedName name="Su" localSheetId="15">#REF!</definedName>
    <definedName name="Su" localSheetId="10">#REF!</definedName>
    <definedName name="Su" localSheetId="5">#REF!</definedName>
    <definedName name="Su">#REF!</definedName>
    <definedName name="Sueldo" localSheetId="19">#REF!</definedName>
    <definedName name="Sueldo" localSheetId="2">#REF!</definedName>
    <definedName name="Sueldo" localSheetId="6">#REF!</definedName>
    <definedName name="Sueldo" localSheetId="3">#REF!</definedName>
    <definedName name="Sueldo" localSheetId="11">#REF!</definedName>
    <definedName name="Sueldo" localSheetId="5">#REF!</definedName>
    <definedName name="Sueldo">#REF!</definedName>
    <definedName name="SueldoApoyo" localSheetId="19">#REF!</definedName>
    <definedName name="SueldoApoyo" localSheetId="2">#REF!</definedName>
    <definedName name="SueldoApoyo" localSheetId="6">#REF!</definedName>
    <definedName name="SueldoApoyo" localSheetId="3">#REF!</definedName>
    <definedName name="SueldoApoyo" localSheetId="11">#REF!</definedName>
    <definedName name="SueldoApoyo" localSheetId="5">#REF!</definedName>
    <definedName name="SueldoApoyo">#REF!</definedName>
    <definedName name="SueldoInt" localSheetId="19">#REF!</definedName>
    <definedName name="SueldoInt" localSheetId="2">#REF!</definedName>
    <definedName name="SueldoInt" localSheetId="6">#REF!</definedName>
    <definedName name="SueldoInt" localSheetId="3">#REF!</definedName>
    <definedName name="SueldoInt" localSheetId="11">#REF!</definedName>
    <definedName name="SueldoInt" localSheetId="5">#REF!</definedName>
    <definedName name="SueldoInt">#REF!</definedName>
    <definedName name="SueldoPE" localSheetId="19">[19]PERSONAL!#REF!</definedName>
    <definedName name="SueldoPE" localSheetId="2">[19]PERSONAL!#REF!</definedName>
    <definedName name="SueldoPE" localSheetId="6">[19]PERSONAL!#REF!</definedName>
    <definedName name="SueldoPE" localSheetId="3">[19]PERSONAL!#REF!</definedName>
    <definedName name="SueldoPE" localSheetId="11">[20]PERSONAL!#REF!</definedName>
    <definedName name="SueldoPE" localSheetId="5">[19]PERSONAL!#REF!</definedName>
    <definedName name="SueldoPE">[19]PERSONAL!#REF!</definedName>
    <definedName name="Sueldos" localSheetId="19">#REF!</definedName>
    <definedName name="Sueldos" localSheetId="2">#REF!</definedName>
    <definedName name="Sueldos" localSheetId="6">#REF!</definedName>
    <definedName name="Sueldos" localSheetId="3">#REF!</definedName>
    <definedName name="Sueldos" localSheetId="11">#REF!</definedName>
    <definedName name="Sueldos" localSheetId="5">#REF!</definedName>
    <definedName name="Sueldos">#REF!</definedName>
    <definedName name="T_C">[13]DEFINICIONES!$B$6</definedName>
    <definedName name="TAC" localSheetId="19">'[3]Flujo de Caja Consorcio'!#REF!</definedName>
    <definedName name="TAC" localSheetId="4">'[1]Flujo de Caja Consorcio'!#REF!</definedName>
    <definedName name="TAC" localSheetId="2">'[3]Flujo de Caja Consorcio'!#REF!</definedName>
    <definedName name="TAC" localSheetId="6">'[1]Flujo de Caja Consorcio'!#REF!</definedName>
    <definedName name="TAC" localSheetId="3">'[3]Flujo de Caja Consorcio'!#REF!</definedName>
    <definedName name="TAC" localSheetId="5">'[1]Flujo de Caja Consorcio'!#REF!</definedName>
    <definedName name="TAC">'[3]Flujo de Caja Consorcio'!#REF!</definedName>
    <definedName name="tasa_cero" localSheetId="19">'[3]Flujo de Caja Consorcio'!#REF!</definedName>
    <definedName name="tasa_cero" localSheetId="4">'[1]Flujo de Caja Consorcio'!#REF!</definedName>
    <definedName name="tasa_cero" localSheetId="2">'[3]Flujo de Caja Consorcio'!#REF!</definedName>
    <definedName name="tasa_cero" localSheetId="6">'[1]Flujo de Caja Consorcio'!#REF!</definedName>
    <definedName name="tasa_cero" localSheetId="3">'[3]Flujo de Caja Consorcio'!#REF!</definedName>
    <definedName name="tasa_cero" localSheetId="5">'[1]Flujo de Caja Consorcio'!#REF!</definedName>
    <definedName name="tasa_cero">'[3]Flujo de Caja Consorcio'!#REF!</definedName>
    <definedName name="tc" localSheetId="6">'[21]planilla geral'!$A$1</definedName>
    <definedName name="tc" localSheetId="11">#REF!</definedName>
    <definedName name="tc">'[22]planilla geral'!$A$1</definedName>
    <definedName name="terasfp" localSheetId="6">[6]analisis!$I$9</definedName>
    <definedName name="terasfp">[7]analisis!$I$9</definedName>
    <definedName name="TERR3" localSheetId="19" hidden="1">'[1]Flujo de Caja Consorcio'!#REF!</definedName>
    <definedName name="TERR3" localSheetId="2" hidden="1">'[1]Flujo de Caja Consorcio'!#REF!</definedName>
    <definedName name="TERR3" localSheetId="3" hidden="1">'[1]Flujo de Caja Consorcio'!#REF!</definedName>
    <definedName name="TERR3" localSheetId="5" hidden="1">'[1]Flujo de Caja Consorcio'!#REF!</definedName>
    <definedName name="TERR3" hidden="1">'[1]Flujo de Caja Consorcio'!#REF!</definedName>
    <definedName name="Terra">"Imagen 23"</definedName>
    <definedName name="tipo_moneda">[4]DEFINICION!$B$16</definedName>
    <definedName name="_xlnm.Print_Titles" localSheetId="2">'Cant. Ejec,'!$3:$4</definedName>
    <definedName name="_xlnm.Print_Titles" localSheetId="13">'Planilla de Avance'!$7:$8</definedName>
    <definedName name="TOTAL" localSheetId="4">'[1]Flujo de Caja Consorcio'!$I$3</definedName>
    <definedName name="TOTAL" localSheetId="6">'[1]Flujo de Caja Consorcio'!$I$3</definedName>
    <definedName name="TOTAL" localSheetId="5">'[1]Flujo de Caja Consorcio'!$I$3</definedName>
    <definedName name="TOTAL">'[3]Flujo de Caja Consorcio'!$I$3</definedName>
    <definedName name="TPA" localSheetId="19">'[3]Flujo de Caja Consorcio'!#REF!</definedName>
    <definedName name="TPA" localSheetId="4">'[1]Flujo de Caja Consorcio'!#REF!</definedName>
    <definedName name="TPA" localSheetId="2">'[3]Flujo de Caja Consorcio'!#REF!</definedName>
    <definedName name="TPA" localSheetId="6">'[1]Flujo de Caja Consorcio'!#REF!</definedName>
    <definedName name="TPA" localSheetId="3">'[3]Flujo de Caja Consorcio'!#REF!</definedName>
    <definedName name="TPA" localSheetId="5">'[1]Flujo de Caja Consorcio'!#REF!</definedName>
    <definedName name="TPA">'[3]Flujo de Caja Consorcio'!#REF!</definedName>
    <definedName name="Tramsp" localSheetId="19">#REF!</definedName>
    <definedName name="Tramsp" localSheetId="2">#REF!</definedName>
    <definedName name="Tramsp" localSheetId="6">#REF!</definedName>
    <definedName name="Tramsp" localSheetId="3">#REF!</definedName>
    <definedName name="Tramsp" localSheetId="11">#REF!</definedName>
    <definedName name="Tramsp" localSheetId="5">#REF!</definedName>
    <definedName name="Tramsp">#REF!</definedName>
    <definedName name="Tran">#N/A</definedName>
    <definedName name="Transporte" localSheetId="19">#REF!</definedName>
    <definedName name="Transporte" localSheetId="2">#REF!</definedName>
    <definedName name="Transporte" localSheetId="6">#REF!</definedName>
    <definedName name="Transporte" localSheetId="3">#REF!</definedName>
    <definedName name="Transporte" localSheetId="11">#REF!</definedName>
    <definedName name="Transporte" localSheetId="5">#REF!</definedName>
    <definedName name="Transporte">#REF!</definedName>
    <definedName name="tratamientop" localSheetId="6">[6]analisis!$M$11</definedName>
    <definedName name="tratamientop">[7]analisis!$M$11</definedName>
    <definedName name="trp" localSheetId="6">[6]analisis!$I$3</definedName>
    <definedName name="trp">[7]analisis!$I$3</definedName>
    <definedName name="UT">[12]DEFINICIONES!$B$4</definedName>
    <definedName name="val" localSheetId="19">'[3]C.D. INSUMOS'!#REF!</definedName>
    <definedName name="val" localSheetId="4">'[1]C.D. INSUMOS'!#REF!</definedName>
    <definedName name="val" localSheetId="2">'[3]C.D. INSUMOS'!#REF!</definedName>
    <definedName name="val" localSheetId="6">'[1]C.D. INSUMOS'!#REF!</definedName>
    <definedName name="val" localSheetId="3">'[3]C.D. INSUMOS'!#REF!</definedName>
    <definedName name="val" localSheetId="5">'[1]C.D. INSUMOS'!#REF!</definedName>
    <definedName name="val">'[3]C.D. INSUMOS'!#REF!</definedName>
    <definedName name="Via">#N/A</definedName>
    <definedName name="Viatico" localSheetId="19">#REF!</definedName>
    <definedName name="Viatico" localSheetId="2">#REF!</definedName>
    <definedName name="Viatico" localSheetId="6">#REF!</definedName>
    <definedName name="Viatico" localSheetId="3">#REF!</definedName>
    <definedName name="Viatico" localSheetId="11">#REF!</definedName>
    <definedName name="Viatico" localSheetId="5">#REF!</definedName>
    <definedName name="Viatico">#REF!</definedName>
    <definedName name="vibp" localSheetId="6">[6]analisis!$I$6</definedName>
    <definedName name="vibp">[7]analisis!$I$6</definedName>
    <definedName name="vibrahormigonp" localSheetId="6">[6]analisis!$I$17</definedName>
    <definedName name="vibrahormigonp">[7]analisis!$I$17</definedName>
    <definedName name="W" localSheetId="19">[23]cantidades_enero_2006!#REF!</definedName>
    <definedName name="W" localSheetId="4">[23]cantidades_enero_2006!#REF!</definedName>
    <definedName name="W" localSheetId="2">[23]cantidades_enero_2006!#REF!</definedName>
    <definedName name="W" localSheetId="6">[24]cantidades_AGOSTO_2006!#REF!</definedName>
    <definedName name="W" localSheetId="3">[23]cantidades_enero_2006!#REF!</definedName>
    <definedName name="W" localSheetId="5">[23]cantidades_enero_2006!#REF!</definedName>
    <definedName name="W">[23]cantidades_enero_2006!#REF!</definedName>
    <definedName name="WERT" localSheetId="19">'[3]C.D. INSUMOS'!#REF!</definedName>
    <definedName name="WERT" localSheetId="4">'[1]C.D. INSUMOS'!#REF!</definedName>
    <definedName name="WERT" localSheetId="2">'[3]C.D. INSUMOS'!#REF!</definedName>
    <definedName name="WERT" localSheetId="6">'[1]C.D. INSUMOS'!#REF!</definedName>
    <definedName name="WERT" localSheetId="3">'[3]C.D. INSUMOS'!#REF!</definedName>
    <definedName name="WERT" localSheetId="5">'[1]C.D. INSUMOS'!#REF!</definedName>
    <definedName name="WERT">'[3]C.D. INSUMOS'!#REF!</definedName>
    <definedName name="wsq" localSheetId="19" hidden="1">'[1]Flujo de Caja Consorcio'!#REF!</definedName>
    <definedName name="wsq" localSheetId="2" hidden="1">'[1]Flujo de Caja Consorcio'!#REF!</definedName>
    <definedName name="wsq" localSheetId="3" hidden="1">'[1]Flujo de Caja Consorcio'!#REF!</definedName>
    <definedName name="wsq" localSheetId="5" hidden="1">'[1]Flujo de Caja Consorcio'!#REF!</definedName>
    <definedName name="wsq" hidden="1">'[1]Flujo de Caja Consorcio'!#REF!</definedName>
    <definedName name="xxx" localSheetId="19">#REF!</definedName>
    <definedName name="XXX" localSheetId="4" hidden="1">#REF!</definedName>
    <definedName name="xxx" localSheetId="2">#REF!</definedName>
    <definedName name="xxx" localSheetId="14">#REF!</definedName>
    <definedName name="XXX" localSheetId="3" hidden="1">#REF!</definedName>
    <definedName name="xxx" localSheetId="11">#REF!</definedName>
    <definedName name="xxx" localSheetId="15">#REF!</definedName>
    <definedName name="xxx" localSheetId="10">#REF!</definedName>
    <definedName name="XXX" localSheetId="5" hidden="1">#REF!</definedName>
    <definedName name="xxx">#REF!</definedName>
    <definedName name="YH" localSheetId="19">'[1]C.D. INSUMOS'!#REF!</definedName>
    <definedName name="YH" localSheetId="2">'[1]C.D. INSUMOS'!#REF!</definedName>
    <definedName name="YH" localSheetId="6">'[1]C.D. INSUMOS'!#REF!</definedName>
    <definedName name="YH" localSheetId="3">'[1]C.D. INSUMOS'!#REF!</definedName>
    <definedName name="YH" localSheetId="5">'[1]C.D. INSUMOS'!#REF!</definedName>
    <definedName name="YH">'[1]C.D. INSUMOS'!#REF!</definedName>
    <definedName name="yy" localSheetId="19">#REF!</definedName>
    <definedName name="yy" localSheetId="2">#REF!</definedName>
    <definedName name="yy" localSheetId="14">#REF!</definedName>
    <definedName name="yy" localSheetId="3">#REF!</definedName>
    <definedName name="yy" localSheetId="11">#REF!</definedName>
    <definedName name="yy" localSheetId="15">#REF!</definedName>
    <definedName name="yy" localSheetId="10">#REF!</definedName>
    <definedName name="yy" localSheetId="5">#REF!</definedName>
    <definedName name="yy">#REF!</definedName>
    <definedName name="yyy" localSheetId="19">#REF!</definedName>
    <definedName name="yyy" localSheetId="2">#REF!</definedName>
    <definedName name="yyy" localSheetId="14">#REF!</definedName>
    <definedName name="yyy" localSheetId="3">#REF!</definedName>
    <definedName name="yyy" localSheetId="11">#REF!</definedName>
    <definedName name="yyy" localSheetId="15">#REF!</definedName>
    <definedName name="yyy" localSheetId="10">#REF!</definedName>
    <definedName name="yyy" localSheetId="5">#REF!</definedName>
    <definedName name="yyy">#REF!</definedName>
    <definedName name="yyyy" localSheetId="19">#REF!</definedName>
    <definedName name="yyyy" localSheetId="2">#REF!</definedName>
    <definedName name="yyyy" localSheetId="14">#REF!</definedName>
    <definedName name="yyyy" localSheetId="3">#REF!</definedName>
    <definedName name="yyyy" localSheetId="11">#REF!</definedName>
    <definedName name="yyyy" localSheetId="15">#REF!</definedName>
    <definedName name="yyyy" localSheetId="10">#REF!</definedName>
    <definedName name="yyyy" localSheetId="5">#REF!</definedName>
    <definedName name="yyyy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9" i="430" l="1"/>
  <c r="G40" i="430"/>
  <c r="I42" i="37"/>
  <c r="L10" i="25" l="1"/>
  <c r="L6" i="454"/>
  <c r="W6" i="454"/>
  <c r="BC7" i="454" l="1"/>
  <c r="BC8" i="454"/>
  <c r="BC9" i="454"/>
  <c r="BC10" i="454"/>
  <c r="BC11" i="454"/>
  <c r="BC12" i="454"/>
  <c r="BC13" i="454"/>
  <c r="BC14" i="454"/>
  <c r="BC15" i="454"/>
  <c r="BC16" i="454"/>
  <c r="BC17" i="454"/>
  <c r="BC18" i="454"/>
  <c r="BC19" i="454"/>
  <c r="BC20" i="454"/>
  <c r="BC21" i="454"/>
  <c r="BC22" i="454"/>
  <c r="BC23" i="454"/>
  <c r="BC24" i="454"/>
  <c r="BC25" i="454"/>
  <c r="BC26" i="454"/>
  <c r="BC27" i="454"/>
  <c r="BC28" i="454"/>
  <c r="BC29" i="454"/>
  <c r="BC30" i="454"/>
  <c r="BC31" i="454"/>
  <c r="BC32" i="454"/>
  <c r="BC33" i="454"/>
  <c r="BC34" i="454"/>
  <c r="BC35" i="454"/>
  <c r="BC36" i="454"/>
  <c r="BC37" i="454"/>
  <c r="BC38" i="454"/>
  <c r="BC39" i="454"/>
  <c r="BC40" i="454"/>
  <c r="BC41" i="454"/>
  <c r="BC42" i="454"/>
  <c r="BC43" i="454"/>
  <c r="BC44" i="454"/>
  <c r="BC45" i="454"/>
  <c r="BC46" i="454"/>
  <c r="BC47" i="454"/>
  <c r="BC48" i="454"/>
  <c r="BC49" i="454"/>
  <c r="BC50" i="454"/>
  <c r="BC51" i="454"/>
  <c r="BC52" i="454"/>
  <c r="BC53" i="454"/>
  <c r="BC54" i="454"/>
  <c r="BC55" i="454"/>
  <c r="BC56" i="454"/>
  <c r="BC57" i="454"/>
  <c r="BC58" i="454"/>
  <c r="BC59" i="454"/>
  <c r="BC60" i="454"/>
  <c r="BC61" i="454"/>
  <c r="BC62" i="454"/>
  <c r="BC63" i="454"/>
  <c r="BC64" i="454"/>
  <c r="BC65" i="454"/>
  <c r="BC66" i="454"/>
  <c r="BC67" i="454"/>
  <c r="BC68" i="454"/>
  <c r="BC69" i="454"/>
  <c r="BC70" i="454"/>
  <c r="BC71" i="454"/>
  <c r="BC72" i="454"/>
  <c r="BC73" i="454"/>
  <c r="BC74" i="454"/>
  <c r="BC75" i="454"/>
  <c r="BC76" i="454"/>
  <c r="BC77" i="454"/>
  <c r="BC78" i="454"/>
  <c r="BC79" i="454"/>
  <c r="BC80" i="454"/>
  <c r="BC81" i="454"/>
  <c r="BC82" i="454"/>
  <c r="BC83" i="454"/>
  <c r="BC84" i="454"/>
  <c r="BC85" i="454"/>
  <c r="BC86" i="454"/>
  <c r="BC87" i="454"/>
  <c r="BC88" i="454"/>
  <c r="BC89" i="454"/>
  <c r="BC90" i="454"/>
  <c r="BC91" i="454"/>
  <c r="BC92" i="454"/>
  <c r="BC6" i="454"/>
  <c r="K6" i="454"/>
  <c r="C25" i="26"/>
  <c r="J61" i="25" l="1"/>
  <c r="J60" i="25"/>
  <c r="H15" i="206" l="1"/>
  <c r="H14" i="206"/>
  <c r="F17" i="430" l="1"/>
  <c r="F41" i="37"/>
  <c r="F17" i="37"/>
  <c r="J12" i="33"/>
  <c r="J11" i="33"/>
  <c r="J10" i="33"/>
  <c r="P13" i="33"/>
  <c r="N13" i="33" l="1"/>
  <c r="O13" i="33" s="1"/>
  <c r="N15" i="33"/>
  <c r="O15" i="33"/>
  <c r="P15" i="33" s="1"/>
  <c r="D21" i="26" l="1"/>
  <c r="D18" i="26"/>
  <c r="D22" i="26"/>
  <c r="D23" i="26" s="1"/>
  <c r="A695" i="440" l="1"/>
  <c r="C24" i="438" l="1"/>
  <c r="A24" i="437"/>
  <c r="Z1" i="454" l="1"/>
  <c r="D44" i="26" l="1"/>
  <c r="N14" i="33" l="1"/>
  <c r="O14" i="33" s="1"/>
  <c r="P14" i="33" s="1"/>
  <c r="I10" i="33" l="1"/>
  <c r="K67" i="454" l="1"/>
  <c r="K75" i="25" s="1"/>
  <c r="F16" i="37" l="1"/>
  <c r="F16" i="430"/>
  <c r="D20" i="26" l="1"/>
  <c r="F13" i="421" l="1"/>
  <c r="F12" i="421"/>
  <c r="F14" i="421"/>
  <c r="W12" i="25"/>
  <c r="W24" i="25"/>
  <c r="W32" i="25"/>
  <c r="W74" i="25"/>
  <c r="W92" i="25"/>
  <c r="W95" i="25"/>
  <c r="W103" i="25"/>
  <c r="K11" i="454"/>
  <c r="L11" i="454" s="1"/>
  <c r="X110" i="25"/>
  <c r="K16" i="25" l="1"/>
  <c r="F37" i="437"/>
  <c r="M86" i="454" l="1"/>
  <c r="M96" i="25" s="1"/>
  <c r="K84" i="454"/>
  <c r="M26" i="454"/>
  <c r="M33" i="25" s="1"/>
  <c r="M9" i="454"/>
  <c r="M14" i="25" s="1"/>
  <c r="M8" i="454"/>
  <c r="M13" i="25" s="1"/>
  <c r="M27" i="454"/>
  <c r="M34" i="25" s="1"/>
  <c r="L84" i="454" l="1"/>
  <c r="L83" i="454" s="1"/>
  <c r="K93" i="25"/>
  <c r="B11" i="450"/>
  <c r="F11" i="450" s="1"/>
  <c r="F10" i="450"/>
  <c r="B11" i="453"/>
  <c r="F11" i="453" s="1"/>
  <c r="F10" i="453"/>
  <c r="B11" i="33"/>
  <c r="F10" i="33"/>
  <c r="F10" i="446"/>
  <c r="B11" i="446"/>
  <c r="B12" i="446" s="1"/>
  <c r="M34" i="454"/>
  <c r="M41" i="25" s="1"/>
  <c r="O6" i="454"/>
  <c r="AI6" i="454"/>
  <c r="AU4" i="454"/>
  <c r="AX4" i="454"/>
  <c r="BA4" i="454"/>
  <c r="AR4" i="454"/>
  <c r="AO4" i="454"/>
  <c r="AC4" i="454"/>
  <c r="Z4" i="454"/>
  <c r="F11" i="33" l="1"/>
  <c r="I11" i="33"/>
  <c r="B12" i="453"/>
  <c r="F12" i="453" s="1"/>
  <c r="F11" i="446"/>
  <c r="B13" i="453"/>
  <c r="F13" i="453" s="1"/>
  <c r="B13" i="450"/>
  <c r="F13" i="450" s="1"/>
  <c r="B13" i="33"/>
  <c r="I13" i="33" s="1"/>
  <c r="B13" i="446"/>
  <c r="F12" i="446"/>
  <c r="B12" i="33"/>
  <c r="B12" i="450"/>
  <c r="F12" i="450" s="1"/>
  <c r="M48" i="454"/>
  <c r="M55" i="25" s="1"/>
  <c r="K74" i="454"/>
  <c r="M11" i="454"/>
  <c r="M16" i="25" s="1"/>
  <c r="M41" i="454"/>
  <c r="M48" i="25" s="1"/>
  <c r="K34" i="454"/>
  <c r="M10" i="454"/>
  <c r="M15" i="25" s="1"/>
  <c r="M40" i="454"/>
  <c r="M47" i="25" s="1"/>
  <c r="K26" i="454"/>
  <c r="M65" i="454"/>
  <c r="M72" i="25" s="1"/>
  <c r="M64" i="454"/>
  <c r="M71" i="25" s="1"/>
  <c r="K10" i="454"/>
  <c r="M89" i="454"/>
  <c r="M99" i="25" s="1"/>
  <c r="M57" i="454"/>
  <c r="M64" i="25" s="1"/>
  <c r="K89" i="454"/>
  <c r="K57" i="454"/>
  <c r="M81" i="454"/>
  <c r="M89" i="25" s="1"/>
  <c r="M49" i="454"/>
  <c r="M56" i="25" s="1"/>
  <c r="K81" i="454"/>
  <c r="K49" i="454"/>
  <c r="M80" i="454"/>
  <c r="M88" i="25" s="1"/>
  <c r="K42" i="454"/>
  <c r="M73" i="454"/>
  <c r="M81" i="25" s="1"/>
  <c r="K73" i="454"/>
  <c r="M72" i="454"/>
  <c r="M80" i="25" s="1"/>
  <c r="K66" i="454"/>
  <c r="K65" i="454"/>
  <c r="K90" i="454"/>
  <c r="K58" i="454"/>
  <c r="M88" i="454"/>
  <c r="M98" i="25" s="1"/>
  <c r="M56" i="454"/>
  <c r="M63" i="25" s="1"/>
  <c r="K82" i="454"/>
  <c r="K50" i="454"/>
  <c r="M35" i="454"/>
  <c r="M42" i="25" s="1"/>
  <c r="M87" i="454"/>
  <c r="M97" i="25" s="1"/>
  <c r="M71" i="454"/>
  <c r="M79" i="25" s="1"/>
  <c r="M55" i="454"/>
  <c r="M62" i="25" s="1"/>
  <c r="M47" i="454"/>
  <c r="M54" i="25" s="1"/>
  <c r="K88" i="454"/>
  <c r="K72" i="454"/>
  <c r="K56" i="454"/>
  <c r="K40" i="454"/>
  <c r="K24" i="454"/>
  <c r="K8" i="454"/>
  <c r="M16" i="454"/>
  <c r="M21" i="25" s="1"/>
  <c r="M78" i="454"/>
  <c r="M86" i="25" s="1"/>
  <c r="M62" i="454"/>
  <c r="M69" i="25" s="1"/>
  <c r="M46" i="454"/>
  <c r="M53" i="25" s="1"/>
  <c r="K79" i="454"/>
  <c r="K71" i="454"/>
  <c r="K55" i="454"/>
  <c r="K39" i="454"/>
  <c r="K23" i="454"/>
  <c r="M15" i="454"/>
  <c r="M20" i="25" s="1"/>
  <c r="M77" i="454"/>
  <c r="M85" i="25" s="1"/>
  <c r="M69" i="454"/>
  <c r="M77" i="25" s="1"/>
  <c r="M53" i="454"/>
  <c r="M60" i="25" s="1"/>
  <c r="M37" i="454"/>
  <c r="M44" i="25" s="1"/>
  <c r="K78" i="454"/>
  <c r="K62" i="454"/>
  <c r="K54" i="454"/>
  <c r="K46" i="454"/>
  <c r="K38" i="454"/>
  <c r="K30" i="454"/>
  <c r="K22" i="454"/>
  <c r="K14" i="454"/>
  <c r="M31" i="454"/>
  <c r="M38" i="25" s="1"/>
  <c r="M14" i="454"/>
  <c r="M19" i="25" s="1"/>
  <c r="M17" i="454"/>
  <c r="M22" i="25" s="1"/>
  <c r="M84" i="454"/>
  <c r="M76" i="454"/>
  <c r="M84" i="25" s="1"/>
  <c r="M68" i="454"/>
  <c r="M76" i="25" s="1"/>
  <c r="M60" i="454"/>
  <c r="M67" i="25" s="1"/>
  <c r="M52" i="454"/>
  <c r="M59" i="25" s="1"/>
  <c r="M44" i="454"/>
  <c r="M51" i="25" s="1"/>
  <c r="M36" i="454"/>
  <c r="M43" i="25" s="1"/>
  <c r="K85" i="454"/>
  <c r="K77" i="454"/>
  <c r="K69" i="454"/>
  <c r="K61" i="454"/>
  <c r="K53" i="454"/>
  <c r="K45" i="454"/>
  <c r="K37" i="454"/>
  <c r="K29" i="454"/>
  <c r="K21" i="454"/>
  <c r="K13" i="454"/>
  <c r="M6" i="454"/>
  <c r="M10" i="25" s="1"/>
  <c r="M32" i="454"/>
  <c r="M39" i="25" s="1"/>
  <c r="M13" i="454"/>
  <c r="M18" i="25" s="1"/>
  <c r="M91" i="454"/>
  <c r="M101" i="25" s="1"/>
  <c r="M83" i="454"/>
  <c r="M75" i="454"/>
  <c r="M83" i="25" s="1"/>
  <c r="M67" i="454"/>
  <c r="M75" i="25" s="1"/>
  <c r="M59" i="454"/>
  <c r="M66" i="25" s="1"/>
  <c r="M51" i="454"/>
  <c r="M58" i="25" s="1"/>
  <c r="M43" i="454"/>
  <c r="M50" i="25" s="1"/>
  <c r="K76" i="454"/>
  <c r="K68" i="454"/>
  <c r="K60" i="454"/>
  <c r="K52" i="454"/>
  <c r="K44" i="454"/>
  <c r="K36" i="454"/>
  <c r="K28" i="454"/>
  <c r="K20" i="454"/>
  <c r="K12" i="454"/>
  <c r="M33" i="454"/>
  <c r="M40" i="25" s="1"/>
  <c r="K41" i="454"/>
  <c r="K33" i="454"/>
  <c r="K17" i="454"/>
  <c r="K9" i="454"/>
  <c r="K14" i="25" s="1"/>
  <c r="M28" i="454"/>
  <c r="M35" i="25" s="1"/>
  <c r="M79" i="454"/>
  <c r="M87" i="25" s="1"/>
  <c r="M63" i="454"/>
  <c r="M70" i="25" s="1"/>
  <c r="M39" i="454"/>
  <c r="M46" i="25" s="1"/>
  <c r="K80" i="454"/>
  <c r="K64" i="454"/>
  <c r="K48" i="454"/>
  <c r="K32" i="454"/>
  <c r="K16" i="454"/>
  <c r="K21" i="25" s="1"/>
  <c r="M29" i="454"/>
  <c r="M36" i="25" s="1"/>
  <c r="M70" i="454"/>
  <c r="M78" i="25" s="1"/>
  <c r="M54" i="454"/>
  <c r="M61" i="25" s="1"/>
  <c r="M38" i="454"/>
  <c r="M45" i="25" s="1"/>
  <c r="K87" i="454"/>
  <c r="K63" i="454"/>
  <c r="K47" i="454"/>
  <c r="K31" i="454"/>
  <c r="K15" i="454"/>
  <c r="M30" i="454"/>
  <c r="M37" i="25" s="1"/>
  <c r="M85" i="454"/>
  <c r="M61" i="454"/>
  <c r="M68" i="25" s="1"/>
  <c r="M45" i="454"/>
  <c r="M52" i="25" s="1"/>
  <c r="K86" i="454"/>
  <c r="K70" i="454"/>
  <c r="M12" i="454"/>
  <c r="M17" i="25" s="1"/>
  <c r="M90" i="454"/>
  <c r="M100" i="25" s="1"/>
  <c r="M82" i="454"/>
  <c r="M90" i="25" s="1"/>
  <c r="M74" i="454"/>
  <c r="M82" i="25" s="1"/>
  <c r="M66" i="454"/>
  <c r="M58" i="454"/>
  <c r="M65" i="25" s="1"/>
  <c r="M50" i="454"/>
  <c r="M57" i="25" s="1"/>
  <c r="M42" i="454"/>
  <c r="M49" i="25" s="1"/>
  <c r="K91" i="454"/>
  <c r="K83" i="454"/>
  <c r="K75" i="454"/>
  <c r="L67" i="454"/>
  <c r="K59" i="454"/>
  <c r="K51" i="454"/>
  <c r="K43" i="454"/>
  <c r="K35" i="454"/>
  <c r="K27" i="454"/>
  <c r="K19" i="454"/>
  <c r="K10" i="25" l="1"/>
  <c r="F12" i="33"/>
  <c r="I12" i="33"/>
  <c r="L47" i="454"/>
  <c r="K54" i="25"/>
  <c r="L36" i="454"/>
  <c r="K43" i="25"/>
  <c r="L77" i="454"/>
  <c r="K85" i="25"/>
  <c r="L88" i="454"/>
  <c r="K98" i="25"/>
  <c r="L63" i="454"/>
  <c r="K70" i="25"/>
  <c r="L44" i="454"/>
  <c r="K51" i="25"/>
  <c r="L42" i="454"/>
  <c r="K49" i="25"/>
  <c r="L34" i="454"/>
  <c r="K41" i="25"/>
  <c r="L51" i="454"/>
  <c r="K58" i="25"/>
  <c r="L87" i="454"/>
  <c r="K97" i="25"/>
  <c r="L64" i="454"/>
  <c r="K71" i="25"/>
  <c r="L33" i="454"/>
  <c r="K40" i="25"/>
  <c r="L52" i="454"/>
  <c r="K59" i="25"/>
  <c r="L29" i="454"/>
  <c r="K36" i="25"/>
  <c r="L54" i="454"/>
  <c r="K61" i="25"/>
  <c r="L58" i="454"/>
  <c r="K65" i="25"/>
  <c r="L59" i="454"/>
  <c r="K66" i="25"/>
  <c r="L80" i="454"/>
  <c r="K88" i="25"/>
  <c r="L41" i="454"/>
  <c r="K48" i="25"/>
  <c r="L60" i="454"/>
  <c r="K67" i="25"/>
  <c r="L37" i="454"/>
  <c r="K44" i="25"/>
  <c r="L62" i="454"/>
  <c r="K69" i="25"/>
  <c r="L39" i="454"/>
  <c r="K46" i="25"/>
  <c r="L90" i="454"/>
  <c r="K100" i="25"/>
  <c r="L49" i="454"/>
  <c r="K56" i="25"/>
  <c r="L35" i="454"/>
  <c r="K42" i="25"/>
  <c r="L89" i="454"/>
  <c r="K99" i="25"/>
  <c r="L86" i="454"/>
  <c r="K96" i="25"/>
  <c r="L46" i="454"/>
  <c r="K53" i="25"/>
  <c r="L68" i="454"/>
  <c r="K76" i="25"/>
  <c r="L55" i="454"/>
  <c r="K62" i="25"/>
  <c r="L65" i="454"/>
  <c r="K72" i="25"/>
  <c r="L74" i="454"/>
  <c r="K82" i="25"/>
  <c r="L75" i="454"/>
  <c r="K83" i="25"/>
  <c r="L53" i="454"/>
  <c r="K60" i="25"/>
  <c r="L40" i="454"/>
  <c r="K47" i="25"/>
  <c r="L61" i="454"/>
  <c r="K68" i="25"/>
  <c r="L79" i="454"/>
  <c r="K87" i="25"/>
  <c r="L56" i="454"/>
  <c r="K63" i="25"/>
  <c r="L50" i="454"/>
  <c r="K57" i="25"/>
  <c r="L26" i="454"/>
  <c r="K33" i="25"/>
  <c r="L70" i="454"/>
  <c r="K78" i="25"/>
  <c r="L32" i="454"/>
  <c r="K39" i="25"/>
  <c r="L38" i="454"/>
  <c r="K45" i="25"/>
  <c r="L43" i="454"/>
  <c r="K50" i="25"/>
  <c r="L48" i="454"/>
  <c r="K55" i="25"/>
  <c r="L45" i="454"/>
  <c r="K52" i="25"/>
  <c r="L78" i="454"/>
  <c r="K86" i="25"/>
  <c r="L81" i="454"/>
  <c r="K89" i="25"/>
  <c r="L76" i="454"/>
  <c r="K84" i="25"/>
  <c r="L71" i="454"/>
  <c r="K79" i="25"/>
  <c r="L27" i="454"/>
  <c r="K34" i="25"/>
  <c r="L91" i="454"/>
  <c r="K101" i="25"/>
  <c r="L31" i="454"/>
  <c r="K38" i="25"/>
  <c r="L28" i="454"/>
  <c r="K35" i="25"/>
  <c r="L69" i="454"/>
  <c r="K77" i="25"/>
  <c r="L30" i="454"/>
  <c r="K37" i="25"/>
  <c r="L72" i="454"/>
  <c r="K80" i="25"/>
  <c r="L82" i="454"/>
  <c r="K90" i="25"/>
  <c r="L73" i="454"/>
  <c r="K81" i="25"/>
  <c r="L57" i="454"/>
  <c r="K64" i="25"/>
  <c r="L19" i="454"/>
  <c r="K25" i="25"/>
  <c r="L20" i="454"/>
  <c r="K26" i="25"/>
  <c r="L21" i="454"/>
  <c r="K27" i="25"/>
  <c r="L24" i="454"/>
  <c r="K30" i="25"/>
  <c r="L22" i="454"/>
  <c r="K28" i="25"/>
  <c r="L23" i="454"/>
  <c r="K29" i="25"/>
  <c r="L12" i="454"/>
  <c r="K17" i="25"/>
  <c r="L15" i="454"/>
  <c r="K20" i="25"/>
  <c r="L16" i="454"/>
  <c r="L10" i="454"/>
  <c r="K15" i="25"/>
  <c r="L8" i="454"/>
  <c r="K13" i="25"/>
  <c r="L14" i="454"/>
  <c r="K19" i="25"/>
  <c r="L13" i="454"/>
  <c r="K18" i="25"/>
  <c r="L17" i="454"/>
  <c r="K22" i="25"/>
  <c r="N84" i="454"/>
  <c r="N83" i="454" s="1"/>
  <c r="M93" i="25"/>
  <c r="N6" i="454"/>
  <c r="N5" i="454" s="1"/>
  <c r="F13" i="446"/>
  <c r="B14" i="453"/>
  <c r="F14" i="453" s="1"/>
  <c r="B14" i="450"/>
  <c r="F14" i="450" s="1"/>
  <c r="B14" i="33"/>
  <c r="B14" i="446"/>
  <c r="F13" i="33"/>
  <c r="O17" i="454"/>
  <c r="O10" i="454"/>
  <c r="O13" i="454"/>
  <c r="O8" i="454"/>
  <c r="O12" i="454"/>
  <c r="O14" i="454"/>
  <c r="O11" i="454"/>
  <c r="O15" i="454"/>
  <c r="L9" i="454"/>
  <c r="O9" i="454"/>
  <c r="O16" i="454"/>
  <c r="F14" i="33" l="1"/>
  <c r="I14" i="33"/>
  <c r="L66" i="454"/>
  <c r="L25" i="454"/>
  <c r="L85" i="454"/>
  <c r="L18" i="454"/>
  <c r="L7" i="454"/>
  <c r="P6" i="454"/>
  <c r="L5" i="454"/>
  <c r="B15" i="453"/>
  <c r="F15" i="453" s="1"/>
  <c r="B15" i="450"/>
  <c r="F15" i="450" s="1"/>
  <c r="B15" i="446"/>
  <c r="F14" i="446"/>
  <c r="L93" i="454" l="1"/>
  <c r="B16" i="453"/>
  <c r="F16" i="453" s="1"/>
  <c r="B16" i="450"/>
  <c r="F16" i="450" s="1"/>
  <c r="F15" i="446"/>
  <c r="B16" i="446"/>
  <c r="F16" i="446" l="1"/>
  <c r="B17" i="453"/>
  <c r="F17" i="453" s="1"/>
  <c r="B17" i="450"/>
  <c r="F17" i="450" s="1"/>
  <c r="B17" i="446"/>
  <c r="F17" i="446" l="1"/>
  <c r="B18" i="453"/>
  <c r="F18" i="453" s="1"/>
  <c r="B18" i="450"/>
  <c r="F18" i="450" s="1"/>
  <c r="F15" i="33"/>
  <c r="B18" i="446"/>
  <c r="B19" i="450" l="1"/>
  <c r="F19" i="450" s="1"/>
  <c r="B16" i="33"/>
  <c r="F16" i="33" s="1"/>
  <c r="F18" i="446"/>
  <c r="B19" i="453"/>
  <c r="F19" i="453" s="1"/>
  <c r="B19" i="446"/>
  <c r="B20" i="450" l="1"/>
  <c r="F20" i="450" s="1"/>
  <c r="B17" i="33"/>
  <c r="F17" i="33" s="1"/>
  <c r="F19" i="446"/>
  <c r="B20" i="453"/>
  <c r="F20" i="453" s="1"/>
  <c r="B20" i="446"/>
  <c r="B21" i="453" l="1"/>
  <c r="F21" i="453" s="1"/>
  <c r="B21" i="450"/>
  <c r="F21" i="450" s="1"/>
  <c r="B18" i="33"/>
  <c r="F18" i="33" s="1"/>
  <c r="F20" i="446"/>
  <c r="B21" i="446"/>
  <c r="B22" i="453" l="1"/>
  <c r="F22" i="453" s="1"/>
  <c r="B19" i="33"/>
  <c r="F19" i="33" s="1"/>
  <c r="B22" i="450"/>
  <c r="F22" i="450" s="1"/>
  <c r="F21" i="446"/>
  <c r="B22" i="446"/>
  <c r="B23" i="453" l="1"/>
  <c r="F23" i="453" s="1"/>
  <c r="B23" i="450"/>
  <c r="F23" i="450" s="1"/>
  <c r="B20" i="33"/>
  <c r="F20" i="33" s="1"/>
  <c r="F22" i="446"/>
  <c r="B23" i="446"/>
  <c r="B24" i="453" l="1"/>
  <c r="F24" i="453" s="1"/>
  <c r="B24" i="450"/>
  <c r="F24" i="450" s="1"/>
  <c r="B21" i="33"/>
  <c r="F21" i="33" s="1"/>
  <c r="F23" i="446"/>
  <c r="B24" i="446"/>
  <c r="F24" i="446" l="1"/>
  <c r="B25" i="453"/>
  <c r="F25" i="453" s="1"/>
  <c r="B25" i="450"/>
  <c r="F25" i="450" s="1"/>
  <c r="B22" i="33"/>
  <c r="F22" i="33" s="1"/>
  <c r="B25" i="446"/>
  <c r="F25" i="446" l="1"/>
  <c r="B26" i="453"/>
  <c r="F26" i="453" s="1"/>
  <c r="B23" i="33"/>
  <c r="F23" i="33" s="1"/>
  <c r="B26" i="450"/>
  <c r="F26" i="450" s="1"/>
  <c r="B26" i="446"/>
  <c r="B27" i="450" l="1"/>
  <c r="F27" i="450" s="1"/>
  <c r="B24" i="33"/>
  <c r="F24" i="33" s="1"/>
  <c r="F26" i="446"/>
  <c r="B27" i="453"/>
  <c r="F27" i="453" s="1"/>
  <c r="B27" i="446"/>
  <c r="B28" i="450" l="1"/>
  <c r="F28" i="450" s="1"/>
  <c r="B25" i="33"/>
  <c r="F25" i="33" s="1"/>
  <c r="F27" i="446"/>
  <c r="B28" i="453"/>
  <c r="F28" i="453" s="1"/>
  <c r="B28" i="446"/>
  <c r="B29" i="453" l="1"/>
  <c r="F29" i="453" s="1"/>
  <c r="B29" i="450"/>
  <c r="F29" i="450" s="1"/>
  <c r="B26" i="33"/>
  <c r="F26" i="33" s="1"/>
  <c r="F28" i="446"/>
  <c r="B29" i="446"/>
  <c r="B30" i="453" l="1"/>
  <c r="F30" i="453" s="1"/>
  <c r="B30" i="450"/>
  <c r="F30" i="450" s="1"/>
  <c r="B27" i="33"/>
  <c r="F27" i="33" s="1"/>
  <c r="F29" i="446"/>
  <c r="B30" i="446"/>
  <c r="B31" i="453" l="1"/>
  <c r="F31" i="453" s="1"/>
  <c r="B31" i="450"/>
  <c r="F31" i="450" s="1"/>
  <c r="B28" i="33"/>
  <c r="F28" i="33" s="1"/>
  <c r="F30" i="446"/>
  <c r="B31" i="446"/>
  <c r="B32" i="453" l="1"/>
  <c r="F32" i="453" s="1"/>
  <c r="B32" i="450"/>
  <c r="F32" i="450" s="1"/>
  <c r="B29" i="33"/>
  <c r="F29" i="33" s="1"/>
  <c r="F31" i="446"/>
  <c r="B32" i="446"/>
  <c r="F32" i="446" l="1"/>
  <c r="B33" i="453"/>
  <c r="F33" i="453" s="1"/>
  <c r="B33" i="450"/>
  <c r="F33" i="450" s="1"/>
  <c r="B30" i="33"/>
  <c r="F30" i="33" s="1"/>
  <c r="B33" i="446"/>
  <c r="F33" i="446" l="1"/>
  <c r="B34" i="453"/>
  <c r="F34" i="453" s="1"/>
  <c r="B31" i="33"/>
  <c r="F31" i="33" s="1"/>
  <c r="B34" i="450"/>
  <c r="F34" i="450" s="1"/>
  <c r="B34" i="446"/>
  <c r="B35" i="450" l="1"/>
  <c r="F35" i="450" s="1"/>
  <c r="B32" i="33"/>
  <c r="F32" i="33" s="1"/>
  <c r="F34" i="446"/>
  <c r="B35" i="453"/>
  <c r="F35" i="453" s="1"/>
  <c r="B35" i="446"/>
  <c r="B36" i="450" l="1"/>
  <c r="F36" i="450" s="1"/>
  <c r="B33" i="33"/>
  <c r="F33" i="33" s="1"/>
  <c r="F35" i="446"/>
  <c r="B36" i="453"/>
  <c r="F36" i="453" s="1"/>
  <c r="B36" i="446"/>
  <c r="B37" i="453" l="1"/>
  <c r="F37" i="453" s="1"/>
  <c r="B37" i="450"/>
  <c r="F37" i="450" s="1"/>
  <c r="B34" i="33"/>
  <c r="F34" i="33" s="1"/>
  <c r="F36" i="446"/>
  <c r="B37" i="446"/>
  <c r="B38" i="453" l="1"/>
  <c r="F38" i="453" s="1"/>
  <c r="B35" i="33"/>
  <c r="F35" i="33" s="1"/>
  <c r="B38" i="450"/>
  <c r="F38" i="450" s="1"/>
  <c r="F37" i="446"/>
  <c r="B38" i="446"/>
  <c r="B39" i="453" l="1"/>
  <c r="F39" i="453" s="1"/>
  <c r="B39" i="450"/>
  <c r="F39" i="450" s="1"/>
  <c r="B36" i="33"/>
  <c r="F36" i="33" s="1"/>
  <c r="F38" i="446"/>
  <c r="B39" i="446"/>
  <c r="AF27" i="454"/>
  <c r="B40" i="453" l="1"/>
  <c r="F40" i="453" s="1"/>
  <c r="B40" i="450"/>
  <c r="F40" i="450" s="1"/>
  <c r="B37" i="33"/>
  <c r="F37" i="33" s="1"/>
  <c r="F39" i="446"/>
  <c r="B40" i="446"/>
  <c r="BA93" i="454"/>
  <c r="BB92" i="454"/>
  <c r="BA92" i="454"/>
  <c r="BA91" i="454"/>
  <c r="BA90" i="454"/>
  <c r="BA89" i="454"/>
  <c r="BA88" i="454"/>
  <c r="BA87" i="454"/>
  <c r="BA86" i="454"/>
  <c r="BA84" i="454"/>
  <c r="BA83" i="454" s="1"/>
  <c r="BA82" i="454"/>
  <c r="BA81" i="454"/>
  <c r="BA80" i="454"/>
  <c r="BA79" i="454"/>
  <c r="BA78" i="454"/>
  <c r="BA77" i="454"/>
  <c r="BA76" i="454"/>
  <c r="BA75" i="454"/>
  <c r="BA74" i="454"/>
  <c r="BA73" i="454"/>
  <c r="BA72" i="454"/>
  <c r="BA71" i="454"/>
  <c r="BA70" i="454"/>
  <c r="BA69" i="454"/>
  <c r="BA68" i="454"/>
  <c r="BA67" i="454"/>
  <c r="BA65" i="454"/>
  <c r="BA64" i="454"/>
  <c r="BA63" i="454"/>
  <c r="BA62" i="454"/>
  <c r="BA61" i="454"/>
  <c r="BA60" i="454"/>
  <c r="BA59" i="454"/>
  <c r="BA58" i="454"/>
  <c r="BA57" i="454"/>
  <c r="BA56" i="454"/>
  <c r="BA55" i="454"/>
  <c r="BA54" i="454"/>
  <c r="BA53" i="454"/>
  <c r="BA52" i="454"/>
  <c r="BA51" i="454"/>
  <c r="BA50" i="454"/>
  <c r="BA49" i="454"/>
  <c r="BA48" i="454"/>
  <c r="BA47" i="454"/>
  <c r="BA46" i="454"/>
  <c r="BA45" i="454"/>
  <c r="BA44" i="454"/>
  <c r="BA43" i="454"/>
  <c r="BA42" i="454"/>
  <c r="BA41" i="454"/>
  <c r="BA40" i="454"/>
  <c r="BA39" i="454"/>
  <c r="BA38" i="454"/>
  <c r="BA37" i="454"/>
  <c r="BA36" i="454"/>
  <c r="BA35" i="454"/>
  <c r="BA34" i="454"/>
  <c r="BA33" i="454"/>
  <c r="BA32" i="454"/>
  <c r="BA31" i="454"/>
  <c r="BA30" i="454"/>
  <c r="BA29" i="454"/>
  <c r="BA28" i="454"/>
  <c r="BA27" i="454"/>
  <c r="BA26" i="454"/>
  <c r="BA24" i="454"/>
  <c r="BA23" i="454"/>
  <c r="BA22" i="454"/>
  <c r="BA21" i="454"/>
  <c r="BA20" i="454"/>
  <c r="BA19" i="454"/>
  <c r="BA17" i="454"/>
  <c r="BA16" i="454"/>
  <c r="BA15" i="454"/>
  <c r="BA14" i="454"/>
  <c r="BA13" i="454"/>
  <c r="BA12" i="454"/>
  <c r="BA11" i="454"/>
  <c r="BA10" i="454"/>
  <c r="BA9" i="454"/>
  <c r="BA8" i="454"/>
  <c r="BA6" i="454"/>
  <c r="BA5" i="454" s="1"/>
  <c r="AX93" i="454"/>
  <c r="AX92" i="454"/>
  <c r="AY92" i="454" s="1"/>
  <c r="AX91" i="454"/>
  <c r="AX90" i="454"/>
  <c r="AX89" i="454"/>
  <c r="AX88" i="454"/>
  <c r="AX87" i="454"/>
  <c r="AX86" i="454"/>
  <c r="AX84" i="454"/>
  <c r="AX83" i="454"/>
  <c r="AX82" i="454"/>
  <c r="AX81" i="454"/>
  <c r="AX80" i="454"/>
  <c r="AX79" i="454"/>
  <c r="AX78" i="454"/>
  <c r="AX77" i="454"/>
  <c r="AX76" i="454"/>
  <c r="AX75" i="454"/>
  <c r="AX74" i="454"/>
  <c r="AX73" i="454"/>
  <c r="AX72" i="454"/>
  <c r="AX71" i="454"/>
  <c r="AX70" i="454"/>
  <c r="AX69" i="454"/>
  <c r="AX68" i="454"/>
  <c r="AX67" i="454"/>
  <c r="AX65" i="454"/>
  <c r="AX64" i="454"/>
  <c r="AX63" i="454"/>
  <c r="AX62" i="454"/>
  <c r="AX61" i="454"/>
  <c r="AX60" i="454"/>
  <c r="AX59" i="454"/>
  <c r="AX58" i="454"/>
  <c r="AX57" i="454"/>
  <c r="AX56" i="454"/>
  <c r="AX55" i="454"/>
  <c r="AX54" i="454"/>
  <c r="AX53" i="454"/>
  <c r="AX52" i="454"/>
  <c r="AX51" i="454"/>
  <c r="AX50" i="454"/>
  <c r="AX49" i="454"/>
  <c r="AX48" i="454"/>
  <c r="AX47" i="454"/>
  <c r="AX46" i="454"/>
  <c r="AX45" i="454"/>
  <c r="AX44" i="454"/>
  <c r="AX43" i="454"/>
  <c r="AX42" i="454"/>
  <c r="AX41" i="454"/>
  <c r="AX40" i="454"/>
  <c r="AX39" i="454"/>
  <c r="AX38" i="454"/>
  <c r="AX37" i="454"/>
  <c r="AX36" i="454"/>
  <c r="AX35" i="454"/>
  <c r="AX34" i="454"/>
  <c r="AX33" i="454"/>
  <c r="AX32" i="454"/>
  <c r="AX31" i="454"/>
  <c r="AX30" i="454"/>
  <c r="AX29" i="454"/>
  <c r="AX28" i="454"/>
  <c r="AX27" i="454"/>
  <c r="AX26" i="454"/>
  <c r="AX24" i="454"/>
  <c r="AX18" i="454" s="1"/>
  <c r="AX23" i="454"/>
  <c r="AX22" i="454"/>
  <c r="AX21" i="454"/>
  <c r="AX20" i="454"/>
  <c r="AX19" i="454"/>
  <c r="AX17" i="454"/>
  <c r="AX16" i="454"/>
  <c r="AX15" i="454"/>
  <c r="AX14" i="454"/>
  <c r="AX13" i="454"/>
  <c r="AX12" i="454"/>
  <c r="AX11" i="454"/>
  <c r="AX10" i="454"/>
  <c r="AX9" i="454"/>
  <c r="AX8" i="454"/>
  <c r="AX6" i="454"/>
  <c r="AU93" i="454"/>
  <c r="AV92" i="454"/>
  <c r="AU92" i="454"/>
  <c r="AU91" i="454"/>
  <c r="AU90" i="454"/>
  <c r="AU89" i="454"/>
  <c r="AU88" i="454"/>
  <c r="AU87" i="454"/>
  <c r="AU86" i="454"/>
  <c r="AU84" i="454"/>
  <c r="AU83" i="454"/>
  <c r="AU82" i="454"/>
  <c r="AU81" i="454"/>
  <c r="AU80" i="454"/>
  <c r="AU79" i="454"/>
  <c r="AU78" i="454"/>
  <c r="AU77" i="454"/>
  <c r="AU76" i="454"/>
  <c r="AU75" i="454"/>
  <c r="AU74" i="454"/>
  <c r="AU73" i="454"/>
  <c r="AU72" i="454"/>
  <c r="AU71" i="454"/>
  <c r="AU70" i="454"/>
  <c r="AU69" i="454"/>
  <c r="AU68" i="454"/>
  <c r="AU67" i="454"/>
  <c r="AU65" i="454"/>
  <c r="AU64" i="454"/>
  <c r="AU63" i="454"/>
  <c r="AU62" i="454"/>
  <c r="AU61" i="454"/>
  <c r="AU60" i="454"/>
  <c r="AU59" i="454"/>
  <c r="AU58" i="454"/>
  <c r="AU57" i="454"/>
  <c r="AU56" i="454"/>
  <c r="AU55" i="454"/>
  <c r="AU54" i="454"/>
  <c r="AU53" i="454"/>
  <c r="AU52" i="454"/>
  <c r="AU51" i="454"/>
  <c r="AU50" i="454"/>
  <c r="AU49" i="454"/>
  <c r="AU48" i="454"/>
  <c r="AU47" i="454"/>
  <c r="AU46" i="454"/>
  <c r="AU45" i="454"/>
  <c r="AU44" i="454"/>
  <c r="AU43" i="454"/>
  <c r="AU42" i="454"/>
  <c r="AU41" i="454"/>
  <c r="AU40" i="454"/>
  <c r="AU39" i="454"/>
  <c r="AU38" i="454"/>
  <c r="AU37" i="454"/>
  <c r="AU36" i="454"/>
  <c r="AU35" i="454"/>
  <c r="AU34" i="454"/>
  <c r="AU33" i="454"/>
  <c r="AU32" i="454"/>
  <c r="AU31" i="454"/>
  <c r="AU30" i="454"/>
  <c r="AU29" i="454"/>
  <c r="AU28" i="454"/>
  <c r="AU27" i="454"/>
  <c r="AU26" i="454"/>
  <c r="AU24" i="454"/>
  <c r="AU23" i="454"/>
  <c r="AU22" i="454"/>
  <c r="AU21" i="454"/>
  <c r="AU20" i="454"/>
  <c r="AU19" i="454"/>
  <c r="AU17" i="454"/>
  <c r="AU16" i="454"/>
  <c r="AU15" i="454"/>
  <c r="AU14" i="454"/>
  <c r="AU13" i="454"/>
  <c r="AU12" i="454"/>
  <c r="AU11" i="454"/>
  <c r="AU10" i="454"/>
  <c r="AU9" i="454"/>
  <c r="AU8" i="454"/>
  <c r="AU6" i="454"/>
  <c r="AU5" i="454" s="1"/>
  <c r="AR93" i="454"/>
  <c r="AR92" i="454"/>
  <c r="AS92" i="454" s="1"/>
  <c r="AR91" i="454"/>
  <c r="AR90" i="454"/>
  <c r="AR89" i="454"/>
  <c r="AR88" i="454"/>
  <c r="AR87" i="454"/>
  <c r="AR86" i="454"/>
  <c r="AR84" i="454"/>
  <c r="AR83" i="454"/>
  <c r="AR82" i="454"/>
  <c r="AR81" i="454"/>
  <c r="AR80" i="454"/>
  <c r="AR79" i="454"/>
  <c r="AR78" i="454"/>
  <c r="AR77" i="454"/>
  <c r="AR76" i="454"/>
  <c r="AR75" i="454"/>
  <c r="AR74" i="454"/>
  <c r="AR73" i="454"/>
  <c r="AR72" i="454"/>
  <c r="AR71" i="454"/>
  <c r="AR70" i="454"/>
  <c r="AR69" i="454"/>
  <c r="AR68" i="454"/>
  <c r="AR67" i="454"/>
  <c r="AR65" i="454"/>
  <c r="AR64" i="454"/>
  <c r="AR63" i="454"/>
  <c r="AR62" i="454"/>
  <c r="AR61" i="454"/>
  <c r="AR60" i="454"/>
  <c r="AR59" i="454"/>
  <c r="AR58" i="454"/>
  <c r="AR57" i="454"/>
  <c r="AR56" i="454"/>
  <c r="AR55" i="454"/>
  <c r="AR54" i="454"/>
  <c r="AR53" i="454"/>
  <c r="AR52" i="454"/>
  <c r="AR51" i="454"/>
  <c r="AR50" i="454"/>
  <c r="AR49" i="454"/>
  <c r="AR48" i="454"/>
  <c r="AR47" i="454"/>
  <c r="AR46" i="454"/>
  <c r="AR45" i="454"/>
  <c r="AR44" i="454"/>
  <c r="AR43" i="454"/>
  <c r="AR42" i="454"/>
  <c r="AR41" i="454"/>
  <c r="AR40" i="454"/>
  <c r="AR39" i="454"/>
  <c r="AR38" i="454"/>
  <c r="AR37" i="454"/>
  <c r="AR36" i="454"/>
  <c r="AR35" i="454"/>
  <c r="AR34" i="454"/>
  <c r="AR33" i="454"/>
  <c r="AR32" i="454"/>
  <c r="AR31" i="454"/>
  <c r="AR30" i="454"/>
  <c r="AR29" i="454"/>
  <c r="AR28" i="454"/>
  <c r="AR27" i="454"/>
  <c r="AR26" i="454"/>
  <c r="AR24" i="454"/>
  <c r="AR23" i="454"/>
  <c r="AR22" i="454"/>
  <c r="AR21" i="454"/>
  <c r="AR20" i="454"/>
  <c r="AR19" i="454"/>
  <c r="AR17" i="454"/>
  <c r="AR16" i="454"/>
  <c r="AR15" i="454"/>
  <c r="AR14" i="454"/>
  <c r="AR13" i="454"/>
  <c r="AR12" i="454"/>
  <c r="AR11" i="454"/>
  <c r="AR10" i="454"/>
  <c r="AR9" i="454"/>
  <c r="AR8" i="454"/>
  <c r="AR6" i="454"/>
  <c r="AR5" i="454" s="1"/>
  <c r="AO93" i="454"/>
  <c r="AP92" i="454"/>
  <c r="AO92" i="454"/>
  <c r="AO91" i="454"/>
  <c r="AO90" i="454"/>
  <c r="AO89" i="454"/>
  <c r="AO88" i="454"/>
  <c r="AO87" i="454"/>
  <c r="AO86" i="454"/>
  <c r="AO85" i="454" s="1"/>
  <c r="AO84" i="454"/>
  <c r="AO83" i="454" s="1"/>
  <c r="AO82" i="454"/>
  <c r="AO81" i="454"/>
  <c r="AO80" i="454"/>
  <c r="AO79" i="454"/>
  <c r="AO78" i="454"/>
  <c r="AO77" i="454"/>
  <c r="AO76" i="454"/>
  <c r="AO75" i="454"/>
  <c r="AO74" i="454"/>
  <c r="AO73" i="454"/>
  <c r="AO72" i="454"/>
  <c r="AO71" i="454"/>
  <c r="AO70" i="454"/>
  <c r="AO69" i="454"/>
  <c r="AO68" i="454"/>
  <c r="AO67" i="454"/>
  <c r="AO65" i="454"/>
  <c r="AO64" i="454"/>
  <c r="AO63" i="454"/>
  <c r="AO62" i="454"/>
  <c r="AO61" i="454"/>
  <c r="AO60" i="454"/>
  <c r="AO59" i="454"/>
  <c r="AO58" i="454"/>
  <c r="AO57" i="454"/>
  <c r="AO56" i="454"/>
  <c r="AO55" i="454"/>
  <c r="AO54" i="454"/>
  <c r="AO53" i="454"/>
  <c r="AO52" i="454"/>
  <c r="AO51" i="454"/>
  <c r="AO50" i="454"/>
  <c r="AO49" i="454"/>
  <c r="AO48" i="454"/>
  <c r="AO47" i="454"/>
  <c r="AO46" i="454"/>
  <c r="AO45" i="454"/>
  <c r="AO44" i="454"/>
  <c r="AO43" i="454"/>
  <c r="AO42" i="454"/>
  <c r="AO41" i="454"/>
  <c r="AO40" i="454"/>
  <c r="AO39" i="454"/>
  <c r="AO38" i="454"/>
  <c r="AO37" i="454"/>
  <c r="AO36" i="454"/>
  <c r="AO35" i="454"/>
  <c r="AO34" i="454"/>
  <c r="AO33" i="454"/>
  <c r="AO32" i="454"/>
  <c r="AO31" i="454"/>
  <c r="AO30" i="454"/>
  <c r="AO29" i="454"/>
  <c r="AO28" i="454"/>
  <c r="AO27" i="454"/>
  <c r="AO26" i="454"/>
  <c r="AO24" i="454"/>
  <c r="AO23" i="454"/>
  <c r="AO22" i="454"/>
  <c r="AO21" i="454"/>
  <c r="AO20" i="454"/>
  <c r="AO19" i="454"/>
  <c r="AO17" i="454"/>
  <c r="AO16" i="454"/>
  <c r="AO15" i="454"/>
  <c r="AO14" i="454"/>
  <c r="AO13" i="454"/>
  <c r="AO12" i="454"/>
  <c r="AO11" i="454"/>
  <c r="AO10" i="454"/>
  <c r="AO9" i="454"/>
  <c r="AO8" i="454"/>
  <c r="AO6" i="454"/>
  <c r="AO5" i="454" s="1"/>
  <c r="AL93" i="454"/>
  <c r="AL92" i="454"/>
  <c r="AM92" i="454" s="1"/>
  <c r="AL91" i="454"/>
  <c r="AL90" i="454"/>
  <c r="AL89" i="454"/>
  <c r="AL88" i="454"/>
  <c r="AL87" i="454"/>
  <c r="AL86" i="454"/>
  <c r="AL84" i="454"/>
  <c r="AL83" i="454" s="1"/>
  <c r="AL82" i="454"/>
  <c r="AL81" i="454"/>
  <c r="AL80" i="454"/>
  <c r="AL79" i="454"/>
  <c r="AL78" i="454"/>
  <c r="AL77" i="454"/>
  <c r="AL76" i="454"/>
  <c r="AL75" i="454"/>
  <c r="AL74" i="454"/>
  <c r="AL73" i="454"/>
  <c r="AL72" i="454"/>
  <c r="AL71" i="454"/>
  <c r="AL70" i="454"/>
  <c r="AL69" i="454"/>
  <c r="AL68" i="454"/>
  <c r="AL67" i="454"/>
  <c r="AL65" i="454"/>
  <c r="AL64" i="454"/>
  <c r="AL63" i="454"/>
  <c r="AL62" i="454"/>
  <c r="AL61" i="454"/>
  <c r="AL60" i="454"/>
  <c r="AL59" i="454"/>
  <c r="AL58" i="454"/>
  <c r="AL57" i="454"/>
  <c r="AL56" i="454"/>
  <c r="AL55" i="454"/>
  <c r="AL54" i="454"/>
  <c r="AL53" i="454"/>
  <c r="AL52" i="454"/>
  <c r="AL51" i="454"/>
  <c r="AL50" i="454"/>
  <c r="AL49" i="454"/>
  <c r="AL48" i="454"/>
  <c r="AL47" i="454"/>
  <c r="AL46" i="454"/>
  <c r="AL45" i="454"/>
  <c r="AL44" i="454"/>
  <c r="AL43" i="454"/>
  <c r="AL42" i="454"/>
  <c r="AL41" i="454"/>
  <c r="AL40" i="454"/>
  <c r="AL39" i="454"/>
  <c r="AL38" i="454"/>
  <c r="AL37" i="454"/>
  <c r="AL36" i="454"/>
  <c r="AL35" i="454"/>
  <c r="AL34" i="454"/>
  <c r="AL33" i="454"/>
  <c r="AL32" i="454"/>
  <c r="AL31" i="454"/>
  <c r="AL30" i="454"/>
  <c r="AL29" i="454"/>
  <c r="AL28" i="454"/>
  <c r="AL27" i="454"/>
  <c r="AL26" i="454"/>
  <c r="AL24" i="454"/>
  <c r="M24" i="454" s="1"/>
  <c r="AL23" i="454"/>
  <c r="M23" i="454" s="1"/>
  <c r="AL22" i="454"/>
  <c r="M22" i="454" s="1"/>
  <c r="AL21" i="454"/>
  <c r="AL20" i="454"/>
  <c r="M20" i="454" s="1"/>
  <c r="AL19" i="454"/>
  <c r="M19" i="454" s="1"/>
  <c r="AL17" i="454"/>
  <c r="AL16" i="454"/>
  <c r="AL15" i="454"/>
  <c r="AL14" i="454"/>
  <c r="AL13" i="454"/>
  <c r="AL12" i="454"/>
  <c r="AL11" i="454"/>
  <c r="AL10" i="454"/>
  <c r="AL9" i="454"/>
  <c r="AL8" i="454"/>
  <c r="AL6" i="454"/>
  <c r="AL5" i="454" s="1"/>
  <c r="AI93" i="454"/>
  <c r="AJ92" i="454"/>
  <c r="AI92" i="454"/>
  <c r="AI91" i="454"/>
  <c r="AI90" i="454"/>
  <c r="AI89" i="454"/>
  <c r="AI88" i="454"/>
  <c r="AI87" i="454"/>
  <c r="AI86" i="454"/>
  <c r="AI84" i="454"/>
  <c r="AI82" i="454"/>
  <c r="AI81" i="454"/>
  <c r="AI80" i="454"/>
  <c r="AI79" i="454"/>
  <c r="AI78" i="454"/>
  <c r="AI77" i="454"/>
  <c r="AI76" i="454"/>
  <c r="AI75" i="454"/>
  <c r="AI74" i="454"/>
  <c r="AI73" i="454"/>
  <c r="AI72" i="454"/>
  <c r="AI71" i="454"/>
  <c r="AI70" i="454"/>
  <c r="AI69" i="454"/>
  <c r="AI68" i="454"/>
  <c r="AI67" i="454"/>
  <c r="AI65" i="454"/>
  <c r="AI64" i="454"/>
  <c r="AI63" i="454"/>
  <c r="AI62" i="454"/>
  <c r="AI61" i="454"/>
  <c r="AI60" i="454"/>
  <c r="AI59" i="454"/>
  <c r="AI58" i="454"/>
  <c r="AI57" i="454"/>
  <c r="AI56" i="454"/>
  <c r="AI55" i="454"/>
  <c r="AI54" i="454"/>
  <c r="AI53" i="454"/>
  <c r="AI52" i="454"/>
  <c r="AI51" i="454"/>
  <c r="AI50" i="454"/>
  <c r="AI49" i="454"/>
  <c r="AI48" i="454"/>
  <c r="AI47" i="454"/>
  <c r="AI46" i="454"/>
  <c r="AI45" i="454"/>
  <c r="AI44" i="454"/>
  <c r="AI43" i="454"/>
  <c r="AI42" i="454"/>
  <c r="AI41" i="454"/>
  <c r="AI40" i="454"/>
  <c r="AI39" i="454"/>
  <c r="AI38" i="454"/>
  <c r="AI37" i="454"/>
  <c r="AI36" i="454"/>
  <c r="AI35" i="454"/>
  <c r="AI34" i="454"/>
  <c r="AI33" i="454"/>
  <c r="AI32" i="454"/>
  <c r="AI31" i="454"/>
  <c r="AI30" i="454"/>
  <c r="AI29" i="454"/>
  <c r="AI28" i="454"/>
  <c r="AI27" i="454"/>
  <c r="AI26" i="454"/>
  <c r="AI24" i="454"/>
  <c r="AI23" i="454"/>
  <c r="AI22" i="454"/>
  <c r="AI21" i="454"/>
  <c r="AI20" i="454"/>
  <c r="AI19" i="454"/>
  <c r="AI17" i="454"/>
  <c r="AI16" i="454"/>
  <c r="AI15" i="454"/>
  <c r="AI14" i="454"/>
  <c r="AI13" i="454"/>
  <c r="AI12" i="454"/>
  <c r="AI11" i="454"/>
  <c r="AI10" i="454"/>
  <c r="AI9" i="454"/>
  <c r="AI8" i="454"/>
  <c r="AI5" i="454"/>
  <c r="AF93" i="454"/>
  <c r="AG92" i="454"/>
  <c r="AF92" i="454"/>
  <c r="AF91" i="454"/>
  <c r="AF90" i="454"/>
  <c r="AF89" i="454"/>
  <c r="AF88" i="454"/>
  <c r="AF87" i="454"/>
  <c r="AF86" i="454"/>
  <c r="AF84" i="454"/>
  <c r="AF83" i="454" s="1"/>
  <c r="AF82" i="454"/>
  <c r="AF81" i="454"/>
  <c r="AF80" i="454"/>
  <c r="AF79" i="454"/>
  <c r="AF78" i="454"/>
  <c r="AF77" i="454"/>
  <c r="AF76" i="454"/>
  <c r="AF75" i="454"/>
  <c r="AF74" i="454"/>
  <c r="AF73" i="454"/>
  <c r="AF72" i="454"/>
  <c r="AF71" i="454"/>
  <c r="AF70" i="454"/>
  <c r="AF69" i="454"/>
  <c r="AF68" i="454"/>
  <c r="AF67" i="454"/>
  <c r="AF66" i="454" s="1"/>
  <c r="AF65" i="454"/>
  <c r="AF64" i="454"/>
  <c r="AF63" i="454"/>
  <c r="AF62" i="454"/>
  <c r="AF61" i="454"/>
  <c r="AF60" i="454"/>
  <c r="AF59" i="454"/>
  <c r="AF58" i="454"/>
  <c r="AF57" i="454"/>
  <c r="AF56" i="454"/>
  <c r="AF55" i="454"/>
  <c r="AF54" i="454"/>
  <c r="AF53" i="454"/>
  <c r="AF52" i="454"/>
  <c r="AF51" i="454"/>
  <c r="AF50" i="454"/>
  <c r="AF49" i="454"/>
  <c r="AF48" i="454"/>
  <c r="AF47" i="454"/>
  <c r="AF46" i="454"/>
  <c r="AF45" i="454"/>
  <c r="AF44" i="454"/>
  <c r="AF43" i="454"/>
  <c r="AF42" i="454"/>
  <c r="AF41" i="454"/>
  <c r="AF40" i="454"/>
  <c r="AF39" i="454"/>
  <c r="AF38" i="454"/>
  <c r="AF37" i="454"/>
  <c r="AF36" i="454"/>
  <c r="AF35" i="454"/>
  <c r="AF34" i="454"/>
  <c r="AF33" i="454"/>
  <c r="AF32" i="454"/>
  <c r="AF31" i="454"/>
  <c r="AF30" i="454"/>
  <c r="AF29" i="454"/>
  <c r="AF28" i="454"/>
  <c r="AF26" i="454"/>
  <c r="AF24" i="454"/>
  <c r="AF23" i="454"/>
  <c r="AF22" i="454"/>
  <c r="AF21" i="454"/>
  <c r="AF20" i="454"/>
  <c r="AF19" i="454"/>
  <c r="AF17" i="454"/>
  <c r="AF16" i="454"/>
  <c r="AF15" i="454"/>
  <c r="AF14" i="454"/>
  <c r="AF13" i="454"/>
  <c r="AF12" i="454"/>
  <c r="AF11" i="454"/>
  <c r="AF10" i="454"/>
  <c r="AF9" i="454"/>
  <c r="AF8" i="454"/>
  <c r="AF6" i="454"/>
  <c r="AF5" i="454" s="1"/>
  <c r="AF4" i="454" s="1"/>
  <c r="AC93" i="454"/>
  <c r="AD92" i="454"/>
  <c r="AC92" i="454"/>
  <c r="AC91" i="454"/>
  <c r="AC90" i="454"/>
  <c r="AC89" i="454"/>
  <c r="AC88" i="454"/>
  <c r="AC87" i="454"/>
  <c r="AC86" i="454"/>
  <c r="AC84" i="454"/>
  <c r="AC83" i="454"/>
  <c r="AC82" i="454"/>
  <c r="AC81" i="454"/>
  <c r="AC80" i="454"/>
  <c r="AC79" i="454"/>
  <c r="AC78" i="454"/>
  <c r="AC77" i="454"/>
  <c r="AC76" i="454"/>
  <c r="AC75" i="454"/>
  <c r="AC74" i="454"/>
  <c r="AC73" i="454"/>
  <c r="AC72" i="454"/>
  <c r="AC71" i="454"/>
  <c r="AC70" i="454"/>
  <c r="AC69" i="454"/>
  <c r="AC68" i="454"/>
  <c r="AC67" i="454"/>
  <c r="AC65" i="454"/>
  <c r="AC64" i="454"/>
  <c r="AC63" i="454"/>
  <c r="AC62" i="454"/>
  <c r="AC61" i="454"/>
  <c r="AC60" i="454"/>
  <c r="AC59" i="454"/>
  <c r="AC58" i="454"/>
  <c r="AC57" i="454"/>
  <c r="AC56" i="454"/>
  <c r="AC55" i="454"/>
  <c r="AC54" i="454"/>
  <c r="AC53" i="454"/>
  <c r="AC52" i="454"/>
  <c r="AC51" i="454"/>
  <c r="AC50" i="454"/>
  <c r="AC49" i="454"/>
  <c r="AC48" i="454"/>
  <c r="AC47" i="454"/>
  <c r="AC46" i="454"/>
  <c r="AC45" i="454"/>
  <c r="AC44" i="454"/>
  <c r="AC43" i="454"/>
  <c r="AC42" i="454"/>
  <c r="AC41" i="454"/>
  <c r="AC40" i="454"/>
  <c r="AC39" i="454"/>
  <c r="AC38" i="454"/>
  <c r="AC37" i="454"/>
  <c r="AC36" i="454"/>
  <c r="AC35" i="454"/>
  <c r="AC34" i="454"/>
  <c r="AC33" i="454"/>
  <c r="AC32" i="454"/>
  <c r="AC31" i="454"/>
  <c r="AC30" i="454"/>
  <c r="AC29" i="454"/>
  <c r="AC28" i="454"/>
  <c r="AC27" i="454"/>
  <c r="AC26" i="454"/>
  <c r="AC24" i="454"/>
  <c r="AC18" i="454" s="1"/>
  <c r="AC23" i="454"/>
  <c r="AC22" i="454"/>
  <c r="AC21" i="454"/>
  <c r="AC20" i="454"/>
  <c r="AC19" i="454"/>
  <c r="AC17" i="454"/>
  <c r="AC16" i="454"/>
  <c r="AC15" i="454"/>
  <c r="AC14" i="454"/>
  <c r="AC13" i="454"/>
  <c r="AC12" i="454"/>
  <c r="AC11" i="454"/>
  <c r="AC10" i="454"/>
  <c r="AC9" i="454"/>
  <c r="AC8" i="454"/>
  <c r="AC6" i="454"/>
  <c r="AC5" i="454" s="1"/>
  <c r="Z93" i="454"/>
  <c r="Z92" i="454"/>
  <c r="AA92" i="454" s="1"/>
  <c r="Z91" i="454"/>
  <c r="Z90" i="454"/>
  <c r="Z89" i="454"/>
  <c r="Z88" i="454"/>
  <c r="Z87" i="454"/>
  <c r="Z86" i="454"/>
  <c r="Z84" i="454"/>
  <c r="Z83" i="454" s="1"/>
  <c r="Z82" i="454"/>
  <c r="Z81" i="454"/>
  <c r="Z80" i="454"/>
  <c r="Z79" i="454"/>
  <c r="Z78" i="454"/>
  <c r="Z77" i="454"/>
  <c r="Z76" i="454"/>
  <c r="Z75" i="454"/>
  <c r="Z74" i="454"/>
  <c r="Z73" i="454"/>
  <c r="Z72" i="454"/>
  <c r="Z71" i="454"/>
  <c r="Z70" i="454"/>
  <c r="Z69" i="454"/>
  <c r="Z68" i="454"/>
  <c r="Z67" i="454"/>
  <c r="Z65" i="454"/>
  <c r="Z64" i="454"/>
  <c r="Z63" i="454"/>
  <c r="Z62" i="454"/>
  <c r="Z61" i="454"/>
  <c r="Z60" i="454"/>
  <c r="Z59" i="454"/>
  <c r="Z58" i="454"/>
  <c r="Z57" i="454"/>
  <c r="Z56" i="454"/>
  <c r="Z55" i="454"/>
  <c r="Z54" i="454"/>
  <c r="Z53" i="454"/>
  <c r="Z52" i="454"/>
  <c r="Z51" i="454"/>
  <c r="Z50" i="454"/>
  <c r="Z49" i="454"/>
  <c r="Z48" i="454"/>
  <c r="Z47" i="454"/>
  <c r="Z46" i="454"/>
  <c r="Z45" i="454"/>
  <c r="Z44" i="454"/>
  <c r="Z43" i="454"/>
  <c r="Z42" i="454"/>
  <c r="Z41" i="454"/>
  <c r="Z40" i="454"/>
  <c r="Z39" i="454"/>
  <c r="Z38" i="454"/>
  <c r="Z37" i="454"/>
  <c r="Z36" i="454"/>
  <c r="Z35" i="454"/>
  <c r="Z34" i="454"/>
  <c r="Z33" i="454"/>
  <c r="Z32" i="454"/>
  <c r="Z31" i="454"/>
  <c r="Z30" i="454"/>
  <c r="Z29" i="454"/>
  <c r="Z28" i="454"/>
  <c r="Z27" i="454"/>
  <c r="Z26" i="454"/>
  <c r="Z24" i="454"/>
  <c r="Z23" i="454"/>
  <c r="Z22" i="454"/>
  <c r="Z21" i="454"/>
  <c r="Z20" i="454"/>
  <c r="Z19" i="454"/>
  <c r="Z17" i="454"/>
  <c r="Z16" i="454"/>
  <c r="Z15" i="454"/>
  <c r="Z14" i="454"/>
  <c r="Z13" i="454"/>
  <c r="Z12" i="454"/>
  <c r="Z11" i="454"/>
  <c r="Z10" i="454"/>
  <c r="Z9" i="454"/>
  <c r="Z8" i="454"/>
  <c r="Z6" i="454"/>
  <c r="Z5" i="454" s="1"/>
  <c r="W81" i="454"/>
  <c r="W82" i="454"/>
  <c r="W92" i="454"/>
  <c r="X92" i="454" s="1"/>
  <c r="W93" i="454"/>
  <c r="W91" i="454"/>
  <c r="W90" i="454"/>
  <c r="W89" i="454"/>
  <c r="W88" i="454"/>
  <c r="W87" i="454"/>
  <c r="W86" i="454"/>
  <c r="W84" i="454"/>
  <c r="W80" i="454"/>
  <c r="W79" i="454"/>
  <c r="W78" i="454"/>
  <c r="W77" i="454"/>
  <c r="W76" i="454"/>
  <c r="W75" i="454"/>
  <c r="W74" i="454"/>
  <c r="W73" i="454"/>
  <c r="W72" i="454"/>
  <c r="W71" i="454"/>
  <c r="W70" i="454"/>
  <c r="W69" i="454"/>
  <c r="W68" i="454"/>
  <c r="W67" i="454"/>
  <c r="W32" i="454"/>
  <c r="W33" i="454"/>
  <c r="W34" i="454"/>
  <c r="W35" i="454"/>
  <c r="W36" i="454"/>
  <c r="W37" i="454"/>
  <c r="W38" i="454"/>
  <c r="W39" i="454"/>
  <c r="W40" i="454"/>
  <c r="W41" i="454"/>
  <c r="W42" i="454"/>
  <c r="W43" i="454"/>
  <c r="W44" i="454"/>
  <c r="W45" i="454"/>
  <c r="W46" i="454"/>
  <c r="W47" i="454"/>
  <c r="W48" i="454"/>
  <c r="W49" i="454"/>
  <c r="W50" i="454"/>
  <c r="W51" i="454"/>
  <c r="W52" i="454"/>
  <c r="W53" i="454"/>
  <c r="W54" i="454"/>
  <c r="W55" i="454"/>
  <c r="W56" i="454"/>
  <c r="W57" i="454"/>
  <c r="W58" i="454"/>
  <c r="W59" i="454"/>
  <c r="W60" i="454"/>
  <c r="W61" i="454"/>
  <c r="W62" i="454"/>
  <c r="W63" i="454"/>
  <c r="W64" i="454"/>
  <c r="W65" i="454"/>
  <c r="W31" i="454"/>
  <c r="W30" i="454"/>
  <c r="W29" i="454"/>
  <c r="W28" i="454"/>
  <c r="W27" i="454"/>
  <c r="W26" i="454"/>
  <c r="W24" i="454"/>
  <c r="W23" i="454"/>
  <c r="W22" i="454"/>
  <c r="W21" i="454"/>
  <c r="W20" i="454"/>
  <c r="W19" i="454"/>
  <c r="W17" i="454"/>
  <c r="W16" i="454"/>
  <c r="W15" i="454"/>
  <c r="W14" i="454"/>
  <c r="W13" i="454"/>
  <c r="W12" i="454"/>
  <c r="W11" i="454"/>
  <c r="W10" i="454"/>
  <c r="W9" i="454"/>
  <c r="W8" i="454"/>
  <c r="M30" i="25" l="1"/>
  <c r="O24" i="454"/>
  <c r="M25" i="25"/>
  <c r="O19" i="454"/>
  <c r="M26" i="25"/>
  <c r="O20" i="454"/>
  <c r="M29" i="25"/>
  <c r="O23" i="454"/>
  <c r="AL18" i="454"/>
  <c r="M21" i="454"/>
  <c r="M28" i="25"/>
  <c r="O22" i="454"/>
  <c r="F40" i="446"/>
  <c r="B41" i="453"/>
  <c r="F41" i="453" s="1"/>
  <c r="B41" i="450"/>
  <c r="F41" i="450" s="1"/>
  <c r="B38" i="33"/>
  <c r="F38" i="33" s="1"/>
  <c r="B41" i="446"/>
  <c r="AC66" i="454"/>
  <c r="AO18" i="454"/>
  <c r="Z25" i="454"/>
  <c r="W85" i="454"/>
  <c r="AC7" i="454"/>
  <c r="Z66" i="454"/>
  <c r="Z85" i="454"/>
  <c r="AF85" i="454"/>
  <c r="AR18" i="454"/>
  <c r="AU18" i="454"/>
  <c r="AI66" i="454"/>
  <c r="AX66" i="454"/>
  <c r="W5" i="454"/>
  <c r="AF25" i="454"/>
  <c r="AI83" i="454"/>
  <c r="AX85" i="454"/>
  <c r="AU25" i="454"/>
  <c r="AI85" i="454"/>
  <c r="AO66" i="454"/>
  <c r="BA7" i="454"/>
  <c r="AC85" i="454"/>
  <c r="AR7" i="454"/>
  <c r="AI7" i="454"/>
  <c r="AL25" i="454"/>
  <c r="AC25" i="454"/>
  <c r="AI25" i="454"/>
  <c r="AF7" i="454"/>
  <c r="AO25" i="454"/>
  <c r="AR85" i="454"/>
  <c r="AU85" i="454"/>
  <c r="BA85" i="454"/>
  <c r="BA25" i="454"/>
  <c r="AL85" i="454"/>
  <c r="AR25" i="454"/>
  <c r="AU7" i="454"/>
  <c r="AX25" i="454"/>
  <c r="BA18" i="454"/>
  <c r="BA66" i="454"/>
  <c r="AX7" i="454"/>
  <c r="AX5" i="454"/>
  <c r="AU66" i="454"/>
  <c r="AR66" i="454"/>
  <c r="AO7" i="454"/>
  <c r="AL66" i="454"/>
  <c r="AL7" i="454"/>
  <c r="AL4" i="454" s="1"/>
  <c r="AI18" i="454"/>
  <c r="AF18" i="454"/>
  <c r="Z18" i="454"/>
  <c r="Z7" i="454"/>
  <c r="W83" i="454"/>
  <c r="W18" i="454"/>
  <c r="W7" i="454"/>
  <c r="W25" i="454"/>
  <c r="W66" i="454"/>
  <c r="W4" i="454" l="1"/>
  <c r="W1" i="454" s="1"/>
  <c r="BC5" i="454"/>
  <c r="BC93" i="454" s="1"/>
  <c r="M27" i="25"/>
  <c r="O21" i="454"/>
  <c r="F41" i="446"/>
  <c r="B42" i="453"/>
  <c r="F42" i="453" s="1"/>
  <c r="B39" i="33"/>
  <c r="F39" i="33" s="1"/>
  <c r="B42" i="450"/>
  <c r="F42" i="450" s="1"/>
  <c r="B42" i="446"/>
  <c r="AI4" i="454"/>
  <c r="B43" i="450" l="1"/>
  <c r="F43" i="450" s="1"/>
  <c r="B40" i="33"/>
  <c r="F40" i="33" s="1"/>
  <c r="F42" i="446"/>
  <c r="B43" i="453"/>
  <c r="F43" i="453" s="1"/>
  <c r="B43" i="446"/>
  <c r="O91" i="454"/>
  <c r="Q91" i="454" s="1"/>
  <c r="N91" i="454"/>
  <c r="J91" i="454"/>
  <c r="B91" i="454"/>
  <c r="O90" i="454"/>
  <c r="Q90" i="454" s="1"/>
  <c r="N90" i="454"/>
  <c r="J90" i="454"/>
  <c r="B90" i="454"/>
  <c r="O89" i="454"/>
  <c r="Q89" i="454" s="1"/>
  <c r="N89" i="454"/>
  <c r="J89" i="454"/>
  <c r="B89" i="454"/>
  <c r="O88" i="454"/>
  <c r="Q88" i="454" s="1"/>
  <c r="N88" i="454"/>
  <c r="J88" i="454"/>
  <c r="B88" i="454"/>
  <c r="O87" i="454"/>
  <c r="Q87" i="454" s="1"/>
  <c r="N87" i="454"/>
  <c r="P87" i="454" s="1"/>
  <c r="J87" i="454"/>
  <c r="B87" i="454"/>
  <c r="O86" i="454"/>
  <c r="Q86" i="454" s="1"/>
  <c r="N86" i="454"/>
  <c r="J86" i="454"/>
  <c r="D86" i="454"/>
  <c r="D87" i="454" s="1"/>
  <c r="D88" i="454" s="1"/>
  <c r="D89" i="454" s="1"/>
  <c r="D90" i="454" s="1"/>
  <c r="D91" i="454" s="1"/>
  <c r="B86" i="454"/>
  <c r="B85" i="454"/>
  <c r="O84" i="454"/>
  <c r="Q84" i="454" s="1"/>
  <c r="J84" i="454"/>
  <c r="D84" i="454"/>
  <c r="B84" i="454"/>
  <c r="B83" i="454"/>
  <c r="O82" i="454"/>
  <c r="Q82" i="454" s="1"/>
  <c r="N82" i="454"/>
  <c r="P82" i="454" s="1"/>
  <c r="J82" i="454"/>
  <c r="B82" i="454"/>
  <c r="O81" i="454"/>
  <c r="Q81" i="454" s="1"/>
  <c r="N81" i="454"/>
  <c r="P81" i="454" s="1"/>
  <c r="J81" i="454"/>
  <c r="B81" i="454"/>
  <c r="O80" i="454"/>
  <c r="Q80" i="454" s="1"/>
  <c r="N80" i="454"/>
  <c r="J80" i="454"/>
  <c r="B80" i="454"/>
  <c r="O79" i="454"/>
  <c r="Q79" i="454" s="1"/>
  <c r="N79" i="454"/>
  <c r="J79" i="454"/>
  <c r="B79" i="454"/>
  <c r="O78" i="454"/>
  <c r="Q78" i="454" s="1"/>
  <c r="N78" i="454"/>
  <c r="J78" i="454"/>
  <c r="B78" i="454"/>
  <c r="O77" i="454"/>
  <c r="Q77" i="454" s="1"/>
  <c r="N77" i="454"/>
  <c r="J77" i="454"/>
  <c r="B77" i="454"/>
  <c r="O76" i="454"/>
  <c r="Q76" i="454" s="1"/>
  <c r="N76" i="454"/>
  <c r="J76" i="454"/>
  <c r="B76" i="454"/>
  <c r="O75" i="454"/>
  <c r="Q75" i="454" s="1"/>
  <c r="N75" i="454"/>
  <c r="J75" i="454"/>
  <c r="B75" i="454"/>
  <c r="O74" i="454"/>
  <c r="Q74" i="454" s="1"/>
  <c r="N74" i="454"/>
  <c r="J74" i="454"/>
  <c r="B74" i="454"/>
  <c r="O73" i="454"/>
  <c r="Q73" i="454" s="1"/>
  <c r="N73" i="454"/>
  <c r="P73" i="454" s="1"/>
  <c r="J73" i="454"/>
  <c r="B73" i="454"/>
  <c r="O72" i="454"/>
  <c r="Q72" i="454" s="1"/>
  <c r="N72" i="454"/>
  <c r="P72" i="454" s="1"/>
  <c r="J72" i="454"/>
  <c r="B72" i="454"/>
  <c r="O71" i="454"/>
  <c r="Q71" i="454" s="1"/>
  <c r="N71" i="454"/>
  <c r="J71" i="454"/>
  <c r="B71" i="454"/>
  <c r="O70" i="454"/>
  <c r="Q70" i="454" s="1"/>
  <c r="N70" i="454"/>
  <c r="J70" i="454"/>
  <c r="B70" i="454"/>
  <c r="O69" i="454"/>
  <c r="Q69" i="454" s="1"/>
  <c r="N69" i="454"/>
  <c r="J69" i="454"/>
  <c r="B69" i="454"/>
  <c r="O68" i="454"/>
  <c r="Q68" i="454" s="1"/>
  <c r="N68" i="454"/>
  <c r="J68" i="454"/>
  <c r="B68" i="454"/>
  <c r="O67" i="454"/>
  <c r="Q67" i="454" s="1"/>
  <c r="N67" i="454"/>
  <c r="J67" i="454"/>
  <c r="D67" i="454"/>
  <c r="D68" i="454" s="1"/>
  <c r="D69" i="454" s="1"/>
  <c r="D70" i="454" s="1"/>
  <c r="D71" i="454" s="1"/>
  <c r="D72" i="454" s="1"/>
  <c r="D73" i="454" s="1"/>
  <c r="D74" i="454" s="1"/>
  <c r="D75" i="454" s="1"/>
  <c r="D76" i="454" s="1"/>
  <c r="D77" i="454" s="1"/>
  <c r="D78" i="454" s="1"/>
  <c r="D79" i="454" s="1"/>
  <c r="D80" i="454" s="1"/>
  <c r="D81" i="454" s="1"/>
  <c r="D82" i="454" s="1"/>
  <c r="B67" i="454"/>
  <c r="B66" i="454"/>
  <c r="O65" i="454"/>
  <c r="Q65" i="454" s="1"/>
  <c r="N65" i="454"/>
  <c r="J65" i="454"/>
  <c r="B65" i="454"/>
  <c r="O64" i="454"/>
  <c r="Q64" i="454" s="1"/>
  <c r="N64" i="454"/>
  <c r="P64" i="454" s="1"/>
  <c r="J64" i="454"/>
  <c r="B64" i="454"/>
  <c r="O63" i="454"/>
  <c r="Q63" i="454" s="1"/>
  <c r="N63" i="454"/>
  <c r="J63" i="454"/>
  <c r="B63" i="454"/>
  <c r="O62" i="454"/>
  <c r="Q62" i="454" s="1"/>
  <c r="N62" i="454"/>
  <c r="P62" i="454" s="1"/>
  <c r="J62" i="454"/>
  <c r="B62" i="454"/>
  <c r="O61" i="454"/>
  <c r="Q61" i="454" s="1"/>
  <c r="N61" i="454"/>
  <c r="J61" i="454"/>
  <c r="B61" i="454"/>
  <c r="O60" i="454"/>
  <c r="Q60" i="454" s="1"/>
  <c r="N60" i="454"/>
  <c r="J60" i="454"/>
  <c r="B60" i="454"/>
  <c r="O59" i="454"/>
  <c r="Q59" i="454" s="1"/>
  <c r="N59" i="454"/>
  <c r="J59" i="454"/>
  <c r="B59" i="454"/>
  <c r="O58" i="454"/>
  <c r="Q58" i="454" s="1"/>
  <c r="N58" i="454"/>
  <c r="J58" i="454"/>
  <c r="B58" i="454"/>
  <c r="O57" i="454"/>
  <c r="Q57" i="454" s="1"/>
  <c r="N57" i="454"/>
  <c r="J57" i="454"/>
  <c r="B57" i="454"/>
  <c r="O56" i="454"/>
  <c r="Q56" i="454" s="1"/>
  <c r="N56" i="454"/>
  <c r="J56" i="454"/>
  <c r="B56" i="454"/>
  <c r="O55" i="454"/>
  <c r="Q55" i="454" s="1"/>
  <c r="N55" i="454"/>
  <c r="J55" i="454"/>
  <c r="B55" i="454"/>
  <c r="O54" i="454"/>
  <c r="Q54" i="454" s="1"/>
  <c r="N54" i="454"/>
  <c r="P54" i="454" s="1"/>
  <c r="J54" i="454"/>
  <c r="B54" i="454"/>
  <c r="O53" i="454"/>
  <c r="Q53" i="454" s="1"/>
  <c r="N53" i="454"/>
  <c r="J53" i="454"/>
  <c r="B53" i="454"/>
  <c r="O52" i="454"/>
  <c r="Q52" i="454" s="1"/>
  <c r="N52" i="454"/>
  <c r="J52" i="454"/>
  <c r="B52" i="454"/>
  <c r="O51" i="454"/>
  <c r="Q51" i="454" s="1"/>
  <c r="N51" i="454"/>
  <c r="J51" i="454"/>
  <c r="B51" i="454"/>
  <c r="O50" i="454"/>
  <c r="Q50" i="454" s="1"/>
  <c r="N50" i="454"/>
  <c r="J50" i="454"/>
  <c r="B50" i="454"/>
  <c r="O49" i="454"/>
  <c r="Q49" i="454" s="1"/>
  <c r="N49" i="454"/>
  <c r="J49" i="454"/>
  <c r="B49" i="454"/>
  <c r="O48" i="454"/>
  <c r="Q48" i="454" s="1"/>
  <c r="N48" i="454"/>
  <c r="P48" i="454" s="1"/>
  <c r="J48" i="454"/>
  <c r="B48" i="454"/>
  <c r="O47" i="454"/>
  <c r="Q47" i="454" s="1"/>
  <c r="N47" i="454"/>
  <c r="J47" i="454"/>
  <c r="B47" i="454"/>
  <c r="O46" i="454"/>
  <c r="Q46" i="454" s="1"/>
  <c r="N46" i="454"/>
  <c r="P46" i="454" s="1"/>
  <c r="J46" i="454"/>
  <c r="B46" i="454"/>
  <c r="O45" i="454"/>
  <c r="Q45" i="454" s="1"/>
  <c r="N45" i="454"/>
  <c r="J45" i="454"/>
  <c r="B45" i="454"/>
  <c r="O44" i="454"/>
  <c r="Q44" i="454" s="1"/>
  <c r="N44" i="454"/>
  <c r="J44" i="454"/>
  <c r="B44" i="454"/>
  <c r="O43" i="454"/>
  <c r="Q43" i="454" s="1"/>
  <c r="N43" i="454"/>
  <c r="J43" i="454"/>
  <c r="B43" i="454"/>
  <c r="O42" i="454"/>
  <c r="Q42" i="454" s="1"/>
  <c r="N42" i="454"/>
  <c r="J42" i="454"/>
  <c r="B42" i="454"/>
  <c r="O41" i="454"/>
  <c r="Q41" i="454" s="1"/>
  <c r="N41" i="454"/>
  <c r="J41" i="454"/>
  <c r="B41" i="454"/>
  <c r="O40" i="454"/>
  <c r="Q40" i="454" s="1"/>
  <c r="N40" i="454"/>
  <c r="P40" i="454" s="1"/>
  <c r="J40" i="454"/>
  <c r="B40" i="454"/>
  <c r="O39" i="454"/>
  <c r="Q39" i="454" s="1"/>
  <c r="N39" i="454"/>
  <c r="J39" i="454"/>
  <c r="B39" i="454"/>
  <c r="O38" i="454"/>
  <c r="Q38" i="454" s="1"/>
  <c r="N38" i="454"/>
  <c r="J38" i="454"/>
  <c r="B38" i="454"/>
  <c r="O37" i="454"/>
  <c r="Q37" i="454" s="1"/>
  <c r="N37" i="454"/>
  <c r="J37" i="454"/>
  <c r="B37" i="454"/>
  <c r="O36" i="454"/>
  <c r="Q36" i="454" s="1"/>
  <c r="N36" i="454"/>
  <c r="J36" i="454"/>
  <c r="B36" i="454"/>
  <c r="O35" i="454"/>
  <c r="Q35" i="454" s="1"/>
  <c r="N35" i="454"/>
  <c r="J35" i="454"/>
  <c r="B35" i="454"/>
  <c r="O34" i="454"/>
  <c r="Q34" i="454" s="1"/>
  <c r="N34" i="454"/>
  <c r="J34" i="454"/>
  <c r="B34" i="454"/>
  <c r="O33" i="454"/>
  <c r="Q33" i="454" s="1"/>
  <c r="N33" i="454"/>
  <c r="J33" i="454"/>
  <c r="B33" i="454"/>
  <c r="O32" i="454"/>
  <c r="Q32" i="454" s="1"/>
  <c r="N32" i="454"/>
  <c r="J32" i="454"/>
  <c r="B32" i="454"/>
  <c r="O31" i="454"/>
  <c r="Q31" i="454" s="1"/>
  <c r="N31" i="454"/>
  <c r="J31" i="454"/>
  <c r="B31" i="454"/>
  <c r="O30" i="454"/>
  <c r="Q30" i="454" s="1"/>
  <c r="N30" i="454"/>
  <c r="J30" i="454"/>
  <c r="B30" i="454"/>
  <c r="O29" i="454"/>
  <c r="Q29" i="454" s="1"/>
  <c r="N29" i="454"/>
  <c r="J29" i="454"/>
  <c r="B29" i="454"/>
  <c r="O28" i="454"/>
  <c r="Q28" i="454" s="1"/>
  <c r="N28" i="454"/>
  <c r="J28" i="454"/>
  <c r="B28" i="454"/>
  <c r="O27" i="454"/>
  <c r="Q27" i="454" s="1"/>
  <c r="N27" i="454"/>
  <c r="J27" i="454"/>
  <c r="B27" i="454"/>
  <c r="O26" i="454"/>
  <c r="Q26" i="454" s="1"/>
  <c r="N26" i="454"/>
  <c r="J26" i="454"/>
  <c r="D26" i="454"/>
  <c r="D27" i="454" s="1"/>
  <c r="D28" i="454" s="1"/>
  <c r="D29" i="454" s="1"/>
  <c r="D30" i="454" s="1"/>
  <c r="D31" i="454" s="1"/>
  <c r="D32" i="454" s="1"/>
  <c r="D33" i="454" s="1"/>
  <c r="D34" i="454" s="1"/>
  <c r="D35" i="454" s="1"/>
  <c r="D36" i="454" s="1"/>
  <c r="D37" i="454" s="1"/>
  <c r="D38" i="454" s="1"/>
  <c r="D39" i="454" s="1"/>
  <c r="D40" i="454" s="1"/>
  <c r="D41" i="454" s="1"/>
  <c r="D42" i="454" s="1"/>
  <c r="D43" i="454" s="1"/>
  <c r="D44" i="454" s="1"/>
  <c r="D45" i="454" s="1"/>
  <c r="D46" i="454" s="1"/>
  <c r="D47" i="454" s="1"/>
  <c r="D48" i="454" s="1"/>
  <c r="D49" i="454" s="1"/>
  <c r="D50" i="454" s="1"/>
  <c r="D51" i="454" s="1"/>
  <c r="D52" i="454" s="1"/>
  <c r="D53" i="454" s="1"/>
  <c r="D54" i="454" s="1"/>
  <c r="D55" i="454" s="1"/>
  <c r="D56" i="454" s="1"/>
  <c r="D57" i="454" s="1"/>
  <c r="D58" i="454" s="1"/>
  <c r="D59" i="454" s="1"/>
  <c r="D60" i="454" s="1"/>
  <c r="D61" i="454" s="1"/>
  <c r="D62" i="454" s="1"/>
  <c r="D63" i="454" s="1"/>
  <c r="D64" i="454" s="1"/>
  <c r="D65" i="454" s="1"/>
  <c r="B26" i="454"/>
  <c r="B25" i="454"/>
  <c r="Q24" i="454"/>
  <c r="N24" i="454"/>
  <c r="J24" i="454"/>
  <c r="B24" i="454"/>
  <c r="Q23" i="454"/>
  <c r="N23" i="454"/>
  <c r="P23" i="454" s="1"/>
  <c r="J23" i="454"/>
  <c r="B23" i="454"/>
  <c r="Q22" i="454"/>
  <c r="N22" i="454"/>
  <c r="J22" i="454"/>
  <c r="B22" i="454"/>
  <c r="Q21" i="454"/>
  <c r="N21" i="454"/>
  <c r="J21" i="454"/>
  <c r="B21" i="454"/>
  <c r="Q20" i="454"/>
  <c r="N20" i="454"/>
  <c r="P20" i="454" s="1"/>
  <c r="J20" i="454"/>
  <c r="B20" i="454"/>
  <c r="Q19" i="454"/>
  <c r="N19" i="454"/>
  <c r="J19" i="454"/>
  <c r="D19" i="454"/>
  <c r="D20" i="454" s="1"/>
  <c r="D21" i="454" s="1"/>
  <c r="D22" i="454" s="1"/>
  <c r="D23" i="454" s="1"/>
  <c r="D24" i="454" s="1"/>
  <c r="B19" i="454"/>
  <c r="B18" i="454"/>
  <c r="Q17" i="454"/>
  <c r="N17" i="454"/>
  <c r="S17" i="454" s="1"/>
  <c r="J17" i="454"/>
  <c r="B17" i="454"/>
  <c r="Q16" i="454"/>
  <c r="N16" i="454"/>
  <c r="J16" i="454"/>
  <c r="B16" i="454"/>
  <c r="Q15" i="454"/>
  <c r="N15" i="454"/>
  <c r="J15" i="454"/>
  <c r="B15" i="454"/>
  <c r="Q14" i="454"/>
  <c r="N14" i="454"/>
  <c r="J14" i="454"/>
  <c r="B14" i="454"/>
  <c r="Q13" i="454"/>
  <c r="N13" i="454"/>
  <c r="J13" i="454"/>
  <c r="B13" i="454"/>
  <c r="Q12" i="454"/>
  <c r="N12" i="454"/>
  <c r="J12" i="454"/>
  <c r="B12" i="454"/>
  <c r="Q11" i="454"/>
  <c r="N11" i="454"/>
  <c r="J11" i="454"/>
  <c r="B11" i="454"/>
  <c r="Q10" i="454"/>
  <c r="N10" i="454"/>
  <c r="J10" i="454"/>
  <c r="B10" i="454"/>
  <c r="Q9" i="454"/>
  <c r="N9" i="454"/>
  <c r="J9" i="454"/>
  <c r="B9" i="454"/>
  <c r="Q8" i="454"/>
  <c r="N8" i="454"/>
  <c r="J8" i="454"/>
  <c r="D8" i="454"/>
  <c r="D9" i="454" s="1"/>
  <c r="D10" i="454" s="1"/>
  <c r="D11" i="454" s="1"/>
  <c r="D12" i="454" s="1"/>
  <c r="D13" i="454" s="1"/>
  <c r="D14" i="454" s="1"/>
  <c r="D15" i="454" s="1"/>
  <c r="D16" i="454" s="1"/>
  <c r="D17" i="454" s="1"/>
  <c r="B8" i="454"/>
  <c r="B7" i="454"/>
  <c r="Q6" i="454"/>
  <c r="J6" i="454"/>
  <c r="D6" i="454"/>
  <c r="B6" i="454"/>
  <c r="C6" i="454" s="1"/>
  <c r="N7" i="454" l="1"/>
  <c r="N85" i="454"/>
  <c r="N66" i="454"/>
  <c r="B44" i="450"/>
  <c r="F44" i="450" s="1"/>
  <c r="B41" i="33"/>
  <c r="F41" i="33" s="1"/>
  <c r="B44" i="453"/>
  <c r="F44" i="453" s="1"/>
  <c r="F43" i="446"/>
  <c r="B44" i="446"/>
  <c r="X82" i="454"/>
  <c r="AD82" i="454"/>
  <c r="AV82" i="454"/>
  <c r="AM82" i="454"/>
  <c r="AP82" i="454"/>
  <c r="AG82" i="454"/>
  <c r="AS82" i="454"/>
  <c r="AY82" i="454"/>
  <c r="AA82" i="454"/>
  <c r="BB82" i="454"/>
  <c r="AJ82" i="454"/>
  <c r="AM20" i="454"/>
  <c r="AV20" i="454"/>
  <c r="AD20" i="454"/>
  <c r="AS20" i="454"/>
  <c r="AJ20" i="454"/>
  <c r="BB20" i="454"/>
  <c r="AP20" i="454"/>
  <c r="AA20" i="454"/>
  <c r="AY20" i="454"/>
  <c r="X20" i="454"/>
  <c r="AG20" i="454"/>
  <c r="AV28" i="454"/>
  <c r="AM28" i="454"/>
  <c r="AJ28" i="454"/>
  <c r="AD28" i="454"/>
  <c r="BB28" i="454"/>
  <c r="AP28" i="454"/>
  <c r="AS28" i="454"/>
  <c r="AG28" i="454"/>
  <c r="X28" i="454"/>
  <c r="AY28" i="454"/>
  <c r="AA28" i="454"/>
  <c r="AS32" i="454"/>
  <c r="AP32" i="454"/>
  <c r="X32" i="454"/>
  <c r="BB32" i="454"/>
  <c r="AJ32" i="454"/>
  <c r="AG32" i="454"/>
  <c r="AV32" i="454"/>
  <c r="AD32" i="454"/>
  <c r="AA32" i="454"/>
  <c r="AY32" i="454"/>
  <c r="AM32" i="454"/>
  <c r="AJ36" i="454"/>
  <c r="AA36" i="454"/>
  <c r="AM36" i="454"/>
  <c r="AP36" i="454"/>
  <c r="AD36" i="454"/>
  <c r="AS36" i="454"/>
  <c r="AV36" i="454"/>
  <c r="BB36" i="454"/>
  <c r="X36" i="454"/>
  <c r="AY36" i="454"/>
  <c r="AG36" i="454"/>
  <c r="AM40" i="454"/>
  <c r="AJ40" i="454"/>
  <c r="X40" i="454"/>
  <c r="AD40" i="454"/>
  <c r="BB40" i="454"/>
  <c r="AA40" i="454"/>
  <c r="AP40" i="454"/>
  <c r="AS40" i="454"/>
  <c r="AG40" i="454"/>
  <c r="AV40" i="454"/>
  <c r="AY40" i="454"/>
  <c r="AG57" i="454"/>
  <c r="AS57" i="454"/>
  <c r="AJ57" i="454"/>
  <c r="X57" i="454"/>
  <c r="AM57" i="454"/>
  <c r="AV57" i="454"/>
  <c r="AD57" i="454"/>
  <c r="BB57" i="454"/>
  <c r="AY57" i="454"/>
  <c r="AA57" i="454"/>
  <c r="AP57" i="454"/>
  <c r="BB61" i="454"/>
  <c r="AG61" i="454"/>
  <c r="AV61" i="454"/>
  <c r="AJ61" i="454"/>
  <c r="AM61" i="454"/>
  <c r="X61" i="454"/>
  <c r="AP61" i="454"/>
  <c r="AY61" i="454"/>
  <c r="AS61" i="454"/>
  <c r="AA61" i="454"/>
  <c r="AD61" i="454"/>
  <c r="AG67" i="454"/>
  <c r="BB67" i="454"/>
  <c r="AP67" i="454"/>
  <c r="X67" i="454"/>
  <c r="AM67" i="454"/>
  <c r="AV67" i="454"/>
  <c r="AJ67" i="454"/>
  <c r="AY67" i="454"/>
  <c r="AD67" i="454"/>
  <c r="AS67" i="454"/>
  <c r="AA67" i="454"/>
  <c r="AA71" i="454"/>
  <c r="AV71" i="454"/>
  <c r="AP71" i="454"/>
  <c r="AD71" i="454"/>
  <c r="AS71" i="454"/>
  <c r="AG71" i="454"/>
  <c r="X71" i="454"/>
  <c r="AY71" i="454"/>
  <c r="BB71" i="454"/>
  <c r="AM71" i="454"/>
  <c r="AJ71" i="454"/>
  <c r="BB44" i="454"/>
  <c r="AA44" i="454"/>
  <c r="AS44" i="454"/>
  <c r="AD44" i="454"/>
  <c r="AM44" i="454"/>
  <c r="AV44" i="454"/>
  <c r="AP44" i="454"/>
  <c r="AG44" i="454"/>
  <c r="AY44" i="454"/>
  <c r="AJ44" i="454"/>
  <c r="X44" i="454"/>
  <c r="BB63" i="454"/>
  <c r="AY63" i="454"/>
  <c r="AV63" i="454"/>
  <c r="AP63" i="454"/>
  <c r="AG63" i="454"/>
  <c r="X63" i="454"/>
  <c r="AA63" i="454"/>
  <c r="AJ63" i="454"/>
  <c r="AM63" i="454"/>
  <c r="AD63" i="454"/>
  <c r="AS63" i="454"/>
  <c r="X14" i="454"/>
  <c r="AG14" i="454"/>
  <c r="AS14" i="454"/>
  <c r="BB14" i="454"/>
  <c r="AD14" i="454"/>
  <c r="AJ14" i="454"/>
  <c r="AY14" i="454"/>
  <c r="AM14" i="454"/>
  <c r="AA14" i="454"/>
  <c r="AP14" i="454"/>
  <c r="AV14" i="454"/>
  <c r="BB48" i="454"/>
  <c r="AS48" i="454"/>
  <c r="AD48" i="454"/>
  <c r="X48" i="454"/>
  <c r="AG48" i="454"/>
  <c r="AM48" i="454"/>
  <c r="AA48" i="454"/>
  <c r="AV48" i="454"/>
  <c r="AP48" i="454"/>
  <c r="AJ48" i="454"/>
  <c r="AY48" i="454"/>
  <c r="BB65" i="454"/>
  <c r="AV65" i="454"/>
  <c r="AP65" i="454"/>
  <c r="AJ65" i="454"/>
  <c r="AM65" i="454"/>
  <c r="AG65" i="454"/>
  <c r="AA65" i="454"/>
  <c r="X65" i="454"/>
  <c r="AD65" i="454"/>
  <c r="AY65" i="454"/>
  <c r="AS65" i="454"/>
  <c r="AA75" i="454"/>
  <c r="AM75" i="454"/>
  <c r="AV75" i="454"/>
  <c r="AY75" i="454"/>
  <c r="AJ75" i="454"/>
  <c r="BB75" i="454"/>
  <c r="AS75" i="454"/>
  <c r="AD75" i="454"/>
  <c r="AP75" i="454"/>
  <c r="AG75" i="454"/>
  <c r="X75" i="454"/>
  <c r="AY77" i="454"/>
  <c r="AG77" i="454"/>
  <c r="BB77" i="454"/>
  <c r="AV77" i="454"/>
  <c r="AP77" i="454"/>
  <c r="AJ77" i="454"/>
  <c r="AS77" i="454"/>
  <c r="AD77" i="454"/>
  <c r="AM77" i="454"/>
  <c r="AA77" i="454"/>
  <c r="X77" i="454"/>
  <c r="X79" i="454"/>
  <c r="AY79" i="454"/>
  <c r="AJ79" i="454"/>
  <c r="AP79" i="454"/>
  <c r="BB79" i="454"/>
  <c r="AM79" i="454"/>
  <c r="AD79" i="454"/>
  <c r="AG79" i="454"/>
  <c r="AA79" i="454"/>
  <c r="AV79" i="454"/>
  <c r="AS79" i="454"/>
  <c r="AS81" i="454"/>
  <c r="AD81" i="454"/>
  <c r="BB81" i="454"/>
  <c r="AJ81" i="454"/>
  <c r="AM81" i="454"/>
  <c r="AP81" i="454"/>
  <c r="AY81" i="454"/>
  <c r="AA81" i="454"/>
  <c r="X81" i="454"/>
  <c r="AV81" i="454"/>
  <c r="AG81" i="454"/>
  <c r="AJ50" i="454"/>
  <c r="AS50" i="454"/>
  <c r="BB50" i="454"/>
  <c r="AP50" i="454"/>
  <c r="X50" i="454"/>
  <c r="AG50" i="454"/>
  <c r="AY50" i="454"/>
  <c r="AA50" i="454"/>
  <c r="AD50" i="454"/>
  <c r="AM50" i="454"/>
  <c r="AV50" i="454"/>
  <c r="AY52" i="454"/>
  <c r="AS52" i="454"/>
  <c r="X52" i="454"/>
  <c r="AG52" i="454"/>
  <c r="AA52" i="454"/>
  <c r="AM52" i="454"/>
  <c r="AP52" i="454"/>
  <c r="AJ52" i="454"/>
  <c r="AV52" i="454"/>
  <c r="AD52" i="454"/>
  <c r="BB52" i="454"/>
  <c r="AV54" i="454"/>
  <c r="AJ54" i="454"/>
  <c r="AP54" i="454"/>
  <c r="AM54" i="454"/>
  <c r="AD54" i="454"/>
  <c r="X54" i="454"/>
  <c r="AY54" i="454"/>
  <c r="AG54" i="454"/>
  <c r="BB54" i="454"/>
  <c r="AS54" i="454"/>
  <c r="AA54" i="454"/>
  <c r="AG49" i="454"/>
  <c r="BB49" i="454"/>
  <c r="AV49" i="454"/>
  <c r="AM49" i="454"/>
  <c r="AY49" i="454"/>
  <c r="AP49" i="454"/>
  <c r="AD49" i="454"/>
  <c r="AS49" i="454"/>
  <c r="AJ49" i="454"/>
  <c r="X49" i="454"/>
  <c r="AA49" i="454"/>
  <c r="BB53" i="454"/>
  <c r="AS53" i="454"/>
  <c r="AV53" i="454"/>
  <c r="AD53" i="454"/>
  <c r="AM53" i="454"/>
  <c r="AA53" i="454"/>
  <c r="AP53" i="454"/>
  <c r="X53" i="454"/>
  <c r="AY53" i="454"/>
  <c r="AJ53" i="454"/>
  <c r="AG53" i="454"/>
  <c r="AS26" i="454"/>
  <c r="BB26" i="454"/>
  <c r="AA26" i="454"/>
  <c r="AM26" i="454"/>
  <c r="AG26" i="454"/>
  <c r="AY26" i="454"/>
  <c r="AJ26" i="454"/>
  <c r="X26" i="454"/>
  <c r="AP26" i="454"/>
  <c r="AV26" i="454"/>
  <c r="AD26" i="454"/>
  <c r="AV30" i="454"/>
  <c r="AP30" i="454"/>
  <c r="AG30" i="454"/>
  <c r="AM30" i="454"/>
  <c r="AJ30" i="454"/>
  <c r="AD30" i="454"/>
  <c r="BB30" i="454"/>
  <c r="X30" i="454"/>
  <c r="AS30" i="454"/>
  <c r="AA30" i="454"/>
  <c r="AY30" i="454"/>
  <c r="AY34" i="454"/>
  <c r="AD34" i="454"/>
  <c r="X34" i="454"/>
  <c r="AG34" i="454"/>
  <c r="AP34" i="454"/>
  <c r="BB34" i="454"/>
  <c r="AJ34" i="454"/>
  <c r="AA34" i="454"/>
  <c r="AS34" i="454"/>
  <c r="AV34" i="454"/>
  <c r="AM34" i="454"/>
  <c r="X38" i="454"/>
  <c r="AJ38" i="454"/>
  <c r="AM38" i="454"/>
  <c r="AA38" i="454"/>
  <c r="AY38" i="454"/>
  <c r="AP38" i="454"/>
  <c r="BB38" i="454"/>
  <c r="AG38" i="454"/>
  <c r="AS38" i="454"/>
  <c r="AV38" i="454"/>
  <c r="AD38" i="454"/>
  <c r="X55" i="454"/>
  <c r="AV55" i="454"/>
  <c r="AS55" i="454"/>
  <c r="AD55" i="454"/>
  <c r="AG55" i="454"/>
  <c r="AY55" i="454"/>
  <c r="AA55" i="454"/>
  <c r="BB55" i="454"/>
  <c r="AM55" i="454"/>
  <c r="AJ55" i="454"/>
  <c r="AP55" i="454"/>
  <c r="BB59" i="454"/>
  <c r="AA59" i="454"/>
  <c r="AS59" i="454"/>
  <c r="AD59" i="454"/>
  <c r="X59" i="454"/>
  <c r="AG59" i="454"/>
  <c r="AV59" i="454"/>
  <c r="AY59" i="454"/>
  <c r="AM59" i="454"/>
  <c r="AP59" i="454"/>
  <c r="AJ59" i="454"/>
  <c r="BB69" i="454"/>
  <c r="AV69" i="454"/>
  <c r="X69" i="454"/>
  <c r="AP69" i="454"/>
  <c r="AS69" i="454"/>
  <c r="AM69" i="454"/>
  <c r="AG69" i="454"/>
  <c r="AJ69" i="454"/>
  <c r="AA69" i="454"/>
  <c r="AD69" i="454"/>
  <c r="AY69" i="454"/>
  <c r="AM87" i="454"/>
  <c r="AJ87" i="454"/>
  <c r="AP87" i="454"/>
  <c r="AY87" i="454"/>
  <c r="AD87" i="454"/>
  <c r="AA87" i="454"/>
  <c r="AG87" i="454"/>
  <c r="AV87" i="454"/>
  <c r="BB87" i="454"/>
  <c r="AS87" i="454"/>
  <c r="X87" i="454"/>
  <c r="X42" i="454"/>
  <c r="AD42" i="454"/>
  <c r="AV42" i="454"/>
  <c r="AY42" i="454"/>
  <c r="AS42" i="454"/>
  <c r="AG42" i="454"/>
  <c r="AM42" i="454"/>
  <c r="AA42" i="454"/>
  <c r="AP42" i="454"/>
  <c r="BB42" i="454"/>
  <c r="AJ42" i="454"/>
  <c r="AA91" i="454"/>
  <c r="X91" i="454"/>
  <c r="AD91" i="454"/>
  <c r="AG91" i="454"/>
  <c r="AY91" i="454"/>
  <c r="BB91" i="454"/>
  <c r="AJ91" i="454"/>
  <c r="AV91" i="454"/>
  <c r="AS91" i="454"/>
  <c r="AP91" i="454"/>
  <c r="AM91" i="454"/>
  <c r="X10" i="454"/>
  <c r="BB10" i="454"/>
  <c r="AA10" i="454"/>
  <c r="AS10" i="454"/>
  <c r="AJ10" i="454"/>
  <c r="AV10" i="454"/>
  <c r="AM10" i="454"/>
  <c r="AG10" i="454"/>
  <c r="AY10" i="454"/>
  <c r="AD10" i="454"/>
  <c r="AP10" i="454"/>
  <c r="AV16" i="454"/>
  <c r="AP16" i="454"/>
  <c r="AD16" i="454"/>
  <c r="AG16" i="454"/>
  <c r="BB16" i="454"/>
  <c r="X16" i="454"/>
  <c r="AS16" i="454"/>
  <c r="AA16" i="454"/>
  <c r="AY16" i="454"/>
  <c r="AM16" i="454"/>
  <c r="AJ16" i="454"/>
  <c r="J5" i="454"/>
  <c r="AS6" i="454"/>
  <c r="AJ6" i="454"/>
  <c r="AA6" i="454"/>
  <c r="X6" i="454"/>
  <c r="AG6" i="454"/>
  <c r="AV6" i="454"/>
  <c r="AY6" i="454"/>
  <c r="BB6" i="454"/>
  <c r="AD6" i="454"/>
  <c r="AP6" i="454"/>
  <c r="AM6" i="454"/>
  <c r="AS19" i="454"/>
  <c r="AA19" i="454"/>
  <c r="AY19" i="454"/>
  <c r="X19" i="454"/>
  <c r="AJ19" i="454"/>
  <c r="AM19" i="454"/>
  <c r="AD19" i="454"/>
  <c r="AP19" i="454"/>
  <c r="BB19" i="454"/>
  <c r="AV19" i="454"/>
  <c r="AG19" i="454"/>
  <c r="AS29" i="454"/>
  <c r="AV29" i="454"/>
  <c r="AD29" i="454"/>
  <c r="AA29" i="454"/>
  <c r="X29" i="454"/>
  <c r="BB29" i="454"/>
  <c r="AP29" i="454"/>
  <c r="AG29" i="454"/>
  <c r="AM29" i="454"/>
  <c r="AJ29" i="454"/>
  <c r="AY29" i="454"/>
  <c r="AV33" i="454"/>
  <c r="BB33" i="454"/>
  <c r="AD33" i="454"/>
  <c r="AS33" i="454"/>
  <c r="AG33" i="454"/>
  <c r="X33" i="454"/>
  <c r="AY33" i="454"/>
  <c r="AM33" i="454"/>
  <c r="AA33" i="454"/>
  <c r="AJ33" i="454"/>
  <c r="AP33" i="454"/>
  <c r="BB37" i="454"/>
  <c r="AS37" i="454"/>
  <c r="AV37" i="454"/>
  <c r="AG37" i="454"/>
  <c r="AY37" i="454"/>
  <c r="AA37" i="454"/>
  <c r="AJ37" i="454"/>
  <c r="AD37" i="454"/>
  <c r="AP37" i="454"/>
  <c r="AM37" i="454"/>
  <c r="X37" i="454"/>
  <c r="AY56" i="454"/>
  <c r="AJ56" i="454"/>
  <c r="X56" i="454"/>
  <c r="AG56" i="454"/>
  <c r="AP56" i="454"/>
  <c r="AA56" i="454"/>
  <c r="BB56" i="454"/>
  <c r="AS56" i="454"/>
  <c r="AD56" i="454"/>
  <c r="AV56" i="454"/>
  <c r="AM56" i="454"/>
  <c r="AJ60" i="454"/>
  <c r="BB60" i="454"/>
  <c r="AV60" i="454"/>
  <c r="AY60" i="454"/>
  <c r="AP60" i="454"/>
  <c r="X60" i="454"/>
  <c r="AG60" i="454"/>
  <c r="AA60" i="454"/>
  <c r="AM60" i="454"/>
  <c r="AD60" i="454"/>
  <c r="AS60" i="454"/>
  <c r="AM68" i="454"/>
  <c r="AJ68" i="454"/>
  <c r="AG68" i="454"/>
  <c r="AP68" i="454"/>
  <c r="AA68" i="454"/>
  <c r="AS68" i="454"/>
  <c r="AV68" i="454"/>
  <c r="BB68" i="454"/>
  <c r="X68" i="454"/>
  <c r="AY68" i="454"/>
  <c r="AD68" i="454"/>
  <c r="AG72" i="454"/>
  <c r="AJ72" i="454"/>
  <c r="AY72" i="454"/>
  <c r="AV72" i="454"/>
  <c r="AD72" i="454"/>
  <c r="AA72" i="454"/>
  <c r="BB72" i="454"/>
  <c r="AP72" i="454"/>
  <c r="AS72" i="454"/>
  <c r="AM72" i="454"/>
  <c r="X72" i="454"/>
  <c r="S5" i="454"/>
  <c r="AV21" i="454"/>
  <c r="BB21" i="454"/>
  <c r="AD21" i="454"/>
  <c r="AG21" i="454"/>
  <c r="X21" i="454"/>
  <c r="AJ21" i="454"/>
  <c r="AP21" i="454"/>
  <c r="AM21" i="454"/>
  <c r="AY21" i="454"/>
  <c r="AA21" i="454"/>
  <c r="AS21" i="454"/>
  <c r="AV23" i="454"/>
  <c r="AM23" i="454"/>
  <c r="AD23" i="454"/>
  <c r="BB23" i="454"/>
  <c r="X23" i="454"/>
  <c r="AS23" i="454"/>
  <c r="AG23" i="454"/>
  <c r="AJ23" i="454"/>
  <c r="AY23" i="454"/>
  <c r="AP23" i="454"/>
  <c r="AA23" i="454"/>
  <c r="AS41" i="454"/>
  <c r="X41" i="454"/>
  <c r="AD41" i="454"/>
  <c r="AP41" i="454"/>
  <c r="AY41" i="454"/>
  <c r="AJ41" i="454"/>
  <c r="AM41" i="454"/>
  <c r="AV41" i="454"/>
  <c r="BB41" i="454"/>
  <c r="AG41" i="454"/>
  <c r="AA41" i="454"/>
  <c r="AM43" i="454"/>
  <c r="AY43" i="454"/>
  <c r="AG43" i="454"/>
  <c r="AV43" i="454"/>
  <c r="AP43" i="454"/>
  <c r="AD43" i="454"/>
  <c r="AS43" i="454"/>
  <c r="AJ43" i="454"/>
  <c r="X43" i="454"/>
  <c r="AA43" i="454"/>
  <c r="BB43" i="454"/>
  <c r="AG45" i="454"/>
  <c r="AD45" i="454"/>
  <c r="X45" i="454"/>
  <c r="AV45" i="454"/>
  <c r="BB45" i="454"/>
  <c r="AS45" i="454"/>
  <c r="AA45" i="454"/>
  <c r="AJ45" i="454"/>
  <c r="AM45" i="454"/>
  <c r="AY45" i="454"/>
  <c r="AP45" i="454"/>
  <c r="AP64" i="454"/>
  <c r="AM64" i="454"/>
  <c r="AG64" i="454"/>
  <c r="AS64" i="454"/>
  <c r="BB64" i="454"/>
  <c r="AA64" i="454"/>
  <c r="X64" i="454"/>
  <c r="AJ64" i="454"/>
  <c r="AD64" i="454"/>
  <c r="AV64" i="454"/>
  <c r="AY64" i="454"/>
  <c r="AP88" i="454"/>
  <c r="AJ88" i="454"/>
  <c r="AS88" i="454"/>
  <c r="AM88" i="454"/>
  <c r="AA88" i="454"/>
  <c r="AV88" i="454"/>
  <c r="AD88" i="454"/>
  <c r="AG88" i="454"/>
  <c r="BB88" i="454"/>
  <c r="AY88" i="454"/>
  <c r="X88" i="454"/>
  <c r="AA90" i="454"/>
  <c r="AY90" i="454"/>
  <c r="AM90" i="454"/>
  <c r="AG90" i="454"/>
  <c r="X90" i="454"/>
  <c r="AD90" i="454"/>
  <c r="BB90" i="454"/>
  <c r="AJ90" i="454"/>
  <c r="AS90" i="454"/>
  <c r="AV90" i="454"/>
  <c r="AP90" i="454"/>
  <c r="X51" i="454"/>
  <c r="AM51" i="454"/>
  <c r="AV51" i="454"/>
  <c r="AG51" i="454"/>
  <c r="AY51" i="454"/>
  <c r="AS51" i="454"/>
  <c r="AP51" i="454"/>
  <c r="AA51" i="454"/>
  <c r="AD51" i="454"/>
  <c r="AJ51" i="454"/>
  <c r="BB51" i="454"/>
  <c r="AM22" i="454"/>
  <c r="AG22" i="454"/>
  <c r="BB22" i="454"/>
  <c r="AV22" i="454"/>
  <c r="AD22" i="454"/>
  <c r="X22" i="454"/>
  <c r="AS22" i="454"/>
  <c r="AA22" i="454"/>
  <c r="AP22" i="454"/>
  <c r="AJ22" i="454"/>
  <c r="AY22" i="454"/>
  <c r="AS46" i="454"/>
  <c r="AV46" i="454"/>
  <c r="AD46" i="454"/>
  <c r="AA46" i="454"/>
  <c r="AP46" i="454"/>
  <c r="BB46" i="454"/>
  <c r="X46" i="454"/>
  <c r="AG46" i="454"/>
  <c r="AM46" i="454"/>
  <c r="AY46" i="454"/>
  <c r="AJ46" i="454"/>
  <c r="AS73" i="454"/>
  <c r="AV73" i="454"/>
  <c r="BB73" i="454"/>
  <c r="AG73" i="454"/>
  <c r="AP73" i="454"/>
  <c r="AD73" i="454"/>
  <c r="X73" i="454"/>
  <c r="AM73" i="454"/>
  <c r="AA73" i="454"/>
  <c r="AJ73" i="454"/>
  <c r="AY73" i="454"/>
  <c r="AV89" i="454"/>
  <c r="AA89" i="454"/>
  <c r="AY89" i="454"/>
  <c r="AS89" i="454"/>
  <c r="AM89" i="454"/>
  <c r="AD89" i="454"/>
  <c r="AG89" i="454"/>
  <c r="AJ89" i="454"/>
  <c r="BB89" i="454"/>
  <c r="AP89" i="454"/>
  <c r="X89" i="454"/>
  <c r="BB8" i="454"/>
  <c r="AP8" i="454"/>
  <c r="AS8" i="454"/>
  <c r="J7" i="454"/>
  <c r="AG8" i="454"/>
  <c r="AM8" i="454"/>
  <c r="AD8" i="454"/>
  <c r="X8" i="454"/>
  <c r="AJ8" i="454"/>
  <c r="AA8" i="454"/>
  <c r="AY8" i="454"/>
  <c r="AV8" i="454"/>
  <c r="AP12" i="454"/>
  <c r="AV12" i="454"/>
  <c r="AG12" i="454"/>
  <c r="X12" i="454"/>
  <c r="AM12" i="454"/>
  <c r="AJ12" i="454"/>
  <c r="AA12" i="454"/>
  <c r="AS12" i="454"/>
  <c r="AD12" i="454"/>
  <c r="AY12" i="454"/>
  <c r="BB12" i="454"/>
  <c r="AG24" i="454"/>
  <c r="AD24" i="454"/>
  <c r="AM24" i="454"/>
  <c r="AA24" i="454"/>
  <c r="X24" i="454"/>
  <c r="AS24" i="454"/>
  <c r="AY24" i="454"/>
  <c r="BB24" i="454"/>
  <c r="AJ24" i="454"/>
  <c r="AP24" i="454"/>
  <c r="AV24" i="454"/>
  <c r="AG27" i="454"/>
  <c r="AV27" i="454"/>
  <c r="AA27" i="454"/>
  <c r="BB27" i="454"/>
  <c r="X27" i="454"/>
  <c r="AM27" i="454"/>
  <c r="AP27" i="454"/>
  <c r="AD27" i="454"/>
  <c r="AY27" i="454"/>
  <c r="AS27" i="454"/>
  <c r="AJ27" i="454"/>
  <c r="AG31" i="454"/>
  <c r="AV31" i="454"/>
  <c r="AA31" i="454"/>
  <c r="X31" i="454"/>
  <c r="AD31" i="454"/>
  <c r="AP31" i="454"/>
  <c r="AM31" i="454"/>
  <c r="AJ31" i="454"/>
  <c r="AY31" i="454"/>
  <c r="AS31" i="454"/>
  <c r="BB31" i="454"/>
  <c r="AY35" i="454"/>
  <c r="AP35" i="454"/>
  <c r="AG35" i="454"/>
  <c r="AD35" i="454"/>
  <c r="BB35" i="454"/>
  <c r="AM35" i="454"/>
  <c r="AJ35" i="454"/>
  <c r="AV35" i="454"/>
  <c r="AS35" i="454"/>
  <c r="X35" i="454"/>
  <c r="AA35" i="454"/>
  <c r="X39" i="454"/>
  <c r="AS39" i="454"/>
  <c r="AP39" i="454"/>
  <c r="AA39" i="454"/>
  <c r="AV39" i="454"/>
  <c r="AG39" i="454"/>
  <c r="AM39" i="454"/>
  <c r="AY39" i="454"/>
  <c r="BB39" i="454"/>
  <c r="AD39" i="454"/>
  <c r="AJ39" i="454"/>
  <c r="AG58" i="454"/>
  <c r="AA58" i="454"/>
  <c r="X58" i="454"/>
  <c r="AP58" i="454"/>
  <c r="AD58" i="454"/>
  <c r="AV58" i="454"/>
  <c r="AS58" i="454"/>
  <c r="AJ58" i="454"/>
  <c r="AM58" i="454"/>
  <c r="BB58" i="454"/>
  <c r="AY58" i="454"/>
  <c r="X62" i="454"/>
  <c r="AG62" i="454"/>
  <c r="AS62" i="454"/>
  <c r="AM62" i="454"/>
  <c r="AY62" i="454"/>
  <c r="AD62" i="454"/>
  <c r="AV62" i="454"/>
  <c r="AJ62" i="454"/>
  <c r="AP62" i="454"/>
  <c r="BB62" i="454"/>
  <c r="AA62" i="454"/>
  <c r="AJ70" i="454"/>
  <c r="AM70" i="454"/>
  <c r="AG70" i="454"/>
  <c r="BB70" i="454"/>
  <c r="AP70" i="454"/>
  <c r="AA70" i="454"/>
  <c r="AY70" i="454"/>
  <c r="AD70" i="454"/>
  <c r="AV70" i="454"/>
  <c r="X70" i="454"/>
  <c r="AS70" i="454"/>
  <c r="AJ86" i="454"/>
  <c r="AA86" i="454"/>
  <c r="BB86" i="454"/>
  <c r="AS86" i="454"/>
  <c r="AM86" i="454"/>
  <c r="AD86" i="454"/>
  <c r="AY86" i="454"/>
  <c r="AG86" i="454"/>
  <c r="AP86" i="454"/>
  <c r="AV86" i="454"/>
  <c r="X86" i="454"/>
  <c r="AS9" i="454"/>
  <c r="AA9" i="454"/>
  <c r="X9" i="454"/>
  <c r="AP9" i="454"/>
  <c r="AY9" i="454"/>
  <c r="AG9" i="454"/>
  <c r="AD9" i="454"/>
  <c r="BB9" i="454"/>
  <c r="AM9" i="454"/>
  <c r="AV9" i="454"/>
  <c r="AJ9" i="454"/>
  <c r="AD11" i="454"/>
  <c r="AJ11" i="454"/>
  <c r="BB11" i="454"/>
  <c r="AV11" i="454"/>
  <c r="AM11" i="454"/>
  <c r="AA11" i="454"/>
  <c r="AY11" i="454"/>
  <c r="AG11" i="454"/>
  <c r="AP11" i="454"/>
  <c r="AS11" i="454"/>
  <c r="X11" i="454"/>
  <c r="S13" i="454"/>
  <c r="BB13" i="454"/>
  <c r="AJ13" i="454"/>
  <c r="AG13" i="454"/>
  <c r="AV13" i="454"/>
  <c r="AS13" i="454"/>
  <c r="AM13" i="454"/>
  <c r="AP13" i="454"/>
  <c r="AD13" i="454"/>
  <c r="AA13" i="454"/>
  <c r="X13" i="454"/>
  <c r="AY13" i="454"/>
  <c r="AA15" i="454"/>
  <c r="BB15" i="454"/>
  <c r="X15" i="454"/>
  <c r="AJ15" i="454"/>
  <c r="AP15" i="454"/>
  <c r="AS15" i="454"/>
  <c r="AD15" i="454"/>
  <c r="AM15" i="454"/>
  <c r="AV15" i="454"/>
  <c r="AG15" i="454"/>
  <c r="AY15" i="454"/>
  <c r="AG17" i="454"/>
  <c r="X17" i="454"/>
  <c r="AV17" i="454"/>
  <c r="AS17" i="454"/>
  <c r="BB17" i="454"/>
  <c r="AY17" i="454"/>
  <c r="AM17" i="454"/>
  <c r="AD17" i="454"/>
  <c r="AP17" i="454"/>
  <c r="AA17" i="454"/>
  <c r="AJ17" i="454"/>
  <c r="AM47" i="454"/>
  <c r="AV47" i="454"/>
  <c r="AD47" i="454"/>
  <c r="AG47" i="454"/>
  <c r="X47" i="454"/>
  <c r="AY47" i="454"/>
  <c r="AS47" i="454"/>
  <c r="AJ47" i="454"/>
  <c r="BB47" i="454"/>
  <c r="AP47" i="454"/>
  <c r="AA47" i="454"/>
  <c r="AA74" i="454"/>
  <c r="AY74" i="454"/>
  <c r="AP74" i="454"/>
  <c r="AM74" i="454"/>
  <c r="BB74" i="454"/>
  <c r="AJ74" i="454"/>
  <c r="AG74" i="454"/>
  <c r="AV74" i="454"/>
  <c r="AD74" i="454"/>
  <c r="AS74" i="454"/>
  <c r="X74" i="454"/>
  <c r="AA76" i="454"/>
  <c r="AJ76" i="454"/>
  <c r="X76" i="454"/>
  <c r="BB76" i="454"/>
  <c r="AP76" i="454"/>
  <c r="AY76" i="454"/>
  <c r="AS76" i="454"/>
  <c r="AM76" i="454"/>
  <c r="AG76" i="454"/>
  <c r="AD76" i="454"/>
  <c r="AV76" i="454"/>
  <c r="AM78" i="454"/>
  <c r="AJ78" i="454"/>
  <c r="AG78" i="454"/>
  <c r="AA78" i="454"/>
  <c r="X78" i="454"/>
  <c r="AP78" i="454"/>
  <c r="AV78" i="454"/>
  <c r="AS78" i="454"/>
  <c r="BB78" i="454"/>
  <c r="AD78" i="454"/>
  <c r="AY78" i="454"/>
  <c r="BB80" i="454"/>
  <c r="AV80" i="454"/>
  <c r="AM80" i="454"/>
  <c r="AG80" i="454"/>
  <c r="AS80" i="454"/>
  <c r="AY80" i="454"/>
  <c r="X80" i="454"/>
  <c r="AD80" i="454"/>
  <c r="AP80" i="454"/>
  <c r="AA80" i="454"/>
  <c r="AJ80" i="454"/>
  <c r="AY84" i="454"/>
  <c r="AG84" i="454"/>
  <c r="AS84" i="454"/>
  <c r="AP84" i="454"/>
  <c r="AM84" i="454"/>
  <c r="AA84" i="454"/>
  <c r="AV84" i="454"/>
  <c r="X84" i="454"/>
  <c r="BB84" i="454"/>
  <c r="AJ84" i="454"/>
  <c r="AD84" i="454"/>
  <c r="S23" i="454"/>
  <c r="S29" i="454"/>
  <c r="S45" i="454"/>
  <c r="P71" i="454"/>
  <c r="T71" i="454" s="1"/>
  <c r="R23" i="454"/>
  <c r="U23" i="454" s="1"/>
  <c r="S49" i="454"/>
  <c r="S77" i="454"/>
  <c r="P29" i="454"/>
  <c r="R29" i="454" s="1"/>
  <c r="U29" i="454" s="1"/>
  <c r="P37" i="454"/>
  <c r="R37" i="454" s="1"/>
  <c r="U37" i="454" s="1"/>
  <c r="P45" i="454"/>
  <c r="T45" i="454" s="1"/>
  <c r="P68" i="454"/>
  <c r="R68" i="454" s="1"/>
  <c r="U68" i="454" s="1"/>
  <c r="P90" i="454"/>
  <c r="T90" i="454" s="1"/>
  <c r="P89" i="454"/>
  <c r="T89" i="454" s="1"/>
  <c r="S47" i="454"/>
  <c r="P9" i="454"/>
  <c r="R9" i="454" s="1"/>
  <c r="U9" i="454" s="1"/>
  <c r="P17" i="454"/>
  <c r="T17" i="454" s="1"/>
  <c r="P31" i="454"/>
  <c r="R31" i="454" s="1"/>
  <c r="U31" i="454" s="1"/>
  <c r="P39" i="454"/>
  <c r="T39" i="454" s="1"/>
  <c r="P22" i="454"/>
  <c r="T22" i="454" s="1"/>
  <c r="T81" i="454"/>
  <c r="P13" i="454"/>
  <c r="R13" i="454" s="1"/>
  <c r="U13" i="454" s="1"/>
  <c r="P60" i="454"/>
  <c r="R60" i="454" s="1"/>
  <c r="U60" i="454" s="1"/>
  <c r="S81" i="454"/>
  <c r="P15" i="454"/>
  <c r="R15" i="454" s="1"/>
  <c r="U15" i="454" s="1"/>
  <c r="T46" i="454"/>
  <c r="T54" i="454"/>
  <c r="S59" i="454"/>
  <c r="S9" i="454"/>
  <c r="S30" i="454"/>
  <c r="P38" i="454"/>
  <c r="T38" i="454" s="1"/>
  <c r="P69" i="454"/>
  <c r="R69" i="454" s="1"/>
  <c r="U69" i="454" s="1"/>
  <c r="P77" i="454"/>
  <c r="R77" i="454" s="1"/>
  <c r="U77" i="454" s="1"/>
  <c r="S21" i="454"/>
  <c r="T64" i="454"/>
  <c r="S56" i="454"/>
  <c r="S68" i="454"/>
  <c r="S37" i="454"/>
  <c r="S80" i="454"/>
  <c r="S76" i="454"/>
  <c r="P24" i="454"/>
  <c r="R24" i="454" s="1"/>
  <c r="U24" i="454" s="1"/>
  <c r="S53" i="454"/>
  <c r="S79" i="454"/>
  <c r="R82" i="454"/>
  <c r="U82" i="454" s="1"/>
  <c r="S22" i="454"/>
  <c r="S51" i="454"/>
  <c r="S54" i="454"/>
  <c r="S65" i="454"/>
  <c r="T72" i="454"/>
  <c r="T87" i="454"/>
  <c r="P8" i="454"/>
  <c r="P14" i="454"/>
  <c r="R14" i="454" s="1"/>
  <c r="U14" i="454" s="1"/>
  <c r="P27" i="454"/>
  <c r="T27" i="454" s="1"/>
  <c r="P30" i="454"/>
  <c r="T30" i="454" s="1"/>
  <c r="S39" i="454"/>
  <c r="S48" i="454"/>
  <c r="P59" i="454"/>
  <c r="T59" i="454" s="1"/>
  <c r="S62" i="454"/>
  <c r="S75" i="454"/>
  <c r="P78" i="454"/>
  <c r="R78" i="454" s="1"/>
  <c r="U78" i="454" s="1"/>
  <c r="S87" i="454"/>
  <c r="S90" i="454"/>
  <c r="C7" i="454"/>
  <c r="A7" i="454" s="1"/>
  <c r="S12" i="454"/>
  <c r="S8" i="454"/>
  <c r="S14" i="454"/>
  <c r="S27" i="454"/>
  <c r="S41" i="454"/>
  <c r="P61" i="454"/>
  <c r="T61" i="454" s="1"/>
  <c r="S15" i="454"/>
  <c r="P28" i="454"/>
  <c r="T28" i="454" s="1"/>
  <c r="S73" i="454"/>
  <c r="S33" i="454"/>
  <c r="A6" i="454"/>
  <c r="P10" i="454"/>
  <c r="R10" i="454" s="1"/>
  <c r="U10" i="454" s="1"/>
  <c r="P26" i="454"/>
  <c r="T26" i="454" s="1"/>
  <c r="P32" i="454"/>
  <c r="T32" i="454" s="1"/>
  <c r="R40" i="454"/>
  <c r="U40" i="454" s="1"/>
  <c r="P43" i="454"/>
  <c r="T43" i="454" s="1"/>
  <c r="S82" i="454"/>
  <c r="T62" i="454"/>
  <c r="R62" i="454"/>
  <c r="U62" i="454" s="1"/>
  <c r="T73" i="454"/>
  <c r="R73" i="454"/>
  <c r="U73" i="454" s="1"/>
  <c r="R46" i="454"/>
  <c r="U46" i="454" s="1"/>
  <c r="S10" i="454"/>
  <c r="N18" i="454"/>
  <c r="J18" i="454"/>
  <c r="P33" i="454"/>
  <c r="T33" i="454" s="1"/>
  <c r="T40" i="454"/>
  <c r="P65" i="454"/>
  <c r="T65" i="454" s="1"/>
  <c r="S72" i="454"/>
  <c r="P75" i="454"/>
  <c r="T75" i="454" s="1"/>
  <c r="S6" i="454"/>
  <c r="S24" i="454"/>
  <c r="S50" i="454"/>
  <c r="S71" i="454"/>
  <c r="P91" i="454"/>
  <c r="R91" i="454" s="1"/>
  <c r="U91" i="454" s="1"/>
  <c r="S31" i="454"/>
  <c r="P35" i="454"/>
  <c r="T35" i="454" s="1"/>
  <c r="S44" i="454"/>
  <c r="P53" i="454"/>
  <c r="P58" i="454"/>
  <c r="T58" i="454" s="1"/>
  <c r="S69" i="454"/>
  <c r="P79" i="454"/>
  <c r="T79" i="454" s="1"/>
  <c r="P80" i="454"/>
  <c r="R81" i="454"/>
  <c r="U81" i="454" s="1"/>
  <c r="S16" i="454"/>
  <c r="T20" i="454"/>
  <c r="T23" i="454"/>
  <c r="S28" i="454"/>
  <c r="S34" i="454"/>
  <c r="T82" i="454"/>
  <c r="S91" i="454"/>
  <c r="S11" i="454"/>
  <c r="P16" i="454"/>
  <c r="T16" i="454" s="1"/>
  <c r="S20" i="454"/>
  <c r="S38" i="454"/>
  <c r="P41" i="454"/>
  <c r="T41" i="454" s="1"/>
  <c r="P42" i="454"/>
  <c r="T42" i="454" s="1"/>
  <c r="P51" i="454"/>
  <c r="T51" i="454" s="1"/>
  <c r="S57" i="454"/>
  <c r="T48" i="454"/>
  <c r="R48" i="454"/>
  <c r="U48" i="454" s="1"/>
  <c r="P67" i="454"/>
  <c r="R67" i="454" s="1"/>
  <c r="S67" i="454"/>
  <c r="P44" i="454"/>
  <c r="S84" i="454"/>
  <c r="P84" i="454"/>
  <c r="R87" i="454"/>
  <c r="U87" i="454" s="1"/>
  <c r="R64" i="454"/>
  <c r="U64" i="454" s="1"/>
  <c r="S70" i="454"/>
  <c r="P70" i="454"/>
  <c r="T70" i="454" s="1"/>
  <c r="P12" i="454"/>
  <c r="S26" i="454"/>
  <c r="S32" i="454"/>
  <c r="S35" i="454"/>
  <c r="J85" i="454"/>
  <c r="S19" i="454"/>
  <c r="S58" i="454"/>
  <c r="S74" i="454"/>
  <c r="P74" i="454"/>
  <c r="T74" i="454" s="1"/>
  <c r="P86" i="454"/>
  <c r="R86" i="454" s="1"/>
  <c r="S42" i="454"/>
  <c r="J25" i="454"/>
  <c r="J66" i="454"/>
  <c r="S78" i="454"/>
  <c r="S55" i="454"/>
  <c r="P55" i="454"/>
  <c r="T55" i="454" s="1"/>
  <c r="P11" i="454"/>
  <c r="P19" i="454"/>
  <c r="R19" i="454" s="1"/>
  <c r="R20" i="454"/>
  <c r="U20" i="454" s="1"/>
  <c r="P49" i="454"/>
  <c r="T49" i="454" s="1"/>
  <c r="P52" i="454"/>
  <c r="S52" i="454"/>
  <c r="N25" i="454"/>
  <c r="P34" i="454"/>
  <c r="S40" i="454"/>
  <c r="S43" i="454"/>
  <c r="P56" i="454"/>
  <c r="S60" i="454"/>
  <c r="P21" i="454"/>
  <c r="P47" i="454"/>
  <c r="T47" i="454" s="1"/>
  <c r="P50" i="454"/>
  <c r="T50" i="454" s="1"/>
  <c r="R54" i="454"/>
  <c r="U54" i="454" s="1"/>
  <c r="S63" i="454"/>
  <c r="P63" i="454"/>
  <c r="T63" i="454" s="1"/>
  <c r="P76" i="454"/>
  <c r="T76" i="454" s="1"/>
  <c r="S36" i="454"/>
  <c r="P36" i="454"/>
  <c r="S88" i="454"/>
  <c r="P88" i="454"/>
  <c r="T88" i="454" s="1"/>
  <c r="S46" i="454"/>
  <c r="S61" i="454"/>
  <c r="S86" i="454"/>
  <c r="P57" i="454"/>
  <c r="T57" i="454" s="1"/>
  <c r="S64" i="454"/>
  <c r="J83" i="454"/>
  <c r="S89" i="454"/>
  <c r="R72" i="454"/>
  <c r="U72" i="454" s="1"/>
  <c r="T8" i="454" l="1"/>
  <c r="P7" i="454"/>
  <c r="T7" i="454" s="1"/>
  <c r="N93" i="454"/>
  <c r="B45" i="453"/>
  <c r="F45" i="453" s="1"/>
  <c r="B45" i="450"/>
  <c r="F45" i="450" s="1"/>
  <c r="B42" i="33"/>
  <c r="F42" i="33" s="1"/>
  <c r="F44" i="446"/>
  <c r="B45" i="446"/>
  <c r="T37" i="454"/>
  <c r="T31" i="454"/>
  <c r="R71" i="454"/>
  <c r="U71" i="454" s="1"/>
  <c r="R89" i="454"/>
  <c r="U89" i="454" s="1"/>
  <c r="R39" i="454"/>
  <c r="U39" i="454" s="1"/>
  <c r="J93" i="454"/>
  <c r="X7" i="454"/>
  <c r="AV7" i="454"/>
  <c r="AP7" i="454"/>
  <c r="AA7" i="454"/>
  <c r="AD7" i="454"/>
  <c r="AS7" i="454"/>
  <c r="AJ7" i="454"/>
  <c r="BB7" i="454"/>
  <c r="AG7" i="454"/>
  <c r="AY7" i="454"/>
  <c r="AM7" i="454"/>
  <c r="AD5" i="454"/>
  <c r="AS5" i="454"/>
  <c r="AM5" i="454"/>
  <c r="BB5" i="454"/>
  <c r="AA5" i="454"/>
  <c r="AJ5" i="454"/>
  <c r="AP5" i="454"/>
  <c r="AG5" i="454"/>
  <c r="AV5" i="454"/>
  <c r="AY5" i="454"/>
  <c r="X5" i="454"/>
  <c r="L1" i="454" s="1"/>
  <c r="AJ25" i="454"/>
  <c r="BB25" i="454"/>
  <c r="X25" i="454"/>
  <c r="AV25" i="454"/>
  <c r="AS25" i="454"/>
  <c r="AG25" i="454"/>
  <c r="AA25" i="454"/>
  <c r="AY25" i="454"/>
  <c r="AD25" i="454"/>
  <c r="AM25" i="454"/>
  <c r="AP25" i="454"/>
  <c r="AD18" i="454"/>
  <c r="AY18" i="454"/>
  <c r="AM18" i="454"/>
  <c r="AS18" i="454"/>
  <c r="AA18" i="454"/>
  <c r="AJ18" i="454"/>
  <c r="X18" i="454"/>
  <c r="BB18" i="454"/>
  <c r="AP18" i="454"/>
  <c r="AV18" i="454"/>
  <c r="AG18" i="454"/>
  <c r="AG66" i="454"/>
  <c r="AD66" i="454"/>
  <c r="AV66" i="454"/>
  <c r="AY66" i="454"/>
  <c r="AP66" i="454"/>
  <c r="AS66" i="454"/>
  <c r="X66" i="454"/>
  <c r="BB66" i="454"/>
  <c r="AM66" i="454"/>
  <c r="AJ66" i="454"/>
  <c r="AA66" i="454"/>
  <c r="AY83" i="454"/>
  <c r="AV83" i="454"/>
  <c r="BB83" i="454"/>
  <c r="AA83" i="454"/>
  <c r="AS83" i="454"/>
  <c r="AP83" i="454"/>
  <c r="AG83" i="454"/>
  <c r="AM83" i="454"/>
  <c r="AD83" i="454"/>
  <c r="X83" i="454"/>
  <c r="AJ83" i="454"/>
  <c r="AP85" i="454"/>
  <c r="X85" i="454"/>
  <c r="AD85" i="454"/>
  <c r="AM85" i="454"/>
  <c r="BB85" i="454"/>
  <c r="AG85" i="454"/>
  <c r="AV85" i="454"/>
  <c r="AS85" i="454"/>
  <c r="AA85" i="454"/>
  <c r="AJ85" i="454"/>
  <c r="AY85" i="454"/>
  <c r="R22" i="454"/>
  <c r="U22" i="454" s="1"/>
  <c r="R16" i="454"/>
  <c r="U16" i="454" s="1"/>
  <c r="R35" i="454"/>
  <c r="U35" i="454" s="1"/>
  <c r="R45" i="454"/>
  <c r="U45" i="454" s="1"/>
  <c r="R90" i="454"/>
  <c r="U90" i="454" s="1"/>
  <c r="T68" i="454"/>
  <c r="T77" i="454"/>
  <c r="T78" i="454"/>
  <c r="T60" i="454"/>
  <c r="T15" i="454"/>
  <c r="R17" i="454"/>
  <c r="U17" i="454" s="1"/>
  <c r="T29" i="454"/>
  <c r="T13" i="454"/>
  <c r="S18" i="454"/>
  <c r="T9" i="454"/>
  <c r="R65" i="454"/>
  <c r="U65" i="454" s="1"/>
  <c r="R55" i="454"/>
  <c r="U55" i="454" s="1"/>
  <c r="T24" i="454"/>
  <c r="T10" i="454"/>
  <c r="T69" i="454"/>
  <c r="R38" i="454"/>
  <c r="U38" i="454" s="1"/>
  <c r="R43" i="454"/>
  <c r="U43" i="454" s="1"/>
  <c r="T14" i="454"/>
  <c r="R28" i="454"/>
  <c r="U28" i="454" s="1"/>
  <c r="R76" i="454"/>
  <c r="U76" i="454" s="1"/>
  <c r="S25" i="454"/>
  <c r="R8" i="454"/>
  <c r="U8" i="454" s="1"/>
  <c r="J1" i="454"/>
  <c r="S85" i="454"/>
  <c r="R61" i="454"/>
  <c r="U61" i="454" s="1"/>
  <c r="C8" i="454"/>
  <c r="R27" i="454"/>
  <c r="U27" i="454" s="1"/>
  <c r="R59" i="454"/>
  <c r="U59" i="454" s="1"/>
  <c r="R42" i="454"/>
  <c r="U42" i="454" s="1"/>
  <c r="R32" i="454"/>
  <c r="U32" i="454" s="1"/>
  <c r="R26" i="454"/>
  <c r="U26" i="454" s="1"/>
  <c r="R30" i="454"/>
  <c r="U30" i="454" s="1"/>
  <c r="R58" i="454"/>
  <c r="U58" i="454" s="1"/>
  <c r="S7" i="454"/>
  <c r="R79" i="454"/>
  <c r="U79" i="454" s="1"/>
  <c r="R51" i="454"/>
  <c r="U51" i="454" s="1"/>
  <c r="T80" i="454"/>
  <c r="R80" i="454"/>
  <c r="U80" i="454" s="1"/>
  <c r="R88" i="454"/>
  <c r="U88" i="454" s="1"/>
  <c r="T53" i="454"/>
  <c r="R53" i="454"/>
  <c r="U53" i="454" s="1"/>
  <c r="T91" i="454"/>
  <c r="R57" i="454"/>
  <c r="U57" i="454" s="1"/>
  <c r="R33" i="454"/>
  <c r="U33" i="454" s="1"/>
  <c r="R41" i="454"/>
  <c r="U41" i="454" s="1"/>
  <c r="R75" i="454"/>
  <c r="U75" i="454" s="1"/>
  <c r="R49" i="454"/>
  <c r="U49" i="454" s="1"/>
  <c r="R50" i="454"/>
  <c r="U50" i="454" s="1"/>
  <c r="R63" i="454"/>
  <c r="U63" i="454" s="1"/>
  <c r="S83" i="454"/>
  <c r="R70" i="454"/>
  <c r="U70" i="454" s="1"/>
  <c r="T56" i="454"/>
  <c r="R56" i="454"/>
  <c r="U56" i="454" s="1"/>
  <c r="R21" i="454"/>
  <c r="U21" i="454" s="1"/>
  <c r="T21" i="454"/>
  <c r="T34" i="454"/>
  <c r="R34" i="454"/>
  <c r="U34" i="454" s="1"/>
  <c r="P18" i="454"/>
  <c r="T18" i="454" s="1"/>
  <c r="T19" i="454"/>
  <c r="P85" i="454"/>
  <c r="T85" i="454" s="1"/>
  <c r="T86" i="454"/>
  <c r="T44" i="454"/>
  <c r="R44" i="454"/>
  <c r="U44" i="454" s="1"/>
  <c r="S66" i="454"/>
  <c r="U67" i="454"/>
  <c r="T84" i="454"/>
  <c r="P83" i="454"/>
  <c r="T83" i="454" s="1"/>
  <c r="R84" i="454"/>
  <c r="R47" i="454"/>
  <c r="U47" i="454" s="1"/>
  <c r="T52" i="454"/>
  <c r="R52" i="454"/>
  <c r="U52" i="454" s="1"/>
  <c r="T11" i="454"/>
  <c r="R11" i="454"/>
  <c r="U11" i="454" s="1"/>
  <c r="T67" i="454"/>
  <c r="P66" i="454"/>
  <c r="T66" i="454" s="1"/>
  <c r="U86" i="454"/>
  <c r="T12" i="454"/>
  <c r="R12" i="454"/>
  <c r="U12" i="454" s="1"/>
  <c r="R74" i="454"/>
  <c r="U74" i="454" s="1"/>
  <c r="U19" i="454"/>
  <c r="R36" i="454"/>
  <c r="U36" i="454" s="1"/>
  <c r="T36" i="454"/>
  <c r="P25" i="454"/>
  <c r="T25" i="454" s="1"/>
  <c r="J20" i="25"/>
  <c r="O16" i="25"/>
  <c r="B46" i="453" l="1"/>
  <c r="F46" i="453" s="1"/>
  <c r="B46" i="450"/>
  <c r="F46" i="450" s="1"/>
  <c r="B43" i="33"/>
  <c r="F43" i="33" s="1"/>
  <c r="F45" i="446"/>
  <c r="B46" i="446"/>
  <c r="AS93" i="454"/>
  <c r="BB93" i="454"/>
  <c r="AG93" i="454"/>
  <c r="AY93" i="454"/>
  <c r="X93" i="454"/>
  <c r="AM93" i="454"/>
  <c r="AJ93" i="454"/>
  <c r="AD93" i="454"/>
  <c r="AA93" i="454"/>
  <c r="AP93" i="454"/>
  <c r="AV93" i="454"/>
  <c r="AM4" i="454"/>
  <c r="AV4" i="454"/>
  <c r="AY4" i="454"/>
  <c r="X4" i="454"/>
  <c r="AS4" i="454"/>
  <c r="AA4" i="454"/>
  <c r="AJ4" i="454"/>
  <c r="AG4" i="454"/>
  <c r="AD4" i="454"/>
  <c r="AP4" i="454"/>
  <c r="BB4" i="454"/>
  <c r="R85" i="454"/>
  <c r="U85" i="454" s="1"/>
  <c r="A8" i="454"/>
  <c r="C9" i="454"/>
  <c r="S93" i="454"/>
  <c r="N1" i="454"/>
  <c r="R25" i="454"/>
  <c r="U25" i="454" s="1"/>
  <c r="R18" i="454"/>
  <c r="U18" i="454" s="1"/>
  <c r="U84" i="454"/>
  <c r="R83" i="454"/>
  <c r="U83" i="454" s="1"/>
  <c r="R66" i="454"/>
  <c r="U66" i="454" s="1"/>
  <c r="R7" i="454"/>
  <c r="U7" i="454" s="1"/>
  <c r="B47" i="453" l="1"/>
  <c r="F47" i="453" s="1"/>
  <c r="B47" i="450"/>
  <c r="F47" i="450" s="1"/>
  <c r="B44" i="33"/>
  <c r="F44" i="33" s="1"/>
  <c r="F46" i="446"/>
  <c r="B47" i="446"/>
  <c r="A9" i="454"/>
  <c r="C10" i="454"/>
  <c r="B48" i="453" l="1"/>
  <c r="F48" i="453" s="1"/>
  <c r="B48" i="450"/>
  <c r="F48" i="450" s="1"/>
  <c r="B45" i="33"/>
  <c r="F45" i="33" s="1"/>
  <c r="F47" i="446"/>
  <c r="B48" i="446"/>
  <c r="A10" i="454"/>
  <c r="C11" i="454"/>
  <c r="C12" i="454" s="1"/>
  <c r="F12" i="418"/>
  <c r="F11" i="418"/>
  <c r="F7" i="418"/>
  <c r="F48" i="446" l="1"/>
  <c r="B49" i="453"/>
  <c r="F49" i="453" s="1"/>
  <c r="B49" i="450"/>
  <c r="F49" i="450" s="1"/>
  <c r="B46" i="33"/>
  <c r="F46" i="33" s="1"/>
  <c r="B49" i="446"/>
  <c r="A11" i="454"/>
  <c r="C13" i="454"/>
  <c r="A12" i="454"/>
  <c r="F49" i="446" l="1"/>
  <c r="B50" i="453"/>
  <c r="F50" i="453" s="1"/>
  <c r="B50" i="450"/>
  <c r="F50" i="450" s="1"/>
  <c r="B47" i="33"/>
  <c r="F47" i="33" s="1"/>
  <c r="B50" i="446"/>
  <c r="A13" i="454"/>
  <c r="C14" i="454"/>
  <c r="J1" i="25"/>
  <c r="G3" i="25"/>
  <c r="F12" i="430"/>
  <c r="B51" i="450" l="1"/>
  <c r="F51" i="450" s="1"/>
  <c r="B48" i="33"/>
  <c r="F48" i="33" s="1"/>
  <c r="F50" i="446"/>
  <c r="B51" i="453"/>
  <c r="F51" i="453" s="1"/>
  <c r="B51" i="446"/>
  <c r="C15" i="454"/>
  <c r="A14" i="454"/>
  <c r="G10" i="450"/>
  <c r="G10" i="33"/>
  <c r="E11" i="33"/>
  <c r="G11" i="453"/>
  <c r="E12" i="453" s="1"/>
  <c r="B52" i="450" l="1"/>
  <c r="F52" i="450" s="1"/>
  <c r="B49" i="33"/>
  <c r="F49" i="33" s="1"/>
  <c r="B52" i="453"/>
  <c r="F52" i="453" s="1"/>
  <c r="F51" i="446"/>
  <c r="E11" i="450"/>
  <c r="G12" i="453"/>
  <c r="E13" i="453" s="1"/>
  <c r="G13" i="453" s="1"/>
  <c r="B52" i="446"/>
  <c r="F52" i="446" s="1"/>
  <c r="G11" i="33"/>
  <c r="E12" i="33" s="1"/>
  <c r="G12" i="33" s="1"/>
  <c r="E13" i="33" s="1"/>
  <c r="G13" i="33" s="1"/>
  <c r="E14" i="33" s="1"/>
  <c r="G14" i="33" s="1"/>
  <c r="E15" i="33" s="1"/>
  <c r="G15" i="33" s="1"/>
  <c r="C16" i="454"/>
  <c r="A15" i="454"/>
  <c r="C20" i="438"/>
  <c r="E6" i="438"/>
  <c r="C11" i="438"/>
  <c r="C10" i="438"/>
  <c r="A23" i="437"/>
  <c r="A22" i="437"/>
  <c r="E53" i="453" l="1"/>
  <c r="G11" i="450"/>
  <c r="G50" i="33"/>
  <c r="E50" i="33"/>
  <c r="C17" i="454"/>
  <c r="A16" i="454"/>
  <c r="G10" i="453"/>
  <c r="G53" i="453" s="1"/>
  <c r="B60" i="453"/>
  <c r="H6" i="453"/>
  <c r="E6" i="453"/>
  <c r="E5" i="453"/>
  <c r="F53" i="453" l="1"/>
  <c r="F54" i="453" s="1"/>
  <c r="E12" i="450"/>
  <c r="F50" i="33"/>
  <c r="A17" i="454"/>
  <c r="G54" i="453"/>
  <c r="E54" i="453"/>
  <c r="G12" i="450" l="1"/>
  <c r="C18" i="454"/>
  <c r="E13" i="450" l="1"/>
  <c r="C19" i="454"/>
  <c r="A18" i="454"/>
  <c r="C38" i="38"/>
  <c r="C37" i="38"/>
  <c r="D13" i="430"/>
  <c r="G13" i="430" s="1"/>
  <c r="D12" i="430"/>
  <c r="G12" i="430" s="1"/>
  <c r="H12" i="430" s="1"/>
  <c r="F13" i="430" s="1"/>
  <c r="D12" i="37"/>
  <c r="G12" i="37" s="1"/>
  <c r="D13" i="37"/>
  <c r="G13" i="37" s="1"/>
  <c r="K12" i="36"/>
  <c r="K13" i="36"/>
  <c r="I12" i="36"/>
  <c r="I13" i="36"/>
  <c r="Q12" i="36" l="1"/>
  <c r="H13" i="430"/>
  <c r="F14" i="430" s="1"/>
  <c r="G13" i="450"/>
  <c r="C20" i="454"/>
  <c r="A19" i="454"/>
  <c r="Q13" i="36"/>
  <c r="H13" i="421"/>
  <c r="C4" i="418"/>
  <c r="G10" i="446"/>
  <c r="E11" i="446" l="1"/>
  <c r="A20" i="454"/>
  <c r="C21" i="454"/>
  <c r="B43" i="36"/>
  <c r="E4" i="37"/>
  <c r="G53" i="450" l="1"/>
  <c r="E53" i="450"/>
  <c r="G11" i="446"/>
  <c r="C22" i="454"/>
  <c r="A21" i="454"/>
  <c r="H32" i="36"/>
  <c r="P32" i="36"/>
  <c r="N32" i="36"/>
  <c r="F53" i="450" l="1"/>
  <c r="E12" i="446"/>
  <c r="A22" i="454"/>
  <c r="C23" i="454"/>
  <c r="V12" i="25"/>
  <c r="V24" i="25"/>
  <c r="V32" i="25"/>
  <c r="V74" i="25"/>
  <c r="V92" i="25"/>
  <c r="V95" i="25"/>
  <c r="V103" i="25"/>
  <c r="N10" i="25"/>
  <c r="J7" i="26"/>
  <c r="H8" i="26"/>
  <c r="P9" i="429"/>
  <c r="N9" i="429"/>
  <c r="D15" i="26"/>
  <c r="S10" i="25" l="1"/>
  <c r="P10" i="25"/>
  <c r="G12" i="446"/>
  <c r="C24" i="454"/>
  <c r="A23" i="454"/>
  <c r="N11" i="25"/>
  <c r="S11" i="25" s="1"/>
  <c r="C4" i="26"/>
  <c r="G4" i="25" s="1"/>
  <c r="C5" i="206" s="1"/>
  <c r="R10" i="25" l="1"/>
  <c r="U10" i="25" s="1"/>
  <c r="V10" i="25" s="1"/>
  <c r="E13" i="446"/>
  <c r="A24" i="454"/>
  <c r="D10" i="429"/>
  <c r="D7" i="429"/>
  <c r="E13" i="206"/>
  <c r="H13" i="206" s="1"/>
  <c r="W10" i="25" l="1"/>
  <c r="G13" i="446"/>
  <c r="C25" i="454"/>
  <c r="C22" i="429"/>
  <c r="E3" i="37" l="1"/>
  <c r="D2" i="38"/>
  <c r="A25" i="454"/>
  <c r="C26" i="454"/>
  <c r="A26" i="454" s="1"/>
  <c r="G53" i="446" l="1"/>
  <c r="E53" i="446"/>
  <c r="C27" i="454"/>
  <c r="C28" i="454" s="1"/>
  <c r="E4" i="430"/>
  <c r="E3" i="36"/>
  <c r="D8" i="37"/>
  <c r="F42" i="37" s="1"/>
  <c r="F53" i="446" l="1"/>
  <c r="A27" i="454"/>
  <c r="C29" i="454"/>
  <c r="A28" i="454"/>
  <c r="D11" i="37"/>
  <c r="I11" i="37" s="1"/>
  <c r="I12" i="37" s="1"/>
  <c r="I13" i="37" s="1"/>
  <c r="H8" i="37"/>
  <c r="D25" i="26" l="1"/>
  <c r="A29" i="454"/>
  <c r="C30" i="454"/>
  <c r="Q11" i="36"/>
  <c r="B60" i="450"/>
  <c r="H6" i="450"/>
  <c r="E6" i="450"/>
  <c r="E5" i="450"/>
  <c r="B60" i="446"/>
  <c r="H6" i="446"/>
  <c r="F54" i="446" s="1"/>
  <c r="E6" i="446"/>
  <c r="E5" i="446"/>
  <c r="H6" i="33"/>
  <c r="G11" i="421"/>
  <c r="G12" i="421" s="1"/>
  <c r="G13" i="421" s="1"/>
  <c r="C9" i="26"/>
  <c r="H11" i="37"/>
  <c r="F12" i="37" s="1"/>
  <c r="C31" i="454" l="1"/>
  <c r="A30" i="454"/>
  <c r="E54" i="450"/>
  <c r="F54" i="450"/>
  <c r="G54" i="450"/>
  <c r="F51" i="33"/>
  <c r="E51" i="33"/>
  <c r="G51" i="33"/>
  <c r="E54" i="446"/>
  <c r="G54" i="446"/>
  <c r="A31" i="454" l="1"/>
  <c r="C32" i="454"/>
  <c r="E12" i="421"/>
  <c r="E13" i="421" s="1"/>
  <c r="E14" i="421" s="1"/>
  <c r="E15" i="421" s="1"/>
  <c r="E16" i="421" s="1"/>
  <c r="E17" i="421" s="1"/>
  <c r="E18" i="421" s="1"/>
  <c r="E19" i="421" s="1"/>
  <c r="E20" i="421" s="1"/>
  <c r="E21" i="421" s="1"/>
  <c r="E22" i="421" s="1"/>
  <c r="E7" i="36"/>
  <c r="C33" i="454" l="1"/>
  <c r="A32" i="454"/>
  <c r="D13" i="36"/>
  <c r="D12" i="36"/>
  <c r="L12" i="36"/>
  <c r="J12" i="36"/>
  <c r="L13" i="36"/>
  <c r="J13" i="36"/>
  <c r="R11" i="36"/>
  <c r="D11" i="36"/>
  <c r="D13" i="25"/>
  <c r="D14" i="25" s="1"/>
  <c r="D15" i="25" s="1"/>
  <c r="D16" i="25" s="1"/>
  <c r="D17" i="25" s="1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" i="25"/>
  <c r="D25" i="25"/>
  <c r="D26" i="25" s="1"/>
  <c r="D27" i="25" s="1"/>
  <c r="D28" i="25" s="1"/>
  <c r="D29" i="25" s="1"/>
  <c r="D30" i="25" s="1"/>
  <c r="D33" i="25"/>
  <c r="D34" i="25" s="1"/>
  <c r="D35" i="25" s="1"/>
  <c r="D36" i="25" s="1"/>
  <c r="D37" i="25" s="1"/>
  <c r="D38" i="25" s="1"/>
  <c r="D39" i="25" s="1"/>
  <c r="D40" i="25" s="1"/>
  <c r="D41" i="25" s="1"/>
  <c r="D42" i="25" s="1"/>
  <c r="D43" i="25" s="1"/>
  <c r="D44" i="25" s="1"/>
  <c r="D45" i="25" s="1"/>
  <c r="D46" i="25" s="1"/>
  <c r="D47" i="25" s="1"/>
  <c r="D48" i="25" s="1"/>
  <c r="D49" i="25" s="1"/>
  <c r="D50" i="25" s="1"/>
  <c r="D51" i="25" s="1"/>
  <c r="D52" i="25" s="1"/>
  <c r="D53" i="25" s="1"/>
  <c r="D54" i="25" s="1"/>
  <c r="D55" i="25" s="1"/>
  <c r="D56" i="25" s="1"/>
  <c r="D57" i="25" s="1"/>
  <c r="D58" i="25" s="1"/>
  <c r="D59" i="25" s="1"/>
  <c r="D60" i="25" s="1"/>
  <c r="D61" i="25" s="1"/>
  <c r="D62" i="25" s="1"/>
  <c r="D63" i="25" s="1"/>
  <c r="D64" i="25" s="1"/>
  <c r="D65" i="25" s="1"/>
  <c r="D66" i="25" s="1"/>
  <c r="D67" i="25" s="1"/>
  <c r="D68" i="25" s="1"/>
  <c r="D69" i="25" s="1"/>
  <c r="D70" i="25" s="1"/>
  <c r="D71" i="25" s="1"/>
  <c r="D72" i="25" s="1"/>
  <c r="D75" i="25"/>
  <c r="D76" i="25" s="1"/>
  <c r="D77" i="25" s="1"/>
  <c r="D78" i="25" s="1"/>
  <c r="D79" i="25" s="1"/>
  <c r="D80" i="25" s="1"/>
  <c r="D81" i="25" s="1"/>
  <c r="D82" i="25" s="1"/>
  <c r="D83" i="25" s="1"/>
  <c r="D84" i="25" s="1"/>
  <c r="D85" i="25" s="1"/>
  <c r="D86" i="25" s="1"/>
  <c r="D87" i="25" s="1"/>
  <c r="D88" i="25" s="1"/>
  <c r="D89" i="25" s="1"/>
  <c r="D90" i="25" s="1"/>
  <c r="D93" i="25"/>
  <c r="D96" i="25"/>
  <c r="D97" i="25" s="1"/>
  <c r="D98" i="25" s="1"/>
  <c r="D99" i="25" s="1"/>
  <c r="D100" i="25" s="1"/>
  <c r="D101" i="25" s="1"/>
  <c r="D10" i="25"/>
  <c r="O101" i="25"/>
  <c r="Q101" i="25" s="1"/>
  <c r="N101" i="25"/>
  <c r="L101" i="25"/>
  <c r="O100" i="25"/>
  <c r="Q100" i="25" s="1"/>
  <c r="N100" i="25"/>
  <c r="L100" i="25"/>
  <c r="O99" i="25"/>
  <c r="Q99" i="25" s="1"/>
  <c r="N99" i="25"/>
  <c r="L99" i="25"/>
  <c r="O98" i="25"/>
  <c r="Q98" i="25" s="1"/>
  <c r="N98" i="25"/>
  <c r="L98" i="25"/>
  <c r="O97" i="25"/>
  <c r="Q97" i="25" s="1"/>
  <c r="N97" i="25"/>
  <c r="L97" i="25"/>
  <c r="O96" i="25"/>
  <c r="Q96" i="25" s="1"/>
  <c r="N96" i="25"/>
  <c r="L96" i="25"/>
  <c r="J101" i="25"/>
  <c r="J100" i="25"/>
  <c r="J99" i="25"/>
  <c r="J98" i="25"/>
  <c r="J97" i="25"/>
  <c r="J96" i="25"/>
  <c r="J93" i="25"/>
  <c r="J94" i="25" s="1"/>
  <c r="O93" i="25"/>
  <c r="Q93" i="25" s="1"/>
  <c r="N93" i="25"/>
  <c r="L93" i="25"/>
  <c r="L94" i="25" s="1"/>
  <c r="O75" i="25"/>
  <c r="Q75" i="25" s="1"/>
  <c r="Y75" i="25" s="1"/>
  <c r="O76" i="25"/>
  <c r="Q76" i="25" s="1"/>
  <c r="O77" i="25"/>
  <c r="Q77" i="25" s="1"/>
  <c r="O78" i="25"/>
  <c r="Q78" i="25" s="1"/>
  <c r="O79" i="25"/>
  <c r="Q79" i="25" s="1"/>
  <c r="O80" i="25"/>
  <c r="Q80" i="25" s="1"/>
  <c r="O81" i="25"/>
  <c r="Q81" i="25" s="1"/>
  <c r="O82" i="25"/>
  <c r="Q82" i="25" s="1"/>
  <c r="O83" i="25"/>
  <c r="Q83" i="25" s="1"/>
  <c r="O84" i="25"/>
  <c r="Q84" i="25" s="1"/>
  <c r="O85" i="25"/>
  <c r="Q85" i="25" s="1"/>
  <c r="O86" i="25"/>
  <c r="Q86" i="25" s="1"/>
  <c r="O87" i="25"/>
  <c r="Q87" i="25" s="1"/>
  <c r="O88" i="25"/>
  <c r="Q88" i="25" s="1"/>
  <c r="O89" i="25"/>
  <c r="Q89" i="25" s="1"/>
  <c r="O90" i="25"/>
  <c r="Q90" i="25" s="1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75" i="25"/>
  <c r="N76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75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2" i="25"/>
  <c r="J63" i="25"/>
  <c r="J64" i="25"/>
  <c r="J65" i="25"/>
  <c r="J66" i="25"/>
  <c r="J67" i="25"/>
  <c r="J68" i="25"/>
  <c r="J69" i="25"/>
  <c r="J70" i="25"/>
  <c r="J71" i="25"/>
  <c r="J72" i="25"/>
  <c r="L39" i="25"/>
  <c r="N39" i="25"/>
  <c r="O39" i="25"/>
  <c r="Q39" i="25" s="1"/>
  <c r="L40" i="25"/>
  <c r="N40" i="25"/>
  <c r="O40" i="25"/>
  <c r="Q40" i="25" s="1"/>
  <c r="L41" i="25"/>
  <c r="N41" i="25"/>
  <c r="O41" i="25"/>
  <c r="Q41" i="25" s="1"/>
  <c r="L42" i="25"/>
  <c r="N42" i="25"/>
  <c r="S42" i="25" s="1"/>
  <c r="O42" i="25"/>
  <c r="Q42" i="25" s="1"/>
  <c r="L43" i="25"/>
  <c r="N43" i="25"/>
  <c r="O43" i="25"/>
  <c r="Q43" i="25" s="1"/>
  <c r="L44" i="25"/>
  <c r="N44" i="25"/>
  <c r="O44" i="25"/>
  <c r="Q44" i="25" s="1"/>
  <c r="L45" i="25"/>
  <c r="N45" i="25"/>
  <c r="O45" i="25"/>
  <c r="Q45" i="25" s="1"/>
  <c r="L46" i="25"/>
  <c r="N46" i="25"/>
  <c r="O46" i="25"/>
  <c r="Q46" i="25" s="1"/>
  <c r="L47" i="25"/>
  <c r="N47" i="25"/>
  <c r="O47" i="25"/>
  <c r="Q47" i="25" s="1"/>
  <c r="L48" i="25"/>
  <c r="N48" i="25"/>
  <c r="O48" i="25"/>
  <c r="Q48" i="25" s="1"/>
  <c r="L49" i="25"/>
  <c r="N49" i="25"/>
  <c r="O49" i="25"/>
  <c r="Q49" i="25" s="1"/>
  <c r="L50" i="25"/>
  <c r="N50" i="25"/>
  <c r="S50" i="25" s="1"/>
  <c r="O50" i="25"/>
  <c r="Q50" i="25" s="1"/>
  <c r="L51" i="25"/>
  <c r="N51" i="25"/>
  <c r="O51" i="25"/>
  <c r="Q51" i="25" s="1"/>
  <c r="L52" i="25"/>
  <c r="N52" i="25"/>
  <c r="O52" i="25"/>
  <c r="Q52" i="25" s="1"/>
  <c r="L53" i="25"/>
  <c r="N53" i="25"/>
  <c r="O53" i="25"/>
  <c r="Q53" i="25" s="1"/>
  <c r="L54" i="25"/>
  <c r="N54" i="25"/>
  <c r="O54" i="25"/>
  <c r="Q54" i="25" s="1"/>
  <c r="L55" i="25"/>
  <c r="N55" i="25"/>
  <c r="O55" i="25"/>
  <c r="Q55" i="25" s="1"/>
  <c r="L56" i="25"/>
  <c r="N56" i="25"/>
  <c r="O56" i="25"/>
  <c r="Q56" i="25" s="1"/>
  <c r="L57" i="25"/>
  <c r="N57" i="25"/>
  <c r="O57" i="25"/>
  <c r="Q57" i="25" s="1"/>
  <c r="L58" i="25"/>
  <c r="N58" i="25"/>
  <c r="S58" i="25" s="1"/>
  <c r="O58" i="25"/>
  <c r="Q58" i="25" s="1"/>
  <c r="L59" i="25"/>
  <c r="N59" i="25"/>
  <c r="O59" i="25"/>
  <c r="Q59" i="25" s="1"/>
  <c r="L60" i="25"/>
  <c r="N60" i="25"/>
  <c r="O60" i="25"/>
  <c r="Q60" i="25" s="1"/>
  <c r="L61" i="25"/>
  <c r="N61" i="25"/>
  <c r="O61" i="25"/>
  <c r="Q61" i="25" s="1"/>
  <c r="L62" i="25"/>
  <c r="N62" i="25"/>
  <c r="O62" i="25"/>
  <c r="Q62" i="25" s="1"/>
  <c r="L63" i="25"/>
  <c r="N63" i="25"/>
  <c r="O63" i="25"/>
  <c r="Q63" i="25" s="1"/>
  <c r="L64" i="25"/>
  <c r="N64" i="25"/>
  <c r="O64" i="25"/>
  <c r="Q64" i="25" s="1"/>
  <c r="L65" i="25"/>
  <c r="N65" i="25"/>
  <c r="O65" i="25"/>
  <c r="Q65" i="25" s="1"/>
  <c r="L66" i="25"/>
  <c r="N66" i="25"/>
  <c r="S66" i="25" s="1"/>
  <c r="O66" i="25"/>
  <c r="Q66" i="25" s="1"/>
  <c r="L67" i="25"/>
  <c r="N67" i="25"/>
  <c r="O67" i="25"/>
  <c r="Q67" i="25" s="1"/>
  <c r="L68" i="25"/>
  <c r="N68" i="25"/>
  <c r="O68" i="25"/>
  <c r="Q68" i="25" s="1"/>
  <c r="L69" i="25"/>
  <c r="N69" i="25"/>
  <c r="S69" i="25" s="1"/>
  <c r="O69" i="25"/>
  <c r="Q69" i="25" s="1"/>
  <c r="L70" i="25"/>
  <c r="N70" i="25"/>
  <c r="O70" i="25"/>
  <c r="Q70" i="25" s="1"/>
  <c r="L71" i="25"/>
  <c r="N71" i="25"/>
  <c r="O71" i="25"/>
  <c r="Q71" i="25" s="1"/>
  <c r="L72" i="25"/>
  <c r="N72" i="25"/>
  <c r="O72" i="25"/>
  <c r="Q72" i="25" s="1"/>
  <c r="O38" i="25"/>
  <c r="Q38" i="25" s="1"/>
  <c r="N38" i="25"/>
  <c r="L38" i="25"/>
  <c r="O37" i="25"/>
  <c r="Q37" i="25" s="1"/>
  <c r="N37" i="25"/>
  <c r="L37" i="25"/>
  <c r="O36" i="25"/>
  <c r="Q36" i="25" s="1"/>
  <c r="N36" i="25"/>
  <c r="L36" i="25"/>
  <c r="O35" i="25"/>
  <c r="Q35" i="25" s="1"/>
  <c r="N35" i="25"/>
  <c r="L35" i="25"/>
  <c r="O34" i="25"/>
  <c r="Q34" i="25" s="1"/>
  <c r="N34" i="25"/>
  <c r="L34" i="25"/>
  <c r="O33" i="25"/>
  <c r="Q33" i="25" s="1"/>
  <c r="N33" i="25"/>
  <c r="L33" i="25"/>
  <c r="N28" i="25"/>
  <c r="N27" i="25"/>
  <c r="N30" i="25"/>
  <c r="S30" i="25" s="1"/>
  <c r="N29" i="25"/>
  <c r="N26" i="25"/>
  <c r="N25" i="25"/>
  <c r="J30" i="25"/>
  <c r="J29" i="25"/>
  <c r="J28" i="25"/>
  <c r="J27" i="25"/>
  <c r="J26" i="25"/>
  <c r="J25" i="25"/>
  <c r="O30" i="25"/>
  <c r="Q30" i="25" s="1"/>
  <c r="L30" i="25"/>
  <c r="O29" i="25"/>
  <c r="Q29" i="25" s="1"/>
  <c r="L29" i="25"/>
  <c r="O28" i="25"/>
  <c r="Q28" i="25" s="1"/>
  <c r="L28" i="25"/>
  <c r="O27" i="25"/>
  <c r="Q27" i="25" s="1"/>
  <c r="L27" i="25"/>
  <c r="O26" i="25"/>
  <c r="Q26" i="25" s="1"/>
  <c r="L26" i="25"/>
  <c r="O25" i="25"/>
  <c r="Q25" i="25" s="1"/>
  <c r="L25" i="25"/>
  <c r="O10" i="25"/>
  <c r="Q10" i="25" s="1"/>
  <c r="O13" i="25"/>
  <c r="Q13" i="25" s="1"/>
  <c r="O14" i="25"/>
  <c r="Q14" i="25" s="1"/>
  <c r="O15" i="25"/>
  <c r="Q15" i="25" s="1"/>
  <c r="Q16" i="25"/>
  <c r="O17" i="25"/>
  <c r="Q17" i="25" s="1"/>
  <c r="O18" i="25"/>
  <c r="Q18" i="25" s="1"/>
  <c r="O19" i="25"/>
  <c r="Q19" i="25" s="1"/>
  <c r="O20" i="25"/>
  <c r="Q20" i="25" s="1"/>
  <c r="O21" i="25"/>
  <c r="Q21" i="25" s="1"/>
  <c r="O22" i="25"/>
  <c r="Q22" i="25" s="1"/>
  <c r="N13" i="25"/>
  <c r="N14" i="25"/>
  <c r="N15" i="25"/>
  <c r="N16" i="25"/>
  <c r="N17" i="25"/>
  <c r="N18" i="25"/>
  <c r="N19" i="25"/>
  <c r="S19" i="25" s="1"/>
  <c r="N20" i="25"/>
  <c r="N21" i="25"/>
  <c r="N22" i="25"/>
  <c r="L13" i="25"/>
  <c r="L14" i="25"/>
  <c r="L15" i="25"/>
  <c r="L16" i="25"/>
  <c r="L17" i="25"/>
  <c r="L18" i="25"/>
  <c r="L19" i="25"/>
  <c r="L20" i="25"/>
  <c r="L21" i="25"/>
  <c r="L22" i="25"/>
  <c r="L11" i="25"/>
  <c r="J13" i="25"/>
  <c r="J14" i="25"/>
  <c r="J15" i="25"/>
  <c r="J16" i="25"/>
  <c r="J17" i="25"/>
  <c r="J18" i="25"/>
  <c r="J19" i="25"/>
  <c r="J21" i="25"/>
  <c r="J22" i="25"/>
  <c r="J10" i="25"/>
  <c r="Q115" i="25"/>
  <c r="Q114" i="25"/>
  <c r="Q113" i="25"/>
  <c r="J115" i="25"/>
  <c r="J114" i="25"/>
  <c r="F60" i="453" s="1"/>
  <c r="J113" i="25"/>
  <c r="F59" i="453" s="1"/>
  <c r="F113" i="25"/>
  <c r="D15" i="429"/>
  <c r="C16" i="438" s="1"/>
  <c r="C3" i="438"/>
  <c r="A19" i="437"/>
  <c r="C34" i="454" l="1"/>
  <c r="A33" i="454"/>
  <c r="R12" i="36"/>
  <c r="R13" i="36"/>
  <c r="S88" i="25"/>
  <c r="S71" i="25"/>
  <c r="S55" i="25"/>
  <c r="S47" i="25"/>
  <c r="S18" i="25"/>
  <c r="S80" i="25"/>
  <c r="S63" i="25"/>
  <c r="S39" i="25"/>
  <c r="S53" i="25"/>
  <c r="S45" i="25"/>
  <c r="S79" i="25"/>
  <c r="S86" i="25"/>
  <c r="S17" i="25"/>
  <c r="S38" i="25"/>
  <c r="S60" i="25"/>
  <c r="S52" i="25"/>
  <c r="S44" i="25"/>
  <c r="S100" i="25"/>
  <c r="S37" i="25"/>
  <c r="S87" i="25"/>
  <c r="S78" i="25"/>
  <c r="P22" i="25"/>
  <c r="S16" i="25"/>
  <c r="S70" i="25"/>
  <c r="S61" i="25"/>
  <c r="S68" i="25"/>
  <c r="S25" i="25"/>
  <c r="S36" i="25"/>
  <c r="S62" i="25"/>
  <c r="S54" i="25"/>
  <c r="S46" i="25"/>
  <c r="S20" i="25"/>
  <c r="S99" i="25"/>
  <c r="B59" i="453"/>
  <c r="C36" i="38"/>
  <c r="S85" i="25"/>
  <c r="S15" i="25"/>
  <c r="S75" i="25"/>
  <c r="S83" i="25"/>
  <c r="S98" i="25"/>
  <c r="J11" i="25"/>
  <c r="S35" i="25"/>
  <c r="S97" i="25"/>
  <c r="S77" i="25"/>
  <c r="S33" i="25"/>
  <c r="S65" i="25"/>
  <c r="S57" i="25"/>
  <c r="S49" i="25"/>
  <c r="S41" i="25"/>
  <c r="S76" i="25"/>
  <c r="S84" i="25"/>
  <c r="S22" i="25"/>
  <c r="S14" i="25"/>
  <c r="S26" i="25"/>
  <c r="S72" i="25"/>
  <c r="S67" i="25"/>
  <c r="S59" i="25"/>
  <c r="S51" i="25"/>
  <c r="S43" i="25"/>
  <c r="S90" i="25"/>
  <c r="S82" i="25"/>
  <c r="S101" i="25"/>
  <c r="S27" i="25"/>
  <c r="S28" i="25"/>
  <c r="S21" i="25"/>
  <c r="S13" i="25"/>
  <c r="S29" i="25"/>
  <c r="S34" i="25"/>
  <c r="S64" i="25"/>
  <c r="S56" i="25"/>
  <c r="S48" i="25"/>
  <c r="S40" i="25"/>
  <c r="S89" i="25"/>
  <c r="S81" i="25"/>
  <c r="S96" i="25"/>
  <c r="N94" i="25"/>
  <c r="S94" i="25" s="1"/>
  <c r="S93" i="25"/>
  <c r="N23" i="25"/>
  <c r="F60" i="450"/>
  <c r="F60" i="446"/>
  <c r="F59" i="450"/>
  <c r="F59" i="446"/>
  <c r="B59" i="446"/>
  <c r="B59" i="450"/>
  <c r="P18" i="25"/>
  <c r="P27" i="25"/>
  <c r="P19" i="25"/>
  <c r="P96" i="25"/>
  <c r="P100" i="25"/>
  <c r="J91" i="25"/>
  <c r="J23" i="25"/>
  <c r="D18" i="25"/>
  <c r="D19" i="25" s="1"/>
  <c r="D20" i="25" s="1"/>
  <c r="D21" i="25" s="1"/>
  <c r="D22" i="25" s="1"/>
  <c r="C10" i="25"/>
  <c r="A10" i="25" s="1"/>
  <c r="P28" i="25"/>
  <c r="N31" i="25"/>
  <c r="P16" i="25"/>
  <c r="P14" i="25"/>
  <c r="P26" i="25"/>
  <c r="P29" i="25"/>
  <c r="P15" i="25"/>
  <c r="P62" i="25"/>
  <c r="P17" i="25"/>
  <c r="P37" i="25"/>
  <c r="P13" i="25"/>
  <c r="L91" i="25"/>
  <c r="N73" i="25"/>
  <c r="P21" i="25"/>
  <c r="P30" i="25"/>
  <c r="P101" i="25"/>
  <c r="L31" i="25"/>
  <c r="J102" i="25"/>
  <c r="P98" i="25"/>
  <c r="J73" i="25"/>
  <c r="P85" i="25"/>
  <c r="P20" i="25"/>
  <c r="L23" i="25"/>
  <c r="L104" i="25" s="1"/>
  <c r="P25" i="25"/>
  <c r="J31" i="25"/>
  <c r="P84" i="25"/>
  <c r="P81" i="25"/>
  <c r="P82" i="25"/>
  <c r="P80" i="25"/>
  <c r="P90" i="25"/>
  <c r="P78" i="25"/>
  <c r="P99" i="25"/>
  <c r="L102" i="25"/>
  <c r="N102" i="25"/>
  <c r="P97" i="25"/>
  <c r="P88" i="25"/>
  <c r="P87" i="25"/>
  <c r="P86" i="25"/>
  <c r="P76" i="25"/>
  <c r="P83" i="25"/>
  <c r="P75" i="25"/>
  <c r="P79" i="25"/>
  <c r="P89" i="25"/>
  <c r="P77" i="25"/>
  <c r="P93" i="25"/>
  <c r="L73" i="25"/>
  <c r="P51" i="25"/>
  <c r="P44" i="25"/>
  <c r="P47" i="25"/>
  <c r="P50" i="25"/>
  <c r="P41" i="25"/>
  <c r="P54" i="25"/>
  <c r="P40" i="25"/>
  <c r="P65" i="25"/>
  <c r="P68" i="25"/>
  <c r="P58" i="25"/>
  <c r="P71" i="25"/>
  <c r="P38" i="25"/>
  <c r="P53" i="25"/>
  <c r="P56" i="25"/>
  <c r="P69" i="25"/>
  <c r="P59" i="25"/>
  <c r="P72" i="25"/>
  <c r="P33" i="25"/>
  <c r="P34" i="25"/>
  <c r="P60" i="25"/>
  <c r="P55" i="25"/>
  <c r="P57" i="25"/>
  <c r="P39" i="25"/>
  <c r="P36" i="25"/>
  <c r="P70" i="25"/>
  <c r="P52" i="25"/>
  <c r="P42" i="25"/>
  <c r="P67" i="25"/>
  <c r="P49" i="25"/>
  <c r="P64" i="25"/>
  <c r="P46" i="25"/>
  <c r="P66" i="25"/>
  <c r="P48" i="25"/>
  <c r="P61" i="25"/>
  <c r="P43" i="25"/>
  <c r="P35" i="25"/>
  <c r="P63" i="25"/>
  <c r="P45" i="25"/>
  <c r="T39" i="25" l="1"/>
  <c r="T69" i="25"/>
  <c r="T85" i="25"/>
  <c r="T64" i="25"/>
  <c r="T19" i="25"/>
  <c r="T43" i="25"/>
  <c r="T42" i="25"/>
  <c r="T34" i="25"/>
  <c r="T47" i="25"/>
  <c r="T75" i="25"/>
  <c r="T17" i="25"/>
  <c r="T27" i="25"/>
  <c r="R22" i="25"/>
  <c r="U22" i="25" s="1"/>
  <c r="V22" i="25" s="1"/>
  <c r="W22" i="25"/>
  <c r="T40" i="25"/>
  <c r="T57" i="25"/>
  <c r="T54" i="25"/>
  <c r="T77" i="25"/>
  <c r="T14" i="25"/>
  <c r="T55" i="25"/>
  <c r="T41" i="25"/>
  <c r="T97" i="25"/>
  <c r="T96" i="25"/>
  <c r="T67" i="25"/>
  <c r="T60" i="25"/>
  <c r="T50" i="25"/>
  <c r="T79" i="25"/>
  <c r="T84" i="25"/>
  <c r="T37" i="25"/>
  <c r="T61" i="25"/>
  <c r="T33" i="25"/>
  <c r="T44" i="25"/>
  <c r="T83" i="25"/>
  <c r="T101" i="25"/>
  <c r="T62" i="25"/>
  <c r="T18" i="25"/>
  <c r="T70" i="25"/>
  <c r="T51" i="25"/>
  <c r="T15" i="25"/>
  <c r="T46" i="25"/>
  <c r="T80" i="25"/>
  <c r="T45" i="25"/>
  <c r="T56" i="25"/>
  <c r="T100" i="25"/>
  <c r="T49" i="25"/>
  <c r="T53" i="25"/>
  <c r="T89" i="25"/>
  <c r="T98" i="25"/>
  <c r="T16" i="25"/>
  <c r="T35" i="25"/>
  <c r="T38" i="25"/>
  <c r="T52" i="25"/>
  <c r="T58" i="25"/>
  <c r="T99" i="25"/>
  <c r="T48" i="25"/>
  <c r="T72" i="25"/>
  <c r="T68" i="25"/>
  <c r="T78" i="25"/>
  <c r="T66" i="25"/>
  <c r="T36" i="25"/>
  <c r="T59" i="25"/>
  <c r="T65" i="25"/>
  <c r="T86" i="25"/>
  <c r="T90" i="25"/>
  <c r="T20" i="25"/>
  <c r="T21" i="25"/>
  <c r="A34" i="454"/>
  <c r="C35" i="454"/>
  <c r="R27" i="25"/>
  <c r="U27" i="25" s="1"/>
  <c r="V27" i="25" s="1"/>
  <c r="S102" i="25"/>
  <c r="T22" i="25"/>
  <c r="R14" i="25"/>
  <c r="U14" i="25" s="1"/>
  <c r="V14" i="25" s="1"/>
  <c r="R30" i="25"/>
  <c r="U30" i="25" s="1"/>
  <c r="V30" i="25" s="1"/>
  <c r="T30" i="25"/>
  <c r="R15" i="25"/>
  <c r="U15" i="25" s="1"/>
  <c r="V15" i="25" s="1"/>
  <c r="R87" i="25"/>
  <c r="U87" i="25" s="1"/>
  <c r="V87" i="25" s="1"/>
  <c r="T87" i="25"/>
  <c r="R29" i="25"/>
  <c r="U29" i="25" s="1"/>
  <c r="V29" i="25" s="1"/>
  <c r="T29" i="25"/>
  <c r="R76" i="25"/>
  <c r="U76" i="25" s="1"/>
  <c r="V76" i="25" s="1"/>
  <c r="T76" i="25"/>
  <c r="R18" i="25"/>
  <c r="U18" i="25" s="1"/>
  <c r="V18" i="25" s="1"/>
  <c r="R81" i="25"/>
  <c r="U81" i="25" s="1"/>
  <c r="V81" i="25" s="1"/>
  <c r="T81" i="25"/>
  <c r="R13" i="25"/>
  <c r="U13" i="25" s="1"/>
  <c r="V13" i="25" s="1"/>
  <c r="T13" i="25"/>
  <c r="R20" i="25"/>
  <c r="U20" i="25" s="1"/>
  <c r="V20" i="25" s="1"/>
  <c r="R17" i="25"/>
  <c r="U17" i="25" s="1"/>
  <c r="V17" i="25" s="1"/>
  <c r="R19" i="25"/>
  <c r="U19" i="25" s="1"/>
  <c r="V19" i="25" s="1"/>
  <c r="R88" i="25"/>
  <c r="U88" i="25" s="1"/>
  <c r="V88" i="25" s="1"/>
  <c r="T88" i="25"/>
  <c r="R82" i="25"/>
  <c r="U82" i="25" s="1"/>
  <c r="V82" i="25" s="1"/>
  <c r="T82" i="25"/>
  <c r="S73" i="25"/>
  <c r="R26" i="25"/>
  <c r="U26" i="25" s="1"/>
  <c r="V26" i="25" s="1"/>
  <c r="T26" i="25"/>
  <c r="R63" i="25"/>
  <c r="U63" i="25" s="1"/>
  <c r="V63" i="25" s="1"/>
  <c r="T63" i="25"/>
  <c r="R71" i="25"/>
  <c r="U71" i="25" s="1"/>
  <c r="V71" i="25" s="1"/>
  <c r="T71" i="25"/>
  <c r="S31" i="25"/>
  <c r="R25" i="25"/>
  <c r="U25" i="25" s="1"/>
  <c r="V25" i="25" s="1"/>
  <c r="T25" i="25"/>
  <c r="R28" i="25"/>
  <c r="U28" i="25" s="1"/>
  <c r="V28" i="25" s="1"/>
  <c r="T28" i="25"/>
  <c r="S23" i="25"/>
  <c r="R21" i="25"/>
  <c r="U21" i="25" s="1"/>
  <c r="V21" i="25" s="1"/>
  <c r="P94" i="25"/>
  <c r="T93" i="25"/>
  <c r="R16" i="25"/>
  <c r="U16" i="25" s="1"/>
  <c r="V16" i="25" s="1"/>
  <c r="R100" i="25"/>
  <c r="U100" i="25" s="1"/>
  <c r="V100" i="25" s="1"/>
  <c r="R96" i="25"/>
  <c r="U96" i="25" s="1"/>
  <c r="V96" i="25" s="1"/>
  <c r="P102" i="25"/>
  <c r="J104" i="25"/>
  <c r="R98" i="25"/>
  <c r="U98" i="25" s="1"/>
  <c r="V98" i="25" s="1"/>
  <c r="P91" i="25"/>
  <c r="C11" i="25"/>
  <c r="A11" i="25" s="1"/>
  <c r="R84" i="25"/>
  <c r="U84" i="25" s="1"/>
  <c r="V84" i="25" s="1"/>
  <c r="P23" i="25"/>
  <c r="R101" i="25"/>
  <c r="U101" i="25" s="1"/>
  <c r="V101" i="25" s="1"/>
  <c r="R85" i="25"/>
  <c r="U85" i="25" s="1"/>
  <c r="V85" i="25" s="1"/>
  <c r="R90" i="25"/>
  <c r="U90" i="25" s="1"/>
  <c r="V90" i="25" s="1"/>
  <c r="P31" i="25"/>
  <c r="R80" i="25"/>
  <c r="U80" i="25" s="1"/>
  <c r="V80" i="25" s="1"/>
  <c r="R99" i="25"/>
  <c r="U99" i="25" s="1"/>
  <c r="V99" i="25" s="1"/>
  <c r="R78" i="25"/>
  <c r="U78" i="25" s="1"/>
  <c r="V78" i="25" s="1"/>
  <c r="R93" i="25"/>
  <c r="W93" i="25" s="1"/>
  <c r="R97" i="25"/>
  <c r="U97" i="25" s="1"/>
  <c r="V97" i="25" s="1"/>
  <c r="R86" i="25"/>
  <c r="U86" i="25" s="1"/>
  <c r="V86" i="25" s="1"/>
  <c r="R83" i="25"/>
  <c r="U83" i="25" s="1"/>
  <c r="V83" i="25" s="1"/>
  <c r="R89" i="25"/>
  <c r="U89" i="25" s="1"/>
  <c r="V89" i="25" s="1"/>
  <c r="R77" i="25"/>
  <c r="U77" i="25" s="1"/>
  <c r="V77" i="25" s="1"/>
  <c r="R79" i="25"/>
  <c r="U79" i="25" s="1"/>
  <c r="V79" i="25" s="1"/>
  <c r="R75" i="25"/>
  <c r="U75" i="25" s="1"/>
  <c r="V75" i="25" s="1"/>
  <c r="R33" i="25"/>
  <c r="U33" i="25" s="1"/>
  <c r="V33" i="25" s="1"/>
  <c r="P73" i="25"/>
  <c r="R43" i="25"/>
  <c r="U43" i="25" s="1"/>
  <c r="V43" i="25" s="1"/>
  <c r="R67" i="25"/>
  <c r="U67" i="25" s="1"/>
  <c r="V67" i="25" s="1"/>
  <c r="W15" i="25" l="1"/>
  <c r="W77" i="25"/>
  <c r="W81" i="25"/>
  <c r="W27" i="25"/>
  <c r="W25" i="25"/>
  <c r="W13" i="25"/>
  <c r="W14" i="25"/>
  <c r="W89" i="25"/>
  <c r="W80" i="25"/>
  <c r="W97" i="25"/>
  <c r="W100" i="25"/>
  <c r="W29" i="25"/>
  <c r="W76" i="25"/>
  <c r="W21" i="25"/>
  <c r="W71" i="25"/>
  <c r="T102" i="25"/>
  <c r="W75" i="25"/>
  <c r="W85" i="25"/>
  <c r="T73" i="25"/>
  <c r="W78" i="25"/>
  <c r="W88" i="25"/>
  <c r="W83" i="25"/>
  <c r="W43" i="25"/>
  <c r="T23" i="25"/>
  <c r="W20" i="25"/>
  <c r="Y20" i="25" s="1"/>
  <c r="W99" i="25"/>
  <c r="W18" i="25"/>
  <c r="W87" i="25"/>
  <c r="W30" i="25"/>
  <c r="W67" i="25"/>
  <c r="W90" i="25"/>
  <c r="W16" i="25"/>
  <c r="T91" i="25"/>
  <c r="T94" i="25"/>
  <c r="W33" i="25"/>
  <c r="W79" i="25"/>
  <c r="W96" i="25"/>
  <c r="W28" i="25"/>
  <c r="W82" i="25"/>
  <c r="W84" i="25"/>
  <c r="W19" i="25"/>
  <c r="Y19" i="25" s="1"/>
  <c r="T31" i="25"/>
  <c r="W86" i="25"/>
  <c r="W98" i="25"/>
  <c r="W26" i="25"/>
  <c r="W101" i="25"/>
  <c r="W63" i="25"/>
  <c r="W17" i="25"/>
  <c r="L1" i="25"/>
  <c r="K21" i="26"/>
  <c r="C36" i="454"/>
  <c r="A35" i="454"/>
  <c r="R31" i="25"/>
  <c r="U31" i="25" s="1"/>
  <c r="V31" i="25" s="1"/>
  <c r="R94" i="25"/>
  <c r="U94" i="25" s="1"/>
  <c r="V94" i="25" s="1"/>
  <c r="U93" i="25"/>
  <c r="V93" i="25" s="1"/>
  <c r="H12" i="37"/>
  <c r="F13" i="37" s="1"/>
  <c r="R23" i="25"/>
  <c r="U23" i="25" s="1"/>
  <c r="V23" i="25" s="1"/>
  <c r="R102" i="25"/>
  <c r="U102" i="25" s="1"/>
  <c r="V102" i="25" s="1"/>
  <c r="R91" i="25"/>
  <c r="U91" i="25" s="1"/>
  <c r="V91" i="25" s="1"/>
  <c r="C12" i="25"/>
  <c r="W94" i="25" l="1"/>
  <c r="W31" i="25"/>
  <c r="W91" i="25"/>
  <c r="W23" i="25"/>
  <c r="W102" i="25"/>
  <c r="A36" i="454"/>
  <c r="C37" i="454"/>
  <c r="H13" i="37"/>
  <c r="F14" i="37" s="1"/>
  <c r="H12" i="421"/>
  <c r="A12" i="25"/>
  <c r="C13" i="25"/>
  <c r="A37" i="454" l="1"/>
  <c r="C38" i="454"/>
  <c r="A13" i="25"/>
  <c r="C14" i="25"/>
  <c r="A38" i="454" l="1"/>
  <c r="C39" i="454"/>
  <c r="A14" i="25"/>
  <c r="C15" i="25"/>
  <c r="C40" i="454" l="1"/>
  <c r="A39" i="454"/>
  <c r="A15" i="25"/>
  <c r="C16" i="25"/>
  <c r="A40" i="454" l="1"/>
  <c r="C41" i="454"/>
  <c r="A16" i="25"/>
  <c r="C17" i="25"/>
  <c r="C42" i="454" l="1"/>
  <c r="A41" i="454"/>
  <c r="A17" i="25"/>
  <c r="C18" i="25"/>
  <c r="A42" i="454" l="1"/>
  <c r="C43" i="454"/>
  <c r="A18" i="25"/>
  <c r="C19" i="25"/>
  <c r="C44" i="454" l="1"/>
  <c r="A43" i="454"/>
  <c r="A19" i="25"/>
  <c r="C20" i="25"/>
  <c r="C45" i="454" l="1"/>
  <c r="A44" i="454"/>
  <c r="A20" i="25"/>
  <c r="C21" i="25"/>
  <c r="A45" i="454" l="1"/>
  <c r="C46" i="454"/>
  <c r="A21" i="25"/>
  <c r="C22" i="25"/>
  <c r="C23" i="25" s="1"/>
  <c r="A23" i="25" s="1"/>
  <c r="C47" i="454" l="1"/>
  <c r="A46" i="454"/>
  <c r="A22" i="25"/>
  <c r="C24" i="25"/>
  <c r="C48" i="454" l="1"/>
  <c r="A47" i="454"/>
  <c r="A24" i="25"/>
  <c r="C25" i="25"/>
  <c r="A48" i="454" l="1"/>
  <c r="C49" i="454"/>
  <c r="A25" i="25"/>
  <c r="C26" i="25"/>
  <c r="A26" i="25" s="1"/>
  <c r="C50" i="454" l="1"/>
  <c r="A49" i="454"/>
  <c r="C27" i="25"/>
  <c r="A27" i="25" s="1"/>
  <c r="A50" i="454" l="1"/>
  <c r="C51" i="454"/>
  <c r="C28" i="25"/>
  <c r="A28" i="25" s="1"/>
  <c r="C52" i="454" l="1"/>
  <c r="A51" i="454"/>
  <c r="C29" i="25"/>
  <c r="A29" i="25" s="1"/>
  <c r="C53" i="454" l="1"/>
  <c r="A52" i="454"/>
  <c r="C30" i="25"/>
  <c r="C31" i="25" s="1"/>
  <c r="C54" i="454" l="1"/>
  <c r="A53" i="454"/>
  <c r="A30" i="25"/>
  <c r="C32" i="25"/>
  <c r="A31" i="25"/>
  <c r="A54" i="454" l="1"/>
  <c r="C55" i="454"/>
  <c r="C33" i="25"/>
  <c r="A33" i="25" s="1"/>
  <c r="A32" i="25"/>
  <c r="C56" i="454" l="1"/>
  <c r="A55" i="454"/>
  <c r="C34" i="25"/>
  <c r="A34" i="25" s="1"/>
  <c r="A56" i="454" l="1"/>
  <c r="C57" i="454"/>
  <c r="C35" i="25"/>
  <c r="A35" i="25" s="1"/>
  <c r="C58" i="454" l="1"/>
  <c r="A57" i="454"/>
  <c r="C36" i="25"/>
  <c r="A36" i="25" s="1"/>
  <c r="A58" i="454" l="1"/>
  <c r="C59" i="454"/>
  <c r="C37" i="25"/>
  <c r="A37" i="25" s="1"/>
  <c r="C60" i="454" l="1"/>
  <c r="A59" i="454"/>
  <c r="C38" i="25"/>
  <c r="A38" i="25" s="1"/>
  <c r="A60" i="454" l="1"/>
  <c r="C61" i="454"/>
  <c r="C39" i="25"/>
  <c r="A39" i="25" s="1"/>
  <c r="C62" i="454" l="1"/>
  <c r="A61" i="454"/>
  <c r="C40" i="25"/>
  <c r="A40" i="25" s="1"/>
  <c r="A62" i="454" l="1"/>
  <c r="C63" i="454"/>
  <c r="C41" i="25"/>
  <c r="A41" i="25" s="1"/>
  <c r="C64" i="454" l="1"/>
  <c r="A63" i="454"/>
  <c r="C42" i="25"/>
  <c r="A42" i="25" s="1"/>
  <c r="A64" i="454" l="1"/>
  <c r="C65" i="454"/>
  <c r="C43" i="25"/>
  <c r="A43" i="25" s="1"/>
  <c r="A65" i="454" l="1"/>
  <c r="C44" i="25"/>
  <c r="A44" i="25" s="1"/>
  <c r="C66" i="454" l="1"/>
  <c r="C45" i="25"/>
  <c r="A45" i="25" s="1"/>
  <c r="A66" i="454" l="1"/>
  <c r="C67" i="454"/>
  <c r="C46" i="25"/>
  <c r="A46" i="25" s="1"/>
  <c r="C68" i="454" l="1"/>
  <c r="A67" i="454"/>
  <c r="C47" i="25"/>
  <c r="A47" i="25" s="1"/>
  <c r="C69" i="454" l="1"/>
  <c r="A68" i="454"/>
  <c r="C48" i="25"/>
  <c r="A48" i="25" s="1"/>
  <c r="A69" i="454" l="1"/>
  <c r="C70" i="454"/>
  <c r="C49" i="25"/>
  <c r="A49" i="25" s="1"/>
  <c r="A70" i="454" l="1"/>
  <c r="C71" i="454"/>
  <c r="C50" i="25"/>
  <c r="A50" i="25" s="1"/>
  <c r="A71" i="454" l="1"/>
  <c r="C72" i="454"/>
  <c r="C51" i="25"/>
  <c r="A51" i="25" s="1"/>
  <c r="A72" i="454" l="1"/>
  <c r="C73" i="454"/>
  <c r="C52" i="25"/>
  <c r="A52" i="25" s="1"/>
  <c r="C74" i="454" l="1"/>
  <c r="A73" i="454"/>
  <c r="C53" i="25"/>
  <c r="A53" i="25" s="1"/>
  <c r="A74" i="454" l="1"/>
  <c r="C75" i="454"/>
  <c r="C54" i="25"/>
  <c r="A54" i="25" s="1"/>
  <c r="A75" i="454" l="1"/>
  <c r="C76" i="454"/>
  <c r="C55" i="25"/>
  <c r="A55" i="25" s="1"/>
  <c r="C77" i="454" l="1"/>
  <c r="A76" i="454"/>
  <c r="C56" i="25"/>
  <c r="A56" i="25" s="1"/>
  <c r="C78" i="454" l="1"/>
  <c r="A77" i="454"/>
  <c r="C57" i="25"/>
  <c r="A57" i="25" s="1"/>
  <c r="C79" i="454" l="1"/>
  <c r="A78" i="454"/>
  <c r="C58" i="25"/>
  <c r="A58" i="25" s="1"/>
  <c r="C80" i="454" l="1"/>
  <c r="A79" i="454"/>
  <c r="C59" i="25"/>
  <c r="A59" i="25" s="1"/>
  <c r="A80" i="454" l="1"/>
  <c r="C81" i="454"/>
  <c r="C60" i="25"/>
  <c r="A60" i="25" s="1"/>
  <c r="A81" i="454" l="1"/>
  <c r="C82" i="454"/>
  <c r="C61" i="25"/>
  <c r="A61" i="25" s="1"/>
  <c r="A82" i="454" l="1"/>
  <c r="C62" i="25"/>
  <c r="A62" i="25" s="1"/>
  <c r="C83" i="454" l="1"/>
  <c r="C63" i="25"/>
  <c r="A63" i="25" s="1"/>
  <c r="C84" i="454" l="1"/>
  <c r="A84" i="454" s="1"/>
  <c r="A83" i="454"/>
  <c r="C64" i="25"/>
  <c r="A64" i="25" s="1"/>
  <c r="C85" i="454" l="1"/>
  <c r="C65" i="25"/>
  <c r="A65" i="25" s="1"/>
  <c r="A85" i="454" l="1"/>
  <c r="C86" i="454"/>
  <c r="C66" i="25"/>
  <c r="A66" i="25" s="1"/>
  <c r="C87" i="454" l="1"/>
  <c r="A86" i="454"/>
  <c r="C67" i="25"/>
  <c r="A67" i="25" s="1"/>
  <c r="A87" i="454" l="1"/>
  <c r="C88" i="454"/>
  <c r="C68" i="25"/>
  <c r="A68" i="25" s="1"/>
  <c r="A88" i="454" l="1"/>
  <c r="C89" i="454"/>
  <c r="C69" i="25"/>
  <c r="A69" i="25" s="1"/>
  <c r="A89" i="454" l="1"/>
  <c r="C90" i="454"/>
  <c r="C70" i="25"/>
  <c r="A70" i="25" s="1"/>
  <c r="A90" i="454" l="1"/>
  <c r="C91" i="454"/>
  <c r="A91" i="454" s="1"/>
  <c r="C71" i="25"/>
  <c r="A71" i="25" s="1"/>
  <c r="C72" i="25" l="1"/>
  <c r="C73" i="25" s="1"/>
  <c r="A72" i="25" l="1"/>
  <c r="C74" i="25"/>
  <c r="A73" i="25"/>
  <c r="C75" i="25" l="1"/>
  <c r="A75" i="25" s="1"/>
  <c r="A74" i="25"/>
  <c r="C76" i="25" l="1"/>
  <c r="A76" i="25" s="1"/>
  <c r="C77" i="25" l="1"/>
  <c r="A77" i="25" s="1"/>
  <c r="C78" i="25" l="1"/>
  <c r="A78" i="25" s="1"/>
  <c r="C79" i="25" l="1"/>
  <c r="A79" i="25" s="1"/>
  <c r="C80" i="25" l="1"/>
  <c r="A80" i="25" s="1"/>
  <c r="C81" i="25" l="1"/>
  <c r="A81" i="25" s="1"/>
  <c r="C82" i="25" l="1"/>
  <c r="A82" i="25" s="1"/>
  <c r="C83" i="25" l="1"/>
  <c r="A83" i="25" s="1"/>
  <c r="C84" i="25" l="1"/>
  <c r="A84" i="25" s="1"/>
  <c r="C85" i="25" l="1"/>
  <c r="A85" i="25" s="1"/>
  <c r="C86" i="25" l="1"/>
  <c r="A86" i="25" s="1"/>
  <c r="C87" i="25" l="1"/>
  <c r="A87" i="25" s="1"/>
  <c r="C88" i="25" l="1"/>
  <c r="A88" i="25" s="1"/>
  <c r="C89" i="25" l="1"/>
  <c r="A89" i="25" s="1"/>
  <c r="C90" i="25" l="1"/>
  <c r="C91" i="25" s="1"/>
  <c r="A90" i="25" l="1"/>
  <c r="C92" i="25"/>
  <c r="A91" i="25"/>
  <c r="C93" i="25" l="1"/>
  <c r="C94" i="25" s="1"/>
  <c r="A92" i="25"/>
  <c r="A93" i="25" l="1"/>
  <c r="C95" i="25"/>
  <c r="A94" i="25"/>
  <c r="C96" i="25" l="1"/>
  <c r="A96" i="25" s="1"/>
  <c r="A95" i="25"/>
  <c r="C97" i="25" l="1"/>
  <c r="A97" i="25" s="1"/>
  <c r="C98" i="25" l="1"/>
  <c r="A98" i="25" s="1"/>
  <c r="C99" i="25" l="1"/>
  <c r="A99" i="25" s="1"/>
  <c r="C100" i="25" l="1"/>
  <c r="A100" i="25" s="1"/>
  <c r="C101" i="25" l="1"/>
  <c r="C923" i="440" l="1"/>
  <c r="A101" i="25"/>
  <c r="D2073" i="440" s="1"/>
  <c r="A875" i="440"/>
  <c r="A830" i="440"/>
  <c r="A785" i="440"/>
  <c r="A740" i="440"/>
  <c r="A650" i="440"/>
  <c r="A605" i="440"/>
  <c r="A560" i="440"/>
  <c r="A515" i="440"/>
  <c r="A470" i="440"/>
  <c r="A425" i="440"/>
  <c r="A380" i="440"/>
  <c r="A335" i="440"/>
  <c r="A290" i="440"/>
  <c r="A245" i="440"/>
  <c r="A200" i="440"/>
  <c r="A155" i="440"/>
  <c r="A110" i="440"/>
  <c r="A65" i="440"/>
  <c r="A20" i="440"/>
  <c r="C115" i="439"/>
  <c r="D969" i="440" l="1"/>
  <c r="C1245" i="440"/>
  <c r="A965" i="440"/>
  <c r="D923" i="440"/>
  <c r="A919" i="440"/>
  <c r="C969" i="440"/>
  <c r="C1061" i="440"/>
  <c r="D1015" i="440"/>
  <c r="D1153" i="440"/>
  <c r="C1199" i="440"/>
  <c r="A1977" i="440"/>
  <c r="A1011" i="440"/>
  <c r="A1057" i="440"/>
  <c r="C1107" i="440"/>
  <c r="A1149" i="440"/>
  <c r="A1195" i="440"/>
  <c r="C1015" i="440"/>
  <c r="C1153" i="440"/>
  <c r="A1103" i="440"/>
  <c r="D1199" i="440"/>
  <c r="D1107" i="440"/>
  <c r="D1061" i="440"/>
  <c r="C1751" i="440"/>
  <c r="D1245" i="440"/>
  <c r="C1797" i="440"/>
  <c r="A1701" i="440"/>
  <c r="A1241" i="440"/>
  <c r="A1609" i="440"/>
  <c r="A1747" i="440"/>
  <c r="C1659" i="440"/>
  <c r="A1885" i="440"/>
  <c r="D1889" i="440"/>
  <c r="D1337" i="440"/>
  <c r="C1889" i="440"/>
  <c r="D1521" i="440"/>
  <c r="D1797" i="440"/>
  <c r="A1425" i="440"/>
  <c r="C1613" i="440"/>
  <c r="A1287" i="440"/>
  <c r="A1839" i="440"/>
  <c r="C1337" i="440"/>
  <c r="D1705" i="440"/>
  <c r="D1751" i="440"/>
  <c r="C1843" i="440"/>
  <c r="D1291" i="440"/>
  <c r="D1659" i="440"/>
  <c r="D1981" i="440"/>
  <c r="D1429" i="440"/>
  <c r="C1475" i="440"/>
  <c r="C1935" i="440"/>
  <c r="A1333" i="440"/>
  <c r="C1705" i="440"/>
  <c r="D1935" i="440"/>
  <c r="D1567" i="440"/>
  <c r="D1383" i="440"/>
  <c r="C1383" i="440"/>
  <c r="D1843" i="440"/>
  <c r="A1471" i="440"/>
  <c r="A1655" i="440"/>
  <c r="D1475" i="440"/>
  <c r="A1931" i="440"/>
  <c r="D1613" i="440"/>
  <c r="A1379" i="440"/>
  <c r="A1793" i="440"/>
  <c r="C1567" i="440"/>
  <c r="A1563" i="440"/>
  <c r="C1981" i="440"/>
  <c r="C1291" i="440"/>
  <c r="C1521" i="440"/>
  <c r="A1517" i="440"/>
  <c r="C1429" i="440"/>
  <c r="C2073" i="440"/>
  <c r="A2115" i="440"/>
  <c r="A2161" i="440"/>
  <c r="C2119" i="440"/>
  <c r="D2165" i="440"/>
  <c r="C2027" i="440"/>
  <c r="A2023" i="440"/>
  <c r="D2027" i="440"/>
  <c r="C2165" i="440"/>
  <c r="D2119" i="440"/>
  <c r="A2069" i="440"/>
  <c r="H7" i="26" l="1"/>
  <c r="A6" i="438" l="1"/>
  <c r="C5" i="438"/>
  <c r="H28" i="437"/>
  <c r="C1" i="26" l="1"/>
  <c r="B26" i="437"/>
  <c r="A4" i="439"/>
  <c r="F39" i="437"/>
  <c r="F38" i="437"/>
  <c r="I50" i="430" l="1"/>
  <c r="B50" i="430"/>
  <c r="I49" i="430"/>
  <c r="D49" i="430"/>
  <c r="I48" i="430"/>
  <c r="D48" i="430"/>
  <c r="D8" i="430"/>
  <c r="H8" i="430" s="1"/>
  <c r="G3" i="430"/>
  <c r="E6" i="33"/>
  <c r="E5" i="33"/>
  <c r="E12" i="206"/>
  <c r="B32" i="206"/>
  <c r="I2" i="421"/>
  <c r="D7" i="418"/>
  <c r="F27" i="418"/>
  <c r="F26" i="418"/>
  <c r="F25" i="418"/>
  <c r="D27" i="418"/>
  <c r="D26" i="418"/>
  <c r="D25" i="418"/>
  <c r="H25" i="418"/>
  <c r="B27" i="418"/>
  <c r="I11" i="430" l="1"/>
  <c r="I12" i="430" s="1"/>
  <c r="I13" i="430" s="1"/>
  <c r="C31" i="26"/>
  <c r="D31" i="26" s="1"/>
  <c r="B41" i="36" l="1"/>
  <c r="B42" i="36"/>
  <c r="N43" i="36"/>
  <c r="N42" i="36"/>
  <c r="K19" i="26"/>
  <c r="D36" i="26" s="1"/>
  <c r="N91" i="25" l="1"/>
  <c r="N104" i="25" s="1"/>
  <c r="D16" i="36" l="1"/>
  <c r="C17" i="36"/>
  <c r="C32" i="36" s="1"/>
  <c r="D16" i="430"/>
  <c r="G16" i="430" s="1"/>
  <c r="F16" i="421"/>
  <c r="D16" i="37"/>
  <c r="G16" i="37" s="1"/>
  <c r="I16" i="36"/>
  <c r="J16" i="36" s="1"/>
  <c r="K16" i="36"/>
  <c r="L16" i="36" s="1"/>
  <c r="D15" i="37"/>
  <c r="G15" i="37" s="1"/>
  <c r="K15" i="36"/>
  <c r="L15" i="36" s="1"/>
  <c r="I15" i="36"/>
  <c r="F15" i="421"/>
  <c r="D15" i="430"/>
  <c r="G15" i="430" s="1"/>
  <c r="D15" i="36"/>
  <c r="S91" i="25"/>
  <c r="K22" i="26"/>
  <c r="F57" i="33"/>
  <c r="F56" i="33"/>
  <c r="B57" i="33"/>
  <c r="B56" i="33"/>
  <c r="G38" i="38"/>
  <c r="I52" i="37"/>
  <c r="I53" i="37"/>
  <c r="I54" i="37"/>
  <c r="B54" i="37"/>
  <c r="B53" i="37"/>
  <c r="B52" i="37"/>
  <c r="N41" i="36"/>
  <c r="G37" i="38"/>
  <c r="G36" i="38"/>
  <c r="C27" i="26" l="1"/>
  <c r="D37" i="26"/>
  <c r="D38" i="26" s="1"/>
  <c r="D17" i="36"/>
  <c r="D32" i="36" s="1"/>
  <c r="I17" i="36"/>
  <c r="J17" i="36" s="1"/>
  <c r="J32" i="36" s="1"/>
  <c r="D17" i="430"/>
  <c r="G17" i="430" s="1"/>
  <c r="K17" i="36"/>
  <c r="L17" i="36" s="1"/>
  <c r="R17" i="36" s="1"/>
  <c r="R32" i="36" s="1"/>
  <c r="D41" i="26" s="1"/>
  <c r="F17" i="421"/>
  <c r="D17" i="37"/>
  <c r="G17" i="37" s="1"/>
  <c r="K31" i="26"/>
  <c r="H16" i="430"/>
  <c r="Q16" i="36"/>
  <c r="H16" i="421" s="1"/>
  <c r="H16" i="37"/>
  <c r="R16" i="36"/>
  <c r="Q15" i="36"/>
  <c r="H15" i="421" s="1"/>
  <c r="J15" i="36"/>
  <c r="R15" i="36" s="1"/>
  <c r="K20" i="26"/>
  <c r="S104" i="25"/>
  <c r="D14" i="36"/>
  <c r="R47" i="25"/>
  <c r="R41" i="25"/>
  <c r="R34" i="25"/>
  <c r="R35" i="25"/>
  <c r="R51" i="25"/>
  <c r="R68" i="25"/>
  <c r="R69" i="25"/>
  <c r="R48" i="25"/>
  <c r="R50" i="25"/>
  <c r="R39" i="25"/>
  <c r="R72" i="25"/>
  <c r="R60" i="25"/>
  <c r="R61" i="25"/>
  <c r="R65" i="25"/>
  <c r="R52" i="25"/>
  <c r="R55" i="25"/>
  <c r="R64" i="25"/>
  <c r="R38" i="25"/>
  <c r="R37" i="25"/>
  <c r="R44" i="25"/>
  <c r="R56" i="25"/>
  <c r="R59" i="25"/>
  <c r="R49" i="25"/>
  <c r="R40" i="25"/>
  <c r="R53" i="25"/>
  <c r="R54" i="25"/>
  <c r="R36" i="25"/>
  <c r="R45" i="25"/>
  <c r="R57" i="25"/>
  <c r="R46" i="25"/>
  <c r="R58" i="25"/>
  <c r="J35" i="26" l="1"/>
  <c r="Q17" i="36"/>
  <c r="I17" i="37"/>
  <c r="H17" i="37"/>
  <c r="H41" i="37" s="1"/>
  <c r="L17" i="421"/>
  <c r="M17" i="421" s="1"/>
  <c r="G17" i="421"/>
  <c r="I17" i="430"/>
  <c r="H17" i="430"/>
  <c r="U49" i="25"/>
  <c r="V49" i="25" s="1"/>
  <c r="W49" i="25"/>
  <c r="U69" i="25"/>
  <c r="V69" i="25" s="1"/>
  <c r="W69" i="25"/>
  <c r="U59" i="25"/>
  <c r="V59" i="25" s="1"/>
  <c r="W59" i="25"/>
  <c r="U68" i="25"/>
  <c r="V68" i="25" s="1"/>
  <c r="W68" i="25"/>
  <c r="U56" i="25"/>
  <c r="V56" i="25" s="1"/>
  <c r="W56" i="25"/>
  <c r="U41" i="25"/>
  <c r="V41" i="25" s="1"/>
  <c r="W41" i="25"/>
  <c r="U46" i="25"/>
  <c r="V46" i="25" s="1"/>
  <c r="W46" i="25"/>
  <c r="U65" i="25"/>
  <c r="V65" i="25" s="1"/>
  <c r="W65" i="25"/>
  <c r="U44" i="25"/>
  <c r="V44" i="25" s="1"/>
  <c r="W44" i="25"/>
  <c r="U35" i="25"/>
  <c r="V35" i="25" s="1"/>
  <c r="W35" i="25"/>
  <c r="U37" i="25"/>
  <c r="V37" i="25" s="1"/>
  <c r="W37" i="25"/>
  <c r="U72" i="25"/>
  <c r="V72" i="25" s="1"/>
  <c r="W72" i="25"/>
  <c r="U34" i="25"/>
  <c r="V34" i="25" s="1"/>
  <c r="W34" i="25"/>
  <c r="U38" i="25"/>
  <c r="V38" i="25" s="1"/>
  <c r="W38" i="25"/>
  <c r="U64" i="25"/>
  <c r="V64" i="25" s="1"/>
  <c r="W64" i="25"/>
  <c r="U47" i="25"/>
  <c r="V47" i="25" s="1"/>
  <c r="W47" i="25"/>
  <c r="U58" i="25"/>
  <c r="V58" i="25" s="1"/>
  <c r="W58" i="25"/>
  <c r="U52" i="25"/>
  <c r="V52" i="25" s="1"/>
  <c r="W52" i="25"/>
  <c r="U57" i="25"/>
  <c r="V57" i="25" s="1"/>
  <c r="W57" i="25"/>
  <c r="U61" i="25"/>
  <c r="V61" i="25" s="1"/>
  <c r="W61" i="25"/>
  <c r="U51" i="25"/>
  <c r="V51" i="25" s="1"/>
  <c r="W51" i="25"/>
  <c r="U45" i="25"/>
  <c r="V45" i="25" s="1"/>
  <c r="W45" i="25"/>
  <c r="U60" i="25"/>
  <c r="V60" i="25" s="1"/>
  <c r="W60" i="25"/>
  <c r="U36" i="25"/>
  <c r="V36" i="25" s="1"/>
  <c r="W36" i="25"/>
  <c r="U54" i="25"/>
  <c r="V54" i="25" s="1"/>
  <c r="W54" i="25"/>
  <c r="U39" i="25"/>
  <c r="V39" i="25" s="1"/>
  <c r="W39" i="25"/>
  <c r="U53" i="25"/>
  <c r="V53" i="25" s="1"/>
  <c r="W53" i="25"/>
  <c r="U50" i="25"/>
  <c r="V50" i="25" s="1"/>
  <c r="W50" i="25"/>
  <c r="U40" i="25"/>
  <c r="V40" i="25" s="1"/>
  <c r="W40" i="25"/>
  <c r="U55" i="25"/>
  <c r="V55" i="25" s="1"/>
  <c r="W55" i="25"/>
  <c r="U48" i="25"/>
  <c r="V48" i="25" s="1"/>
  <c r="W48" i="25"/>
  <c r="D14" i="430"/>
  <c r="G14" i="430" s="1"/>
  <c r="D14" i="37"/>
  <c r="G14" i="37" s="1"/>
  <c r="K14" i="36"/>
  <c r="I14" i="36"/>
  <c r="I32" i="36" s="1"/>
  <c r="C28" i="26" s="1"/>
  <c r="C26" i="26" s="1"/>
  <c r="R66" i="25"/>
  <c r="R70" i="25"/>
  <c r="H17" i="421" l="1"/>
  <c r="I41" i="37"/>
  <c r="G41" i="37"/>
  <c r="U66" i="25"/>
  <c r="V66" i="25" s="1"/>
  <c r="W66" i="25"/>
  <c r="U70" i="25"/>
  <c r="V70" i="25" s="1"/>
  <c r="W70" i="25"/>
  <c r="K29" i="26"/>
  <c r="K30" i="26" s="1"/>
  <c r="H14" i="37"/>
  <c r="H15" i="37" s="1"/>
  <c r="I14" i="37"/>
  <c r="I15" i="37" s="1"/>
  <c r="I16" i="37" s="1"/>
  <c r="G14" i="421"/>
  <c r="G15" i="421" s="1"/>
  <c r="G16" i="421" s="1"/>
  <c r="I14" i="430"/>
  <c r="I15" i="430" s="1"/>
  <c r="H14" i="430"/>
  <c r="J14" i="36"/>
  <c r="L14" i="36"/>
  <c r="L32" i="36" s="1"/>
  <c r="K32" i="36"/>
  <c r="D27" i="26"/>
  <c r="Q14" i="36"/>
  <c r="Q32" i="36" s="1"/>
  <c r="I11" i="421"/>
  <c r="I12" i="421" s="1"/>
  <c r="I13" i="421" s="1"/>
  <c r="K25" i="26"/>
  <c r="I17" i="421" l="1"/>
  <c r="N17" i="421"/>
  <c r="O17" i="421" s="1"/>
  <c r="K17" i="430"/>
  <c r="I16" i="430"/>
  <c r="D26" i="26"/>
  <c r="C29" i="26"/>
  <c r="F15" i="430"/>
  <c r="H15" i="430"/>
  <c r="F15" i="37"/>
  <c r="H14" i="421"/>
  <c r="R14" i="36"/>
  <c r="Y32" i="25"/>
  <c r="Y33" i="25"/>
  <c r="Y42" i="25"/>
  <c r="Y43" i="25"/>
  <c r="Y62" i="25"/>
  <c r="Y63" i="25"/>
  <c r="Y83" i="25"/>
  <c r="Y84" i="25"/>
  <c r="Y87" i="25"/>
  <c r="Y88" i="25"/>
  <c r="H39" i="430" l="1"/>
  <c r="F39" i="430"/>
  <c r="F40" i="430" s="1"/>
  <c r="I14" i="421"/>
  <c r="I15" i="421" s="1"/>
  <c r="I16" i="421" s="1"/>
  <c r="H40" i="430" l="1"/>
  <c r="I39" i="430"/>
  <c r="I40" i="430" s="1"/>
  <c r="K26" i="26"/>
  <c r="C34" i="26" l="1"/>
  <c r="D34" i="26" s="1"/>
  <c r="D35" i="26" s="1"/>
  <c r="G42" i="37"/>
  <c r="H42" i="37"/>
  <c r="K28" i="26"/>
  <c r="K81" i="421"/>
  <c r="J81" i="421"/>
  <c r="L38" i="421"/>
  <c r="D38" i="421"/>
  <c r="L37" i="421"/>
  <c r="E37" i="421"/>
  <c r="L36" i="421"/>
  <c r="E36" i="421"/>
  <c r="E7" i="421"/>
  <c r="F3" i="421"/>
  <c r="J34" i="26" l="1"/>
  <c r="J36" i="26" s="1"/>
  <c r="D40" i="26" s="1"/>
  <c r="D39" i="26" s="1"/>
  <c r="J22" i="421"/>
  <c r="J16" i="421"/>
  <c r="L16" i="421"/>
  <c r="N16" i="421"/>
  <c r="K27" i="26"/>
  <c r="C33" i="26"/>
  <c r="L15" i="421"/>
  <c r="N15" i="421"/>
  <c r="L13" i="421"/>
  <c r="N12" i="421"/>
  <c r="N13" i="421"/>
  <c r="L14" i="421"/>
  <c r="N14" i="421"/>
  <c r="J21" i="421"/>
  <c r="J19" i="421"/>
  <c r="J20" i="421"/>
  <c r="L11" i="421"/>
  <c r="J11" i="421"/>
  <c r="K11" i="421" s="1"/>
  <c r="J12" i="421"/>
  <c r="L12" i="421"/>
  <c r="M12" i="421" s="1"/>
  <c r="J14" i="421"/>
  <c r="J17" i="421"/>
  <c r="J15" i="421"/>
  <c r="J18" i="421"/>
  <c r="J13" i="421"/>
  <c r="N11" i="421"/>
  <c r="O11" i="421" s="1"/>
  <c r="C32" i="26" l="1"/>
  <c r="D32" i="26" s="1"/>
  <c r="D33" i="26"/>
  <c r="M13" i="421"/>
  <c r="M14" i="421" s="1"/>
  <c r="M15" i="421" s="1"/>
  <c r="M16" i="421" s="1"/>
  <c r="O12" i="421"/>
  <c r="O13" i="421" s="1"/>
  <c r="O14" i="421" s="1"/>
  <c r="O15" i="421" s="1"/>
  <c r="O16" i="421" s="1"/>
  <c r="K12" i="421"/>
  <c r="K13" i="421" s="1"/>
  <c r="K14" i="421" s="1"/>
  <c r="K15" i="421" s="1"/>
  <c r="K16" i="421" s="1"/>
  <c r="K17" i="421" l="1"/>
  <c r="K18" i="421" s="1"/>
  <c r="K19" i="421" s="1"/>
  <c r="K20" i="421" s="1"/>
  <c r="K21" i="421" s="1"/>
  <c r="K22" i="421" s="1"/>
  <c r="B26" i="418"/>
  <c r="B25" i="418"/>
  <c r="R42" i="25" l="1"/>
  <c r="U42" i="25" l="1"/>
  <c r="V42" i="25" s="1"/>
  <c r="W42" i="25"/>
  <c r="B60" i="26"/>
  <c r="B59" i="26"/>
  <c r="I50" i="26"/>
  <c r="I49" i="26"/>
  <c r="G50" i="26"/>
  <c r="G49" i="26"/>
  <c r="J32" i="206"/>
  <c r="J31" i="206"/>
  <c r="J30" i="206"/>
  <c r="F32" i="206"/>
  <c r="F31" i="206"/>
  <c r="F30" i="206"/>
  <c r="B31" i="206"/>
  <c r="B30" i="206"/>
  <c r="A28" i="388"/>
  <c r="A29" i="388" s="1"/>
  <c r="A30" i="388" s="1"/>
  <c r="A31" i="388" s="1"/>
  <c r="A32" i="388" s="1"/>
  <c r="A33" i="388" s="1"/>
  <c r="A34" i="388" s="1"/>
  <c r="A35" i="388" s="1"/>
  <c r="A36" i="388" s="1"/>
  <c r="A37" i="388" s="1"/>
  <c r="A38" i="388" s="1"/>
  <c r="A39" i="388" s="1"/>
  <c r="A40" i="388" s="1"/>
  <c r="A41" i="388" s="1"/>
  <c r="A42" i="388" s="1"/>
  <c r="A43" i="388" s="1"/>
  <c r="A44" i="388" s="1"/>
  <c r="A45" i="388" s="1"/>
  <c r="A46" i="388" s="1"/>
  <c r="A47" i="388" s="1"/>
  <c r="A48" i="388" s="1"/>
  <c r="A49" i="388" s="1"/>
  <c r="A50" i="388" s="1"/>
  <c r="A51" i="388" s="1"/>
  <c r="A52" i="388" s="1"/>
  <c r="A53" i="388" s="1"/>
  <c r="A54" i="388" s="1"/>
  <c r="A55" i="388" s="1"/>
  <c r="A25" i="388"/>
  <c r="A24" i="388"/>
  <c r="A23" i="388"/>
  <c r="A22" i="388"/>
  <c r="A21" i="388"/>
  <c r="A20" i="388"/>
  <c r="A19" i="388"/>
  <c r="A18" i="388"/>
  <c r="A17" i="388"/>
  <c r="A16" i="388"/>
  <c r="A15" i="388"/>
  <c r="A14" i="388"/>
  <c r="A13" i="388"/>
  <c r="A12" i="388"/>
  <c r="A11" i="388"/>
  <c r="A10" i="388"/>
  <c r="A9" i="388"/>
  <c r="A8" i="388"/>
  <c r="A7" i="388"/>
  <c r="A6" i="388"/>
  <c r="A5" i="388"/>
  <c r="A4" i="388"/>
  <c r="A3" i="388"/>
  <c r="A2" i="388"/>
  <c r="A1" i="388"/>
  <c r="E45" i="388" s="1"/>
  <c r="U48" i="388" s="1"/>
  <c r="R62" i="25" l="1"/>
  <c r="W62" i="25" s="1"/>
  <c r="E122" i="388"/>
  <c r="U125" i="388" s="1"/>
  <c r="E133" i="388"/>
  <c r="U136" i="388" s="1"/>
  <c r="E144" i="388"/>
  <c r="U147" i="388" s="1"/>
  <c r="E155" i="388"/>
  <c r="U158" i="388" s="1"/>
  <c r="E166" i="388"/>
  <c r="U169" i="388" s="1"/>
  <c r="E177" i="388"/>
  <c r="U180" i="388" s="1"/>
  <c r="E188" i="388"/>
  <c r="U191" i="388" s="1"/>
  <c r="E199" i="388"/>
  <c r="U202" i="388" s="1"/>
  <c r="E210" i="388"/>
  <c r="U213" i="388" s="1"/>
  <c r="E221" i="388"/>
  <c r="U224" i="388" s="1"/>
  <c r="E232" i="388"/>
  <c r="U235" i="388" s="1"/>
  <c r="E243" i="388"/>
  <c r="U246" i="388" s="1"/>
  <c r="E254" i="388"/>
  <c r="U257" i="388" s="1"/>
  <c r="E265" i="388"/>
  <c r="U268" i="388" s="1"/>
  <c r="E276" i="388"/>
  <c r="U279" i="388" s="1"/>
  <c r="E48" i="388"/>
  <c r="E56" i="388"/>
  <c r="U59" i="388" s="1"/>
  <c r="E78" i="388"/>
  <c r="U81" i="388" s="1"/>
  <c r="E100" i="388"/>
  <c r="U103" i="388" s="1"/>
  <c r="E67" i="388"/>
  <c r="U70" i="388" s="1"/>
  <c r="E89" i="388"/>
  <c r="U92" i="388" s="1"/>
  <c r="E111" i="388"/>
  <c r="U114" i="388" s="1"/>
  <c r="R73" i="25" l="1"/>
  <c r="U62" i="25"/>
  <c r="Y31" i="25"/>
  <c r="G53" i="388"/>
  <c r="J50" i="388"/>
  <c r="E49" i="388"/>
  <c r="G49" i="388" s="1"/>
  <c r="H48" i="388"/>
  <c r="E46" i="388"/>
  <c r="H53" i="388"/>
  <c r="E50" i="388"/>
  <c r="G50" i="388" s="1"/>
  <c r="J49" i="388"/>
  <c r="E279" i="388"/>
  <c r="E268" i="388"/>
  <c r="E257" i="388"/>
  <c r="E246" i="388"/>
  <c r="E235" i="388"/>
  <c r="E224" i="388"/>
  <c r="E213" i="388"/>
  <c r="E202" i="388"/>
  <c r="E191" i="388"/>
  <c r="E180" i="388"/>
  <c r="E169" i="388"/>
  <c r="E158" i="388"/>
  <c r="E147" i="388"/>
  <c r="E136" i="388"/>
  <c r="E125" i="388"/>
  <c r="E81" i="388"/>
  <c r="E114" i="388"/>
  <c r="E70" i="388"/>
  <c r="E103" i="388"/>
  <c r="E59" i="388"/>
  <c r="E92" i="388"/>
  <c r="U73" i="25" l="1"/>
  <c r="V73" i="25" s="1"/>
  <c r="W73" i="25"/>
  <c r="V62" i="25"/>
  <c r="E51" i="388"/>
  <c r="G51" i="388" s="1"/>
  <c r="H64" i="388"/>
  <c r="J61" i="388"/>
  <c r="J60" i="388"/>
  <c r="H59" i="388"/>
  <c r="E57" i="388"/>
  <c r="E61" i="388"/>
  <c r="G61" i="388" s="1"/>
  <c r="E60" i="388"/>
  <c r="G60" i="388" s="1"/>
  <c r="E72" i="388"/>
  <c r="G72" i="388" s="1"/>
  <c r="E71" i="388"/>
  <c r="G71" i="388" s="1"/>
  <c r="H75" i="388"/>
  <c r="J72" i="388"/>
  <c r="J71" i="388"/>
  <c r="H70" i="388"/>
  <c r="E68" i="388"/>
  <c r="H86" i="388"/>
  <c r="J83" i="388"/>
  <c r="J82" i="388"/>
  <c r="H81" i="388"/>
  <c r="E79" i="388"/>
  <c r="E83" i="388"/>
  <c r="G83" i="388" s="1"/>
  <c r="E82" i="388"/>
  <c r="G82" i="388" s="1"/>
  <c r="E127" i="388"/>
  <c r="G127" i="388" s="1"/>
  <c r="E126" i="388"/>
  <c r="G126" i="388" s="1"/>
  <c r="H130" i="388"/>
  <c r="J127" i="388"/>
  <c r="J126" i="388"/>
  <c r="H125" i="388"/>
  <c r="E123" i="388"/>
  <c r="E149" i="388"/>
  <c r="G149" i="388" s="1"/>
  <c r="E148" i="388"/>
  <c r="G148" i="388" s="1"/>
  <c r="H152" i="388"/>
  <c r="J149" i="388"/>
  <c r="J148" i="388"/>
  <c r="H147" i="388"/>
  <c r="E145" i="388"/>
  <c r="E171" i="388"/>
  <c r="G171" i="388" s="1"/>
  <c r="E170" i="388"/>
  <c r="G170" i="388" s="1"/>
  <c r="H174" i="388"/>
  <c r="J171" i="388"/>
  <c r="J170" i="388"/>
  <c r="H169" i="388"/>
  <c r="E167" i="388"/>
  <c r="E193" i="388"/>
  <c r="G193" i="388" s="1"/>
  <c r="E192" i="388"/>
  <c r="G192" i="388" s="1"/>
  <c r="H196" i="388"/>
  <c r="J193" i="388"/>
  <c r="J192" i="388"/>
  <c r="H191" i="388"/>
  <c r="E189" i="388"/>
  <c r="E215" i="388"/>
  <c r="G215" i="388" s="1"/>
  <c r="E214" i="388"/>
  <c r="G214" i="388" s="1"/>
  <c r="H218" i="388"/>
  <c r="J215" i="388"/>
  <c r="J214" i="388"/>
  <c r="H213" i="388"/>
  <c r="E211" i="388"/>
  <c r="E237" i="388"/>
  <c r="G237" i="388" s="1"/>
  <c r="E236" i="388"/>
  <c r="G236" i="388" s="1"/>
  <c r="H240" i="388"/>
  <c r="J237" i="388"/>
  <c r="J236" i="388"/>
  <c r="H235" i="388"/>
  <c r="E233" i="388"/>
  <c r="E259" i="388"/>
  <c r="G259" i="388" s="1"/>
  <c r="E258" i="388"/>
  <c r="G258" i="388" s="1"/>
  <c r="H262" i="388"/>
  <c r="J259" i="388"/>
  <c r="J258" i="388"/>
  <c r="H257" i="388"/>
  <c r="E255" i="388"/>
  <c r="G284" i="388"/>
  <c r="E281" i="388"/>
  <c r="G281" i="388" s="1"/>
  <c r="U281" i="388" s="1"/>
  <c r="E280" i="388"/>
  <c r="G280" i="388" s="1"/>
  <c r="H284" i="388"/>
  <c r="G283" i="388"/>
  <c r="J281" i="388"/>
  <c r="U282" i="388" s="1"/>
  <c r="J280" i="388"/>
  <c r="H279" i="388"/>
  <c r="E277" i="388"/>
  <c r="H49" i="388"/>
  <c r="H51" i="388" s="1"/>
  <c r="H50" i="388"/>
  <c r="K48" i="388"/>
  <c r="E94" i="388"/>
  <c r="G94" i="388" s="1"/>
  <c r="E93" i="388"/>
  <c r="G93" i="388" s="1"/>
  <c r="H97" i="388"/>
  <c r="J94" i="388"/>
  <c r="J93" i="388"/>
  <c r="H92" i="388"/>
  <c r="E90" i="388"/>
  <c r="H108" i="388"/>
  <c r="J105" i="388"/>
  <c r="J104" i="388"/>
  <c r="H103" i="388"/>
  <c r="E101" i="388"/>
  <c r="E105" i="388"/>
  <c r="G105" i="388" s="1"/>
  <c r="E104" i="388"/>
  <c r="G104" i="388" s="1"/>
  <c r="E116" i="388"/>
  <c r="G116" i="388" s="1"/>
  <c r="E115" i="388"/>
  <c r="G115" i="388" s="1"/>
  <c r="H119" i="388"/>
  <c r="J116" i="388"/>
  <c r="J115" i="388"/>
  <c r="H114" i="388"/>
  <c r="E112" i="388"/>
  <c r="H141" i="388"/>
  <c r="J138" i="388"/>
  <c r="J137" i="388"/>
  <c r="H136" i="388"/>
  <c r="E134" i="388"/>
  <c r="E138" i="388"/>
  <c r="G138" i="388" s="1"/>
  <c r="E137" i="388"/>
  <c r="G137" i="388" s="1"/>
  <c r="H163" i="388"/>
  <c r="J160" i="388"/>
  <c r="J159" i="388"/>
  <c r="H158" i="388"/>
  <c r="E156" i="388"/>
  <c r="E160" i="388"/>
  <c r="G160" i="388" s="1"/>
  <c r="E159" i="388"/>
  <c r="G159" i="388" s="1"/>
  <c r="H185" i="388"/>
  <c r="J182" i="388"/>
  <c r="J181" i="388"/>
  <c r="H180" i="388"/>
  <c r="E178" i="388"/>
  <c r="E182" i="388"/>
  <c r="G182" i="388" s="1"/>
  <c r="E181" i="388"/>
  <c r="G181" i="388" s="1"/>
  <c r="H207" i="388"/>
  <c r="J204" i="388"/>
  <c r="J203" i="388"/>
  <c r="H202" i="388"/>
  <c r="E200" i="388"/>
  <c r="E204" i="388"/>
  <c r="G204" i="388" s="1"/>
  <c r="E203" i="388"/>
  <c r="G203" i="388" s="1"/>
  <c r="H229" i="388"/>
  <c r="J226" i="388"/>
  <c r="J225" i="388"/>
  <c r="H224" i="388"/>
  <c r="E222" i="388"/>
  <c r="G229" i="388"/>
  <c r="E226" i="388"/>
  <c r="G226" i="388" s="1"/>
  <c r="E225" i="388"/>
  <c r="G225" i="388" s="1"/>
  <c r="H251" i="388"/>
  <c r="J248" i="388"/>
  <c r="J247" i="388"/>
  <c r="H246" i="388"/>
  <c r="E244" i="388"/>
  <c r="E248" i="388"/>
  <c r="G248" i="388" s="1"/>
  <c r="E247" i="388"/>
  <c r="G247" i="388" s="1"/>
  <c r="H273" i="388"/>
  <c r="J270" i="388"/>
  <c r="J269" i="388"/>
  <c r="H268" i="388"/>
  <c r="E266" i="388"/>
  <c r="G273" i="388"/>
  <c r="E270" i="388"/>
  <c r="G270" i="388" s="1"/>
  <c r="E269" i="388"/>
  <c r="G269" i="388" s="1"/>
  <c r="E52" i="388" l="1"/>
  <c r="G52" i="388" s="1"/>
  <c r="U50" i="388" s="1"/>
  <c r="E117" i="388"/>
  <c r="G117" i="388" s="1"/>
  <c r="E282" i="388"/>
  <c r="G282" i="388" s="1"/>
  <c r="J51" i="388"/>
  <c r="H52" i="388"/>
  <c r="J52" i="388" s="1"/>
  <c r="E73" i="388"/>
  <c r="G73" i="388" s="1"/>
  <c r="E95" i="388"/>
  <c r="G95" i="388" s="1"/>
  <c r="E260" i="388"/>
  <c r="G260" i="388" s="1"/>
  <c r="E238" i="388"/>
  <c r="G238" i="388" s="1"/>
  <c r="E216" i="388"/>
  <c r="G216" i="388" s="1"/>
  <c r="E194" i="388"/>
  <c r="G194" i="388" s="1"/>
  <c r="E172" i="388"/>
  <c r="G172" i="388" s="1"/>
  <c r="E150" i="388"/>
  <c r="G150" i="388" s="1"/>
  <c r="E128" i="388"/>
  <c r="G128" i="388" s="1"/>
  <c r="H281" i="388"/>
  <c r="H280" i="388"/>
  <c r="H282" i="388" s="1"/>
  <c r="K279" i="388"/>
  <c r="J283" i="388"/>
  <c r="H259" i="388"/>
  <c r="H258" i="388"/>
  <c r="H260" i="388" s="1"/>
  <c r="K257" i="388"/>
  <c r="H237" i="388"/>
  <c r="H236" i="388"/>
  <c r="H238" i="388" s="1"/>
  <c r="K235" i="388"/>
  <c r="H215" i="388"/>
  <c r="H214" i="388"/>
  <c r="H216" i="388" s="1"/>
  <c r="K213" i="388"/>
  <c r="H193" i="388"/>
  <c r="H192" i="388"/>
  <c r="H194" i="388" s="1"/>
  <c r="K191" i="388"/>
  <c r="H171" i="388"/>
  <c r="H170" i="388"/>
  <c r="H172" i="388" s="1"/>
  <c r="K169" i="388"/>
  <c r="H149" i="388"/>
  <c r="H148" i="388"/>
  <c r="H150" i="388" s="1"/>
  <c r="K147" i="388"/>
  <c r="H127" i="388"/>
  <c r="H126" i="388"/>
  <c r="H128" i="388" s="1"/>
  <c r="K125" i="388"/>
  <c r="H83" i="388"/>
  <c r="H82" i="388"/>
  <c r="H84" i="388" s="1"/>
  <c r="K81" i="388"/>
  <c r="H72" i="388"/>
  <c r="H71" i="388"/>
  <c r="H73" i="388" s="1"/>
  <c r="K70" i="388"/>
  <c r="H61" i="388"/>
  <c r="H60" i="388"/>
  <c r="H62" i="388" s="1"/>
  <c r="K59" i="388"/>
  <c r="E271" i="388"/>
  <c r="E249" i="388"/>
  <c r="E227" i="388"/>
  <c r="E205" i="388"/>
  <c r="E183" i="388"/>
  <c r="E161" i="388"/>
  <c r="E139" i="388"/>
  <c r="E106" i="388"/>
  <c r="H270" i="388"/>
  <c r="H269" i="388"/>
  <c r="H271" i="388" s="1"/>
  <c r="K268" i="388"/>
  <c r="H248" i="388"/>
  <c r="H247" i="388"/>
  <c r="H249" i="388" s="1"/>
  <c r="K246" i="388"/>
  <c r="H226" i="388"/>
  <c r="H225" i="388"/>
  <c r="H227" i="388" s="1"/>
  <c r="K224" i="388"/>
  <c r="H204" i="388"/>
  <c r="H203" i="388"/>
  <c r="H205" i="388" s="1"/>
  <c r="K202" i="388"/>
  <c r="H182" i="388"/>
  <c r="H181" i="388"/>
  <c r="H183" i="388" s="1"/>
  <c r="K180" i="388"/>
  <c r="H160" i="388"/>
  <c r="H159" i="388"/>
  <c r="H161" i="388" s="1"/>
  <c r="K158" i="388"/>
  <c r="H138" i="388"/>
  <c r="H137" i="388"/>
  <c r="H139" i="388" s="1"/>
  <c r="K136" i="388"/>
  <c r="H116" i="388"/>
  <c r="H115" i="388"/>
  <c r="H117" i="388" s="1"/>
  <c r="K114" i="388"/>
  <c r="H105" i="388"/>
  <c r="H104" i="388"/>
  <c r="H106" i="388" s="1"/>
  <c r="K103" i="388"/>
  <c r="H94" i="388"/>
  <c r="H93" i="388"/>
  <c r="H95" i="388" s="1"/>
  <c r="K92" i="388"/>
  <c r="K49" i="388"/>
  <c r="M49" i="388" s="1"/>
  <c r="N48" i="388"/>
  <c r="K50" i="388"/>
  <c r="M50" i="388" s="1"/>
  <c r="E84" i="388"/>
  <c r="E62" i="388"/>
  <c r="E53" i="388" l="1"/>
  <c r="E217" i="388"/>
  <c r="E283" i="388"/>
  <c r="E284" i="388" s="1"/>
  <c r="E118" i="388"/>
  <c r="G118" i="388" s="1"/>
  <c r="E74" i="388"/>
  <c r="E75" i="388" s="1"/>
  <c r="G75" i="388" s="1"/>
  <c r="E129" i="388"/>
  <c r="G129" i="388" s="1"/>
  <c r="E151" i="388"/>
  <c r="E152" i="388" s="1"/>
  <c r="G152" i="388" s="1"/>
  <c r="E195" i="388"/>
  <c r="G195" i="388" s="1"/>
  <c r="E239" i="388"/>
  <c r="G239" i="388" s="1"/>
  <c r="E173" i="388"/>
  <c r="E174" i="388" s="1"/>
  <c r="G174" i="388" s="1"/>
  <c r="E261" i="388"/>
  <c r="G261" i="388" s="1"/>
  <c r="E96" i="388"/>
  <c r="E97" i="388" s="1"/>
  <c r="G97" i="388" s="1"/>
  <c r="K51" i="388"/>
  <c r="M51" i="388" s="1"/>
  <c r="J95" i="388"/>
  <c r="H96" i="388"/>
  <c r="J96" i="388" s="1"/>
  <c r="J117" i="388"/>
  <c r="H118" i="388"/>
  <c r="J118" i="388" s="1"/>
  <c r="J139" i="388"/>
  <c r="H140" i="388"/>
  <c r="J140" i="388" s="1"/>
  <c r="J183" i="388"/>
  <c r="H184" i="388"/>
  <c r="J184" i="388" s="1"/>
  <c r="J227" i="388"/>
  <c r="H228" i="388"/>
  <c r="J228" i="388" s="1"/>
  <c r="J271" i="388"/>
  <c r="H272" i="388"/>
  <c r="J272" i="388" s="1"/>
  <c r="J62" i="388"/>
  <c r="H63" i="388"/>
  <c r="J63" i="388" s="1"/>
  <c r="J84" i="388"/>
  <c r="H85" i="388"/>
  <c r="J85" i="388" s="1"/>
  <c r="J150" i="388"/>
  <c r="H151" i="388"/>
  <c r="J151" i="388" s="1"/>
  <c r="J194" i="388"/>
  <c r="H195" i="388"/>
  <c r="J195" i="388" s="1"/>
  <c r="J238" i="388"/>
  <c r="H239" i="388"/>
  <c r="J239" i="388" s="1"/>
  <c r="J106" i="388"/>
  <c r="H107" i="388"/>
  <c r="J107" i="388" s="1"/>
  <c r="J161" i="388"/>
  <c r="H162" i="388"/>
  <c r="J162" i="388" s="1"/>
  <c r="J205" i="388"/>
  <c r="H206" i="388"/>
  <c r="J206" i="388" s="1"/>
  <c r="J249" i="388"/>
  <c r="H250" i="388"/>
  <c r="J250" i="388" s="1"/>
  <c r="J73" i="388"/>
  <c r="H74" i="388"/>
  <c r="J74" i="388" s="1"/>
  <c r="J128" i="388"/>
  <c r="H129" i="388"/>
  <c r="J129" i="388" s="1"/>
  <c r="J172" i="388"/>
  <c r="H173" i="388"/>
  <c r="J173" i="388" s="1"/>
  <c r="J216" i="388"/>
  <c r="H217" i="388"/>
  <c r="J217" i="388" s="1"/>
  <c r="J260" i="388"/>
  <c r="H261" i="388"/>
  <c r="J261" i="388" s="1"/>
  <c r="J282" i="388"/>
  <c r="H283" i="388"/>
  <c r="E218" i="388"/>
  <c r="G218" i="388" s="1"/>
  <c r="G217" i="388"/>
  <c r="K94" i="388"/>
  <c r="M94" i="388" s="1"/>
  <c r="K93" i="388"/>
  <c r="M93" i="388" s="1"/>
  <c r="N92" i="388"/>
  <c r="N103" i="388"/>
  <c r="K105" i="388"/>
  <c r="M105" i="388" s="1"/>
  <c r="K104" i="388"/>
  <c r="M104" i="388" s="1"/>
  <c r="K116" i="388"/>
  <c r="M116" i="388" s="1"/>
  <c r="K115" i="388"/>
  <c r="M115" i="388" s="1"/>
  <c r="N114" i="388"/>
  <c r="N136" i="388"/>
  <c r="K138" i="388"/>
  <c r="M138" i="388" s="1"/>
  <c r="K137" i="388"/>
  <c r="M137" i="388" s="1"/>
  <c r="N158" i="388"/>
  <c r="K160" i="388"/>
  <c r="M160" i="388" s="1"/>
  <c r="K159" i="388"/>
  <c r="M159" i="388" s="1"/>
  <c r="N180" i="388"/>
  <c r="K182" i="388"/>
  <c r="M182" i="388" s="1"/>
  <c r="K181" i="388"/>
  <c r="M181" i="388" s="1"/>
  <c r="N202" i="388"/>
  <c r="K204" i="388"/>
  <c r="M204" i="388" s="1"/>
  <c r="K203" i="388"/>
  <c r="M203" i="388" s="1"/>
  <c r="N224" i="388"/>
  <c r="K226" i="388"/>
  <c r="M226" i="388" s="1"/>
  <c r="K225" i="388"/>
  <c r="M225" i="388" s="1"/>
  <c r="N246" i="388"/>
  <c r="K248" i="388"/>
  <c r="M248" i="388" s="1"/>
  <c r="K247" i="388"/>
  <c r="M247" i="388" s="1"/>
  <c r="N268" i="388"/>
  <c r="K270" i="388"/>
  <c r="M270" i="388" s="1"/>
  <c r="K269" i="388"/>
  <c r="M269" i="388" s="1"/>
  <c r="G139" i="388"/>
  <c r="E140" i="388"/>
  <c r="G183" i="388"/>
  <c r="E184" i="388"/>
  <c r="G227" i="388"/>
  <c r="E228" i="388"/>
  <c r="G271" i="388"/>
  <c r="E272" i="388"/>
  <c r="G62" i="388"/>
  <c r="E63" i="388"/>
  <c r="G84" i="388"/>
  <c r="E85" i="388"/>
  <c r="J53" i="388"/>
  <c r="U51" i="388" s="1"/>
  <c r="N49" i="388"/>
  <c r="P49" i="388" s="1"/>
  <c r="N50" i="388"/>
  <c r="P50" i="388" s="1"/>
  <c r="Q48" i="388"/>
  <c r="G106" i="388"/>
  <c r="E107" i="388"/>
  <c r="G161" i="388"/>
  <c r="E162" i="388"/>
  <c r="G205" i="388"/>
  <c r="E206" i="388"/>
  <c r="G249" i="388"/>
  <c r="E250" i="388"/>
  <c r="N59" i="388"/>
  <c r="K61" i="388"/>
  <c r="M61" i="388" s="1"/>
  <c r="K60" i="388"/>
  <c r="M60" i="388" s="1"/>
  <c r="K72" i="388"/>
  <c r="M72" i="388" s="1"/>
  <c r="K71" i="388"/>
  <c r="M71" i="388" s="1"/>
  <c r="N70" i="388"/>
  <c r="N81" i="388"/>
  <c r="K83" i="388"/>
  <c r="M83" i="388" s="1"/>
  <c r="K82" i="388"/>
  <c r="M82" i="388" s="1"/>
  <c r="K127" i="388"/>
  <c r="M127" i="388" s="1"/>
  <c r="K126" i="388"/>
  <c r="M126" i="388" s="1"/>
  <c r="N125" i="388"/>
  <c r="K149" i="388"/>
  <c r="M149" i="388" s="1"/>
  <c r="K148" i="388"/>
  <c r="M148" i="388" s="1"/>
  <c r="N147" i="388"/>
  <c r="K171" i="388"/>
  <c r="M171" i="388" s="1"/>
  <c r="K170" i="388"/>
  <c r="M170" i="388" s="1"/>
  <c r="N169" i="388"/>
  <c r="K193" i="388"/>
  <c r="M193" i="388" s="1"/>
  <c r="K192" i="388"/>
  <c r="M192" i="388" s="1"/>
  <c r="N191" i="388"/>
  <c r="K215" i="388"/>
  <c r="M215" i="388" s="1"/>
  <c r="K214" i="388"/>
  <c r="M214" i="388" s="1"/>
  <c r="N213" i="388"/>
  <c r="K237" i="388"/>
  <c r="M237" i="388" s="1"/>
  <c r="K236" i="388"/>
  <c r="M236" i="388" s="1"/>
  <c r="N235" i="388"/>
  <c r="K259" i="388"/>
  <c r="M259" i="388" s="1"/>
  <c r="K258" i="388"/>
  <c r="M258" i="388" s="1"/>
  <c r="N257" i="388"/>
  <c r="K281" i="388"/>
  <c r="M281" i="388" s="1"/>
  <c r="K280" i="388"/>
  <c r="M280" i="388" s="1"/>
  <c r="M283" i="388"/>
  <c r="N279" i="388"/>
  <c r="I253" i="203"/>
  <c r="E130" i="388" l="1"/>
  <c r="G130" i="388" s="1"/>
  <c r="U127" i="388" s="1"/>
  <c r="E196" i="388"/>
  <c r="G196" i="388" s="1"/>
  <c r="U193" i="388" s="1"/>
  <c r="G74" i="388"/>
  <c r="U72" i="388" s="1"/>
  <c r="E119" i="388"/>
  <c r="G119" i="388" s="1"/>
  <c r="U116" i="388" s="1"/>
  <c r="G151" i="388"/>
  <c r="U149" i="388" s="1"/>
  <c r="E240" i="388"/>
  <c r="G240" i="388" s="1"/>
  <c r="U237" i="388" s="1"/>
  <c r="G173" i="388"/>
  <c r="U171" i="388" s="1"/>
  <c r="E262" i="388"/>
  <c r="G262" i="388" s="1"/>
  <c r="U259" i="388" s="1"/>
  <c r="K172" i="388"/>
  <c r="M172" i="388" s="1"/>
  <c r="G96" i="388"/>
  <c r="U94" i="388" s="1"/>
  <c r="K52" i="388"/>
  <c r="K260" i="388"/>
  <c r="M260" i="388" s="1"/>
  <c r="K95" i="388"/>
  <c r="M95" i="388" s="1"/>
  <c r="K73" i="388"/>
  <c r="M73" i="388" s="1"/>
  <c r="N51" i="388"/>
  <c r="N52" i="388" s="1"/>
  <c r="K216" i="388"/>
  <c r="M216" i="388" s="1"/>
  <c r="K128" i="388"/>
  <c r="M128" i="388" s="1"/>
  <c r="K117" i="388"/>
  <c r="M117" i="388" s="1"/>
  <c r="N281" i="388"/>
  <c r="P281" i="388" s="1"/>
  <c r="U284" i="388" s="1"/>
  <c r="N280" i="388"/>
  <c r="P280" i="388" s="1"/>
  <c r="Q279" i="388"/>
  <c r="P283" i="388"/>
  <c r="J284" i="388"/>
  <c r="U283" i="388"/>
  <c r="N259" i="388"/>
  <c r="P259" i="388" s="1"/>
  <c r="N258" i="388"/>
  <c r="P258" i="388" s="1"/>
  <c r="Q257" i="388"/>
  <c r="J240" i="388"/>
  <c r="U238" i="388" s="1"/>
  <c r="N215" i="388"/>
  <c r="P215" i="388" s="1"/>
  <c r="N214" i="388"/>
  <c r="P214" i="388" s="1"/>
  <c r="Q213" i="388"/>
  <c r="J196" i="388"/>
  <c r="U194" i="388" s="1"/>
  <c r="N171" i="388"/>
  <c r="P171" i="388" s="1"/>
  <c r="N170" i="388"/>
  <c r="P170" i="388" s="1"/>
  <c r="Q169" i="388"/>
  <c r="J152" i="388"/>
  <c r="U150" i="388" s="1"/>
  <c r="N127" i="388"/>
  <c r="P127" i="388" s="1"/>
  <c r="N126" i="388"/>
  <c r="P126" i="388" s="1"/>
  <c r="Q125" i="388"/>
  <c r="J86" i="388"/>
  <c r="U84" i="388" s="1"/>
  <c r="N83" i="388"/>
  <c r="P83" i="388" s="1"/>
  <c r="N82" i="388"/>
  <c r="P82" i="388" s="1"/>
  <c r="Q81" i="388"/>
  <c r="N72" i="388"/>
  <c r="P72" i="388" s="1"/>
  <c r="N71" i="388"/>
  <c r="P71" i="388" s="1"/>
  <c r="Q70" i="388"/>
  <c r="J64" i="388"/>
  <c r="U62" i="388" s="1"/>
  <c r="N61" i="388"/>
  <c r="P61" i="388" s="1"/>
  <c r="N60" i="388"/>
  <c r="P60" i="388" s="1"/>
  <c r="Q59" i="388"/>
  <c r="G250" i="388"/>
  <c r="E251" i="388"/>
  <c r="G251" i="388" s="1"/>
  <c r="G206" i="388"/>
  <c r="E207" i="388"/>
  <c r="G207" i="388" s="1"/>
  <c r="G162" i="388"/>
  <c r="E163" i="388"/>
  <c r="G163" i="388" s="1"/>
  <c r="G107" i="388"/>
  <c r="E108" i="388"/>
  <c r="G108" i="388" s="1"/>
  <c r="Q49" i="388"/>
  <c r="S49" i="388" s="1"/>
  <c r="Q50" i="388"/>
  <c r="S50" i="388" s="1"/>
  <c r="G272" i="388"/>
  <c r="U270" i="388" s="1"/>
  <c r="E273" i="388"/>
  <c r="G228" i="388"/>
  <c r="U226" i="388" s="1"/>
  <c r="E229" i="388"/>
  <c r="G184" i="388"/>
  <c r="E185" i="388"/>
  <c r="G185" i="388" s="1"/>
  <c r="G140" i="388"/>
  <c r="E141" i="388"/>
  <c r="G141" i="388" s="1"/>
  <c r="J251" i="388"/>
  <c r="U249" i="388" s="1"/>
  <c r="N248" i="388"/>
  <c r="P248" i="388" s="1"/>
  <c r="N247" i="388"/>
  <c r="P247" i="388" s="1"/>
  <c r="Q246" i="388"/>
  <c r="J207" i="388"/>
  <c r="U205" i="388" s="1"/>
  <c r="N204" i="388"/>
  <c r="P204" i="388" s="1"/>
  <c r="N203" i="388"/>
  <c r="P203" i="388" s="1"/>
  <c r="Q202" i="388"/>
  <c r="J163" i="388"/>
  <c r="U161" i="388" s="1"/>
  <c r="N160" i="388"/>
  <c r="P160" i="388" s="1"/>
  <c r="N159" i="388"/>
  <c r="P159" i="388" s="1"/>
  <c r="Q158" i="388"/>
  <c r="N116" i="388"/>
  <c r="P116" i="388" s="1"/>
  <c r="N115" i="388"/>
  <c r="P115" i="388" s="1"/>
  <c r="Q114" i="388"/>
  <c r="J119" i="388"/>
  <c r="U117" i="388" s="1"/>
  <c r="J108" i="388"/>
  <c r="U106" i="388" s="1"/>
  <c r="N105" i="388"/>
  <c r="P105" i="388" s="1"/>
  <c r="N104" i="388"/>
  <c r="P104" i="388" s="1"/>
  <c r="Q103" i="388"/>
  <c r="N94" i="388"/>
  <c r="P94" i="388" s="1"/>
  <c r="N93" i="388"/>
  <c r="P93" i="388" s="1"/>
  <c r="Q92" i="388"/>
  <c r="K282" i="388"/>
  <c r="K238" i="388"/>
  <c r="K194" i="388"/>
  <c r="K150" i="388"/>
  <c r="K271" i="388"/>
  <c r="K227" i="388"/>
  <c r="K183" i="388"/>
  <c r="K139" i="388"/>
  <c r="U215" i="388"/>
  <c r="J262" i="388"/>
  <c r="U260" i="388" s="1"/>
  <c r="N237" i="388"/>
  <c r="P237" i="388" s="1"/>
  <c r="N236" i="388"/>
  <c r="P236" i="388" s="1"/>
  <c r="Q235" i="388"/>
  <c r="J218" i="388"/>
  <c r="U216" i="388" s="1"/>
  <c r="N193" i="388"/>
  <c r="P193" i="388" s="1"/>
  <c r="N192" i="388"/>
  <c r="P192" i="388" s="1"/>
  <c r="Q191" i="388"/>
  <c r="J174" i="388"/>
  <c r="U172" i="388" s="1"/>
  <c r="N149" i="388"/>
  <c r="P149" i="388" s="1"/>
  <c r="N148" i="388"/>
  <c r="P148" i="388" s="1"/>
  <c r="Q147" i="388"/>
  <c r="J130" i="388"/>
  <c r="U128" i="388" s="1"/>
  <c r="J75" i="388"/>
  <c r="U73" i="388" s="1"/>
  <c r="E86" i="388"/>
  <c r="G86" i="388" s="1"/>
  <c r="G85" i="388"/>
  <c r="E64" i="388"/>
  <c r="G64" i="388" s="1"/>
  <c r="G63" i="388"/>
  <c r="J273" i="388"/>
  <c r="U271" i="388" s="1"/>
  <c r="N270" i="388"/>
  <c r="P270" i="388" s="1"/>
  <c r="N269" i="388"/>
  <c r="P269" i="388" s="1"/>
  <c r="Q268" i="388"/>
  <c r="J229" i="388"/>
  <c r="U227" i="388" s="1"/>
  <c r="N226" i="388"/>
  <c r="P226" i="388" s="1"/>
  <c r="N225" i="388"/>
  <c r="P225" i="388" s="1"/>
  <c r="Q224" i="388"/>
  <c r="J185" i="388"/>
  <c r="U183" i="388" s="1"/>
  <c r="N182" i="388"/>
  <c r="P182" i="388" s="1"/>
  <c r="N181" i="388"/>
  <c r="P181" i="388" s="1"/>
  <c r="Q180" i="388"/>
  <c r="J141" i="388"/>
  <c r="U139" i="388" s="1"/>
  <c r="N138" i="388"/>
  <c r="P138" i="388" s="1"/>
  <c r="N137" i="388"/>
  <c r="P137" i="388" s="1"/>
  <c r="Q136" i="388"/>
  <c r="J97" i="388"/>
  <c r="U95" i="388" s="1"/>
  <c r="K84" i="388"/>
  <c r="K62" i="388"/>
  <c r="K249" i="388"/>
  <c r="K205" i="388"/>
  <c r="K161" i="388"/>
  <c r="K106" i="388"/>
  <c r="M254" i="203"/>
  <c r="K74" i="388" l="1"/>
  <c r="M74" i="388" s="1"/>
  <c r="K173" i="388"/>
  <c r="K174" i="388" s="1"/>
  <c r="M174" i="388" s="1"/>
  <c r="K118" i="388"/>
  <c r="M118" i="388" s="1"/>
  <c r="N128" i="388"/>
  <c r="N129" i="388" s="1"/>
  <c r="K217" i="388"/>
  <c r="K218" i="388" s="1"/>
  <c r="M218" i="388" s="1"/>
  <c r="K96" i="388"/>
  <c r="M96" i="388" s="1"/>
  <c r="K129" i="388"/>
  <c r="K130" i="388" s="1"/>
  <c r="M130" i="388" s="1"/>
  <c r="N150" i="388"/>
  <c r="N151" i="388" s="1"/>
  <c r="P52" i="388"/>
  <c r="N53" i="388"/>
  <c r="P53" i="388" s="1"/>
  <c r="N194" i="388"/>
  <c r="N195" i="388" s="1"/>
  <c r="N95" i="388"/>
  <c r="N282" i="388"/>
  <c r="N283" i="388" s="1"/>
  <c r="N284" i="388" s="1"/>
  <c r="P284" i="388" s="1"/>
  <c r="N238" i="388"/>
  <c r="N239" i="388" s="1"/>
  <c r="K261" i="388"/>
  <c r="K262" i="388" s="1"/>
  <c r="N172" i="388"/>
  <c r="N173" i="388" s="1"/>
  <c r="N216" i="388"/>
  <c r="N217" i="388" s="1"/>
  <c r="M52" i="388"/>
  <c r="K53" i="388"/>
  <c r="M53" i="388" s="1"/>
  <c r="N117" i="388"/>
  <c r="N118" i="388" s="1"/>
  <c r="N119" i="388" s="1"/>
  <c r="P119" i="388" s="1"/>
  <c r="N260" i="388"/>
  <c r="N261" i="388" s="1"/>
  <c r="N73" i="388"/>
  <c r="N74" i="388" s="1"/>
  <c r="N271" i="388"/>
  <c r="N272" i="388" s="1"/>
  <c r="N273" i="388" s="1"/>
  <c r="P273" i="388" s="1"/>
  <c r="N205" i="388"/>
  <c r="N206" i="388" s="1"/>
  <c r="P206" i="388" s="1"/>
  <c r="N84" i="388"/>
  <c r="N85" i="388" s="1"/>
  <c r="N86" i="388" s="1"/>
  <c r="P86" i="388" s="1"/>
  <c r="N183" i="388"/>
  <c r="N184" i="388" s="1"/>
  <c r="N185" i="388" s="1"/>
  <c r="P185" i="388" s="1"/>
  <c r="N62" i="388"/>
  <c r="N63" i="388" s="1"/>
  <c r="P63" i="388" s="1"/>
  <c r="U105" i="388"/>
  <c r="U160" i="388"/>
  <c r="U204" i="388"/>
  <c r="U248" i="388"/>
  <c r="U138" i="388"/>
  <c r="U182" i="388"/>
  <c r="U61" i="388"/>
  <c r="U83" i="388"/>
  <c r="M106" i="388"/>
  <c r="K107" i="388"/>
  <c r="M161" i="388"/>
  <c r="K162" i="388"/>
  <c r="M249" i="388"/>
  <c r="K250" i="388"/>
  <c r="M62" i="388"/>
  <c r="K63" i="388"/>
  <c r="Q182" i="388"/>
  <c r="S182" i="388" s="1"/>
  <c r="Q181" i="388"/>
  <c r="S181" i="388" s="1"/>
  <c r="M205" i="388"/>
  <c r="K206" i="388"/>
  <c r="M84" i="388"/>
  <c r="K85" i="388"/>
  <c r="Q138" i="388"/>
  <c r="S138" i="388" s="1"/>
  <c r="Q137" i="388"/>
  <c r="S137" i="388" s="1"/>
  <c r="Q226" i="388"/>
  <c r="S226" i="388" s="1"/>
  <c r="Q225" i="388"/>
  <c r="S225" i="388" s="1"/>
  <c r="Q193" i="388"/>
  <c r="S193" i="388" s="1"/>
  <c r="Q192" i="388"/>
  <c r="S192" i="388" s="1"/>
  <c r="M139" i="388"/>
  <c r="K140" i="388"/>
  <c r="M227" i="388"/>
  <c r="K228" i="388"/>
  <c r="K75" i="388"/>
  <c r="M75" i="388" s="1"/>
  <c r="M150" i="388"/>
  <c r="K151" i="388"/>
  <c r="M194" i="388"/>
  <c r="K195" i="388"/>
  <c r="M238" i="388"/>
  <c r="K239" i="388"/>
  <c r="M282" i="388"/>
  <c r="K283" i="388"/>
  <c r="K284" i="388" s="1"/>
  <c r="M284" i="388" s="1"/>
  <c r="Q94" i="388"/>
  <c r="S94" i="388" s="1"/>
  <c r="Q93" i="388"/>
  <c r="S93" i="388" s="1"/>
  <c r="Q105" i="388"/>
  <c r="S105" i="388" s="1"/>
  <c r="Q104" i="388"/>
  <c r="S104" i="388" s="1"/>
  <c r="Q160" i="388"/>
  <c r="S160" i="388" s="1"/>
  <c r="Q159" i="388"/>
  <c r="S159" i="388" s="1"/>
  <c r="Q248" i="388"/>
  <c r="S248" i="388" s="1"/>
  <c r="Q247" i="388"/>
  <c r="S247" i="388" s="1"/>
  <c r="Q171" i="388"/>
  <c r="S171" i="388" s="1"/>
  <c r="Q170" i="388"/>
  <c r="S170" i="388" s="1"/>
  <c r="Q259" i="388"/>
  <c r="S259" i="388" s="1"/>
  <c r="Q258" i="388"/>
  <c r="S258" i="388" s="1"/>
  <c r="N139" i="388"/>
  <c r="N227" i="388"/>
  <c r="N106" i="388"/>
  <c r="N161" i="388"/>
  <c r="N249" i="388"/>
  <c r="Q51" i="388"/>
  <c r="Q270" i="388"/>
  <c r="S270" i="388" s="1"/>
  <c r="Q269" i="388"/>
  <c r="S269" i="388" s="1"/>
  <c r="Q149" i="388"/>
  <c r="S149" i="388" s="1"/>
  <c r="Q148" i="388"/>
  <c r="S148" i="388" s="1"/>
  <c r="Q237" i="388"/>
  <c r="S237" i="388" s="1"/>
  <c r="Q236" i="388"/>
  <c r="S236" i="388" s="1"/>
  <c r="M183" i="388"/>
  <c r="K184" i="388"/>
  <c r="M271" i="388"/>
  <c r="K272" i="388"/>
  <c r="Q116" i="388"/>
  <c r="S116" i="388" s="1"/>
  <c r="Q115" i="388"/>
  <c r="S115" i="388" s="1"/>
  <c r="Q204" i="388"/>
  <c r="S204" i="388" s="1"/>
  <c r="Q203" i="388"/>
  <c r="S203" i="388" s="1"/>
  <c r="Q61" i="388"/>
  <c r="S61" i="388" s="1"/>
  <c r="Q60" i="388"/>
  <c r="S60" i="388" s="1"/>
  <c r="Q72" i="388"/>
  <c r="S72" i="388" s="1"/>
  <c r="Q71" i="388"/>
  <c r="S71" i="388" s="1"/>
  <c r="Q83" i="388"/>
  <c r="S83" i="388" s="1"/>
  <c r="Q82" i="388"/>
  <c r="S82" i="388" s="1"/>
  <c r="Q127" i="388"/>
  <c r="S127" i="388" s="1"/>
  <c r="Q126" i="388"/>
  <c r="S126" i="388" s="1"/>
  <c r="Q215" i="388"/>
  <c r="S215" i="388" s="1"/>
  <c r="Q214" i="388"/>
  <c r="S214" i="388" s="1"/>
  <c r="Q281" i="388"/>
  <c r="S281" i="388" s="1"/>
  <c r="Q280" i="388"/>
  <c r="S280" i="388" s="1"/>
  <c r="S283" i="388"/>
  <c r="B22" i="388"/>
  <c r="P118" i="388" l="1"/>
  <c r="M173" i="388"/>
  <c r="U173" i="388" s="1"/>
  <c r="P85" i="388"/>
  <c r="K97" i="388"/>
  <c r="M97" i="388" s="1"/>
  <c r="U96" i="388" s="1"/>
  <c r="K119" i="388"/>
  <c r="M119" i="388" s="1"/>
  <c r="U118" i="388" s="1"/>
  <c r="M217" i="388"/>
  <c r="U217" i="388" s="1"/>
  <c r="M129" i="388"/>
  <c r="U129" i="388" s="1"/>
  <c r="N96" i="388"/>
  <c r="P96" i="388" s="1"/>
  <c r="N207" i="388"/>
  <c r="P207" i="388" s="1"/>
  <c r="M262" i="388"/>
  <c r="P260" i="388"/>
  <c r="M261" i="388"/>
  <c r="N64" i="388"/>
  <c r="P64" i="388" s="1"/>
  <c r="P172" i="388"/>
  <c r="P282" i="388"/>
  <c r="P272" i="388"/>
  <c r="U52" i="388"/>
  <c r="P184" i="388"/>
  <c r="P51" i="388"/>
  <c r="U53" i="388" s="1"/>
  <c r="Q238" i="388"/>
  <c r="Q239" i="388" s="1"/>
  <c r="P73" i="388"/>
  <c r="Q117" i="388"/>
  <c r="S117" i="388" s="1"/>
  <c r="Q62" i="388"/>
  <c r="Q150" i="388"/>
  <c r="Q151" i="388" s="1"/>
  <c r="P216" i="388"/>
  <c r="Q249" i="388"/>
  <c r="Q250" i="388" s="1"/>
  <c r="Q106" i="388"/>
  <c r="Q107" i="388" s="1"/>
  <c r="Q139" i="388"/>
  <c r="Q140" i="388" s="1"/>
  <c r="Q84" i="388"/>
  <c r="S84" i="388" s="1"/>
  <c r="Q205" i="388"/>
  <c r="Q206" i="388" s="1"/>
  <c r="Q161" i="388"/>
  <c r="Q162" i="388" s="1"/>
  <c r="Q227" i="388"/>
  <c r="Q228" i="388" s="1"/>
  <c r="Q183" i="388"/>
  <c r="S183" i="388" s="1"/>
  <c r="U74" i="388"/>
  <c r="N262" i="388"/>
  <c r="P262" i="388" s="1"/>
  <c r="P261" i="388"/>
  <c r="M272" i="388"/>
  <c r="K273" i="388"/>
  <c r="M184" i="388"/>
  <c r="K185" i="388"/>
  <c r="P129" i="388"/>
  <c r="N130" i="388"/>
  <c r="P130" i="388" s="1"/>
  <c r="P74" i="388"/>
  <c r="N75" i="388"/>
  <c r="P75" i="388" s="1"/>
  <c r="S51" i="388"/>
  <c r="Q52" i="388"/>
  <c r="P239" i="388"/>
  <c r="N240" i="388"/>
  <c r="P240" i="388" s="1"/>
  <c r="Q282" i="388"/>
  <c r="Q216" i="388"/>
  <c r="Q128" i="388"/>
  <c r="Q73" i="388"/>
  <c r="N174" i="388"/>
  <c r="P174" i="388" s="1"/>
  <c r="P173" i="388"/>
  <c r="N196" i="388"/>
  <c r="P196" i="388" s="1"/>
  <c r="P195" i="388"/>
  <c r="P217" i="388"/>
  <c r="N218" i="388"/>
  <c r="P218" i="388" s="1"/>
  <c r="N250" i="388"/>
  <c r="N162" i="388"/>
  <c r="N107" i="388"/>
  <c r="P151" i="388"/>
  <c r="N152" i="388"/>
  <c r="P152" i="388" s="1"/>
  <c r="N228" i="388"/>
  <c r="N140" i="388"/>
  <c r="M239" i="388"/>
  <c r="K240" i="388"/>
  <c r="M195" i="388"/>
  <c r="K196" i="388"/>
  <c r="M151" i="388"/>
  <c r="K152" i="388"/>
  <c r="M228" i="388"/>
  <c r="K229" i="388"/>
  <c r="M229" i="388" s="1"/>
  <c r="M140" i="388"/>
  <c r="K141" i="388"/>
  <c r="M141" i="388" s="1"/>
  <c r="K86" i="388"/>
  <c r="M85" i="388"/>
  <c r="K207" i="388"/>
  <c r="M206" i="388"/>
  <c r="K64" i="388"/>
  <c r="M63" i="388"/>
  <c r="K251" i="388"/>
  <c r="M251" i="388" s="1"/>
  <c r="M250" i="388"/>
  <c r="K163" i="388"/>
  <c r="M163" i="388" s="1"/>
  <c r="M162" i="388"/>
  <c r="K108" i="388"/>
  <c r="M108" i="388" s="1"/>
  <c r="M107" i="388"/>
  <c r="Q271" i="388"/>
  <c r="P128" i="388"/>
  <c r="Q260" i="388"/>
  <c r="Q172" i="388"/>
  <c r="Q95" i="388"/>
  <c r="Q194" i="388"/>
  <c r="P117" i="388" l="1"/>
  <c r="U119" i="388" s="1"/>
  <c r="P95" i="388"/>
  <c r="Q118" i="388"/>
  <c r="S118" i="388" s="1"/>
  <c r="U120" i="388" s="1"/>
  <c r="N97" i="388"/>
  <c r="P97" i="388" s="1"/>
  <c r="S205" i="388"/>
  <c r="U261" i="388"/>
  <c r="Q184" i="388"/>
  <c r="Q185" i="388" s="1"/>
  <c r="S185" i="388" s="1"/>
  <c r="S62" i="388"/>
  <c r="Q63" i="388"/>
  <c r="S63" i="388" s="1"/>
  <c r="Q85" i="388"/>
  <c r="S85" i="388" s="1"/>
  <c r="U87" i="388" s="1"/>
  <c r="S238" i="388"/>
  <c r="U218" i="388"/>
  <c r="U140" i="388"/>
  <c r="U228" i="388"/>
  <c r="U262" i="388"/>
  <c r="S140" i="388"/>
  <c r="Q141" i="388"/>
  <c r="S141" i="388" s="1"/>
  <c r="S107" i="388"/>
  <c r="Q108" i="388"/>
  <c r="S108" i="388" s="1"/>
  <c r="S250" i="388"/>
  <c r="Q251" i="388"/>
  <c r="S251" i="388" s="1"/>
  <c r="S172" i="388"/>
  <c r="Q173" i="388"/>
  <c r="S260" i="388"/>
  <c r="Q261" i="388"/>
  <c r="S271" i="388"/>
  <c r="Q272" i="388"/>
  <c r="S151" i="388"/>
  <c r="Q152" i="388"/>
  <c r="S152" i="388" s="1"/>
  <c r="M64" i="388"/>
  <c r="U63" i="388" s="1"/>
  <c r="P62" i="388"/>
  <c r="U64" i="388" s="1"/>
  <c r="M207" i="388"/>
  <c r="U206" i="388" s="1"/>
  <c r="P205" i="388"/>
  <c r="U207" i="388" s="1"/>
  <c r="M86" i="388"/>
  <c r="U85" i="388" s="1"/>
  <c r="P84" i="388"/>
  <c r="U86" i="388" s="1"/>
  <c r="S73" i="388"/>
  <c r="Q74" i="388"/>
  <c r="S282" i="388"/>
  <c r="Q283" i="388"/>
  <c r="Q284" i="388" s="1"/>
  <c r="S284" i="388" s="1"/>
  <c r="U107" i="388"/>
  <c r="U162" i="388"/>
  <c r="U250" i="388"/>
  <c r="P139" i="388"/>
  <c r="P227" i="388"/>
  <c r="P106" i="388"/>
  <c r="P161" i="388"/>
  <c r="P249" i="388"/>
  <c r="U174" i="388"/>
  <c r="S228" i="388"/>
  <c r="Q229" i="388"/>
  <c r="S229" i="388" s="1"/>
  <c r="S194" i="388"/>
  <c r="Q195" i="388"/>
  <c r="Q96" i="388"/>
  <c r="S162" i="388"/>
  <c r="Q163" i="388"/>
  <c r="S163" i="388" s="1"/>
  <c r="S239" i="388"/>
  <c r="Q240" i="388"/>
  <c r="S240" i="388" s="1"/>
  <c r="M152" i="388"/>
  <c r="U151" i="388" s="1"/>
  <c r="P150" i="388"/>
  <c r="U152" i="388" s="1"/>
  <c r="M196" i="388"/>
  <c r="U195" i="388" s="1"/>
  <c r="P194" i="388"/>
  <c r="U196" i="388" s="1"/>
  <c r="M240" i="388"/>
  <c r="U239" i="388" s="1"/>
  <c r="P238" i="388"/>
  <c r="U240" i="388" s="1"/>
  <c r="N141" i="388"/>
  <c r="P140" i="388"/>
  <c r="P228" i="388"/>
  <c r="N229" i="388"/>
  <c r="P107" i="388"/>
  <c r="N108" i="388"/>
  <c r="P162" i="388"/>
  <c r="N163" i="388"/>
  <c r="P250" i="388"/>
  <c r="N251" i="388"/>
  <c r="Q207" i="388"/>
  <c r="S207" i="388" s="1"/>
  <c r="S206" i="388"/>
  <c r="S128" i="388"/>
  <c r="Q129" i="388"/>
  <c r="S216" i="388"/>
  <c r="Q217" i="388"/>
  <c r="S52" i="388"/>
  <c r="U54" i="388" s="1"/>
  <c r="B1" i="388" s="1"/>
  <c r="Q53" i="388"/>
  <c r="S53" i="388" s="1"/>
  <c r="M185" i="388"/>
  <c r="U184" i="388" s="1"/>
  <c r="P183" i="388"/>
  <c r="U185" i="388" s="1"/>
  <c r="M273" i="388"/>
  <c r="U272" i="388" s="1"/>
  <c r="P271" i="388"/>
  <c r="U273" i="388" s="1"/>
  <c r="S150" i="388"/>
  <c r="U75" i="388"/>
  <c r="U130" i="388"/>
  <c r="L248" i="203"/>
  <c r="Q119" i="388" l="1"/>
  <c r="S119" i="388" s="1"/>
  <c r="B7" i="388"/>
  <c r="U97" i="388"/>
  <c r="Q64" i="388"/>
  <c r="S64" i="388" s="1"/>
  <c r="Q86" i="388"/>
  <c r="S86" i="388" s="1"/>
  <c r="S95" i="388"/>
  <c r="U208" i="388"/>
  <c r="B15" i="388" s="1"/>
  <c r="S184" i="388"/>
  <c r="U186" i="388" s="1"/>
  <c r="B13" i="388" s="1"/>
  <c r="U65" i="388"/>
  <c r="B2" i="388" s="1"/>
  <c r="U241" i="388"/>
  <c r="B18" i="388" s="1"/>
  <c r="B4" i="388"/>
  <c r="P141" i="388"/>
  <c r="U141" i="388" s="1"/>
  <c r="S139" i="388"/>
  <c r="U142" i="388" s="1"/>
  <c r="U153" i="388"/>
  <c r="B10" i="388" s="1"/>
  <c r="S217" i="388"/>
  <c r="U219" i="388" s="1"/>
  <c r="B16" i="388" s="1"/>
  <c r="Q218" i="388"/>
  <c r="S218" i="388" s="1"/>
  <c r="S129" i="388"/>
  <c r="U131" i="388" s="1"/>
  <c r="B8" i="388" s="1"/>
  <c r="Q130" i="388"/>
  <c r="S130" i="388" s="1"/>
  <c r="P251" i="388"/>
  <c r="U251" i="388" s="1"/>
  <c r="S249" i="388"/>
  <c r="U252" i="388" s="1"/>
  <c r="P163" i="388"/>
  <c r="U163" i="388" s="1"/>
  <c r="S161" i="388"/>
  <c r="U164" i="388" s="1"/>
  <c r="P108" i="388"/>
  <c r="U108" i="388" s="1"/>
  <c r="S106" i="388"/>
  <c r="U109" i="388" s="1"/>
  <c r="P229" i="388"/>
  <c r="U229" i="388" s="1"/>
  <c r="S227" i="388"/>
  <c r="U230" i="388" s="1"/>
  <c r="Q97" i="388"/>
  <c r="S97" i="388" s="1"/>
  <c r="S96" i="388"/>
  <c r="Q196" i="388"/>
  <c r="S196" i="388" s="1"/>
  <c r="S195" i="388"/>
  <c r="U197" i="388" s="1"/>
  <c r="B14" i="388" s="1"/>
  <c r="S74" i="388"/>
  <c r="U76" i="388" s="1"/>
  <c r="B3" i="388" s="1"/>
  <c r="Q75" i="388"/>
  <c r="S75" i="388" s="1"/>
  <c r="Q273" i="388"/>
  <c r="S273" i="388" s="1"/>
  <c r="S272" i="388"/>
  <c r="U274" i="388" s="1"/>
  <c r="B21" i="388" s="1"/>
  <c r="Q262" i="388"/>
  <c r="S262" i="388" s="1"/>
  <c r="S261" i="388"/>
  <c r="U263" i="388" s="1"/>
  <c r="B20" i="388" s="1"/>
  <c r="Q174" i="388"/>
  <c r="S174" i="388" s="1"/>
  <c r="S173" i="388"/>
  <c r="U175" i="388" s="1"/>
  <c r="B12" i="388" s="1"/>
  <c r="U98" i="388" l="1"/>
  <c r="B5" i="388" s="1"/>
  <c r="B9" i="388"/>
  <c r="B6" i="388"/>
  <c r="B11" i="388"/>
  <c r="B19" i="388"/>
  <c r="B17" i="388"/>
  <c r="J242" i="203"/>
  <c r="J38" i="206" l="1"/>
  <c r="H38" i="206"/>
  <c r="H12" i="206" l="1"/>
  <c r="K243" i="203" l="1"/>
  <c r="J244" i="203" l="1"/>
  <c r="L244" i="203" s="1"/>
  <c r="J243" i="203"/>
  <c r="L243" i="203" s="1"/>
  <c r="L242" i="203"/>
  <c r="J241" i="203"/>
  <c r="L241" i="203" s="1"/>
  <c r="J240" i="203"/>
  <c r="L240" i="203" s="1"/>
  <c r="J239" i="203"/>
  <c r="L239" i="203" s="1"/>
  <c r="L238" i="203" l="1"/>
  <c r="L235" i="203"/>
  <c r="K236" i="203"/>
  <c r="J236" i="203"/>
  <c r="L236" i="203" l="1"/>
  <c r="U222" i="203" l="1"/>
  <c r="U223" i="203"/>
  <c r="U224" i="203"/>
  <c r="U226" i="203"/>
  <c r="U221" i="203"/>
  <c r="S222" i="203"/>
  <c r="S223" i="203"/>
  <c r="S224" i="203"/>
  <c r="S225" i="203"/>
  <c r="S226" i="203"/>
  <c r="S221" i="203"/>
  <c r="U216" i="203"/>
  <c r="U215" i="203"/>
  <c r="S227" i="203" l="1"/>
  <c r="O261" i="203" l="1"/>
  <c r="G72" i="203" l="1"/>
  <c r="N265" i="203" l="1"/>
  <c r="N261" i="203"/>
  <c r="G266" i="203"/>
  <c r="G265" i="203"/>
  <c r="G264" i="203"/>
  <c r="G263" i="203"/>
  <c r="G262" i="203"/>
  <c r="G261" i="203"/>
  <c r="P265" i="203" l="1"/>
  <c r="K266" i="203"/>
  <c r="P266" i="203" s="1"/>
  <c r="K265" i="203"/>
  <c r="L265" i="203" s="1"/>
  <c r="K264" i="203"/>
  <c r="L264" i="203" s="1"/>
  <c r="K263" i="203"/>
  <c r="L263" i="203" s="1"/>
  <c r="K262" i="203"/>
  <c r="L262" i="203" s="1"/>
  <c r="K261" i="203"/>
  <c r="P261" i="203" s="1"/>
  <c r="N266" i="203"/>
  <c r="N264" i="203"/>
  <c r="N263" i="203"/>
  <c r="N262" i="203"/>
  <c r="J266" i="203"/>
  <c r="J265" i="203"/>
  <c r="J264" i="203"/>
  <c r="J263" i="203"/>
  <c r="J262" i="203"/>
  <c r="J261" i="203"/>
  <c r="H265" i="203"/>
  <c r="H264" i="203"/>
  <c r="H266" i="203"/>
  <c r="H263" i="203"/>
  <c r="H262" i="203"/>
  <c r="H261" i="203"/>
  <c r="F266" i="203"/>
  <c r="F265" i="203"/>
  <c r="F264" i="203"/>
  <c r="F263" i="203"/>
  <c r="F262" i="203"/>
  <c r="F261" i="203"/>
  <c r="H267" i="203" l="1"/>
  <c r="N267" i="203"/>
  <c r="P262" i="203"/>
  <c r="F267" i="203"/>
  <c r="P264" i="203"/>
  <c r="P263" i="203"/>
  <c r="L261" i="203"/>
  <c r="L266" i="203"/>
  <c r="J267" i="203"/>
  <c r="P267" i="203" l="1"/>
  <c r="L267" i="203"/>
  <c r="M214" i="203" l="1"/>
  <c r="S214" i="203" s="1"/>
  <c r="K214" i="203"/>
  <c r="N214" i="203" l="1"/>
  <c r="L214" i="203"/>
  <c r="Q13" i="203" l="1"/>
  <c r="Q14" i="203"/>
  <c r="Q28" i="203"/>
  <c r="Q29" i="203"/>
  <c r="Q32" i="203"/>
  <c r="Q33" i="203"/>
  <c r="Q35" i="203"/>
  <c r="Q36" i="203"/>
  <c r="Q47" i="203"/>
  <c r="Q48" i="203"/>
  <c r="Q55" i="203"/>
  <c r="Q56" i="203"/>
  <c r="Q60" i="203"/>
  <c r="Q61" i="203"/>
  <c r="Q70" i="203"/>
  <c r="Q71" i="203"/>
  <c r="Q80" i="203"/>
  <c r="Q81" i="203"/>
  <c r="Q82" i="203"/>
  <c r="Q88" i="203"/>
  <c r="Q89" i="203"/>
  <c r="Q100" i="203"/>
  <c r="Q101" i="203"/>
  <c r="Q103" i="203"/>
  <c r="Q104" i="203"/>
  <c r="Q105" i="203"/>
  <c r="Q113" i="203"/>
  <c r="Q114" i="203"/>
  <c r="Q125" i="203"/>
  <c r="Q126" i="203"/>
  <c r="Q128" i="203"/>
  <c r="Q129" i="203"/>
  <c r="Q138" i="203"/>
  <c r="Q139" i="203"/>
  <c r="Q148" i="203"/>
  <c r="Q149" i="203"/>
  <c r="Q151" i="203"/>
  <c r="Q152" i="203"/>
  <c r="Q153" i="203"/>
  <c r="Q159" i="203"/>
  <c r="Q160" i="203"/>
  <c r="Q171" i="203"/>
  <c r="Q172" i="203"/>
  <c r="Q174" i="203"/>
  <c r="Q175" i="203"/>
  <c r="Q180" i="203"/>
  <c r="Q181" i="203"/>
  <c r="Q187" i="203"/>
  <c r="Q188" i="203"/>
  <c r="Q197" i="203"/>
  <c r="Q198" i="203"/>
  <c r="Q209" i="203"/>
  <c r="Q210" i="203"/>
  <c r="Q212" i="203"/>
  <c r="Q213" i="203"/>
  <c r="Q219" i="203"/>
  <c r="Q220" i="203"/>
  <c r="M226" i="203" l="1"/>
  <c r="N226" i="203" s="1"/>
  <c r="M225" i="203"/>
  <c r="N225" i="203" s="1"/>
  <c r="M224" i="203"/>
  <c r="M223" i="203"/>
  <c r="M222" i="203"/>
  <c r="M221" i="203"/>
  <c r="M218" i="203"/>
  <c r="N218" i="203" s="1"/>
  <c r="M217" i="203"/>
  <c r="N217" i="203" s="1"/>
  <c r="M216" i="203"/>
  <c r="M211" i="203"/>
  <c r="N211" i="203" s="1"/>
  <c r="M208" i="203"/>
  <c r="N208" i="203" s="1"/>
  <c r="M207" i="203"/>
  <c r="N207" i="203" s="1"/>
  <c r="M206" i="203"/>
  <c r="N206" i="203" s="1"/>
  <c r="M205" i="203"/>
  <c r="N205" i="203" s="1"/>
  <c r="M204" i="203"/>
  <c r="N204" i="203" s="1"/>
  <c r="M203" i="203"/>
  <c r="N203" i="203" s="1"/>
  <c r="M202" i="203"/>
  <c r="N202" i="203" s="1"/>
  <c r="M201" i="203"/>
  <c r="N201" i="203" s="1"/>
  <c r="M200" i="203"/>
  <c r="N200" i="203" s="1"/>
  <c r="M199" i="203"/>
  <c r="N199" i="203" s="1"/>
  <c r="M196" i="203"/>
  <c r="N196" i="203" s="1"/>
  <c r="M195" i="203"/>
  <c r="N195" i="203" s="1"/>
  <c r="M194" i="203"/>
  <c r="N194" i="203" s="1"/>
  <c r="M193" i="203"/>
  <c r="N193" i="203" s="1"/>
  <c r="M192" i="203"/>
  <c r="N192" i="203" s="1"/>
  <c r="M191" i="203"/>
  <c r="N191" i="203" s="1"/>
  <c r="M190" i="203"/>
  <c r="N190" i="203" s="1"/>
  <c r="M189" i="203"/>
  <c r="N189" i="203" s="1"/>
  <c r="M186" i="203"/>
  <c r="N186" i="203" s="1"/>
  <c r="M185" i="203"/>
  <c r="N185" i="203" s="1"/>
  <c r="M184" i="203"/>
  <c r="N184" i="203" s="1"/>
  <c r="M183" i="203"/>
  <c r="N183" i="203" s="1"/>
  <c r="M182" i="203"/>
  <c r="N182" i="203" s="1"/>
  <c r="M179" i="203"/>
  <c r="N179" i="203" s="1"/>
  <c r="M178" i="203"/>
  <c r="N178" i="203" s="1"/>
  <c r="M177" i="203"/>
  <c r="N177" i="203" s="1"/>
  <c r="M176" i="203"/>
  <c r="N176" i="203" s="1"/>
  <c r="M173" i="203"/>
  <c r="N173" i="203" s="1"/>
  <c r="M170" i="203"/>
  <c r="N170" i="203" s="1"/>
  <c r="M169" i="203"/>
  <c r="N169" i="203" s="1"/>
  <c r="M168" i="203"/>
  <c r="N168" i="203" s="1"/>
  <c r="M167" i="203"/>
  <c r="N167" i="203" s="1"/>
  <c r="M166" i="203"/>
  <c r="N166" i="203" s="1"/>
  <c r="M165" i="203"/>
  <c r="N165" i="203" s="1"/>
  <c r="M164" i="203"/>
  <c r="N164" i="203" s="1"/>
  <c r="M163" i="203"/>
  <c r="N163" i="203" s="1"/>
  <c r="M162" i="203"/>
  <c r="N162" i="203" s="1"/>
  <c r="M161" i="203"/>
  <c r="N161" i="203" s="1"/>
  <c r="M158" i="203"/>
  <c r="N158" i="203" s="1"/>
  <c r="M157" i="203"/>
  <c r="N157" i="203" s="1"/>
  <c r="M156" i="203"/>
  <c r="N156" i="203" s="1"/>
  <c r="M155" i="203"/>
  <c r="N155" i="203" s="1"/>
  <c r="M154" i="203"/>
  <c r="N154" i="203" s="1"/>
  <c r="M150" i="203"/>
  <c r="N150" i="203" s="1"/>
  <c r="M147" i="203"/>
  <c r="N147" i="203" s="1"/>
  <c r="M146" i="203"/>
  <c r="N146" i="203" s="1"/>
  <c r="M145" i="203"/>
  <c r="N145" i="203" s="1"/>
  <c r="M144" i="203"/>
  <c r="N144" i="203" s="1"/>
  <c r="M143" i="203"/>
  <c r="N143" i="203" s="1"/>
  <c r="M142" i="203"/>
  <c r="N142" i="203" s="1"/>
  <c r="M141" i="203"/>
  <c r="N141" i="203" s="1"/>
  <c r="M140" i="203"/>
  <c r="N140" i="203" s="1"/>
  <c r="M137" i="203"/>
  <c r="N137" i="203" s="1"/>
  <c r="M136" i="203"/>
  <c r="N136" i="203" s="1"/>
  <c r="M135" i="203"/>
  <c r="N135" i="203" s="1"/>
  <c r="M134" i="203"/>
  <c r="N134" i="203" s="1"/>
  <c r="M133" i="203"/>
  <c r="N133" i="203" s="1"/>
  <c r="M132" i="203"/>
  <c r="N132" i="203" s="1"/>
  <c r="M131" i="203"/>
  <c r="N131" i="203" s="1"/>
  <c r="M130" i="203"/>
  <c r="N130" i="203" s="1"/>
  <c r="M127" i="203"/>
  <c r="N127" i="203" s="1"/>
  <c r="M124" i="203"/>
  <c r="N124" i="203" s="1"/>
  <c r="M123" i="203"/>
  <c r="N123" i="203" s="1"/>
  <c r="M122" i="203"/>
  <c r="N122" i="203" s="1"/>
  <c r="M121" i="203"/>
  <c r="N121" i="203" s="1"/>
  <c r="M120" i="203"/>
  <c r="N120" i="203" s="1"/>
  <c r="M119" i="203"/>
  <c r="N119" i="203" s="1"/>
  <c r="M118" i="203"/>
  <c r="N118" i="203" s="1"/>
  <c r="M117" i="203"/>
  <c r="N117" i="203" s="1"/>
  <c r="M116" i="203"/>
  <c r="N116" i="203" s="1"/>
  <c r="M115" i="203"/>
  <c r="N115" i="203" s="1"/>
  <c r="M112" i="203"/>
  <c r="N112" i="203" s="1"/>
  <c r="M111" i="203"/>
  <c r="N111" i="203" s="1"/>
  <c r="M110" i="203"/>
  <c r="N110" i="203" s="1"/>
  <c r="M109" i="203"/>
  <c r="N109" i="203" s="1"/>
  <c r="M108" i="203"/>
  <c r="N108" i="203" s="1"/>
  <c r="M107" i="203"/>
  <c r="N107" i="203" s="1"/>
  <c r="M106" i="203"/>
  <c r="N106" i="203" s="1"/>
  <c r="M102" i="203"/>
  <c r="N102" i="203" s="1"/>
  <c r="M99" i="203"/>
  <c r="N99" i="203" s="1"/>
  <c r="M98" i="203"/>
  <c r="N98" i="203" s="1"/>
  <c r="M97" i="203"/>
  <c r="N97" i="203" s="1"/>
  <c r="M96" i="203"/>
  <c r="N96" i="203" s="1"/>
  <c r="M95" i="203"/>
  <c r="N95" i="203" s="1"/>
  <c r="M94" i="203"/>
  <c r="N94" i="203" s="1"/>
  <c r="M93" i="203"/>
  <c r="N93" i="203" s="1"/>
  <c r="M92" i="203"/>
  <c r="N92" i="203" s="1"/>
  <c r="M91" i="203"/>
  <c r="N91" i="203" s="1"/>
  <c r="M90" i="203"/>
  <c r="N90" i="203" s="1"/>
  <c r="M87" i="203"/>
  <c r="N87" i="203" s="1"/>
  <c r="M86" i="203"/>
  <c r="N86" i="203" s="1"/>
  <c r="M85" i="203"/>
  <c r="N85" i="203" s="1"/>
  <c r="M84" i="203"/>
  <c r="N84" i="203" s="1"/>
  <c r="M83" i="203"/>
  <c r="N83" i="203" s="1"/>
  <c r="M79" i="203"/>
  <c r="N79" i="203" s="1"/>
  <c r="M78" i="203"/>
  <c r="N78" i="203" s="1"/>
  <c r="M77" i="203"/>
  <c r="N77" i="203" s="1"/>
  <c r="M76" i="203"/>
  <c r="N76" i="203" s="1"/>
  <c r="M75" i="203"/>
  <c r="N75" i="203" s="1"/>
  <c r="M74" i="203"/>
  <c r="N74" i="203" s="1"/>
  <c r="M73" i="203"/>
  <c r="N73" i="203" s="1"/>
  <c r="M72" i="203"/>
  <c r="N72" i="203" s="1"/>
  <c r="M69" i="203"/>
  <c r="N69" i="203" s="1"/>
  <c r="M68" i="203"/>
  <c r="N68" i="203" s="1"/>
  <c r="M67" i="203"/>
  <c r="N67" i="203" s="1"/>
  <c r="M66" i="203"/>
  <c r="N66" i="203" s="1"/>
  <c r="M65" i="203"/>
  <c r="N65" i="203" s="1"/>
  <c r="M64" i="203"/>
  <c r="N64" i="203" s="1"/>
  <c r="M63" i="203"/>
  <c r="N63" i="203" s="1"/>
  <c r="M62" i="203"/>
  <c r="N62" i="203" s="1"/>
  <c r="M59" i="203"/>
  <c r="N59" i="203" s="1"/>
  <c r="M58" i="203"/>
  <c r="N58" i="203" s="1"/>
  <c r="M57" i="203"/>
  <c r="N57" i="203" s="1"/>
  <c r="M54" i="203"/>
  <c r="N54" i="203" s="1"/>
  <c r="M53" i="203"/>
  <c r="N53" i="203" s="1"/>
  <c r="M52" i="203"/>
  <c r="N52" i="203" s="1"/>
  <c r="M51" i="203"/>
  <c r="N51" i="203" s="1"/>
  <c r="M50" i="203"/>
  <c r="N50" i="203" s="1"/>
  <c r="M49" i="203"/>
  <c r="N49" i="203" s="1"/>
  <c r="M46" i="203"/>
  <c r="N46" i="203" s="1"/>
  <c r="M45" i="203"/>
  <c r="N45" i="203" s="1"/>
  <c r="M44" i="203"/>
  <c r="N44" i="203" s="1"/>
  <c r="M43" i="203"/>
  <c r="N43" i="203" s="1"/>
  <c r="M42" i="203"/>
  <c r="N42" i="203" s="1"/>
  <c r="M41" i="203"/>
  <c r="N41" i="203" s="1"/>
  <c r="M40" i="203"/>
  <c r="N40" i="203" s="1"/>
  <c r="M39" i="203"/>
  <c r="N39" i="203" s="1"/>
  <c r="M38" i="203"/>
  <c r="N38" i="203" s="1"/>
  <c r="M37" i="203"/>
  <c r="N37" i="203" s="1"/>
  <c r="M34" i="203"/>
  <c r="N34" i="203" s="1"/>
  <c r="M31" i="203"/>
  <c r="N31" i="203" s="1"/>
  <c r="M30" i="203"/>
  <c r="N30" i="203" s="1"/>
  <c r="M27" i="203"/>
  <c r="N27" i="203" s="1"/>
  <c r="M26" i="203"/>
  <c r="N26" i="203" s="1"/>
  <c r="M25" i="203"/>
  <c r="N25" i="203" s="1"/>
  <c r="M24" i="203"/>
  <c r="N24" i="203" s="1"/>
  <c r="M23" i="203"/>
  <c r="N23" i="203" s="1"/>
  <c r="M22" i="203"/>
  <c r="N22" i="203" s="1"/>
  <c r="M21" i="203"/>
  <c r="N21" i="203" s="1"/>
  <c r="M20" i="203"/>
  <c r="N20" i="203" s="1"/>
  <c r="M19" i="203"/>
  <c r="N19" i="203" s="1"/>
  <c r="M18" i="203"/>
  <c r="N18" i="203" s="1"/>
  <c r="M17" i="203"/>
  <c r="N17" i="203" s="1"/>
  <c r="M16" i="203"/>
  <c r="N16" i="203" s="1"/>
  <c r="M15" i="203"/>
  <c r="N15" i="203" s="1"/>
  <c r="M12" i="203"/>
  <c r="N12" i="203" s="1"/>
  <c r="M11" i="203"/>
  <c r="N11" i="203" s="1"/>
  <c r="M10" i="203"/>
  <c r="N10" i="203" s="1"/>
  <c r="M8" i="203"/>
  <c r="N8" i="203" s="1"/>
  <c r="K226" i="203"/>
  <c r="L226" i="203" s="1"/>
  <c r="K225" i="203"/>
  <c r="L225" i="203" s="1"/>
  <c r="K224" i="203"/>
  <c r="L224" i="203" s="1"/>
  <c r="K223" i="203"/>
  <c r="L223" i="203" s="1"/>
  <c r="K222" i="203"/>
  <c r="L222" i="203" s="1"/>
  <c r="K221" i="203"/>
  <c r="L221" i="203" s="1"/>
  <c r="K218" i="203"/>
  <c r="L218" i="203" s="1"/>
  <c r="K217" i="203"/>
  <c r="L217" i="203" s="1"/>
  <c r="K216" i="203"/>
  <c r="L216" i="203" s="1"/>
  <c r="K215" i="203"/>
  <c r="L215" i="203" s="1"/>
  <c r="K211" i="203"/>
  <c r="L211" i="203" s="1"/>
  <c r="K208" i="203"/>
  <c r="L208" i="203" s="1"/>
  <c r="K207" i="203"/>
  <c r="L207" i="203" s="1"/>
  <c r="K206" i="203"/>
  <c r="L206" i="203" s="1"/>
  <c r="K205" i="203"/>
  <c r="L205" i="203" s="1"/>
  <c r="K204" i="203"/>
  <c r="L204" i="203" s="1"/>
  <c r="K203" i="203"/>
  <c r="L203" i="203" s="1"/>
  <c r="K202" i="203"/>
  <c r="L202" i="203" s="1"/>
  <c r="K201" i="203"/>
  <c r="L201" i="203" s="1"/>
  <c r="K200" i="203"/>
  <c r="L200" i="203" s="1"/>
  <c r="K199" i="203"/>
  <c r="L199" i="203" s="1"/>
  <c r="K196" i="203"/>
  <c r="L196" i="203" s="1"/>
  <c r="K195" i="203"/>
  <c r="L195" i="203" s="1"/>
  <c r="K194" i="203"/>
  <c r="L194" i="203" s="1"/>
  <c r="K193" i="203"/>
  <c r="L193" i="203" s="1"/>
  <c r="K192" i="203"/>
  <c r="L192" i="203" s="1"/>
  <c r="K191" i="203"/>
  <c r="L191" i="203" s="1"/>
  <c r="K190" i="203"/>
  <c r="L190" i="203" s="1"/>
  <c r="K189" i="203"/>
  <c r="L189" i="203" s="1"/>
  <c r="K186" i="203"/>
  <c r="L186" i="203" s="1"/>
  <c r="K185" i="203"/>
  <c r="L185" i="203" s="1"/>
  <c r="K184" i="203"/>
  <c r="L184" i="203" s="1"/>
  <c r="K183" i="203"/>
  <c r="L183" i="203" s="1"/>
  <c r="K182" i="203"/>
  <c r="L182" i="203" s="1"/>
  <c r="K179" i="203"/>
  <c r="L179" i="203" s="1"/>
  <c r="K178" i="203"/>
  <c r="L178" i="203" s="1"/>
  <c r="K177" i="203"/>
  <c r="L177" i="203" s="1"/>
  <c r="K176" i="203"/>
  <c r="L176" i="203" s="1"/>
  <c r="K173" i="203"/>
  <c r="L173" i="203" s="1"/>
  <c r="K170" i="203"/>
  <c r="L170" i="203" s="1"/>
  <c r="K169" i="203"/>
  <c r="L169" i="203" s="1"/>
  <c r="K168" i="203"/>
  <c r="L168" i="203" s="1"/>
  <c r="K167" i="203"/>
  <c r="L167" i="203" s="1"/>
  <c r="K166" i="203"/>
  <c r="L166" i="203" s="1"/>
  <c r="K165" i="203"/>
  <c r="L165" i="203" s="1"/>
  <c r="K164" i="203"/>
  <c r="L164" i="203" s="1"/>
  <c r="K163" i="203"/>
  <c r="L163" i="203" s="1"/>
  <c r="K162" i="203"/>
  <c r="L162" i="203" s="1"/>
  <c r="K161" i="203"/>
  <c r="L161" i="203" s="1"/>
  <c r="K158" i="203"/>
  <c r="L158" i="203" s="1"/>
  <c r="K157" i="203"/>
  <c r="L157" i="203" s="1"/>
  <c r="K156" i="203"/>
  <c r="L156" i="203" s="1"/>
  <c r="K155" i="203"/>
  <c r="L155" i="203" s="1"/>
  <c r="K154" i="203"/>
  <c r="L154" i="203" s="1"/>
  <c r="K150" i="203"/>
  <c r="L150" i="203" s="1"/>
  <c r="K147" i="203"/>
  <c r="L147" i="203" s="1"/>
  <c r="K146" i="203"/>
  <c r="L146" i="203" s="1"/>
  <c r="K145" i="203"/>
  <c r="L145" i="203" s="1"/>
  <c r="K144" i="203"/>
  <c r="L144" i="203" s="1"/>
  <c r="K143" i="203"/>
  <c r="L143" i="203" s="1"/>
  <c r="K142" i="203"/>
  <c r="L142" i="203" s="1"/>
  <c r="K141" i="203"/>
  <c r="L141" i="203" s="1"/>
  <c r="K140" i="203"/>
  <c r="L140" i="203" s="1"/>
  <c r="K137" i="203"/>
  <c r="L137" i="203" s="1"/>
  <c r="K136" i="203"/>
  <c r="L136" i="203" s="1"/>
  <c r="K135" i="203"/>
  <c r="L135" i="203" s="1"/>
  <c r="K134" i="203"/>
  <c r="L134" i="203" s="1"/>
  <c r="K133" i="203"/>
  <c r="L133" i="203" s="1"/>
  <c r="K132" i="203"/>
  <c r="L132" i="203" s="1"/>
  <c r="K131" i="203"/>
  <c r="L131" i="203" s="1"/>
  <c r="K130" i="203"/>
  <c r="L130" i="203" s="1"/>
  <c r="K127" i="203"/>
  <c r="L127" i="203" s="1"/>
  <c r="K124" i="203"/>
  <c r="L124" i="203" s="1"/>
  <c r="K123" i="203"/>
  <c r="L123" i="203" s="1"/>
  <c r="K122" i="203"/>
  <c r="L122" i="203" s="1"/>
  <c r="K121" i="203"/>
  <c r="L121" i="203" s="1"/>
  <c r="K120" i="203"/>
  <c r="L120" i="203" s="1"/>
  <c r="K119" i="203"/>
  <c r="L119" i="203" s="1"/>
  <c r="K118" i="203"/>
  <c r="L118" i="203" s="1"/>
  <c r="K117" i="203"/>
  <c r="L117" i="203" s="1"/>
  <c r="K116" i="203"/>
  <c r="L116" i="203" s="1"/>
  <c r="K115" i="203"/>
  <c r="L115" i="203" s="1"/>
  <c r="K112" i="203"/>
  <c r="L112" i="203" s="1"/>
  <c r="K111" i="203"/>
  <c r="L111" i="203" s="1"/>
  <c r="K110" i="203"/>
  <c r="L110" i="203" s="1"/>
  <c r="K109" i="203"/>
  <c r="L109" i="203" s="1"/>
  <c r="K108" i="203"/>
  <c r="L108" i="203" s="1"/>
  <c r="K107" i="203"/>
  <c r="L107" i="203" s="1"/>
  <c r="K106" i="203"/>
  <c r="L106" i="203" s="1"/>
  <c r="K102" i="203"/>
  <c r="L102" i="203" s="1"/>
  <c r="K99" i="203"/>
  <c r="L99" i="203" s="1"/>
  <c r="K98" i="203"/>
  <c r="L98" i="203" s="1"/>
  <c r="K97" i="203"/>
  <c r="L97" i="203" s="1"/>
  <c r="K96" i="203"/>
  <c r="L96" i="203" s="1"/>
  <c r="K95" i="203"/>
  <c r="L95" i="203" s="1"/>
  <c r="K94" i="203"/>
  <c r="L94" i="203" s="1"/>
  <c r="K93" i="203"/>
  <c r="L93" i="203" s="1"/>
  <c r="K92" i="203"/>
  <c r="L92" i="203" s="1"/>
  <c r="K91" i="203"/>
  <c r="L91" i="203" s="1"/>
  <c r="K90" i="203"/>
  <c r="L90" i="203" s="1"/>
  <c r="K87" i="203"/>
  <c r="L87" i="203" s="1"/>
  <c r="K86" i="203"/>
  <c r="L86" i="203" s="1"/>
  <c r="K85" i="203"/>
  <c r="L85" i="203" s="1"/>
  <c r="K84" i="203"/>
  <c r="L84" i="203" s="1"/>
  <c r="K83" i="203"/>
  <c r="L83" i="203" s="1"/>
  <c r="K79" i="203"/>
  <c r="L79" i="203" s="1"/>
  <c r="K78" i="203"/>
  <c r="L78" i="203" s="1"/>
  <c r="K77" i="203"/>
  <c r="L77" i="203" s="1"/>
  <c r="K76" i="203"/>
  <c r="L76" i="203" s="1"/>
  <c r="K75" i="203"/>
  <c r="L75" i="203" s="1"/>
  <c r="K74" i="203"/>
  <c r="L74" i="203" s="1"/>
  <c r="K73" i="203"/>
  <c r="L73" i="203" s="1"/>
  <c r="K72" i="203"/>
  <c r="L72" i="203" s="1"/>
  <c r="K69" i="203"/>
  <c r="L69" i="203" s="1"/>
  <c r="K68" i="203"/>
  <c r="L68" i="203" s="1"/>
  <c r="K67" i="203"/>
  <c r="L67" i="203" s="1"/>
  <c r="K66" i="203"/>
  <c r="L66" i="203" s="1"/>
  <c r="K65" i="203"/>
  <c r="L65" i="203" s="1"/>
  <c r="K64" i="203"/>
  <c r="L64" i="203" s="1"/>
  <c r="K63" i="203"/>
  <c r="L63" i="203" s="1"/>
  <c r="K62" i="203"/>
  <c r="L62" i="203" s="1"/>
  <c r="K59" i="203"/>
  <c r="L59" i="203" s="1"/>
  <c r="K58" i="203"/>
  <c r="L58" i="203" s="1"/>
  <c r="K57" i="203"/>
  <c r="L57" i="203" s="1"/>
  <c r="K54" i="203"/>
  <c r="L54" i="203" s="1"/>
  <c r="K53" i="203"/>
  <c r="L53" i="203" s="1"/>
  <c r="K52" i="203"/>
  <c r="L52" i="203" s="1"/>
  <c r="K51" i="203"/>
  <c r="L51" i="203" s="1"/>
  <c r="K50" i="203"/>
  <c r="L50" i="203" s="1"/>
  <c r="K49" i="203"/>
  <c r="L49" i="203" s="1"/>
  <c r="K46" i="203"/>
  <c r="L46" i="203" s="1"/>
  <c r="K45" i="203"/>
  <c r="L45" i="203" s="1"/>
  <c r="K44" i="203"/>
  <c r="L44" i="203" s="1"/>
  <c r="K43" i="203"/>
  <c r="L43" i="203" s="1"/>
  <c r="K42" i="203"/>
  <c r="L42" i="203" s="1"/>
  <c r="K41" i="203"/>
  <c r="L41" i="203" s="1"/>
  <c r="K40" i="203"/>
  <c r="L40" i="203" s="1"/>
  <c r="K39" i="203"/>
  <c r="L39" i="203" s="1"/>
  <c r="K38" i="203"/>
  <c r="L38" i="203" s="1"/>
  <c r="K37" i="203"/>
  <c r="L37" i="203" s="1"/>
  <c r="K34" i="203"/>
  <c r="L34" i="203" s="1"/>
  <c r="K31" i="203"/>
  <c r="L31" i="203" s="1"/>
  <c r="K30" i="203"/>
  <c r="L30" i="203" s="1"/>
  <c r="K27" i="203"/>
  <c r="L27" i="203" s="1"/>
  <c r="K26" i="203"/>
  <c r="L26" i="203" s="1"/>
  <c r="K25" i="203"/>
  <c r="L25" i="203" s="1"/>
  <c r="K24" i="203"/>
  <c r="L24" i="203" s="1"/>
  <c r="K23" i="203"/>
  <c r="L23" i="203" s="1"/>
  <c r="K22" i="203"/>
  <c r="L22" i="203" s="1"/>
  <c r="K21" i="203"/>
  <c r="L21" i="203" s="1"/>
  <c r="K20" i="203"/>
  <c r="L20" i="203" s="1"/>
  <c r="K19" i="203"/>
  <c r="L19" i="203" s="1"/>
  <c r="K18" i="203"/>
  <c r="L18" i="203" s="1"/>
  <c r="K17" i="203"/>
  <c r="L17" i="203" s="1"/>
  <c r="K16" i="203"/>
  <c r="L16" i="203" s="1"/>
  <c r="K15" i="203"/>
  <c r="L15" i="203" s="1"/>
  <c r="K12" i="203"/>
  <c r="L12" i="203" s="1"/>
  <c r="K11" i="203"/>
  <c r="L11" i="203" s="1"/>
  <c r="K10" i="203"/>
  <c r="L10" i="203" s="1"/>
  <c r="K8" i="203"/>
  <c r="L8" i="203" s="1"/>
  <c r="G226" i="203"/>
  <c r="H226" i="203" s="1"/>
  <c r="G225" i="203"/>
  <c r="H225" i="203" s="1"/>
  <c r="G224" i="203"/>
  <c r="H224" i="203" s="1"/>
  <c r="G223" i="203"/>
  <c r="H223" i="203" s="1"/>
  <c r="G222" i="203"/>
  <c r="H222" i="203" s="1"/>
  <c r="G221" i="203"/>
  <c r="H221" i="203" s="1"/>
  <c r="G218" i="203"/>
  <c r="H218" i="203" s="1"/>
  <c r="G217" i="203"/>
  <c r="H217" i="203" s="1"/>
  <c r="G216" i="203"/>
  <c r="H216" i="203" s="1"/>
  <c r="G215" i="203"/>
  <c r="H215" i="203" s="1"/>
  <c r="G214" i="203"/>
  <c r="H214" i="203" s="1"/>
  <c r="G211" i="203"/>
  <c r="H211" i="203" s="1"/>
  <c r="G208" i="203"/>
  <c r="H208" i="203" s="1"/>
  <c r="G207" i="203"/>
  <c r="H207" i="203" s="1"/>
  <c r="G206" i="203"/>
  <c r="H206" i="203" s="1"/>
  <c r="G205" i="203"/>
  <c r="H205" i="203" s="1"/>
  <c r="G204" i="203"/>
  <c r="H204" i="203" s="1"/>
  <c r="G203" i="203"/>
  <c r="H203" i="203" s="1"/>
  <c r="G202" i="203"/>
  <c r="H202" i="203" s="1"/>
  <c r="G201" i="203"/>
  <c r="H201" i="203" s="1"/>
  <c r="G200" i="203"/>
  <c r="H200" i="203" s="1"/>
  <c r="G199" i="203"/>
  <c r="H199" i="203" s="1"/>
  <c r="G196" i="203"/>
  <c r="H196" i="203" s="1"/>
  <c r="G195" i="203"/>
  <c r="H195" i="203" s="1"/>
  <c r="G194" i="203"/>
  <c r="H194" i="203" s="1"/>
  <c r="G193" i="203"/>
  <c r="H193" i="203" s="1"/>
  <c r="G192" i="203"/>
  <c r="H192" i="203" s="1"/>
  <c r="G191" i="203"/>
  <c r="H191" i="203" s="1"/>
  <c r="G190" i="203"/>
  <c r="H190" i="203" s="1"/>
  <c r="G189" i="203"/>
  <c r="H189" i="203" s="1"/>
  <c r="G186" i="203"/>
  <c r="H186" i="203" s="1"/>
  <c r="G185" i="203"/>
  <c r="H185" i="203" s="1"/>
  <c r="G184" i="203"/>
  <c r="H184" i="203" s="1"/>
  <c r="G183" i="203"/>
  <c r="H183" i="203" s="1"/>
  <c r="G182" i="203"/>
  <c r="H182" i="203" s="1"/>
  <c r="G179" i="203"/>
  <c r="H179" i="203" s="1"/>
  <c r="G178" i="203"/>
  <c r="H178" i="203" s="1"/>
  <c r="G177" i="203"/>
  <c r="H177" i="203" s="1"/>
  <c r="G176" i="203"/>
  <c r="H176" i="203" s="1"/>
  <c r="G173" i="203"/>
  <c r="H173" i="203" s="1"/>
  <c r="G170" i="203"/>
  <c r="H170" i="203" s="1"/>
  <c r="G169" i="203"/>
  <c r="H169" i="203" s="1"/>
  <c r="G168" i="203"/>
  <c r="H168" i="203" s="1"/>
  <c r="G167" i="203"/>
  <c r="H167" i="203" s="1"/>
  <c r="G166" i="203"/>
  <c r="H166" i="203" s="1"/>
  <c r="G165" i="203"/>
  <c r="H165" i="203" s="1"/>
  <c r="G164" i="203"/>
  <c r="H164" i="203" s="1"/>
  <c r="G163" i="203"/>
  <c r="H163" i="203" s="1"/>
  <c r="G162" i="203"/>
  <c r="H162" i="203" s="1"/>
  <c r="G161" i="203"/>
  <c r="H161" i="203" s="1"/>
  <c r="G158" i="203"/>
  <c r="H158" i="203" s="1"/>
  <c r="G157" i="203"/>
  <c r="H157" i="203" s="1"/>
  <c r="G156" i="203"/>
  <c r="H156" i="203" s="1"/>
  <c r="G155" i="203"/>
  <c r="H155" i="203" s="1"/>
  <c r="G154" i="203"/>
  <c r="H154" i="203" s="1"/>
  <c r="G150" i="203"/>
  <c r="H150" i="203" s="1"/>
  <c r="G147" i="203"/>
  <c r="H147" i="203" s="1"/>
  <c r="G146" i="203"/>
  <c r="H146" i="203" s="1"/>
  <c r="G145" i="203"/>
  <c r="H145" i="203" s="1"/>
  <c r="G144" i="203"/>
  <c r="H144" i="203" s="1"/>
  <c r="G143" i="203"/>
  <c r="H143" i="203" s="1"/>
  <c r="G142" i="203"/>
  <c r="H142" i="203" s="1"/>
  <c r="G141" i="203"/>
  <c r="H141" i="203" s="1"/>
  <c r="G140" i="203"/>
  <c r="H140" i="203" s="1"/>
  <c r="G137" i="203"/>
  <c r="H137" i="203" s="1"/>
  <c r="G136" i="203"/>
  <c r="H136" i="203" s="1"/>
  <c r="G135" i="203"/>
  <c r="H135" i="203" s="1"/>
  <c r="G134" i="203"/>
  <c r="H134" i="203" s="1"/>
  <c r="G133" i="203"/>
  <c r="H133" i="203" s="1"/>
  <c r="G132" i="203"/>
  <c r="H132" i="203" s="1"/>
  <c r="G131" i="203"/>
  <c r="H131" i="203" s="1"/>
  <c r="G130" i="203"/>
  <c r="H130" i="203" s="1"/>
  <c r="G127" i="203"/>
  <c r="H127" i="203" s="1"/>
  <c r="G124" i="203"/>
  <c r="H124" i="203" s="1"/>
  <c r="G123" i="203"/>
  <c r="H123" i="203" s="1"/>
  <c r="G122" i="203"/>
  <c r="H122" i="203" s="1"/>
  <c r="G121" i="203"/>
  <c r="H121" i="203" s="1"/>
  <c r="G120" i="203"/>
  <c r="H120" i="203" s="1"/>
  <c r="G119" i="203"/>
  <c r="H119" i="203" s="1"/>
  <c r="G118" i="203"/>
  <c r="H118" i="203" s="1"/>
  <c r="G117" i="203"/>
  <c r="H117" i="203" s="1"/>
  <c r="G116" i="203"/>
  <c r="H116" i="203" s="1"/>
  <c r="G115" i="203"/>
  <c r="H115" i="203" s="1"/>
  <c r="G112" i="203"/>
  <c r="H112" i="203" s="1"/>
  <c r="G111" i="203"/>
  <c r="H111" i="203" s="1"/>
  <c r="G110" i="203"/>
  <c r="H110" i="203" s="1"/>
  <c r="G109" i="203"/>
  <c r="H109" i="203" s="1"/>
  <c r="G108" i="203"/>
  <c r="H108" i="203" s="1"/>
  <c r="G107" i="203"/>
  <c r="H107" i="203" s="1"/>
  <c r="G106" i="203"/>
  <c r="H106" i="203" s="1"/>
  <c r="G102" i="203"/>
  <c r="H102" i="203" s="1"/>
  <c r="G99" i="203"/>
  <c r="H99" i="203" s="1"/>
  <c r="G98" i="203"/>
  <c r="H98" i="203" s="1"/>
  <c r="G97" i="203"/>
  <c r="H97" i="203" s="1"/>
  <c r="G96" i="203"/>
  <c r="H96" i="203" s="1"/>
  <c r="G95" i="203"/>
  <c r="H95" i="203" s="1"/>
  <c r="G94" i="203"/>
  <c r="H94" i="203" s="1"/>
  <c r="G93" i="203"/>
  <c r="H93" i="203" s="1"/>
  <c r="G92" i="203"/>
  <c r="H92" i="203" s="1"/>
  <c r="G91" i="203"/>
  <c r="H91" i="203" s="1"/>
  <c r="G90" i="203"/>
  <c r="H90" i="203" s="1"/>
  <c r="G87" i="203"/>
  <c r="H87" i="203" s="1"/>
  <c r="G86" i="203"/>
  <c r="H86" i="203" s="1"/>
  <c r="G85" i="203"/>
  <c r="H85" i="203" s="1"/>
  <c r="G84" i="203"/>
  <c r="H84" i="203" s="1"/>
  <c r="G83" i="203"/>
  <c r="H83" i="203" s="1"/>
  <c r="G79" i="203"/>
  <c r="H79" i="203" s="1"/>
  <c r="G78" i="203"/>
  <c r="H78" i="203" s="1"/>
  <c r="G77" i="203"/>
  <c r="H77" i="203" s="1"/>
  <c r="G76" i="203"/>
  <c r="H76" i="203" s="1"/>
  <c r="G75" i="203"/>
  <c r="H75" i="203" s="1"/>
  <c r="G74" i="203"/>
  <c r="H74" i="203" s="1"/>
  <c r="G73" i="203"/>
  <c r="H73" i="203" s="1"/>
  <c r="H72" i="203"/>
  <c r="G69" i="203"/>
  <c r="H69" i="203" s="1"/>
  <c r="G68" i="203"/>
  <c r="H68" i="203" s="1"/>
  <c r="G67" i="203"/>
  <c r="H67" i="203" s="1"/>
  <c r="G66" i="203"/>
  <c r="H66" i="203" s="1"/>
  <c r="G65" i="203"/>
  <c r="H65" i="203" s="1"/>
  <c r="G64" i="203"/>
  <c r="H64" i="203" s="1"/>
  <c r="G63" i="203"/>
  <c r="H63" i="203" s="1"/>
  <c r="G62" i="203"/>
  <c r="H62" i="203" s="1"/>
  <c r="G59" i="203"/>
  <c r="H59" i="203" s="1"/>
  <c r="G58" i="203"/>
  <c r="H58" i="203" s="1"/>
  <c r="G57" i="203"/>
  <c r="H57" i="203" s="1"/>
  <c r="G54" i="203"/>
  <c r="H54" i="203" s="1"/>
  <c r="G53" i="203"/>
  <c r="H53" i="203" s="1"/>
  <c r="G52" i="203"/>
  <c r="H52" i="203" s="1"/>
  <c r="G51" i="203"/>
  <c r="H51" i="203" s="1"/>
  <c r="G50" i="203"/>
  <c r="H50" i="203" s="1"/>
  <c r="G49" i="203"/>
  <c r="H49" i="203" s="1"/>
  <c r="G46" i="203"/>
  <c r="H46" i="203" s="1"/>
  <c r="G45" i="203"/>
  <c r="H45" i="203" s="1"/>
  <c r="G44" i="203"/>
  <c r="H44" i="203" s="1"/>
  <c r="G43" i="203"/>
  <c r="H43" i="203" s="1"/>
  <c r="G42" i="203"/>
  <c r="H42" i="203" s="1"/>
  <c r="G41" i="203"/>
  <c r="H41" i="203" s="1"/>
  <c r="G40" i="203"/>
  <c r="H40" i="203" s="1"/>
  <c r="G39" i="203"/>
  <c r="H39" i="203" s="1"/>
  <c r="G38" i="203"/>
  <c r="H38" i="203" s="1"/>
  <c r="G37" i="203"/>
  <c r="H37" i="203" s="1"/>
  <c r="G34" i="203"/>
  <c r="H34" i="203" s="1"/>
  <c r="G31" i="203"/>
  <c r="H31" i="203" s="1"/>
  <c r="G30" i="203"/>
  <c r="H30" i="203" s="1"/>
  <c r="G27" i="203"/>
  <c r="H27" i="203" s="1"/>
  <c r="G26" i="203"/>
  <c r="H26" i="203" s="1"/>
  <c r="G25" i="203"/>
  <c r="H25" i="203" s="1"/>
  <c r="G24" i="203"/>
  <c r="H24" i="203" s="1"/>
  <c r="G23" i="203"/>
  <c r="H23" i="203" s="1"/>
  <c r="G22" i="203"/>
  <c r="H22" i="203" s="1"/>
  <c r="G21" i="203"/>
  <c r="H21" i="203" s="1"/>
  <c r="G20" i="203"/>
  <c r="H20" i="203" s="1"/>
  <c r="G19" i="203"/>
  <c r="H19" i="203" s="1"/>
  <c r="G18" i="203"/>
  <c r="H18" i="203" s="1"/>
  <c r="G17" i="203"/>
  <c r="H17" i="203" s="1"/>
  <c r="G16" i="203"/>
  <c r="H16" i="203" s="1"/>
  <c r="G15" i="203"/>
  <c r="H15" i="203" s="1"/>
  <c r="G12" i="203"/>
  <c r="H12" i="203" s="1"/>
  <c r="G11" i="203"/>
  <c r="H11" i="203" s="1"/>
  <c r="G10" i="203"/>
  <c r="H10" i="203" s="1"/>
  <c r="G8" i="203"/>
  <c r="H8" i="203" s="1"/>
  <c r="I226" i="203"/>
  <c r="J226" i="203" s="1"/>
  <c r="I225" i="203"/>
  <c r="J225" i="203" s="1"/>
  <c r="I224" i="203"/>
  <c r="J224" i="203" s="1"/>
  <c r="I223" i="203"/>
  <c r="J223" i="203" s="1"/>
  <c r="I222" i="203"/>
  <c r="J222" i="203" s="1"/>
  <c r="I221" i="203"/>
  <c r="J221" i="203" s="1"/>
  <c r="I218" i="203"/>
  <c r="J218" i="203" s="1"/>
  <c r="I217" i="203"/>
  <c r="J217" i="203" s="1"/>
  <c r="I216" i="203"/>
  <c r="J216" i="203" s="1"/>
  <c r="I215" i="203"/>
  <c r="J215" i="203" s="1"/>
  <c r="I214" i="203"/>
  <c r="J214" i="203" s="1"/>
  <c r="I211" i="203"/>
  <c r="J211" i="203" s="1"/>
  <c r="I208" i="203"/>
  <c r="J208" i="203" s="1"/>
  <c r="I207" i="203"/>
  <c r="J207" i="203" s="1"/>
  <c r="I206" i="203"/>
  <c r="J206" i="203" s="1"/>
  <c r="I205" i="203"/>
  <c r="J205" i="203" s="1"/>
  <c r="I204" i="203"/>
  <c r="J204" i="203" s="1"/>
  <c r="I203" i="203"/>
  <c r="J203" i="203" s="1"/>
  <c r="I202" i="203"/>
  <c r="J202" i="203" s="1"/>
  <c r="I201" i="203"/>
  <c r="J201" i="203" s="1"/>
  <c r="I200" i="203"/>
  <c r="J200" i="203" s="1"/>
  <c r="I199" i="203"/>
  <c r="J199" i="203" s="1"/>
  <c r="I196" i="203"/>
  <c r="J196" i="203" s="1"/>
  <c r="I195" i="203"/>
  <c r="J195" i="203" s="1"/>
  <c r="I194" i="203"/>
  <c r="J194" i="203" s="1"/>
  <c r="I193" i="203"/>
  <c r="J193" i="203" s="1"/>
  <c r="I192" i="203"/>
  <c r="J192" i="203" s="1"/>
  <c r="I191" i="203"/>
  <c r="J191" i="203" s="1"/>
  <c r="I190" i="203"/>
  <c r="J190" i="203" s="1"/>
  <c r="I189" i="203"/>
  <c r="J189" i="203" s="1"/>
  <c r="I186" i="203"/>
  <c r="J186" i="203" s="1"/>
  <c r="I185" i="203"/>
  <c r="J185" i="203" s="1"/>
  <c r="I184" i="203"/>
  <c r="J184" i="203" s="1"/>
  <c r="I183" i="203"/>
  <c r="J183" i="203" s="1"/>
  <c r="I182" i="203"/>
  <c r="J182" i="203" s="1"/>
  <c r="I179" i="203"/>
  <c r="J179" i="203" s="1"/>
  <c r="I178" i="203"/>
  <c r="J178" i="203" s="1"/>
  <c r="I177" i="203"/>
  <c r="J177" i="203" s="1"/>
  <c r="I176" i="203"/>
  <c r="J176" i="203" s="1"/>
  <c r="I173" i="203"/>
  <c r="J173" i="203" s="1"/>
  <c r="I170" i="203"/>
  <c r="J170" i="203" s="1"/>
  <c r="I169" i="203"/>
  <c r="J169" i="203" s="1"/>
  <c r="I168" i="203"/>
  <c r="J168" i="203" s="1"/>
  <c r="I167" i="203"/>
  <c r="J167" i="203" s="1"/>
  <c r="I166" i="203"/>
  <c r="J166" i="203" s="1"/>
  <c r="I165" i="203"/>
  <c r="J165" i="203" s="1"/>
  <c r="I164" i="203"/>
  <c r="J164" i="203" s="1"/>
  <c r="I163" i="203"/>
  <c r="J163" i="203" s="1"/>
  <c r="I162" i="203"/>
  <c r="J162" i="203" s="1"/>
  <c r="I161" i="203"/>
  <c r="J161" i="203" s="1"/>
  <c r="I158" i="203"/>
  <c r="J158" i="203" s="1"/>
  <c r="I157" i="203"/>
  <c r="J157" i="203" s="1"/>
  <c r="I156" i="203"/>
  <c r="J156" i="203" s="1"/>
  <c r="I155" i="203"/>
  <c r="J155" i="203" s="1"/>
  <c r="I154" i="203"/>
  <c r="J154" i="203" s="1"/>
  <c r="I150" i="203"/>
  <c r="J150" i="203" s="1"/>
  <c r="I147" i="203"/>
  <c r="J147" i="203" s="1"/>
  <c r="I146" i="203"/>
  <c r="J146" i="203" s="1"/>
  <c r="I145" i="203"/>
  <c r="J145" i="203" s="1"/>
  <c r="I144" i="203"/>
  <c r="J144" i="203" s="1"/>
  <c r="I143" i="203"/>
  <c r="J143" i="203" s="1"/>
  <c r="I142" i="203"/>
  <c r="J142" i="203" s="1"/>
  <c r="I141" i="203"/>
  <c r="J141" i="203" s="1"/>
  <c r="I140" i="203"/>
  <c r="J140" i="203" s="1"/>
  <c r="I137" i="203"/>
  <c r="J137" i="203" s="1"/>
  <c r="I136" i="203"/>
  <c r="J136" i="203" s="1"/>
  <c r="I135" i="203"/>
  <c r="J135" i="203" s="1"/>
  <c r="I134" i="203"/>
  <c r="J134" i="203" s="1"/>
  <c r="I133" i="203"/>
  <c r="J133" i="203" s="1"/>
  <c r="I132" i="203"/>
  <c r="J132" i="203" s="1"/>
  <c r="I131" i="203"/>
  <c r="J131" i="203" s="1"/>
  <c r="I130" i="203"/>
  <c r="J130" i="203" s="1"/>
  <c r="I127" i="203"/>
  <c r="J127" i="203" s="1"/>
  <c r="I124" i="203"/>
  <c r="J124" i="203" s="1"/>
  <c r="I123" i="203"/>
  <c r="J123" i="203" s="1"/>
  <c r="I122" i="203"/>
  <c r="J122" i="203" s="1"/>
  <c r="I121" i="203"/>
  <c r="J121" i="203" s="1"/>
  <c r="I120" i="203"/>
  <c r="J120" i="203" s="1"/>
  <c r="I119" i="203"/>
  <c r="J119" i="203" s="1"/>
  <c r="I118" i="203"/>
  <c r="J118" i="203" s="1"/>
  <c r="I117" i="203"/>
  <c r="J117" i="203" s="1"/>
  <c r="I116" i="203"/>
  <c r="J116" i="203" s="1"/>
  <c r="I115" i="203"/>
  <c r="J115" i="203" s="1"/>
  <c r="I112" i="203"/>
  <c r="J112" i="203" s="1"/>
  <c r="I111" i="203"/>
  <c r="J111" i="203" s="1"/>
  <c r="I110" i="203"/>
  <c r="J110" i="203" s="1"/>
  <c r="I109" i="203"/>
  <c r="J109" i="203" s="1"/>
  <c r="I108" i="203"/>
  <c r="J108" i="203" s="1"/>
  <c r="I107" i="203"/>
  <c r="J107" i="203" s="1"/>
  <c r="I106" i="203"/>
  <c r="J106" i="203" s="1"/>
  <c r="I102" i="203"/>
  <c r="J102" i="203" s="1"/>
  <c r="I99" i="203"/>
  <c r="J99" i="203" s="1"/>
  <c r="I98" i="203"/>
  <c r="J98" i="203" s="1"/>
  <c r="I97" i="203"/>
  <c r="J97" i="203" s="1"/>
  <c r="I96" i="203"/>
  <c r="J96" i="203" s="1"/>
  <c r="I95" i="203"/>
  <c r="J95" i="203" s="1"/>
  <c r="I94" i="203"/>
  <c r="J94" i="203" s="1"/>
  <c r="I93" i="203"/>
  <c r="J93" i="203" s="1"/>
  <c r="I92" i="203"/>
  <c r="J92" i="203" s="1"/>
  <c r="I91" i="203"/>
  <c r="J91" i="203" s="1"/>
  <c r="I90" i="203"/>
  <c r="J90" i="203" s="1"/>
  <c r="I87" i="203"/>
  <c r="J87" i="203" s="1"/>
  <c r="I86" i="203"/>
  <c r="J86" i="203" s="1"/>
  <c r="I85" i="203"/>
  <c r="J85" i="203" s="1"/>
  <c r="I84" i="203"/>
  <c r="J84" i="203" s="1"/>
  <c r="I83" i="203"/>
  <c r="J83" i="203" s="1"/>
  <c r="I79" i="203"/>
  <c r="J79" i="203" s="1"/>
  <c r="I78" i="203"/>
  <c r="J78" i="203" s="1"/>
  <c r="I77" i="203"/>
  <c r="J77" i="203" s="1"/>
  <c r="I76" i="203"/>
  <c r="J76" i="203" s="1"/>
  <c r="I75" i="203"/>
  <c r="J75" i="203" s="1"/>
  <c r="I74" i="203"/>
  <c r="J74" i="203" s="1"/>
  <c r="I73" i="203"/>
  <c r="J73" i="203" s="1"/>
  <c r="I72" i="203"/>
  <c r="J72" i="203" s="1"/>
  <c r="I69" i="203"/>
  <c r="J69" i="203" s="1"/>
  <c r="I68" i="203"/>
  <c r="J68" i="203" s="1"/>
  <c r="I67" i="203"/>
  <c r="J67" i="203" s="1"/>
  <c r="I66" i="203"/>
  <c r="J66" i="203" s="1"/>
  <c r="I65" i="203"/>
  <c r="J65" i="203" s="1"/>
  <c r="I64" i="203"/>
  <c r="J64" i="203" s="1"/>
  <c r="I63" i="203"/>
  <c r="J63" i="203" s="1"/>
  <c r="I62" i="203"/>
  <c r="J62" i="203" s="1"/>
  <c r="I59" i="203"/>
  <c r="J59" i="203" s="1"/>
  <c r="I58" i="203"/>
  <c r="J58" i="203" s="1"/>
  <c r="I57" i="203"/>
  <c r="J57" i="203" s="1"/>
  <c r="I54" i="203"/>
  <c r="J54" i="203" s="1"/>
  <c r="I53" i="203"/>
  <c r="J53" i="203" s="1"/>
  <c r="I52" i="203"/>
  <c r="J52" i="203" s="1"/>
  <c r="I51" i="203"/>
  <c r="J51" i="203" s="1"/>
  <c r="I50" i="203"/>
  <c r="J50" i="203" s="1"/>
  <c r="I49" i="203"/>
  <c r="J49" i="203" s="1"/>
  <c r="I46" i="203"/>
  <c r="J46" i="203" s="1"/>
  <c r="I45" i="203"/>
  <c r="J45" i="203" s="1"/>
  <c r="I44" i="203"/>
  <c r="J44" i="203" s="1"/>
  <c r="I43" i="203"/>
  <c r="J43" i="203" s="1"/>
  <c r="I42" i="203"/>
  <c r="J42" i="203" s="1"/>
  <c r="I41" i="203"/>
  <c r="J41" i="203" s="1"/>
  <c r="I40" i="203"/>
  <c r="J40" i="203" s="1"/>
  <c r="I39" i="203"/>
  <c r="J39" i="203" s="1"/>
  <c r="I38" i="203"/>
  <c r="J38" i="203" s="1"/>
  <c r="I37" i="203"/>
  <c r="J37" i="203" s="1"/>
  <c r="I34" i="203"/>
  <c r="J34" i="203" s="1"/>
  <c r="I31" i="203"/>
  <c r="J31" i="203" s="1"/>
  <c r="I30" i="203"/>
  <c r="J30" i="203" s="1"/>
  <c r="I27" i="203"/>
  <c r="J27" i="203" s="1"/>
  <c r="I26" i="203"/>
  <c r="J26" i="203" s="1"/>
  <c r="I25" i="203"/>
  <c r="J25" i="203" s="1"/>
  <c r="I24" i="203"/>
  <c r="J24" i="203" s="1"/>
  <c r="I23" i="203"/>
  <c r="J23" i="203" s="1"/>
  <c r="I22" i="203"/>
  <c r="J22" i="203" s="1"/>
  <c r="I21" i="203"/>
  <c r="J21" i="203" s="1"/>
  <c r="I20" i="203"/>
  <c r="J20" i="203" s="1"/>
  <c r="I19" i="203"/>
  <c r="J19" i="203" s="1"/>
  <c r="I18" i="203"/>
  <c r="J18" i="203" s="1"/>
  <c r="I17" i="203"/>
  <c r="J17" i="203" s="1"/>
  <c r="I16" i="203"/>
  <c r="J16" i="203" s="1"/>
  <c r="I15" i="203"/>
  <c r="J15" i="203" s="1"/>
  <c r="I12" i="203"/>
  <c r="J12" i="203" s="1"/>
  <c r="I8" i="203"/>
  <c r="J8" i="203" s="1"/>
  <c r="N223" i="203" l="1"/>
  <c r="P223" i="203" s="1"/>
  <c r="N224" i="203"/>
  <c r="P224" i="203" s="1"/>
  <c r="N222" i="203"/>
  <c r="N221" i="203"/>
  <c r="P221" i="203" s="1"/>
  <c r="N216" i="203"/>
  <c r="P216" i="203" s="1"/>
  <c r="S216" i="203"/>
  <c r="P226" i="203"/>
  <c r="P225" i="203"/>
  <c r="P217" i="203"/>
  <c r="P214" i="203"/>
  <c r="P218" i="203"/>
  <c r="P211" i="203"/>
  <c r="P200" i="203"/>
  <c r="P204" i="203"/>
  <c r="P208" i="203"/>
  <c r="P201" i="203"/>
  <c r="P205" i="203"/>
  <c r="P202" i="203"/>
  <c r="P206" i="203"/>
  <c r="P199" i="203"/>
  <c r="P203" i="203"/>
  <c r="P207" i="203"/>
  <c r="P190" i="203"/>
  <c r="P194" i="203"/>
  <c r="P191" i="203"/>
  <c r="P195" i="203"/>
  <c r="P192" i="203"/>
  <c r="P196" i="203"/>
  <c r="P189" i="203"/>
  <c r="P193" i="203"/>
  <c r="P184" i="203"/>
  <c r="P185" i="203"/>
  <c r="P182" i="203"/>
  <c r="P186" i="203"/>
  <c r="P183" i="203"/>
  <c r="P178" i="203"/>
  <c r="P179" i="203"/>
  <c r="P176" i="203"/>
  <c r="P177" i="203"/>
  <c r="P173" i="203"/>
  <c r="P162" i="203"/>
  <c r="P166" i="203"/>
  <c r="P170" i="203"/>
  <c r="P163" i="203"/>
  <c r="P167" i="203"/>
  <c r="P164" i="203"/>
  <c r="P168" i="203"/>
  <c r="P161" i="203"/>
  <c r="P165" i="203"/>
  <c r="P169" i="203"/>
  <c r="P156" i="203"/>
  <c r="P157" i="203"/>
  <c r="P154" i="203"/>
  <c r="P158" i="203"/>
  <c r="P155" i="203"/>
  <c r="P150" i="203"/>
  <c r="P143" i="203"/>
  <c r="P147" i="203"/>
  <c r="P140" i="203"/>
  <c r="P144" i="203"/>
  <c r="P141" i="203"/>
  <c r="P145" i="203"/>
  <c r="P142" i="203"/>
  <c r="P146" i="203"/>
  <c r="P133" i="203"/>
  <c r="P137" i="203"/>
  <c r="P130" i="203"/>
  <c r="P134" i="203"/>
  <c r="P131" i="203"/>
  <c r="P135" i="203"/>
  <c r="P132" i="203"/>
  <c r="P136" i="203"/>
  <c r="P127" i="203"/>
  <c r="P117" i="203"/>
  <c r="P121" i="203"/>
  <c r="P118" i="203"/>
  <c r="P122" i="203"/>
  <c r="P115" i="203"/>
  <c r="P119" i="203"/>
  <c r="P123" i="203"/>
  <c r="P116" i="203"/>
  <c r="P120" i="203"/>
  <c r="P124" i="203"/>
  <c r="P107" i="203"/>
  <c r="P111" i="203"/>
  <c r="P108" i="203"/>
  <c r="P112" i="203"/>
  <c r="P109" i="203"/>
  <c r="P106" i="203"/>
  <c r="P110" i="203"/>
  <c r="P102" i="203"/>
  <c r="P90" i="203"/>
  <c r="P94" i="203"/>
  <c r="P98" i="203"/>
  <c r="P91" i="203"/>
  <c r="P95" i="203"/>
  <c r="P99" i="203"/>
  <c r="P92" i="203"/>
  <c r="P96" i="203"/>
  <c r="P93" i="203"/>
  <c r="P97" i="203"/>
  <c r="P84" i="203"/>
  <c r="P85" i="203"/>
  <c r="P86" i="203"/>
  <c r="P72" i="203"/>
  <c r="P76" i="203"/>
  <c r="P83" i="203"/>
  <c r="P87" i="203"/>
  <c r="P73" i="203"/>
  <c r="P77" i="203"/>
  <c r="P74" i="203"/>
  <c r="P78" i="203"/>
  <c r="P75" i="203"/>
  <c r="P79" i="203"/>
  <c r="P63" i="203"/>
  <c r="P67" i="203"/>
  <c r="P64" i="203"/>
  <c r="P68" i="203"/>
  <c r="P65" i="203"/>
  <c r="P69" i="203"/>
  <c r="P62" i="203"/>
  <c r="P66" i="203"/>
  <c r="P57" i="203"/>
  <c r="P58" i="203"/>
  <c r="P59" i="203"/>
  <c r="P51" i="203"/>
  <c r="P52" i="203"/>
  <c r="P49" i="203"/>
  <c r="P53" i="203"/>
  <c r="P50" i="203"/>
  <c r="P54" i="203"/>
  <c r="P37" i="203"/>
  <c r="P41" i="203"/>
  <c r="P45" i="203"/>
  <c r="P38" i="203"/>
  <c r="P42" i="203"/>
  <c r="P46" i="203"/>
  <c r="P39" i="203"/>
  <c r="P43" i="203"/>
  <c r="P40" i="203"/>
  <c r="P44" i="203"/>
  <c r="P34" i="203"/>
  <c r="P30" i="203"/>
  <c r="P31" i="203"/>
  <c r="P15" i="203"/>
  <c r="P19" i="203"/>
  <c r="P23" i="203"/>
  <c r="P27" i="203"/>
  <c r="P16" i="203"/>
  <c r="P20" i="203"/>
  <c r="P24" i="203"/>
  <c r="P17" i="203"/>
  <c r="P21" i="203"/>
  <c r="P25" i="203"/>
  <c r="P18" i="203"/>
  <c r="P22" i="203"/>
  <c r="P26" i="203"/>
  <c r="P12" i="203"/>
  <c r="P8" i="203"/>
  <c r="O222" i="203"/>
  <c r="O226" i="203"/>
  <c r="O217" i="203"/>
  <c r="O223" i="203"/>
  <c r="O224" i="203"/>
  <c r="O221" i="203"/>
  <c r="O225" i="203"/>
  <c r="T225" i="203" s="1"/>
  <c r="O216" i="203"/>
  <c r="O214" i="203"/>
  <c r="U214" i="203" s="1"/>
  <c r="U219" i="203" s="1"/>
  <c r="O218" i="203"/>
  <c r="O211" i="203"/>
  <c r="O200" i="203"/>
  <c r="O204" i="203"/>
  <c r="O208" i="203"/>
  <c r="O191" i="203"/>
  <c r="O195" i="203"/>
  <c r="O201" i="203"/>
  <c r="O205" i="203"/>
  <c r="O202" i="203"/>
  <c r="O206" i="203"/>
  <c r="O199" i="203"/>
  <c r="O203" i="203"/>
  <c r="O207" i="203"/>
  <c r="O190" i="203"/>
  <c r="O194" i="203"/>
  <c r="O192" i="203"/>
  <c r="O196" i="203"/>
  <c r="O189" i="203"/>
  <c r="O193" i="203"/>
  <c r="O184" i="203"/>
  <c r="O185" i="203"/>
  <c r="O182" i="203"/>
  <c r="O186" i="203"/>
  <c r="O183" i="203"/>
  <c r="O178" i="203"/>
  <c r="O179" i="203"/>
  <c r="O176" i="203"/>
  <c r="O177" i="203"/>
  <c r="O173" i="203"/>
  <c r="O162" i="203"/>
  <c r="O166" i="203"/>
  <c r="O170" i="203"/>
  <c r="O163" i="203"/>
  <c r="O167" i="203"/>
  <c r="O164" i="203"/>
  <c r="O168" i="203"/>
  <c r="O161" i="203"/>
  <c r="O165" i="203"/>
  <c r="O169" i="203"/>
  <c r="O156" i="203"/>
  <c r="O150" i="203"/>
  <c r="O157" i="203"/>
  <c r="O154" i="203"/>
  <c r="O158" i="203"/>
  <c r="O155" i="203"/>
  <c r="O143" i="203"/>
  <c r="O147" i="203"/>
  <c r="O140" i="203"/>
  <c r="O144" i="203"/>
  <c r="O141" i="203"/>
  <c r="O145" i="203"/>
  <c r="O142" i="203"/>
  <c r="O146" i="203"/>
  <c r="O133" i="203"/>
  <c r="O137" i="203"/>
  <c r="O130" i="203"/>
  <c r="O134" i="203"/>
  <c r="O131" i="203"/>
  <c r="O135" i="203"/>
  <c r="O132" i="203"/>
  <c r="O136" i="203"/>
  <c r="O127" i="203"/>
  <c r="O118" i="203"/>
  <c r="O122" i="203"/>
  <c r="O117" i="203"/>
  <c r="O121" i="203"/>
  <c r="O109" i="203"/>
  <c r="O115" i="203"/>
  <c r="O119" i="203"/>
  <c r="O123" i="203"/>
  <c r="O116" i="203"/>
  <c r="O120" i="203"/>
  <c r="O124" i="203"/>
  <c r="O107" i="203"/>
  <c r="O111" i="203"/>
  <c r="O108" i="203"/>
  <c r="O112" i="203"/>
  <c r="O106" i="203"/>
  <c r="O110" i="203"/>
  <c r="O102" i="203"/>
  <c r="O90" i="203"/>
  <c r="O94" i="203"/>
  <c r="O98" i="203"/>
  <c r="O91" i="203"/>
  <c r="O95" i="203"/>
  <c r="O99" i="203"/>
  <c r="O92" i="203"/>
  <c r="O96" i="203"/>
  <c r="O93" i="203"/>
  <c r="O97" i="203"/>
  <c r="O84" i="203"/>
  <c r="O85" i="203"/>
  <c r="O86" i="203"/>
  <c r="O83" i="203"/>
  <c r="O87" i="203"/>
  <c r="O73" i="203"/>
  <c r="O77" i="203"/>
  <c r="O74" i="203"/>
  <c r="O78" i="203"/>
  <c r="O75" i="203"/>
  <c r="O79" i="203"/>
  <c r="O72" i="203"/>
  <c r="O76" i="203"/>
  <c r="O63" i="203"/>
  <c r="O67" i="203"/>
  <c r="O64" i="203"/>
  <c r="O68" i="203"/>
  <c r="O65" i="203"/>
  <c r="O69" i="203"/>
  <c r="O62" i="203"/>
  <c r="O66" i="203"/>
  <c r="O57" i="203"/>
  <c r="O58" i="203"/>
  <c r="O59" i="203"/>
  <c r="O51" i="203"/>
  <c r="O52" i="203"/>
  <c r="O49" i="203"/>
  <c r="O53" i="203"/>
  <c r="O50" i="203"/>
  <c r="O54" i="203"/>
  <c r="O37" i="203"/>
  <c r="O41" i="203"/>
  <c r="O45" i="203"/>
  <c r="O38" i="203"/>
  <c r="O42" i="203"/>
  <c r="O46" i="203"/>
  <c r="O39" i="203"/>
  <c r="O43" i="203"/>
  <c r="O40" i="203"/>
  <c r="O44" i="203"/>
  <c r="O34" i="203"/>
  <c r="O30" i="203"/>
  <c r="O31" i="203"/>
  <c r="O18" i="203"/>
  <c r="O22" i="203"/>
  <c r="O26" i="203"/>
  <c r="O15" i="203"/>
  <c r="O19" i="203"/>
  <c r="O23" i="203"/>
  <c r="O27" i="203"/>
  <c r="O16" i="203"/>
  <c r="O20" i="203"/>
  <c r="O24" i="203"/>
  <c r="O17" i="203"/>
  <c r="O21" i="203"/>
  <c r="O25" i="203"/>
  <c r="O12" i="203"/>
  <c r="O8" i="203"/>
  <c r="I10" i="203"/>
  <c r="P222" i="203" l="1"/>
  <c r="R232" i="203"/>
  <c r="U225" i="203"/>
  <c r="U227" i="203" s="1"/>
  <c r="N227" i="203"/>
  <c r="O10" i="203"/>
  <c r="J10" i="203"/>
  <c r="P10" i="203" s="1"/>
  <c r="P151" i="203"/>
  <c r="P174" i="203"/>
  <c r="P212" i="203"/>
  <c r="P103" i="203"/>
  <c r="P35" i="203"/>
  <c r="P128" i="203"/>
  <c r="M215" i="203"/>
  <c r="I11" i="203"/>
  <c r="N215" i="203" l="1"/>
  <c r="N219" i="203" s="1"/>
  <c r="N231" i="203" s="1"/>
  <c r="S215" i="203"/>
  <c r="S219" i="203" s="1"/>
  <c r="S229" i="203" s="1"/>
  <c r="O215" i="203"/>
  <c r="O11" i="203"/>
  <c r="J11" i="203"/>
  <c r="P11" i="203" s="1"/>
  <c r="P209" i="203"/>
  <c r="P197" i="203"/>
  <c r="P171" i="203"/>
  <c r="P125" i="203"/>
  <c r="P113" i="203"/>
  <c r="P100" i="203"/>
  <c r="P47" i="203"/>
  <c r="P88" i="203"/>
  <c r="P227" i="203"/>
  <c r="P180" i="203"/>
  <c r="P159" i="203"/>
  <c r="P187" i="203"/>
  <c r="P148" i="203"/>
  <c r="P138" i="203"/>
  <c r="P80" i="203"/>
  <c r="P70" i="203"/>
  <c r="P60" i="203"/>
  <c r="P55" i="203"/>
  <c r="P32" i="203"/>
  <c r="P28" i="203"/>
  <c r="P215" i="203" l="1"/>
  <c r="P219" i="203" s="1"/>
  <c r="N232" i="203"/>
  <c r="H212" i="203" l="1"/>
  <c r="H174" i="203"/>
  <c r="H151" i="203"/>
  <c r="H128" i="203"/>
  <c r="H103" i="203"/>
  <c r="H35" i="203"/>
  <c r="J212" i="203"/>
  <c r="J174" i="203"/>
  <c r="J151" i="203"/>
  <c r="J128" i="203"/>
  <c r="J103" i="203"/>
  <c r="J35" i="203"/>
  <c r="L212" i="203"/>
  <c r="L174" i="203"/>
  <c r="L151" i="203"/>
  <c r="L128" i="203"/>
  <c r="L103" i="203"/>
  <c r="L35" i="203"/>
  <c r="L148" i="203" l="1"/>
  <c r="L138" i="203"/>
  <c r="L55" i="203"/>
  <c r="L125" i="203"/>
  <c r="H60" i="203"/>
  <c r="H32" i="203"/>
  <c r="L171" i="203"/>
  <c r="H55" i="203"/>
  <c r="H70" i="203"/>
  <c r="H80" i="203"/>
  <c r="H88" i="203"/>
  <c r="H113" i="203"/>
  <c r="H159" i="203"/>
  <c r="J187" i="203"/>
  <c r="J180" i="203"/>
  <c r="J159" i="203"/>
  <c r="J47" i="203"/>
  <c r="J32" i="203"/>
  <c r="L28" i="203"/>
  <c r="L70" i="203"/>
  <c r="L80" i="203"/>
  <c r="L88" i="203"/>
  <c r="L113" i="203"/>
  <c r="L227" i="203"/>
  <c r="J100" i="203"/>
  <c r="J197" i="203"/>
  <c r="J209" i="203"/>
  <c r="J219" i="203"/>
  <c r="H100" i="203"/>
  <c r="H125" i="203"/>
  <c r="H171" i="203"/>
  <c r="H180" i="203"/>
  <c r="H187" i="203"/>
  <c r="H219" i="203"/>
  <c r="L32" i="203"/>
  <c r="L47" i="203"/>
  <c r="L159" i="203"/>
  <c r="L180" i="203"/>
  <c r="L187" i="203"/>
  <c r="J55" i="203"/>
  <c r="J60" i="203"/>
  <c r="J125" i="203"/>
  <c r="J138" i="203"/>
  <c r="J148" i="203"/>
  <c r="J171" i="203"/>
  <c r="H28" i="203"/>
  <c r="H197" i="203"/>
  <c r="H227" i="203"/>
  <c r="L60" i="203"/>
  <c r="L100" i="203"/>
  <c r="L197" i="203"/>
  <c r="L209" i="203"/>
  <c r="L219" i="203"/>
  <c r="J28" i="203"/>
  <c r="J70" i="203"/>
  <c r="J80" i="203"/>
  <c r="J88" i="203"/>
  <c r="J113" i="203"/>
  <c r="J227" i="203"/>
  <c r="H47" i="203"/>
  <c r="H138" i="203"/>
  <c r="H148" i="203"/>
  <c r="H209" i="203"/>
  <c r="N28" i="203" l="1"/>
  <c r="N32" i="203"/>
  <c r="N35" i="203"/>
  <c r="N47" i="203"/>
  <c r="N55" i="203"/>
  <c r="N60" i="203"/>
  <c r="N70" i="203"/>
  <c r="N80" i="203"/>
  <c r="N88" i="203"/>
  <c r="N100" i="203"/>
  <c r="N103" i="203"/>
  <c r="N113" i="203"/>
  <c r="N125" i="203"/>
  <c r="N128" i="203"/>
  <c r="N138" i="203"/>
  <c r="N148" i="203"/>
  <c r="N151" i="203"/>
  <c r="N159" i="203"/>
  <c r="N171" i="203"/>
  <c r="N174" i="203"/>
  <c r="N180" i="203"/>
  <c r="N187" i="203"/>
  <c r="N197" i="203"/>
  <c r="N209" i="203"/>
  <c r="N212" i="203"/>
  <c r="C1" i="203"/>
  <c r="F226" i="203"/>
  <c r="F225" i="203"/>
  <c r="F224" i="203"/>
  <c r="F223" i="203"/>
  <c r="F222" i="203"/>
  <c r="F221" i="203"/>
  <c r="F218" i="203"/>
  <c r="F217" i="203"/>
  <c r="F216" i="203"/>
  <c r="F215" i="203"/>
  <c r="F214" i="203"/>
  <c r="F211" i="203"/>
  <c r="F212" i="203" s="1"/>
  <c r="F208" i="203"/>
  <c r="F207" i="203"/>
  <c r="F206" i="203"/>
  <c r="F205" i="203"/>
  <c r="F204" i="203"/>
  <c r="F203" i="203"/>
  <c r="F202" i="203"/>
  <c r="F201" i="203"/>
  <c r="F200" i="203"/>
  <c r="F199" i="203"/>
  <c r="F196" i="203"/>
  <c r="F195" i="203"/>
  <c r="F194" i="203"/>
  <c r="F193" i="203"/>
  <c r="F192" i="203"/>
  <c r="F191" i="203"/>
  <c r="F190" i="203"/>
  <c r="F189" i="203"/>
  <c r="F186" i="203"/>
  <c r="F185" i="203"/>
  <c r="F184" i="203"/>
  <c r="F183" i="203"/>
  <c r="F182" i="203"/>
  <c r="F179" i="203"/>
  <c r="F178" i="203"/>
  <c r="F177" i="203"/>
  <c r="F176" i="203"/>
  <c r="F173" i="203"/>
  <c r="F174" i="203" s="1"/>
  <c r="F170" i="203"/>
  <c r="F169" i="203"/>
  <c r="F168" i="203"/>
  <c r="F167" i="203"/>
  <c r="F166" i="203"/>
  <c r="F165" i="203"/>
  <c r="F164" i="203"/>
  <c r="F163" i="203"/>
  <c r="F162" i="203"/>
  <c r="F161" i="203"/>
  <c r="F158" i="203"/>
  <c r="F157" i="203"/>
  <c r="F156" i="203"/>
  <c r="F155" i="203"/>
  <c r="F154" i="203"/>
  <c r="F150" i="203"/>
  <c r="F151" i="203" s="1"/>
  <c r="F147" i="203"/>
  <c r="F146" i="203"/>
  <c r="F145" i="203"/>
  <c r="F144" i="203"/>
  <c r="F143" i="203"/>
  <c r="F142" i="203"/>
  <c r="F141" i="203"/>
  <c r="F140" i="203"/>
  <c r="F137" i="203"/>
  <c r="F136" i="203"/>
  <c r="F135" i="203"/>
  <c r="F134" i="203"/>
  <c r="F133" i="203"/>
  <c r="F132" i="203"/>
  <c r="F131" i="203"/>
  <c r="F130" i="203"/>
  <c r="F127" i="203"/>
  <c r="F128" i="203" s="1"/>
  <c r="F124" i="203"/>
  <c r="F123" i="203"/>
  <c r="F122" i="203"/>
  <c r="F121" i="203"/>
  <c r="F120" i="203"/>
  <c r="F119" i="203"/>
  <c r="F118" i="203"/>
  <c r="F117" i="203"/>
  <c r="F116" i="203"/>
  <c r="F115" i="203"/>
  <c r="F112" i="203"/>
  <c r="F111" i="203"/>
  <c r="F110" i="203"/>
  <c r="F109" i="203"/>
  <c r="F108" i="203"/>
  <c r="F107" i="203"/>
  <c r="F106" i="203"/>
  <c r="F102" i="203"/>
  <c r="F103" i="203" s="1"/>
  <c r="F99" i="203"/>
  <c r="F98" i="203"/>
  <c r="F97" i="203"/>
  <c r="F96" i="203"/>
  <c r="F95" i="203"/>
  <c r="F94" i="203"/>
  <c r="F93" i="203"/>
  <c r="F92" i="203"/>
  <c r="F91" i="203"/>
  <c r="F90" i="203"/>
  <c r="F87" i="203"/>
  <c r="F86" i="203"/>
  <c r="F85" i="203"/>
  <c r="F84" i="203"/>
  <c r="F83" i="203"/>
  <c r="F79" i="203"/>
  <c r="F78" i="203"/>
  <c r="F77" i="203"/>
  <c r="F76" i="203"/>
  <c r="F75" i="203"/>
  <c r="F74" i="203"/>
  <c r="F73" i="203"/>
  <c r="F72" i="203"/>
  <c r="F69" i="203"/>
  <c r="F68" i="203"/>
  <c r="F67" i="203"/>
  <c r="F66" i="203"/>
  <c r="F65" i="203"/>
  <c r="F64" i="203"/>
  <c r="F63" i="203"/>
  <c r="F62" i="203"/>
  <c r="F59" i="203"/>
  <c r="F58" i="203"/>
  <c r="F57" i="203"/>
  <c r="F54" i="203"/>
  <c r="F53" i="203"/>
  <c r="F52" i="203"/>
  <c r="F51" i="203"/>
  <c r="F50" i="203"/>
  <c r="F49" i="203"/>
  <c r="F46" i="203"/>
  <c r="F45" i="203"/>
  <c r="F44" i="203"/>
  <c r="F43" i="203"/>
  <c r="F42" i="203"/>
  <c r="F41" i="203"/>
  <c r="F40" i="203"/>
  <c r="F39" i="203"/>
  <c r="F38" i="203"/>
  <c r="F37" i="203"/>
  <c r="F34" i="203"/>
  <c r="F35" i="203" s="1"/>
  <c r="F31" i="203"/>
  <c r="F30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2" i="203"/>
  <c r="F11" i="203"/>
  <c r="F10" i="203"/>
  <c r="F9" i="203"/>
  <c r="F8" i="203"/>
  <c r="F32" i="203" l="1"/>
  <c r="F138" i="203"/>
  <c r="F28" i="203"/>
  <c r="F55" i="203"/>
  <c r="F159" i="203"/>
  <c r="F70" i="203"/>
  <c r="F80" i="203"/>
  <c r="F88" i="203"/>
  <c r="F125" i="203"/>
  <c r="F13" i="203"/>
  <c r="F60" i="203"/>
  <c r="F100" i="203"/>
  <c r="F171" i="203"/>
  <c r="F180" i="203"/>
  <c r="F187" i="203"/>
  <c r="F219" i="203"/>
  <c r="F197" i="203"/>
  <c r="F209" i="203"/>
  <c r="F227" i="203"/>
  <c r="F148" i="203"/>
  <c r="F47" i="203"/>
  <c r="F113" i="203"/>
  <c r="K9" i="203" l="1"/>
  <c r="I9" i="203"/>
  <c r="M9" i="203"/>
  <c r="G9" i="203"/>
  <c r="H9" i="203" s="1"/>
  <c r="F229" i="203"/>
  <c r="N9" i="203" l="1"/>
  <c r="N13" i="203" s="1"/>
  <c r="N229" i="203" s="1"/>
  <c r="L9" i="203"/>
  <c r="L13" i="203" s="1"/>
  <c r="L229" i="203" s="1"/>
  <c r="J9" i="203"/>
  <c r="J13" i="203" s="1"/>
  <c r="J229" i="203" s="1"/>
  <c r="O9" i="203"/>
  <c r="H13" i="203"/>
  <c r="H229" i="203" s="1"/>
  <c r="S230" i="203" l="1"/>
  <c r="E235" i="203"/>
  <c r="F236" i="203"/>
  <c r="E236" i="203"/>
  <c r="D235" i="203"/>
  <c r="D236" i="203"/>
  <c r="P9" i="203"/>
  <c r="P13" i="203" s="1"/>
  <c r="P229" i="203" s="1"/>
  <c r="F235" i="203" l="1"/>
  <c r="F237" i="203" s="1"/>
  <c r="E237" i="203"/>
  <c r="D237" i="203"/>
  <c r="G236" i="203"/>
  <c r="G235" i="203" l="1"/>
  <c r="G237" i="203" s="1"/>
  <c r="D240" i="203" s="1"/>
  <c r="Q132" i="203"/>
  <c r="Q136" i="203"/>
  <c r="Q142" i="203"/>
  <c r="Q154" i="203"/>
  <c r="Q161" i="203"/>
  <c r="Q167" i="203"/>
  <c r="Q183" i="203"/>
  <c r="Q194" i="203"/>
  <c r="Q204" i="203"/>
  <c r="Q208" i="203"/>
  <c r="Q216" i="203"/>
  <c r="Q222" i="203"/>
  <c r="Q226" i="203"/>
  <c r="Q135" i="203"/>
  <c r="Q141" i="203"/>
  <c r="Q145" i="203"/>
  <c r="Q146" i="203"/>
  <c r="Q147" i="203"/>
  <c r="Q150" i="203"/>
  <c r="Q157" i="203"/>
  <c r="Q158" i="203"/>
  <c r="Q164" i="203"/>
  <c r="Q165" i="203"/>
  <c r="Q166" i="203"/>
  <c r="Q170" i="203"/>
  <c r="Q173" i="203"/>
  <c r="Q176" i="203"/>
  <c r="Q177" i="203"/>
  <c r="Q178" i="203"/>
  <c r="Q179" i="203"/>
  <c r="Q182" i="203"/>
  <c r="Q186" i="203"/>
  <c r="Q189" i="203"/>
  <c r="Q190" i="203"/>
  <c r="Q191" i="203"/>
  <c r="Q192" i="203"/>
  <c r="Q193" i="203"/>
  <c r="Q199" i="203"/>
  <c r="Q200" i="203"/>
  <c r="Q201" i="203"/>
  <c r="Q202" i="203"/>
  <c r="Q203" i="203"/>
  <c r="Q207" i="203"/>
  <c r="Q215" i="203"/>
  <c r="Q221" i="203"/>
  <c r="Q225" i="203"/>
  <c r="Q131" i="203"/>
  <c r="Q134" i="203"/>
  <c r="Q140" i="203"/>
  <c r="Q144" i="203"/>
  <c r="Q156" i="203"/>
  <c r="Q163" i="203"/>
  <c r="Q169" i="203"/>
  <c r="Q185" i="203"/>
  <c r="Q196" i="203"/>
  <c r="Q206" i="203"/>
  <c r="Q214" i="203"/>
  <c r="Q218" i="203"/>
  <c r="Q224" i="203"/>
  <c r="Q133" i="203"/>
  <c r="Q137" i="203"/>
  <c r="Q143" i="203"/>
  <c r="Q155" i="203"/>
  <c r="Q162" i="203"/>
  <c r="Q168" i="203"/>
  <c r="Q184" i="203"/>
  <c r="Q195" i="203"/>
  <c r="Q205" i="203"/>
  <c r="Q211" i="203"/>
  <c r="Q217" i="203"/>
  <c r="Q223" i="203"/>
  <c r="E1" i="36"/>
  <c r="J249" i="203" l="1"/>
  <c r="K249" i="203"/>
  <c r="K252" i="203" s="1"/>
  <c r="K253" i="203" s="1"/>
  <c r="I249" i="203"/>
  <c r="I252" i="203" s="1"/>
  <c r="J251" i="203"/>
  <c r="F240" i="203"/>
  <c r="E242" i="203"/>
  <c r="E240" i="203"/>
  <c r="H237" i="203"/>
  <c r="G240" i="203"/>
  <c r="Q9" i="203"/>
  <c r="Q31" i="203"/>
  <c r="Q39" i="203"/>
  <c r="Q49" i="203"/>
  <c r="Q73" i="203"/>
  <c r="Q77" i="203"/>
  <c r="Q84" i="203"/>
  <c r="Q11" i="203"/>
  <c r="Q17" i="203"/>
  <c r="Q20" i="203"/>
  <c r="Q24" i="203"/>
  <c r="Q30" i="203"/>
  <c r="Q38" i="203"/>
  <c r="Q42" i="203"/>
  <c r="Q46" i="203"/>
  <c r="Q52" i="203"/>
  <c r="Q57" i="203"/>
  <c r="Q63" i="203"/>
  <c r="Q72" i="203"/>
  <c r="Q76" i="203"/>
  <c r="Q87" i="203"/>
  <c r="Q93" i="203"/>
  <c r="Q97" i="203"/>
  <c r="Q106" i="203"/>
  <c r="Q110" i="203"/>
  <c r="Q116" i="203"/>
  <c r="Q120" i="203"/>
  <c r="Q124" i="203"/>
  <c r="Q21" i="203"/>
  <c r="Q53" i="203"/>
  <c r="Q58" i="203"/>
  <c r="Q64" i="203"/>
  <c r="Q67" i="203"/>
  <c r="Q78" i="203"/>
  <c r="Q16" i="203"/>
  <c r="Q23" i="203"/>
  <c r="Q27" i="203"/>
  <c r="Q37" i="203"/>
  <c r="Q41" i="203"/>
  <c r="Q45" i="203"/>
  <c r="Q51" i="203"/>
  <c r="Q62" i="203"/>
  <c r="Q66" i="203"/>
  <c r="Q69" i="203"/>
  <c r="Q75" i="203"/>
  <c r="Q86" i="203"/>
  <c r="Q92" i="203"/>
  <c r="Q96" i="203"/>
  <c r="Q102" i="203"/>
  <c r="Q109" i="203"/>
  <c r="Q115" i="203"/>
  <c r="Q119" i="203"/>
  <c r="Q123" i="203"/>
  <c r="Q130" i="203"/>
  <c r="Q12" i="203"/>
  <c r="Q18" i="203"/>
  <c r="Q25" i="203"/>
  <c r="Q43" i="203"/>
  <c r="Q79" i="203"/>
  <c r="Q8" i="203"/>
  <c r="Q15" i="203"/>
  <c r="Q19" i="203"/>
  <c r="Q22" i="203"/>
  <c r="Q26" i="203"/>
  <c r="Q34" i="203"/>
  <c r="Q40" i="203"/>
  <c r="Q44" i="203"/>
  <c r="Q50" i="203"/>
  <c r="Q54" i="203"/>
  <c r="Q59" i="203"/>
  <c r="Q65" i="203"/>
  <c r="Q68" i="203"/>
  <c r="Q74" i="203"/>
  <c r="Q85" i="203"/>
  <c r="Q91" i="203"/>
  <c r="Q95" i="203"/>
  <c r="Q99" i="203"/>
  <c r="Q108" i="203"/>
  <c r="Q112" i="203"/>
  <c r="Q118" i="203"/>
  <c r="Q122" i="203"/>
  <c r="Q90" i="203"/>
  <c r="Q98" i="203"/>
  <c r="Q107" i="203"/>
  <c r="Q111" i="203"/>
  <c r="Q117" i="203"/>
  <c r="Q121" i="203"/>
  <c r="Q127" i="203"/>
  <c r="Q10" i="203"/>
  <c r="T10" i="25" l="1"/>
  <c r="G248" i="203"/>
  <c r="J252" i="203"/>
  <c r="J253" i="203" s="1"/>
  <c r="L253" i="203" s="1"/>
  <c r="M253" i="203" s="1"/>
  <c r="E244" i="203"/>
  <c r="F242" i="203"/>
  <c r="D242" i="203"/>
  <c r="Q83" i="203"/>
  <c r="Q94" i="203"/>
  <c r="R11" i="25" l="1"/>
  <c r="P11" i="25"/>
  <c r="P104" i="25" s="1"/>
  <c r="L252" i="203"/>
  <c r="H240" i="203"/>
  <c r="Y27" i="25"/>
  <c r="Y28" i="25"/>
  <c r="Y29" i="25"/>
  <c r="Y30" i="25"/>
  <c r="Y34" i="25"/>
  <c r="Y35" i="25"/>
  <c r="Y36" i="25"/>
  <c r="Y37" i="25"/>
  <c r="Y38" i="25"/>
  <c r="Y39" i="25"/>
  <c r="Y40" i="25"/>
  <c r="Y41" i="25"/>
  <c r="Y44" i="25"/>
  <c r="Y45" i="25"/>
  <c r="Y46" i="25"/>
  <c r="Y48" i="25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4" i="25"/>
  <c r="Y65" i="25"/>
  <c r="Y76" i="25"/>
  <c r="Y77" i="25"/>
  <c r="Y78" i="25"/>
  <c r="Y81" i="25"/>
  <c r="Y82" i="25"/>
  <c r="Y85" i="25"/>
  <c r="Y86" i="25"/>
  <c r="Y89" i="25"/>
  <c r="Y90" i="25"/>
  <c r="Y91" i="25"/>
  <c r="T11" i="25" l="1"/>
  <c r="W11" i="25"/>
  <c r="R104" i="25"/>
  <c r="U104" i="25" s="1"/>
  <c r="U11" i="25"/>
  <c r="V11" i="25" s="1"/>
  <c r="Y10" i="25"/>
  <c r="T104" i="25" l="1"/>
  <c r="W104" i="25"/>
  <c r="V104" i="25"/>
  <c r="D228" i="203" l="1"/>
  <c r="F243" i="203" l="1"/>
  <c r="F244" i="203" s="1"/>
  <c r="D243" i="203"/>
  <c r="D244" i="203" s="1"/>
  <c r="H228" i="203"/>
  <c r="L228" i="203"/>
  <c r="J228" i="203"/>
  <c r="N228" i="203"/>
  <c r="P228" i="203"/>
  <c r="G243" i="203" l="1"/>
  <c r="D247" i="203"/>
  <c r="D248" i="203" s="1"/>
  <c r="L254" i="203"/>
  <c r="E247" i="203"/>
  <c r="E248" i="203" s="1"/>
  <c r="E250" i="203" s="1"/>
  <c r="F247" i="203"/>
  <c r="F248" i="203" s="1"/>
  <c r="F250" i="203" s="1"/>
  <c r="D250" i="203" l="1"/>
  <c r="H248" i="203"/>
  <c r="G244" i="203"/>
  <c r="H244" i="203" s="1"/>
  <c r="G250" i="203"/>
  <c r="G32" i="36" l="1"/>
  <c r="H250" i="203"/>
  <c r="O32" i="36" l="1"/>
  <c r="M32" i="36"/>
  <c r="N1" i="25" l="1"/>
  <c r="G1" i="388" l="1"/>
  <c r="E287" i="388" s="1"/>
  <c r="U290" i="388" s="1"/>
  <c r="E290" i="388" l="1"/>
  <c r="H290" i="388" l="1"/>
  <c r="E288" i="388"/>
  <c r="E291" i="388"/>
  <c r="G291" i="388" s="1"/>
  <c r="E292" i="388"/>
  <c r="G292" i="388" s="1"/>
  <c r="H295" i="388"/>
  <c r="E293" i="388" l="1"/>
  <c r="G293" i="388" s="1"/>
  <c r="H292" i="388"/>
  <c r="J292" i="388" s="1"/>
  <c r="K290" i="388"/>
  <c r="H291" i="388"/>
  <c r="J291" i="388" s="1"/>
  <c r="C35" i="26"/>
  <c r="E294" i="388" l="1"/>
  <c r="E295" i="388" s="1"/>
  <c r="G295" i="388" s="1"/>
  <c r="H293" i="388"/>
  <c r="J293" i="388" s="1"/>
  <c r="K291" i="388"/>
  <c r="M291" i="388" s="1"/>
  <c r="N290" i="388"/>
  <c r="K292" i="388"/>
  <c r="M292" i="388" s="1"/>
  <c r="G294" i="388" l="1"/>
  <c r="U292" i="388" s="1"/>
  <c r="H294" i="388"/>
  <c r="J294" i="388" s="1"/>
  <c r="J295" i="388"/>
  <c r="K293" i="388"/>
  <c r="N292" i="388"/>
  <c r="P292" i="388" s="1"/>
  <c r="N291" i="388"/>
  <c r="P291" i="388" s="1"/>
  <c r="Q290" i="388"/>
  <c r="U293" i="388" l="1"/>
  <c r="N293" i="388"/>
  <c r="N294" i="388" s="1"/>
  <c r="P294" i="388" s="1"/>
  <c r="Q291" i="388"/>
  <c r="S291" i="388" s="1"/>
  <c r="Q292" i="388"/>
  <c r="S292" i="388" s="1"/>
  <c r="M293" i="388"/>
  <c r="K294" i="388"/>
  <c r="N295" i="388" l="1"/>
  <c r="P295" i="388" s="1"/>
  <c r="M294" i="388"/>
  <c r="K295" i="388"/>
  <c r="Q293" i="388"/>
  <c r="M295" i="388" l="1"/>
  <c r="U294" i="388" s="1"/>
  <c r="P293" i="388"/>
  <c r="U295" i="388" s="1"/>
  <c r="S293" i="388"/>
  <c r="Q294" i="388"/>
  <c r="H1" i="388" l="1"/>
  <c r="G37" i="26" s="1"/>
  <c r="S294" i="388"/>
  <c r="Q295" i="388"/>
  <c r="S295" i="388" s="1"/>
  <c r="P1" i="25"/>
  <c r="R1" i="25"/>
  <c r="D28" i="26" l="1"/>
  <c r="D29" i="26" s="1"/>
  <c r="R6" i="454" l="1"/>
  <c r="R5" i="454" s="1"/>
  <c r="T6" i="454"/>
  <c r="P5" i="454"/>
  <c r="T5" i="454" l="1"/>
  <c r="P93" i="454"/>
  <c r="R93" i="454"/>
  <c r="U5" i="454"/>
  <c r="U6" i="454"/>
  <c r="T93" i="454" l="1"/>
  <c r="P1" i="454"/>
  <c r="U93" i="454"/>
  <c r="R1" i="454"/>
</calcChain>
</file>

<file path=xl/sharedStrings.xml><?xml version="1.0" encoding="utf-8"?>
<sst xmlns="http://schemas.openxmlformats.org/spreadsheetml/2006/main" count="2304" uniqueCount="704">
  <si>
    <t>m</t>
  </si>
  <si>
    <t>PRESENTE MES</t>
  </si>
  <si>
    <t>Ítem</t>
  </si>
  <si>
    <t>Descripción</t>
  </si>
  <si>
    <t>SEGÚN  CONTRATO</t>
  </si>
  <si>
    <t>Unidad</t>
  </si>
  <si>
    <t>Cantidad</t>
  </si>
  <si>
    <t>Precio Unitario</t>
  </si>
  <si>
    <t>Precio Total</t>
  </si>
  <si>
    <t>Importe (Bs.)</t>
  </si>
  <si>
    <t>Sub Total</t>
  </si>
  <si>
    <t>Excavación común</t>
  </si>
  <si>
    <t>Barandado tipo P-3</t>
  </si>
  <si>
    <t>Señalización preventiva</t>
  </si>
  <si>
    <t>5.10</t>
  </si>
  <si>
    <t>DESCRIPCIÓN</t>
  </si>
  <si>
    <t xml:space="preserve">MONTO Bs. </t>
  </si>
  <si>
    <t>CONTROL DEL ANTICIPO</t>
  </si>
  <si>
    <r>
      <t>M</t>
    </r>
    <r>
      <rPr>
        <sz val="8"/>
        <rFont val="Arial Narrow"/>
        <family val="2"/>
      </rPr>
      <t>ONTO DE</t>
    </r>
    <r>
      <rPr>
        <sz val="9"/>
        <rFont val="Arial Narrow"/>
        <family val="2"/>
      </rPr>
      <t xml:space="preserve"> C</t>
    </r>
    <r>
      <rPr>
        <sz val="8"/>
        <rFont val="Arial Narrow"/>
        <family val="2"/>
      </rPr>
      <t>ONTRATO</t>
    </r>
    <r>
      <rPr>
        <sz val="9"/>
        <rFont val="Arial Narrow"/>
        <family val="2"/>
      </rPr>
      <t xml:space="preserve"> O</t>
    </r>
    <r>
      <rPr>
        <sz val="8"/>
        <rFont val="Arial Narrow"/>
        <family val="2"/>
      </rPr>
      <t>RIGINAL</t>
    </r>
  </si>
  <si>
    <t>Acero estructural</t>
  </si>
  <si>
    <t>ml</t>
  </si>
  <si>
    <t>PROYECTO: "CONSTRUCCIÓN DE LA DOBLE VIA QUILLACOLLO - SUTICOLLO"</t>
  </si>
  <si>
    <t>Instalación de faenas</t>
  </si>
  <si>
    <t>glb</t>
  </si>
  <si>
    <t>Replanteo para caminos</t>
  </si>
  <si>
    <t>km</t>
  </si>
  <si>
    <t>Excavación no clasificada</t>
  </si>
  <si>
    <t>m3</t>
  </si>
  <si>
    <t>Conformación de terraplen c/material de prestamo</t>
  </si>
  <si>
    <t>Limpieza general</t>
  </si>
  <si>
    <t>Ejecución colocado y compactado carpeta de concreto asfaltico e=6 cm</t>
  </si>
  <si>
    <t>m2</t>
  </si>
  <si>
    <t>Imprimación sobre carpeta (no incluye suministro de asfalto)</t>
  </si>
  <si>
    <t>Imprimación sobre capa base (no incluye suministro de asfalto)</t>
  </si>
  <si>
    <t>Tratamiento Superficial doble para berma (no incluye suministro de asfalto)</t>
  </si>
  <si>
    <t>Provisión, colocado y compactado capa base compactada</t>
  </si>
  <si>
    <t>Provisión, colocado y compactado capa sub-base compactada</t>
  </si>
  <si>
    <t>Refuerzo para carpeta asfáltica.</t>
  </si>
  <si>
    <t>Ejecución colocado y compactado carpeta de concreto asfaltico SMA ( no incluye suministro de asfalto)</t>
  </si>
  <si>
    <t>Fresado pavimento flexible</t>
  </si>
  <si>
    <t>2.10</t>
  </si>
  <si>
    <t>Sello de fisuras con agregado</t>
  </si>
  <si>
    <t>Bacheo asfaltico Ca</t>
  </si>
  <si>
    <t>Bacheo profundo en carpeta asfáltica</t>
  </si>
  <si>
    <t>Subrasante mejorada</t>
  </si>
  <si>
    <t>Isletas</t>
  </si>
  <si>
    <t>kg</t>
  </si>
  <si>
    <t>Hormigón simple tipo "A" Fck = 21 Mpa</t>
  </si>
  <si>
    <t>Excavación común para alcantarillas</t>
  </si>
  <si>
    <t>Excavación para encauce de quebradas</t>
  </si>
  <si>
    <t>Relleno y compactado c/material del sitio</t>
  </si>
  <si>
    <t>Relleno y compactado c/material  seleccionado (cama de arena)</t>
  </si>
  <si>
    <t>Rip Rap (e=0.30 m)</t>
  </si>
  <si>
    <t>Hormigón Ciclópeo Fck=18 Mpa (50% PD)</t>
  </si>
  <si>
    <t>Prov. Y colocado de alcantarilla tubo de HºAº D = 1000 mm</t>
  </si>
  <si>
    <t>Enlucido con mortero (e=3 cm)</t>
  </si>
  <si>
    <t xml:space="preserve">Movimiento de Tierras </t>
  </si>
  <si>
    <t xml:space="preserve">1. </t>
  </si>
  <si>
    <t xml:space="preserve">2. </t>
  </si>
  <si>
    <t xml:space="preserve">3. </t>
  </si>
  <si>
    <t>Separador Central</t>
  </si>
  <si>
    <t xml:space="preserve">4. </t>
  </si>
  <si>
    <t xml:space="preserve">5. </t>
  </si>
  <si>
    <t xml:space="preserve">Alcantarillas </t>
  </si>
  <si>
    <t>Gavión</t>
  </si>
  <si>
    <t>Colchoneta tipo reno</t>
  </si>
  <si>
    <t>Demolición de estructuras</t>
  </si>
  <si>
    <t>Demolición y remoción de hormigón ciclópeo</t>
  </si>
  <si>
    <t>Remoción de alcantarillas de metal corrugado</t>
  </si>
  <si>
    <t>Demolición y remoción de hormigón armado</t>
  </si>
  <si>
    <t xml:space="preserve">7. </t>
  </si>
  <si>
    <t xml:space="preserve">Demolicion </t>
  </si>
  <si>
    <t xml:space="preserve">6. </t>
  </si>
  <si>
    <t xml:space="preserve">Obras de Encauce </t>
  </si>
  <si>
    <t xml:space="preserve">8. </t>
  </si>
  <si>
    <t>Puente Cajon Tacata</t>
  </si>
  <si>
    <t>Hormigón Simple tipo "E"</t>
  </si>
  <si>
    <t>Barbacanas D=3"</t>
  </si>
  <si>
    <t xml:space="preserve">9. </t>
  </si>
  <si>
    <t>Puente Cajon Chulla</t>
  </si>
  <si>
    <t xml:space="preserve">10. </t>
  </si>
  <si>
    <t>Puente Khora 1</t>
  </si>
  <si>
    <t>INFRAESTRUCTURA</t>
  </si>
  <si>
    <t>SUPERESTRUCTURA</t>
  </si>
  <si>
    <t>OBRAS COMPLEMENTARIAS</t>
  </si>
  <si>
    <t>Neopreno compuesto</t>
  </si>
  <si>
    <t>dm3</t>
  </si>
  <si>
    <t>Tubo de drenaje D=4"</t>
  </si>
  <si>
    <t>Junta de dilatación</t>
  </si>
  <si>
    <t>Hormigón simple tipo "P" Fck = 35 Mpa</t>
  </si>
  <si>
    <t>Acero Pretensado</t>
  </si>
  <si>
    <t>Vainas de D=7 cm</t>
  </si>
  <si>
    <t>Anclajes 12V fijo</t>
  </si>
  <si>
    <t>pza</t>
  </si>
  <si>
    <t>Lanzamientos de vigas</t>
  </si>
  <si>
    <t>Excavación común con entibado</t>
  </si>
  <si>
    <t xml:space="preserve">11. </t>
  </si>
  <si>
    <t>Puente Khora 2</t>
  </si>
  <si>
    <t>Neopreno simple</t>
  </si>
  <si>
    <t>Excavación para pilotes</t>
  </si>
  <si>
    <t>Manta geotextil</t>
  </si>
  <si>
    <t/>
  </si>
  <si>
    <t>11.10</t>
  </si>
  <si>
    <t>Barandado tipo P-3 (SNC)</t>
  </si>
  <si>
    <t>Junta longitudinal</t>
  </si>
  <si>
    <t xml:space="preserve">12. </t>
  </si>
  <si>
    <t>Puente Cajon Huacarani</t>
  </si>
  <si>
    <t>Puente Cajon Huachaca</t>
  </si>
  <si>
    <t xml:space="preserve">13. </t>
  </si>
  <si>
    <t>Puente Viloma</t>
  </si>
  <si>
    <t>Construcción puente Viloma paralelo</t>
  </si>
  <si>
    <t xml:space="preserve">14. </t>
  </si>
  <si>
    <t>Puente Pankuruma</t>
  </si>
  <si>
    <t xml:space="preserve">15. </t>
  </si>
  <si>
    <t>15.10</t>
  </si>
  <si>
    <t xml:space="preserve">16. </t>
  </si>
  <si>
    <t>Puente Kollpa Pampa</t>
  </si>
  <si>
    <t xml:space="preserve">17. </t>
  </si>
  <si>
    <t>Puente Chillca Mayu</t>
  </si>
  <si>
    <t xml:space="preserve">18. </t>
  </si>
  <si>
    <t>Pasarelas</t>
  </si>
  <si>
    <t xml:space="preserve">Señalización </t>
  </si>
  <si>
    <t xml:space="preserve">19. </t>
  </si>
  <si>
    <t>Señalización restrictiva</t>
  </si>
  <si>
    <t>Señalización informativa de servicios</t>
  </si>
  <si>
    <t>Señalización de identificación</t>
  </si>
  <si>
    <t>Señalización Inf. Destino / Localidad</t>
  </si>
  <si>
    <t>Señalización horizontal ancho=15cm e=700 micrones termoplástica</t>
  </si>
  <si>
    <t>Mojón Kilométrico</t>
  </si>
  <si>
    <t>Postes de iluminación</t>
  </si>
  <si>
    <t>Postes de señalización</t>
  </si>
  <si>
    <t>19.10</t>
  </si>
  <si>
    <t>Tachas reflectivas</t>
  </si>
  <si>
    <t xml:space="preserve">20. </t>
  </si>
  <si>
    <t xml:space="preserve">Medidas de Mitigacion de Impacto Ambiental </t>
  </si>
  <si>
    <t>Medidas de mitigación</t>
  </si>
  <si>
    <t xml:space="preserve">21. </t>
  </si>
  <si>
    <t xml:space="preserve">Servicios de  Supervision </t>
  </si>
  <si>
    <t>Oficina de campo y vivienda</t>
  </si>
  <si>
    <t>Servicios de alimentación</t>
  </si>
  <si>
    <t>h-día</t>
  </si>
  <si>
    <t>Mantenimiento de vehículos, combustible  y lubricantes</t>
  </si>
  <si>
    <t>mes</t>
  </si>
  <si>
    <t>Camioneta doble cabina 4x4</t>
  </si>
  <si>
    <t>Vagoneta 4x4</t>
  </si>
  <si>
    <t xml:space="preserve">22. </t>
  </si>
  <si>
    <t xml:space="preserve">Mantenimiento de la via </t>
  </si>
  <si>
    <t>Humedecimiento de calzada</t>
  </si>
  <si>
    <t>Km</t>
  </si>
  <si>
    <t>Reposición de material de Bermas</t>
  </si>
  <si>
    <t>Provisión y colocado de terraplén para desvíos</t>
  </si>
  <si>
    <t>Excavación común a maquina</t>
  </si>
  <si>
    <t>Construcción de alcantarillas para desvíos</t>
  </si>
  <si>
    <t>Señalización</t>
  </si>
  <si>
    <t>TOTAL GENERAL</t>
  </si>
  <si>
    <t>ADMINISTRADORA BOLIVIANA DE CARRETERAS</t>
  </si>
  <si>
    <t>unid.</t>
  </si>
  <si>
    <t>SUPERVISION:</t>
  </si>
  <si>
    <t>SUPERINTENDENTE DE OBRA</t>
  </si>
  <si>
    <t>A</t>
  </si>
  <si>
    <t>CANTIDADES</t>
  </si>
  <si>
    <t>OBSERVACIONES</t>
  </si>
  <si>
    <t>CONTRATISTA:</t>
  </si>
  <si>
    <t>ITEMES , CANTIDADES Y PRECIOS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</si>
  <si>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</si>
  <si>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</si>
  <si>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</si>
  <si>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</si>
  <si>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</si>
  <si>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</si>
  <si>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</si>
  <si>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</si>
  <si>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</si>
  <si>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</si>
  <si>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</si>
  <si>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</si>
  <si>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S</t>
  </si>
  <si>
    <t>AL</t>
  </si>
  <si>
    <t>MES ANTERIOR</t>
  </si>
  <si>
    <t>A LA FECHA</t>
  </si>
  <si>
    <t>SECTOR DE TRAB.</t>
  </si>
  <si>
    <t>DE PROG.</t>
  </si>
  <si>
    <t>A PROG.</t>
  </si>
  <si>
    <t>CERT.
Nº</t>
  </si>
  <si>
    <t>PLANILLA DE AVANCE FISICO DE OBRA</t>
  </si>
  <si>
    <t>Descripción:</t>
  </si>
  <si>
    <t>Unidad:</t>
  </si>
  <si>
    <t>PORCENTAJE DE AVANCE</t>
  </si>
  <si>
    <t>Ítem:</t>
  </si>
  <si>
    <t>DETALLE</t>
  </si>
  <si>
    <t>MONTO TOTAL DE LA OBRA</t>
  </si>
  <si>
    <t>MONTO</t>
  </si>
  <si>
    <t>EJECUTADO</t>
  </si>
  <si>
    <t>PERIODO</t>
  </si>
  <si>
    <t>MONTO DE LA OBRA:</t>
  </si>
  <si>
    <t>MONTO DE ANTICIPO:</t>
  </si>
  <si>
    <t>LIQUIDO PAGABLE</t>
  </si>
  <si>
    <t>NUMERO DE POLIZA</t>
  </si>
  <si>
    <t>VIGENCIA</t>
  </si>
  <si>
    <t>AVICONS</t>
  </si>
  <si>
    <t>SIAJSA</t>
  </si>
  <si>
    <t>AMVI</t>
  </si>
  <si>
    <t>CONSORCIO</t>
  </si>
  <si>
    <t>ITEMES , CANTIDADES Y PRECIOS (POR FRENTES DE TRABAJO)</t>
  </si>
  <si>
    <t>Certificado Anticipo Principal</t>
  </si>
  <si>
    <t>%</t>
  </si>
  <si>
    <t>TOTALES</t>
  </si>
  <si>
    <t>ORGANISMO CONTRATANTE:</t>
  </si>
  <si>
    <t>ORGANISMO FINANCIADOR:</t>
  </si>
  <si>
    <t>CONTRATO:</t>
  </si>
  <si>
    <t>CERTIFICADO DE PAGO</t>
  </si>
  <si>
    <t>MES:</t>
  </si>
  <si>
    <t>DIRECCIÓN:</t>
  </si>
  <si>
    <t>PLAZO DE CONTRATO ORIGINAL:</t>
  </si>
  <si>
    <t>PLAZO VIGENTE DE CONTRATO:</t>
  </si>
  <si>
    <t>FECHA DE ORDEN DE PROCEDER:</t>
  </si>
  <si>
    <t>TIEMPO TRANSCURRIDO DEL CONTRATO:</t>
  </si>
  <si>
    <t>Administradora Boliviana de Carreteras</t>
  </si>
  <si>
    <r>
      <t>M</t>
    </r>
    <r>
      <rPr>
        <sz val="8"/>
        <rFont val="Arial Narrow"/>
        <family val="2"/>
      </rPr>
      <t xml:space="preserve">ONTO  ACTUALIZADO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>ONTRATO</t>
    </r>
  </si>
  <si>
    <t>IMPORTE DE SERVICIO EJECUTADO Y ACUMULADO HASTA LA FECHA (B+C)</t>
  </si>
  <si>
    <t>IMPORTE DE SERVICIO DEL PRESENTE PERIODO</t>
  </si>
  <si>
    <t>MULTAS Y/O DEDUCCIONES ACUMULADAS HASTA EL MES ANTERIOR</t>
  </si>
  <si>
    <t>MULTAS Y/O DEDUCCIONES CONTRACTUALES EN EL PRESENTE PERIODO</t>
  </si>
  <si>
    <t>Monto restituido en el presente periodo</t>
  </si>
  <si>
    <t>Monto restituido a la fecha</t>
  </si>
  <si>
    <t>Saldo Anticipo</t>
  </si>
  <si>
    <t>AL MES ANTERIOR</t>
  </si>
  <si>
    <t>EN EL PERIODO</t>
  </si>
  <si>
    <t>% DE AVANCE FINANCIERO</t>
  </si>
  <si>
    <t>% DE MULTAS Y PENALIDADES</t>
  </si>
  <si>
    <t>Razón Social</t>
  </si>
  <si>
    <t>Carnet de Identidad</t>
  </si>
  <si>
    <t>Banco</t>
  </si>
  <si>
    <t>NIT</t>
  </si>
  <si>
    <t>No Cuenta</t>
  </si>
  <si>
    <t>Liquido pagable en el presente certificado</t>
  </si>
  <si>
    <t>Son: (Bs):</t>
  </si>
  <si>
    <t>Saldo por cobrar a la fecha</t>
  </si>
  <si>
    <t>PLANILLA DE AVANCE DE OBRA</t>
  </si>
  <si>
    <t>EMISOR</t>
  </si>
  <si>
    <t>DETALLE DOCUMENTOS DE GARANTIA BOLETA Ó POLIZA</t>
  </si>
  <si>
    <t>CONTRATISTA</t>
  </si>
  <si>
    <t>CANTIDAD CONTRACTUAL</t>
  </si>
  <si>
    <t>METODOLOGIA DE PAGO MANTENIMIENTO DE LA VIA</t>
  </si>
  <si>
    <t>COBRO DE DOS MESES</t>
  </si>
  <si>
    <t>PAGO AJUST. ACTUAL</t>
  </si>
  <si>
    <t>ASIG. EN 26 MESES</t>
  </si>
  <si>
    <t>ASIG. EN 26 MESES AJUST.</t>
  </si>
  <si>
    <t>PAGOS  HASTA ANTERIOR MES</t>
  </si>
  <si>
    <t>RESUMEN</t>
  </si>
  <si>
    <t>Monto certificado</t>
  </si>
  <si>
    <t>Monto de distribucion de los Item´s certificados por consorcio</t>
  </si>
  <si>
    <t>TOTAL</t>
  </si>
  <si>
    <t>Total Certificado por Empresas</t>
  </si>
  <si>
    <t>Liquido Pagable</t>
  </si>
  <si>
    <t>Compensaciones</t>
  </si>
  <si>
    <t>Porcentaje de amortizacion asumida por liquido pagable negativo (-)</t>
  </si>
  <si>
    <t>Amortizacion asumida por liquido pagable negativo (-)</t>
  </si>
  <si>
    <t>Total de Amotizacion de Anticipos</t>
  </si>
  <si>
    <t>TOTAL LIQUIDO PAGABLE NETO</t>
  </si>
  <si>
    <t>VERIFICACION</t>
  </si>
  <si>
    <t>AVICONS 33%</t>
  </si>
  <si>
    <t>SIAJSA 33%</t>
  </si>
  <si>
    <t>MES</t>
  </si>
  <si>
    <t>PROGRAMADO</t>
  </si>
  <si>
    <t>PORCENTAJE</t>
  </si>
  <si>
    <t>PARCIAL</t>
  </si>
  <si>
    <t>ACUMULADO</t>
  </si>
  <si>
    <t>AMVI 34%</t>
  </si>
  <si>
    <t>según ing garcia</t>
  </si>
  <si>
    <t>amvi</t>
  </si>
  <si>
    <t>siajsa y avicons</t>
  </si>
  <si>
    <t>ACUM.</t>
  </si>
  <si>
    <t>Deducción de 1er Desdembolso de anticipo en presente periodo</t>
  </si>
  <si>
    <t>Deducción de 2do Desdembolso de anticipo en presente periodo</t>
  </si>
  <si>
    <t>1er Desembolso</t>
  </si>
  <si>
    <t>2do Desembolso</t>
  </si>
  <si>
    <t>ANTICIPOS</t>
  </si>
  <si>
    <t>Saldo por Devolver</t>
  </si>
  <si>
    <t>Detalle</t>
  </si>
  <si>
    <t>SALDO ANTICIPOS EMPRESAS</t>
  </si>
  <si>
    <t>Porcentaje de amortizacion del del 1er anticipo</t>
  </si>
  <si>
    <t>Porcentaje de amortizacion del del 2do anticipo</t>
  </si>
  <si>
    <t>% Sobre el Saldo</t>
  </si>
  <si>
    <t>Ajustes por asignaciones irregulares en planillas anteriores y deducciones por multas</t>
  </si>
  <si>
    <t>RESUMEN DE DISTRIBUCIÓN DE CERTIFICADO DE PAGO No 9 (DICIEMBRE 2013)</t>
  </si>
  <si>
    <t>MOVIMIENTO DE TIERRAS</t>
  </si>
  <si>
    <t>M3</t>
  </si>
  <si>
    <t>M2</t>
  </si>
  <si>
    <t>OBRAS DE DRENAJE</t>
  </si>
  <si>
    <t>ML</t>
  </si>
  <si>
    <t>PZA</t>
  </si>
  <si>
    <t>KG</t>
  </si>
  <si>
    <t>GLB</t>
  </si>
  <si>
    <t>SUMAS TOTALES</t>
  </si>
  <si>
    <t>CERO</t>
  </si>
  <si>
    <t>DIEZ</t>
  </si>
  <si>
    <t>CIENTO</t>
  </si>
  <si>
    <t>UNO</t>
  </si>
  <si>
    <t>VEINTE</t>
  </si>
  <si>
    <t>DOSCIENTOS</t>
  </si>
  <si>
    <t>DOS</t>
  </si>
  <si>
    <t>TREINTA</t>
  </si>
  <si>
    <t>TRESCIENTOS</t>
  </si>
  <si>
    <t>TRES</t>
  </si>
  <si>
    <t>CUARENTA</t>
  </si>
  <si>
    <t>CUATROCIENTOS</t>
  </si>
  <si>
    <t>CUATRO</t>
  </si>
  <si>
    <t>CINCUENTA</t>
  </si>
  <si>
    <t>QUINIENTOS</t>
  </si>
  <si>
    <t>CINCO</t>
  </si>
  <si>
    <t>SESENTA</t>
  </si>
  <si>
    <t>SEISCIENTOS</t>
  </si>
  <si>
    <t>SEIS</t>
  </si>
  <si>
    <t>SETENTA</t>
  </si>
  <si>
    <t>SETECIENTOS</t>
  </si>
  <si>
    <t>SIETE</t>
  </si>
  <si>
    <t>OCHENTA</t>
  </si>
  <si>
    <t>OCHOCIENTOS</t>
  </si>
  <si>
    <t>OCHO</t>
  </si>
  <si>
    <t>NOVENTA</t>
  </si>
  <si>
    <t>NOVECIENTOS</t>
  </si>
  <si>
    <t>NUEVE</t>
  </si>
  <si>
    <t>MIL</t>
  </si>
  <si>
    <t>ONCE</t>
  </si>
  <si>
    <t>DOCE</t>
  </si>
  <si>
    <t>TRECE</t>
  </si>
  <si>
    <t>CATORCE</t>
  </si>
  <si>
    <t>QUINCE</t>
  </si>
  <si>
    <t>DIECISEIS</t>
  </si>
  <si>
    <t>DIECISIETE</t>
  </si>
  <si>
    <t>DIECIOCHO</t>
  </si>
  <si>
    <t>Literal Nº 1</t>
  </si>
  <si>
    <t>DIECINUEVE</t>
  </si>
  <si>
    <t>Decimales</t>
  </si>
  <si>
    <t>Número de dígitos</t>
  </si>
  <si>
    <t>VEINTIUNO</t>
  </si>
  <si>
    <t>VEINTIDOS</t>
  </si>
  <si>
    <t>Dígito</t>
  </si>
  <si>
    <t>Complemento millares</t>
  </si>
  <si>
    <t>Complemento de millones</t>
  </si>
  <si>
    <t>Complemento de mil millones</t>
  </si>
  <si>
    <t>VEINTITRES</t>
  </si>
  <si>
    <t>Un solo dígito</t>
  </si>
  <si>
    <t>/100 BOLIVIANOS</t>
  </si>
  <si>
    <t>VEINTICUATRO</t>
  </si>
  <si>
    <t>Dígitos del 0 al 29</t>
  </si>
  <si>
    <t>VEINTICINCO</t>
  </si>
  <si>
    <t>Dígitos del 30 al 99</t>
  </si>
  <si>
    <t>VEINTISEIS</t>
  </si>
  <si>
    <t>Dígitos del 100 al 999</t>
  </si>
  <si>
    <t>VEINTISIETE</t>
  </si>
  <si>
    <t>Dígitos del 1000 al 9999</t>
  </si>
  <si>
    <t>Dígitos millones</t>
  </si>
  <si>
    <t>Dígitos mil millones</t>
  </si>
  <si>
    <t>Dígitos Millardos</t>
  </si>
  <si>
    <t>VEINTIOCHO</t>
  </si>
  <si>
    <t>VEINTINUEVE</t>
  </si>
  <si>
    <t>Literal Nº 2</t>
  </si>
  <si>
    <t>Literal Nº 3</t>
  </si>
  <si>
    <t>Literal Nº 4</t>
  </si>
  <si>
    <t>Literal Nº 5</t>
  </si>
  <si>
    <t>Literal Nº 6</t>
  </si>
  <si>
    <t>Literal Nº 7</t>
  </si>
  <si>
    <t>Literal Nº 8</t>
  </si>
  <si>
    <t>Literal Nº 9</t>
  </si>
  <si>
    <t>Literal Nº 10</t>
  </si>
  <si>
    <t>Literal Nº 11</t>
  </si>
  <si>
    <t>Literal Nº 12</t>
  </si>
  <si>
    <t>Literal Nº 13</t>
  </si>
  <si>
    <t>Literal Nº 14</t>
  </si>
  <si>
    <t>Literal Nº 15</t>
  </si>
  <si>
    <t>Literal Nº 16</t>
  </si>
  <si>
    <t>Literal Nº 17</t>
  </si>
  <si>
    <t>Literal Nº 18</t>
  </si>
  <si>
    <t>Literal Nº 19</t>
  </si>
  <si>
    <t>Literal Nº 20</t>
  </si>
  <si>
    <t>Literal Nº 21</t>
  </si>
  <si>
    <t>Literal Nº 22</t>
  </si>
  <si>
    <t>Literal Nº 23</t>
  </si>
  <si>
    <t>CANTIDAD</t>
  </si>
  <si>
    <t>INGRESO AL 75%</t>
  </si>
  <si>
    <t>Cantidad de contrato:</t>
  </si>
  <si>
    <t xml:space="preserve"> RESUMEN DE ESTADO DE AVANCE FÍSICO-FINANCIERO</t>
  </si>
  <si>
    <t>CERT.</t>
  </si>
  <si>
    <t>[Bs]</t>
  </si>
  <si>
    <t>[Mes]</t>
  </si>
  <si>
    <t>[No]</t>
  </si>
  <si>
    <t>[ % ]</t>
  </si>
  <si>
    <t>MATERIALES ALMACENADOS EN OBRA</t>
  </si>
  <si>
    <t>SUMA MATERIALES [ + ]</t>
  </si>
  <si>
    <t>DEVOLUCIÓN DE RETENCIÓN [ + ]</t>
  </si>
  <si>
    <t>DEVOLUCIÓN A 75%</t>
  </si>
  <si>
    <t>SUPERVISIÓN:</t>
  </si>
  <si>
    <t>RETENCIÓN POR
ATRASO [ - ]</t>
  </si>
  <si>
    <t>UNIDAD</t>
  </si>
  <si>
    <t>PRECIO UNITARIO</t>
  </si>
  <si>
    <t>HASTA EL MES ANTERIOR</t>
  </si>
  <si>
    <t>EN EL PRESENTE MES</t>
  </si>
  <si>
    <t>HASTA LA FECHA</t>
  </si>
  <si>
    <t>SALDOS</t>
  </si>
  <si>
    <t>ACTUAL</t>
  </si>
  <si>
    <t>No</t>
  </si>
  <si>
    <t>CARGO A DESEMPEÑAR</t>
  </si>
  <si>
    <t>NOMBRE APELLIDO</t>
  </si>
  <si>
    <t>FECHA FINAL</t>
  </si>
  <si>
    <t>OBSERVACIONES/CAMBIO DE PERSONAL</t>
  </si>
  <si>
    <t>Superintendente de Obra</t>
  </si>
  <si>
    <t>Ing. Civil</t>
  </si>
  <si>
    <t>PLANILLA PERSONAL TÉCNICO CLAVE DEL PROYECTO</t>
  </si>
  <si>
    <t>FORMACIÓN</t>
  </si>
  <si>
    <t>FECHA DE INCORPORACIÓN AL PROYECTO</t>
  </si>
  <si>
    <t>Especialista en Carreteras y Pavimentos</t>
  </si>
  <si>
    <t>PLANILLA N°</t>
  </si>
  <si>
    <t>MULTAS ACUMULADAS A LA FECHA</t>
  </si>
  <si>
    <t>CUADRO RESUMEN POR MULTAS</t>
  </si>
  <si>
    <t>MULTAS ACUMULADAS
[ Bs. ]</t>
  </si>
  <si>
    <t>MONTO DEL CONTRATO [Bs]</t>
  </si>
  <si>
    <t>DEL</t>
  </si>
  <si>
    <t>VALOR CAUCIONADO
[ Bs. ]</t>
  </si>
  <si>
    <t>PORCENTAJE DE LA BOLETA
( % )</t>
  </si>
  <si>
    <t>SUPERVISOR:</t>
  </si>
  <si>
    <t>FISCALIZACION:</t>
  </si>
  <si>
    <t>MONTO ACTUALIZADO A CAUCIONAR (Bs)</t>
  </si>
  <si>
    <t>al</t>
  </si>
  <si>
    <t>AJUSTE POR DECIMALES</t>
  </si>
  <si>
    <t>TOTAL:</t>
  </si>
  <si>
    <t>AMORTIZACIÓN DE ANTICIPO [ - ]</t>
  </si>
  <si>
    <t>TELÉFONO/FAX:</t>
  </si>
  <si>
    <t>% DE AVANCE FÍSICO</t>
  </si>
  <si>
    <t>Ing. Daniel Garcia Molina</t>
  </si>
  <si>
    <t>Acéfalo (Esp. Control de Calidad)</t>
  </si>
  <si>
    <t>Acéfalo (Esp. Medio Ambiente)</t>
  </si>
  <si>
    <t>CRONOGRAMA DE DESEMBOLSOS</t>
  </si>
  <si>
    <t>MONTO DE CONTRATO:</t>
  </si>
  <si>
    <t>CONTRATO MODIFICATORIO N° 1:</t>
  </si>
  <si>
    <t>AVANCE FINANCIERO</t>
  </si>
  <si>
    <t>INFORMACIÓN DE LOS BENEFICIARIOS SIGEP</t>
  </si>
  <si>
    <t>EMPRESA ESTRATÉGICA BOLIVIANA DE CONSTRUCCIÓN Y CONSERVACIÓN DE INFRAESTRUCTURA CIVIL (EBC)</t>
  </si>
  <si>
    <t>2244624 / 2242524</t>
  </si>
  <si>
    <t>EBC</t>
  </si>
  <si>
    <t>BANCO UNION S.A.</t>
  </si>
  <si>
    <t>RETENCION CUMPLIMIENTO DE CONTRATO</t>
  </si>
  <si>
    <t>E. B. C.</t>
  </si>
  <si>
    <t>Contratista</t>
  </si>
  <si>
    <t>PLANILLA DE AMORTIZACION DE ANTICIPO</t>
  </si>
  <si>
    <t>HAS</t>
  </si>
  <si>
    <t xml:space="preserve">Sub Total = </t>
  </si>
  <si>
    <t>PINTADO DE LA SUPERFICIE DE RODADURA 0.12 M DE ANCHO</t>
  </si>
  <si>
    <t>H*D</t>
  </si>
  <si>
    <t>V*M</t>
  </si>
  <si>
    <t>MEDIDAS DE MITIGACION AMBIENTAL</t>
  </si>
  <si>
    <r>
      <t>M</t>
    </r>
    <r>
      <rPr>
        <sz val="8"/>
        <rFont val="Arial Narrow"/>
        <family val="2"/>
      </rPr>
      <t xml:space="preserve">ONTO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 xml:space="preserve">ONTRATO </t>
    </r>
    <r>
      <rPr>
        <sz val="9"/>
        <rFont val="Arial Narrow"/>
        <family val="2"/>
      </rPr>
      <t xml:space="preserve"> M</t>
    </r>
    <r>
      <rPr>
        <sz val="8"/>
        <rFont val="Arial Narrow"/>
        <family val="2"/>
      </rPr>
      <t>ODIFICATORIO N° 1</t>
    </r>
  </si>
  <si>
    <t>MULTAS Y/O DEDUCCIONES/PENALIDADES HASTA LA FECHA</t>
  </si>
  <si>
    <t>RETENCION POR CUMPLIMIENTO DE CONTRATO  [ - ]</t>
  </si>
  <si>
    <t>Especialista en Suelos, Materiales y Geotecnia</t>
  </si>
  <si>
    <t>BONO DEL TESORO NO NEGOCIABLE Y RENOVABLE</t>
  </si>
  <si>
    <t>Estado Plurinacional de Bolivia (Tesoro General de la Nacion)</t>
  </si>
  <si>
    <t>MONTO A SER RETENIDO:</t>
  </si>
  <si>
    <t>PREFECTURA DEL DEPARTAMENTO DE ORURO</t>
  </si>
  <si>
    <t>INDICE</t>
  </si>
  <si>
    <t>ITEM:</t>
  </si>
  <si>
    <t>FINANCIAMIENTO:</t>
  </si>
  <si>
    <t>FISCAL:</t>
  </si>
  <si>
    <t>PROCESO DE REVISION Y APROBACION</t>
  </si>
  <si>
    <t>HOJA 1</t>
  </si>
  <si>
    <t xml:space="preserve">PROYECTO: </t>
  </si>
  <si>
    <t>MES - AÑO:</t>
  </si>
  <si>
    <t xml:space="preserve">CONTRATISTA:  </t>
  </si>
  <si>
    <t>No.</t>
  </si>
  <si>
    <t>OFICINA</t>
  </si>
  <si>
    <t>NOMBRE</t>
  </si>
  <si>
    <t>FIRMA</t>
  </si>
  <si>
    <t>FECHA Y HORA</t>
  </si>
  <si>
    <t>DEVUELTO</t>
  </si>
  <si>
    <t>RECEPCION</t>
  </si>
  <si>
    <t>DESPACHO</t>
  </si>
  <si>
    <t>SUPERVISION</t>
  </si>
  <si>
    <t>FISCALIZACIÓN</t>
  </si>
  <si>
    <t xml:space="preserve"> </t>
  </si>
  <si>
    <t>GERENCIA REGIONAL A.B.C.</t>
  </si>
  <si>
    <t>Monto Total a Retener</t>
  </si>
  <si>
    <t>Monto retenido hasta el mes anterior</t>
  </si>
  <si>
    <t>Monto restenido en el presente periodo</t>
  </si>
  <si>
    <t>Monto retenido a la fecha</t>
  </si>
  <si>
    <t>Saldo por Retener</t>
  </si>
  <si>
    <t>HOJA DE CONTENIDO</t>
  </si>
  <si>
    <t>Pag.</t>
  </si>
  <si>
    <t>ANEXOS (CONTROL TECNOLOGICO DE MATERIALES)</t>
  </si>
  <si>
    <t>NO CORRESPONDE</t>
  </si>
  <si>
    <t>ANEXOS</t>
  </si>
  <si>
    <t>INFORME DEL SUPERVISOR</t>
  </si>
  <si>
    <t>PLANILLA PRINCIPAL</t>
  </si>
  <si>
    <t>AMORTIZACIÓN DE ANTICIPOS</t>
  </si>
  <si>
    <t>PERSONAL TÉCNICO CLAVE</t>
  </si>
  <si>
    <t>PLANILLA DE DOCUMENTOS DE GARANTÍA</t>
  </si>
  <si>
    <t>RESUMEN DE CANTIDADES</t>
  </si>
  <si>
    <t>CÓMPUTOS MÉTRICOS</t>
  </si>
  <si>
    <t>FOTOGRAFÍAS EXPLICATIVAS</t>
  </si>
  <si>
    <t>CRONOGRAMA DE AVANCE DE OBRA</t>
  </si>
  <si>
    <t>ORDEN DE PROCEDER</t>
  </si>
  <si>
    <t>COPIA DE LIBRO DE ORDENES</t>
  </si>
  <si>
    <t>POLIZA DE GARANTIA DE CORRECTA INVERSION DE ANTICIPO</t>
  </si>
  <si>
    <t>BOLETA O PÓLIZA DE SEGURO DE OBRA, CONTRA ACCIDENTES PERSONALES, RESPONSABILIDAD CIVIL</t>
  </si>
  <si>
    <t>Monto desembolsado Anticipo</t>
  </si>
  <si>
    <t>SUPERVISOR DE OBRA</t>
  </si>
  <si>
    <t>ABC - REGIONAL TARIJA</t>
  </si>
  <si>
    <t>FISCAL DE OBRA</t>
  </si>
  <si>
    <t>CONSTRUCCION Y REHABILITACION TRAMO CARRETERO VILLA MONTES - LA VERTIENTE - PALO MARCADO</t>
  </si>
  <si>
    <t>ABC N° 818/19 GNT-SCT-OBR-TGN</t>
  </si>
  <si>
    <t>TARIJA - BOLIVIA</t>
  </si>
  <si>
    <t>DESBROCE, DESTRONQUE Y LIMPIEZA</t>
  </si>
  <si>
    <t xml:space="preserve">IMPRIMACION BITUMINOSA CALZADA Y BERMA -EJECUCION               </t>
  </si>
  <si>
    <t>RECONFORMACION DE CAPA BASE - CALZADA (E=20 CM)</t>
  </si>
  <si>
    <t>RECONFORMACION DE CAPA BASE - BERMAS (E=20 CM)</t>
  </si>
  <si>
    <t>TRANSPORTE DE CAPA BASE REMOVIDA DMT 12.70 KM</t>
  </si>
  <si>
    <t>REPOSICION DE CAPA BASE GRANULAR (CALZADA Y BERMAS)</t>
  </si>
  <si>
    <t>CONCRETO ASFALTICO CON POLIMEROS CALZADA - EJECUCION</t>
  </si>
  <si>
    <t xml:space="preserve">SUMINISTRO DE ASF. DILUIDO/EMULSION P/IMPRIMACION    </t>
  </si>
  <si>
    <t>SUMINISTRO DE CEMENTO ASFALTICO MODIFICADO C/ POLIMEROS P/CALZADA</t>
  </si>
  <si>
    <t>TON</t>
  </si>
  <si>
    <t>TRANSPORTE DE AGREGADOS PARA CARPETA ASFALTICA</t>
  </si>
  <si>
    <t>TRANSPORTE DE CAPA BASE (PUESTO UNO) DMT=29.30 KM</t>
  </si>
  <si>
    <t>PAVIMENTACION</t>
  </si>
  <si>
    <t>REHABILITACION Y MANTENIMIENTO</t>
  </si>
  <si>
    <t>SELLO DE FISURAS Y GRIETAS</t>
  </si>
  <si>
    <t>BACHEO SUPERFICIAL (E=5 CM)</t>
  </si>
  <si>
    <t>SUMINISTRO DE CEMENTO ASFALTICO CONVENCIONAL P/SELLO DE GRIETAS</t>
  </si>
  <si>
    <t>SUMINISTRO DE CEMENTO ASFALTICO CONVENCIONAL P/BACHEOS</t>
  </si>
  <si>
    <t>SELLO DOBLE SLURRY ESPESOR 12 MM</t>
  </si>
  <si>
    <t>SELLO SLURRY ESPESOR 6 MM (BERMAS)</t>
  </si>
  <si>
    <t>DESBROCE Y DESTRONQUE</t>
  </si>
  <si>
    <t>EXCAVACION PARA ESTRUCTURAS MENOSRES Y ALCANTARILLAS</t>
  </si>
  <si>
    <t>RELLENO ESTRUCTURAL</t>
  </si>
  <si>
    <t>HORMIGON SIMPLE TIPO "A" PARA OBRAS DE DRENAJE MENOR (FCK=210 KG/CM2)</t>
  </si>
  <si>
    <t>ACERO ESTRUCTURAL (FY=4200 KG/M2)</t>
  </si>
  <si>
    <t>HORMIGON SIMPLE TIPO "B" PARA OBRAS DE DRENAJE MENOR (FCK=180 KG/CM2)</t>
  </si>
  <si>
    <t>HORMIGON CICLOPEO PARA OBRAS DE DRENAJE MENOR</t>
  </si>
  <si>
    <t>PROVISION Y COLOCCION TUBERIA DE H°A° D=1000 MM</t>
  </si>
  <si>
    <t>HORMIGON SIMPLE TIPO "E" PARA OBRAS DE DRENAJE MENOR (FCK=110 KG/CM2)</t>
  </si>
  <si>
    <t>CUNETA LATERAL DE CORTE, REVESTIDA DE H°S° TIPO "C" (FCK=160 KG/CM2)</t>
  </si>
  <si>
    <t>CUNETA DE PIE DE TERRAPLEN H°S° TIPO "C" (FCK=160 KG/CM2)</t>
  </si>
  <si>
    <t>CUNETA EN BANQUINA EN CORTE Y TERRAPLEN H°S° TIPO "C" (FCK=160 KG/CM2)</t>
  </si>
  <si>
    <t>ZANJAS DE CORONAMIENTO DE H°S° TIPO "C" MENOR (FCK=160 KG/CM2)</t>
  </si>
  <si>
    <t>CORDON CUNETA H°S° TIPO C (FCK=160 KG/CM2)</t>
  </si>
  <si>
    <t>CUNETAS FALTANTES H°S° TIPO "C" (FCK=160 KG/CM2)</t>
  </si>
  <si>
    <t xml:space="preserve">SUBDREN LONGITUDINAL, INCLUYE EXCAVACION     </t>
  </si>
  <si>
    <t>PROVISION Y COLOCADO DE ALCANTARILLA ARMCO GALVANIZADA D=1.0 M E= 2 MM.</t>
  </si>
  <si>
    <t>EXCAVACION DE ENCAUCES Y CANALIZACIONES</t>
  </si>
  <si>
    <t xml:space="preserve">ESCOLLERADO CON PIEDRA ACOMODADA (E=0.20 M)           </t>
  </si>
  <si>
    <t>GAVIONES TIPO CAJON PARA OBRAS COMPLEMENTARIAS</t>
  </si>
  <si>
    <t>GAVIONES TIPO COLCHON PARA OBRAS COMPLEMENTARIAS 6X2X3</t>
  </si>
  <si>
    <t xml:space="preserve">CAPA DRENANTE                          </t>
  </si>
  <si>
    <t xml:space="preserve">ZAMPEADO DE PIEDRA C/MORTERO CEMENTO (E=0.30 M)       </t>
  </si>
  <si>
    <t xml:space="preserve">ESCOLLERADO CON PIEDRA ACOMODADA (E=0.60 M)           </t>
  </si>
  <si>
    <t>RELLENO Y COMPACTADO PARA OBRAS DE DRENAJE MENOR</t>
  </si>
  <si>
    <t>PROTECCIÓN DE TALUDES CON GEOMEMBRANA</t>
  </si>
  <si>
    <t>GEOTEXTIL 200</t>
  </si>
  <si>
    <t>GEOTEXTIL 150</t>
  </si>
  <si>
    <t>CONFORMACION DE SUELO CEMENTO</t>
  </si>
  <si>
    <t xml:space="preserve">TUBOS DE DRENAJE PVC  D=4"                             </t>
  </si>
  <si>
    <t>DEMOLICION DE ESTRUCTURAS DE HORMIGON SIMPLE</t>
  </si>
  <si>
    <t>DEMOLICION DE ESTRUCTURAS DE HORMIGON ARMADO</t>
  </si>
  <si>
    <t>DEMOLICION DE ESTRUCTURAS DE HORMIGON CICLOPEO</t>
  </si>
  <si>
    <t>DEMOLICION DE ESTRUCTURAS DE MAMPOSTERIA DE PIEDRA</t>
  </si>
  <si>
    <t>DEMOLICION DE ESTRUCTURAS DE ZAMPEADO DE PIEDRA</t>
  </si>
  <si>
    <t>REMOCION DE PAVIMENTO</t>
  </si>
  <si>
    <t>REMOCION DE ALCANTARILLA ARMCO GALVANIZADA D=1.0 E=2MM</t>
  </si>
  <si>
    <t>SELLADO DE JUNTAS Y GRIETAS CON MATERIAL BITUMINOSO E=15 MM</t>
  </si>
  <si>
    <t>RETIRO DE ESCOMBROS SOBREACARREO PARA D&gt;300 M</t>
  </si>
  <si>
    <t>SEÑALIZACION Y SEGURIDAD VIAL</t>
  </si>
  <si>
    <t xml:space="preserve">DEFENSAS LATERALES METALICAS, INCLUYE TERMINALES     </t>
  </si>
  <si>
    <t>PINTADO DE LA SUPERFICIE DE RODADURA 0.15 M DE ANCHO</t>
  </si>
  <si>
    <t>SEÑALIZACION HORIZONTAL CON SIMBOLOS Y LETRAS</t>
  </si>
  <si>
    <t xml:space="preserve">SENAL PREVENTIVA CUADRANGULAR (0.6 X 0.6 M)        </t>
  </si>
  <si>
    <t>UND</t>
  </si>
  <si>
    <t>SENAL REGLAMENTARIA OCTOGONAL "PARE" 0.6 M DE ALTURA</t>
  </si>
  <si>
    <t xml:space="preserve">SENAL REGLAMENTARIA TRIANGULAR "CEDA" 1.20 M DE LADO  </t>
  </si>
  <si>
    <t xml:space="preserve">SENAL REGLAMENTARIA (0.60 X 0.90 M)        </t>
  </si>
  <si>
    <t xml:space="preserve">SENAL INFORMATIVA  DE DESTINO 2.20 X 1.10M                </t>
  </si>
  <si>
    <t xml:space="preserve">SENAL INFORMATIVA  DE DESTINO 2.20 X 0.60M                </t>
  </si>
  <si>
    <t xml:space="preserve">SENAL INFORMATIVA  DE DESTINO 2.40 X 1.10M                </t>
  </si>
  <si>
    <t xml:space="preserve">SENAL INFORMATIVA  DE DESTINO 2.80 X 1.10M                </t>
  </si>
  <si>
    <t xml:space="preserve">SENAL INFORMATIVA  DE DESTINO 1.60X1.10M                </t>
  </si>
  <si>
    <t xml:space="preserve">SENAL INFORMATIVA  DE SERVICIO (0.50X0.50 M) </t>
  </si>
  <si>
    <t xml:space="preserve">TACHAS REFLECTIVAS BIDIRECCIONALES                    </t>
  </si>
  <si>
    <t>REMOCION DE SEÑALIZACION VERTICAL</t>
  </si>
  <si>
    <t>SERVICIOS PARA EL INGENIERO</t>
  </si>
  <si>
    <t xml:space="preserve">SERVICIO DE ALIMENTACION                             </t>
  </si>
  <si>
    <t>PROVISION DE VAGONETA DOBLE TRACCION</t>
  </si>
  <si>
    <t xml:space="preserve">PROVISION DE CAMIONETA DOBLE TRACCION, CABINA DOBLE </t>
  </si>
  <si>
    <t xml:space="preserve">MANTENIMIENTO, LUBRICANTES Y COMBUSTIBLE             </t>
  </si>
  <si>
    <t>ALQUILER DE OFICINAS  VIVIENDAS Y OTRAS INSTALACIONES</t>
  </si>
  <si>
    <t>GRUPO ELECTROGENO</t>
  </si>
  <si>
    <t>UN*DIA</t>
  </si>
  <si>
    <t>DESCRIPCION</t>
  </si>
  <si>
    <t>3</t>
  </si>
  <si>
    <t>1</t>
  </si>
  <si>
    <t>2</t>
  </si>
  <si>
    <t>GERENTE REGIONAL TARIJA - ABC</t>
  </si>
  <si>
    <t>GERENCIA REGIONAL TARIJA</t>
  </si>
  <si>
    <t>E.B.C.</t>
  </si>
  <si>
    <t>Anticipo de Obra (20%)</t>
  </si>
  <si>
    <t>PORCENTAJE (%)</t>
  </si>
  <si>
    <t>MES ANTERIOR (Bs.)</t>
  </si>
  <si>
    <t>PRESENTE MES (Bs.)</t>
  </si>
  <si>
    <t>ACUM. A LA FECHA (Bs.)</t>
  </si>
  <si>
    <t>RESTITUCION</t>
  </si>
  <si>
    <t>SALDO POR RESTITUIR
(Bs.)</t>
  </si>
  <si>
    <t>PLANILLA Nº</t>
  </si>
  <si>
    <t>ANTICIPO</t>
  </si>
  <si>
    <t>CERTIFICADO DE PAGO :</t>
  </si>
  <si>
    <t>Ing. Hernan Vasquez Iriarte</t>
  </si>
  <si>
    <t>Ing. Casiano Nuñez Alave</t>
  </si>
  <si>
    <t>Especialista en Drenaje Vial e Hidrologia</t>
  </si>
  <si>
    <t>Especialista en Estructuras y Control y Calidad</t>
  </si>
  <si>
    <t>Ing. Jorge Tellez Pino</t>
  </si>
  <si>
    <t>Ing. Cesar Gustavo Paris Velasco</t>
  </si>
  <si>
    <t>Especialista Ambiental</t>
  </si>
  <si>
    <t>Ing. Jhovana Cespedes Balderrama</t>
  </si>
  <si>
    <t>Ing. Industrial</t>
  </si>
  <si>
    <t>TGNEBC-G22D-1-19</t>
  </si>
  <si>
    <t>TGNEBC-G22E-1-19</t>
  </si>
  <si>
    <t>Ing. Herlan Rene Ramos Estrada</t>
  </si>
  <si>
    <t>Ing. Franz Reynaldo Salazar Martinez</t>
  </si>
  <si>
    <t>Ing. Marco Antonio Ortiz Tapia</t>
  </si>
  <si>
    <t>Caduca, posteriormente renovada</t>
  </si>
  <si>
    <t>PLANILLA DE DOCUMENTOS DE GARANTIA</t>
  </si>
  <si>
    <t xml:space="preserve">CERTIFICADO DE PAGO Nº </t>
  </si>
  <si>
    <t>TGN (70%) Gobierno Autonomo Reginal Gran Chaco (30%)</t>
  </si>
  <si>
    <t>Av. Brasil # 1636 Zona Miraflores, La Paz - Bolivia</t>
  </si>
  <si>
    <t>PROCESO DE CONTRATACIÓN DIRECTA:</t>
  </si>
  <si>
    <t>CD Nº 004/2019-OFC</t>
  </si>
  <si>
    <t>PLAZO ADICIONAL S/CONTRATO MODIFICATORIO N° 1:</t>
  </si>
  <si>
    <t>PERRIODO:</t>
  </si>
  <si>
    <t>PERIODO:</t>
  </si>
  <si>
    <t>SALDO TIEMPO PARA CONCLUSION DE OBRA:</t>
  </si>
  <si>
    <t>SALDO</t>
  </si>
  <si>
    <t>sep-19 a sep-20</t>
  </si>
  <si>
    <t>IMPORTE                 (Bs.)</t>
  </si>
  <si>
    <t>Sin Observaciones</t>
  </si>
  <si>
    <t>PROYECTO: CONSTRUCCION Y REHABILITACION TRAMO CARRETERO                         VILLA MONTES - LA VERTIENTE - PALO MARCADO</t>
  </si>
  <si>
    <t>Ambos Lados</t>
  </si>
  <si>
    <t>ABC Nº 341/20 GTJ-MOD-TGN</t>
  </si>
  <si>
    <t xml:space="preserve">CONTRATO MOD. Nº1: </t>
  </si>
  <si>
    <t xml:space="preserve">CONTRATO : </t>
  </si>
  <si>
    <t>M2*M</t>
  </si>
  <si>
    <t>M3*KM</t>
  </si>
  <si>
    <t>Ing. Gabriel Daza Chavez</t>
  </si>
  <si>
    <t>PLAZO ADICIONAL S/CONTRATO MODIFICATORIO N° 2 (COVID-19):</t>
  </si>
  <si>
    <t>FECHA DE CONCLUSIÓN DE OBRA SEGÚN C.M. Nº 1:</t>
  </si>
  <si>
    <t>FECHA DE CONCLUSIÓN DE OBRA SEGÚN C.M. Nº 2:</t>
  </si>
  <si>
    <t>dic-20 a feb-21</t>
  </si>
  <si>
    <t>TESORO GENERAL DE LA NACION (70%)</t>
  </si>
  <si>
    <t>Tarija, ____ /___ /2021</t>
  </si>
  <si>
    <t>Tarija, _______ /______ /2021</t>
  </si>
  <si>
    <t>Tarija, _______ /_______ /2021</t>
  </si>
  <si>
    <t>TGNEBC-G22F-1-19</t>
  </si>
  <si>
    <t>VIGENTE</t>
  </si>
  <si>
    <t>De dic-20 a feb-21</t>
  </si>
  <si>
    <t>Ambos Lados tramos (16+685 a 18+500) y (20+500 a 23+500)</t>
  </si>
  <si>
    <t>Ambos Lados tramos (23+500 a 26+500); (28+000 a 29+000) y (33+000 a 34+000)</t>
  </si>
  <si>
    <t>Ambos Lados tramos (18+500 a 20+500); (26+500 a 28+000) y (29+000 a 33+000)</t>
  </si>
  <si>
    <t>PORCENTAJES</t>
  </si>
  <si>
    <t>HOJA DE CONTROL</t>
  </si>
  <si>
    <t>SEGÚN  CONTRATO INICIAL</t>
  </si>
  <si>
    <t>*</t>
  </si>
  <si>
    <r>
      <t>GERENCIA A CARGO DEL PROYECTO:</t>
    </r>
    <r>
      <rPr>
        <sz val="10"/>
        <rFont val="Arial"/>
        <family val="2"/>
      </rPr>
      <t xml:space="preserve">   GERENCIA REGIONAL TARIJA</t>
    </r>
  </si>
  <si>
    <t>long</t>
  </si>
  <si>
    <t>area (m2)</t>
  </si>
  <si>
    <t>area (ha)</t>
  </si>
  <si>
    <t>PROYECTO: CONSTRUCCION Y REHABILITACION TRAMO CARRETERO
VILLA MONTES - LA VERTIENTE - PALO MARCADO</t>
  </si>
  <si>
    <t>Monto restituido hasta el anterior periodo</t>
  </si>
  <si>
    <t>RETENCIÓN (7%) POR GARANTÍA CUMPLIMIENTO DE CONTRATO HASTA LA FECHA (H+I)</t>
  </si>
  <si>
    <t>RETENCIÓN (7%) POR GARANTÍA CUMPLIMIENTO DE CONTRATO ACUMULADA HASTA EL ANTERIOR PERIODO</t>
  </si>
  <si>
    <t>RETENCIÓN (7%) POR GARANTÍA CUMPLIMIENTO DE CONTRATO EN EL PRESENTE PERIODO</t>
  </si>
  <si>
    <t>IMPORTE DE SERVICIO EJECUTADO Y ACUMULADO HASTA EL ANTERIOR PERIODO</t>
  </si>
  <si>
    <t>CONTRATOS</t>
  </si>
  <si>
    <t>SIGEP</t>
  </si>
  <si>
    <t>CONTRATO MODIFICATORIO N° 2:</t>
  </si>
  <si>
    <t>ABC Nº 255/21 GTJ-MOD-TGN</t>
  </si>
  <si>
    <t>RESOLUCIÓN ADMINISTRATIVA DE ADJUDICACIÓN: -</t>
  </si>
  <si>
    <t>DEVOLUCIÓN (20%) DE ANTICIPO HASTA LA FECHA (K+L)</t>
  </si>
  <si>
    <t>DEVOLUCIÓN (20%) DE ANTICIPO ACUMULADA HASTA EL MES ANTERIOR</t>
  </si>
  <si>
    <t>DEVOLUCIÓN (20%) DE ANTICIPO EN EL PRESENTE MES</t>
  </si>
  <si>
    <t xml:space="preserve">CONTRATO MOD. Nº2: </t>
  </si>
  <si>
    <t>GOBIERNO AUTONOMO REGIONAL DEL GRAN CHACO (30%)</t>
  </si>
  <si>
    <t>Ing. Marco Antonio Ortiz Tapia  GERENTE REGIONAL
ABC - REGIONAL TARIJA</t>
  </si>
  <si>
    <t>EMPRESA ESTRATÉGICA BOLIVIANA DE CONSTRUCCIÓN
Y CONSERVACIÓN DE INFRAESTRUCTURA CIVIL (EBC)</t>
  </si>
  <si>
    <t>PROYECTO: CONSTRUCCION Y REHABILITACION TRAMO CARRETERO 
VILLA MONTES - LA VERTIENTE - PALO MARCADO</t>
  </si>
  <si>
    <t>PLANILLA DE RETENCION DE 7 % POR
CUMPLIMIENTO DE CONTRATO</t>
  </si>
  <si>
    <t>RETENCION POR GARANTÍA DE CUMPLIMIENTO DE CONTRATO</t>
  </si>
  <si>
    <t>CM3</t>
  </si>
  <si>
    <t>CM2</t>
  </si>
  <si>
    <t>MULTAS</t>
  </si>
  <si>
    <r>
      <t>M</t>
    </r>
    <r>
      <rPr>
        <sz val="8"/>
        <rFont val="Arial Narrow"/>
        <family val="2"/>
      </rPr>
      <t xml:space="preserve">ONTO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 xml:space="preserve">ONTRATO </t>
    </r>
    <r>
      <rPr>
        <sz val="9"/>
        <rFont val="Arial Narrow"/>
        <family val="2"/>
      </rPr>
      <t xml:space="preserve"> M</t>
    </r>
    <r>
      <rPr>
        <sz val="8"/>
        <rFont val="Arial Narrow"/>
        <family val="2"/>
      </rPr>
      <t>ODIFICATORIO N° 2</t>
    </r>
  </si>
  <si>
    <t>ABRIL 2021</t>
  </si>
  <si>
    <t>01-Abr-2021</t>
  </si>
  <si>
    <t>30-Abr-2021</t>
  </si>
  <si>
    <t>TGNEBC-G22G-1-19</t>
  </si>
  <si>
    <t>Estado Plurinacional de Bolivia (Tesoro General
de la Nacion)</t>
  </si>
  <si>
    <r>
      <t xml:space="preserve">PERIODO DE CERTIFICACION:  </t>
    </r>
    <r>
      <rPr>
        <sz val="10"/>
        <rFont val="Arial"/>
        <family val="2"/>
      </rPr>
      <t>DEL 01 DE ABRIL AL 30 DE ABRIL DE 2021</t>
    </r>
  </si>
  <si>
    <t>Monto hasta Cert.6</t>
  </si>
  <si>
    <t>Baja, Por Fallecimiento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</si>
</sst>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3" formatCode="_(* #,##0.00_);_(* \(#,##0.00\);_(* &quot;-&quot;??_);_(@_)"/>
    <numFmt numFmtId="164" formatCode="_-* #,##0.00\ _€_-;\-* #,##0.00\ _€_-;_-* &quot;-&quot;??\ _€_-;_-@_-"/>
    <numFmt numFmtId="165" formatCode="_-* #,##0.00_-;\-* #,##0.00_-;_-* &quot;-&quot;??_-;_-@_-"/>
    <numFmt numFmtId="166" formatCode="_ * #,##0.00_ ;_ * \-#,##0.00_ ;_ * &quot;-&quot;??_ ;_ @_ "/>
    <numFmt numFmtId="167" formatCode="#,###.0"/>
    <numFmt numFmtId="168" formatCode="#,###.00"/>
    <numFmt numFmtId="169" formatCode="_([$€]* #,##0.00_);_([$€]* \(#,##0.00\);_([$€]* &quot;-&quot;??_);_(@_)"/>
    <numFmt numFmtId="170" formatCode="_-* #,##0.000\ _€_-;\-* #,##0.000\ _€_-;_-* &quot;-&quot;??\ _€_-;_-@_-"/>
    <numFmt numFmtId="171" formatCode="dd/mm/yyyy;@"/>
    <numFmt numFmtId="172" formatCode="0.0%"/>
    <numFmt numFmtId="173" formatCode="#,##0\ &quot;d.c.&quot;;[Red]\-#,##0\ &quot;$us&quot;"/>
    <numFmt numFmtId="174" formatCode="#.##0,"/>
    <numFmt numFmtId="175" formatCode="mmmm\ \-\ yyyy"/>
    <numFmt numFmtId="176" formatCode="0\+000"/>
    <numFmt numFmtId="177" formatCode="&quot;Bs.  &quot;#,##0.00"/>
    <numFmt numFmtId="178" formatCode="_ * #,##0.00_ ;_ * \-#,##0.0_ ;_ * &quot;-&quot;??_ ;_ @_ "/>
    <numFmt numFmtId="179" formatCode="#,##0.00&quot;   &quot;"/>
    <numFmt numFmtId="180" formatCode="General_)"/>
    <numFmt numFmtId="181" formatCode="&quot;Son.  &quot;#,##0.00"/>
    <numFmt numFmtId="182" formatCode="[$-400A]d&quot; de &quot;mmmm&quot; de &quot;yyyy;@"/>
    <numFmt numFmtId="183" formatCode="_-* #,##0.0000_-;\-* #,##0.0000_-;_-* &quot;-&quot;??_-;_-@_-"/>
    <numFmt numFmtId="184" formatCode="_-* #,##0.00000\ _€_-;\-* #,##0.00000\ _€_-;_-* &quot;-&quot;??\ _€_-;_-@_-"/>
    <numFmt numFmtId="185" formatCode="#,##0.0\ &quot;Meses&quot;;"/>
    <numFmt numFmtId="186" formatCode="#,##0.00000000"/>
    <numFmt numFmtId="187" formatCode="#,##0.0000000000000000000000000"/>
    <numFmt numFmtId="188" formatCode="#,##0.00_ ;[Red]\-#,##0.00\ "/>
    <numFmt numFmtId="189" formatCode="#,##0.000000"/>
    <numFmt numFmtId="190" formatCode="0.0000"/>
    <numFmt numFmtId="191" formatCode="_ * #,##0.0000_ ;_ * \-#,##0.0000_ ;_ * &quot;-&quot;??_ ;_ @_ "/>
    <numFmt numFmtId="192" formatCode="_-* #,##0.000_-;\-* #,##0.000_-;_-* &quot;-&quot;??_-;_-@_-"/>
    <numFmt numFmtId="193" formatCode="_-* #,##0.00000_-;\-* #,##0.00000_-;_-* &quot;-&quot;??_-;_-@_-"/>
    <numFmt numFmtId="194" formatCode="_ * #,##0.0000000_ ;_ * \-#,##0.0000000_ ;_ * &quot;-&quot;??_ ;_ @_ "/>
    <numFmt numFmtId="195" formatCode="_-* #,##0.0000\ _€_-;\-* #,##0.0000\ _€_-;_-* &quot;-&quot;??\ _€_-;_-@_-"/>
    <numFmt numFmtId="196" formatCode="_ * #,##0.000_ ;_ * \-#,##0.00_ ;_ * &quot;-&quot;??_ ;_ @_ "/>
    <numFmt numFmtId="197" formatCode="#,##0_ ;[Red]\-#,##0\ "/>
    <numFmt numFmtId="198" formatCode="0.000"/>
    <numFmt numFmtId="199" formatCode="_(* #,##0.0000_);_(* \(#,##0.0000\);_(* &quot;-&quot;??_);_(@_)"/>
    <numFmt numFmtId="200" formatCode="0.000000%"/>
    <numFmt numFmtId="201" formatCode="&quot;CERTIFICADO DE PAGO: No. &quot;0\ "/>
    <numFmt numFmtId="202" formatCode="&quot;CERTIFICADO DE PAGO: No. &quot;"/>
    <numFmt numFmtId="203" formatCode="&quot;AL&quot;\ [$-C0A]d\ &quot;de&quot;\ mmmm\ &quot;de&quot;\ yyyy;@"/>
    <numFmt numFmtId="204" formatCode="#,##0\ &quot;Días Calendario&quot;;"/>
    <numFmt numFmtId="205" formatCode="dd\-mmm\-yyyy"/>
    <numFmt numFmtId="206" formatCode="0.0000000000"/>
    <numFmt numFmtId="207" formatCode="#,##0.0000"/>
    <numFmt numFmtId="208" formatCode="0.000%"/>
    <numFmt numFmtId="209" formatCode="_(* #,##0.000_);_(* \(#,##0.000\);_(* &quot;-&quot;??_);_(@_)"/>
  </numFmts>
  <fonts count="1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GeoSlab703 Lt BT"/>
    </font>
    <font>
      <i/>
      <sz val="1"/>
      <color indexed="8"/>
      <name val="Courier"/>
      <family val="3"/>
    </font>
    <font>
      <sz val="11"/>
      <color indexed="20"/>
      <name val="Calibri"/>
      <family val="2"/>
    </font>
    <font>
      <sz val="10"/>
      <name val="Arial"/>
      <family val="2"/>
    </font>
    <font>
      <sz val="10"/>
      <name val="AvantGarde Bk BT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</font>
    <font>
      <b/>
      <i/>
      <sz val="11"/>
      <name val="Arial Narrow"/>
      <family val="2"/>
    </font>
    <font>
      <sz val="9"/>
      <name val="Arial Narrow"/>
      <family val="2"/>
    </font>
    <font>
      <b/>
      <i/>
      <sz val="28"/>
      <name val="Arial Narrow"/>
      <family val="2"/>
    </font>
    <font>
      <b/>
      <sz val="11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i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Bookman Old Style"/>
      <family val="1"/>
    </font>
    <font>
      <i/>
      <sz val="8"/>
      <name val="Arial Narrow"/>
      <family val="2"/>
    </font>
    <font>
      <sz val="8"/>
      <color rgb="FFFF0000"/>
      <name val="Arial Narrow"/>
      <family val="2"/>
    </font>
    <font>
      <b/>
      <sz val="8"/>
      <color rgb="FFFF0000"/>
      <name val="Arial Narrow"/>
      <family val="2"/>
    </font>
    <font>
      <u/>
      <sz val="10"/>
      <color theme="10"/>
      <name val="Arial"/>
      <family val="2"/>
    </font>
    <font>
      <sz val="9"/>
      <name val="Arial MT"/>
    </font>
    <font>
      <b/>
      <sz val="14"/>
      <name val="Arial Narrow"/>
      <family val="2"/>
    </font>
    <font>
      <b/>
      <sz val="10"/>
      <color indexed="8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 Narrow"/>
      <family val="2"/>
    </font>
    <font>
      <sz val="9"/>
      <color indexed="8"/>
      <name val="Arial Narrow"/>
      <family val="2"/>
    </font>
    <font>
      <b/>
      <sz val="36"/>
      <name val="Arial Narrow"/>
      <family val="2"/>
    </font>
    <font>
      <b/>
      <i/>
      <sz val="9"/>
      <name val="Arial Narrow"/>
      <family val="2"/>
    </font>
    <font>
      <sz val="8"/>
      <color theme="0"/>
      <name val="Arial Narrow"/>
      <family val="2"/>
    </font>
    <font>
      <sz val="10"/>
      <color theme="0"/>
      <name val="Arial"/>
      <family val="2"/>
    </font>
    <font>
      <u val="singleAccounting"/>
      <sz val="8"/>
      <name val="Arial Narrow"/>
      <family val="2"/>
    </font>
    <font>
      <b/>
      <sz val="10"/>
      <name val="Arial"/>
      <family val="2"/>
    </font>
    <font>
      <sz val="28"/>
      <color rgb="FFFF0000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sz val="36"/>
      <color rgb="FFFF0000"/>
      <name val="Arial Narrow"/>
      <family val="2"/>
    </font>
    <font>
      <i/>
      <sz val="11"/>
      <name val="Arial Narrow"/>
      <family val="2"/>
    </font>
    <font>
      <sz val="10"/>
      <color rgb="FFFF0000"/>
      <name val="Arial Narrow"/>
      <family val="2"/>
    </font>
    <font>
      <b/>
      <sz val="10"/>
      <color indexed="9"/>
      <name val="Arial Narrow"/>
      <family val="2"/>
    </font>
    <font>
      <sz val="10"/>
      <color indexed="57"/>
      <name val="Arial Narrow"/>
      <family val="2"/>
    </font>
    <font>
      <sz val="10"/>
      <color indexed="10"/>
      <name val="Arial Narrow"/>
      <family val="2"/>
    </font>
    <font>
      <sz val="10"/>
      <color indexed="12"/>
      <name val="Arial Narrow"/>
      <family val="2"/>
    </font>
    <font>
      <sz val="10"/>
      <color indexed="49"/>
      <name val="Arial Narrow"/>
      <family val="2"/>
    </font>
    <font>
      <sz val="9"/>
      <color theme="1"/>
      <name val="Arial Narrow"/>
      <family val="2"/>
    </font>
    <font>
      <u/>
      <sz val="5.6"/>
      <color theme="10"/>
      <name val="Arial"/>
      <family val="2"/>
    </font>
    <font>
      <b/>
      <sz val="11"/>
      <color indexed="8"/>
      <name val="Arial Narrow"/>
      <family val="2"/>
    </font>
    <font>
      <sz val="24"/>
      <name val="Arial Narrow"/>
      <family val="2"/>
    </font>
    <font>
      <sz val="8.5"/>
      <name val="Arial Narrow"/>
      <family val="2"/>
    </font>
    <font>
      <b/>
      <sz val="10"/>
      <color theme="1"/>
      <name val="Arial Narrow"/>
      <family val="2"/>
    </font>
    <font>
      <sz val="9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b/>
      <u/>
      <sz val="14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11"/>
      <name val="Calibri"/>
      <family val="2"/>
    </font>
    <font>
      <b/>
      <i/>
      <sz val="24"/>
      <name val="Cooper Black"/>
      <family val="1"/>
    </font>
    <font>
      <sz val="11"/>
      <color theme="1"/>
      <name val="Arial"/>
      <family val="2"/>
    </font>
    <font>
      <b/>
      <sz val="8"/>
      <color theme="0"/>
      <name val="Arial Narrow"/>
      <family val="2"/>
    </font>
    <font>
      <sz val="10"/>
      <name val="Century Gothic"/>
      <family val="2"/>
    </font>
    <font>
      <b/>
      <i/>
      <sz val="20"/>
      <name val="Century Gothic"/>
      <family val="2"/>
    </font>
    <font>
      <b/>
      <i/>
      <sz val="16"/>
      <name val="Century Gothic"/>
      <family val="2"/>
    </font>
    <font>
      <b/>
      <i/>
      <sz val="14"/>
      <name val="Century Gothic"/>
      <family val="2"/>
    </font>
    <font>
      <b/>
      <i/>
      <sz val="21"/>
      <name val="Century Gothic"/>
      <family val="2"/>
    </font>
    <font>
      <i/>
      <sz val="11"/>
      <name val="Century Gothic"/>
      <family val="2"/>
    </font>
    <font>
      <sz val="9"/>
      <color rgb="FF002060"/>
      <name val="Arial Narrow"/>
      <family val="2"/>
    </font>
    <font>
      <b/>
      <sz val="9"/>
      <color rgb="FF002060"/>
      <name val="Arial Narrow"/>
      <family val="2"/>
    </font>
    <font>
      <b/>
      <sz val="11"/>
      <color theme="1"/>
      <name val="Arial"/>
      <family val="2"/>
    </font>
    <font>
      <b/>
      <sz val="12"/>
      <color theme="4" tint="-0.249977111117893"/>
      <name val="Arial"/>
      <family val="2"/>
    </font>
    <font>
      <sz val="10"/>
      <color theme="1"/>
      <name val="Arial Narrow"/>
      <family val="2"/>
    </font>
    <font>
      <b/>
      <sz val="8.5"/>
      <name val="Arial Narrow"/>
      <family val="2"/>
    </font>
    <font>
      <b/>
      <sz val="10"/>
      <color theme="3"/>
      <name val="Arial Narrow"/>
      <family val="2"/>
    </font>
    <font>
      <b/>
      <sz val="10.5"/>
      <name val="Arial Narrow"/>
      <family val="2"/>
    </font>
    <font>
      <sz val="8"/>
      <color indexed="8"/>
      <name val="Arial Narrow"/>
      <family val="2"/>
    </font>
    <font>
      <b/>
      <sz val="12"/>
      <color theme="0"/>
      <name val="Arial"/>
      <family val="2"/>
    </font>
    <font>
      <b/>
      <sz val="8"/>
      <name val="Arial"/>
      <family val="2"/>
    </font>
    <font>
      <b/>
      <sz val="9"/>
      <color theme="0"/>
      <name val="Arial"/>
      <family val="2"/>
    </font>
    <font>
      <sz val="11"/>
      <color theme="0"/>
      <name val="Arial"/>
      <family val="2"/>
    </font>
    <font>
      <b/>
      <i/>
      <sz val="22"/>
      <name val="Century Gothic"/>
      <family val="2"/>
    </font>
    <font>
      <b/>
      <i/>
      <sz val="24"/>
      <name val="Century Gothic"/>
      <family val="2"/>
    </font>
    <font>
      <b/>
      <i/>
      <sz val="11"/>
      <name val="Century Gothic"/>
      <family val="2"/>
    </font>
    <font>
      <b/>
      <i/>
      <sz val="12"/>
      <name val="Arial Narrow"/>
      <family val="2"/>
    </font>
    <font>
      <b/>
      <sz val="10"/>
      <color theme="0" tint="-0.34998626667073579"/>
      <name val="Arial Narrow"/>
      <family val="2"/>
    </font>
    <font>
      <sz val="10"/>
      <color theme="0" tint="-0.34998626667073579"/>
      <name val="Arial Narrow"/>
      <family val="2"/>
    </font>
    <font>
      <sz val="9.5"/>
      <name val="Arial Narrow"/>
      <family val="2"/>
    </font>
    <font>
      <sz val="10"/>
      <color theme="0"/>
      <name val="Arial Narrow"/>
      <family val="2"/>
    </font>
    <font>
      <b/>
      <u/>
      <sz val="12"/>
      <name val="Arial"/>
      <family val="2"/>
    </font>
    <font>
      <b/>
      <sz val="13"/>
      <name val="Arial"/>
      <family val="2"/>
    </font>
    <font>
      <b/>
      <i/>
      <sz val="9"/>
      <name val="Arial"/>
      <family val="2"/>
    </font>
    <font>
      <b/>
      <i/>
      <sz val="18"/>
      <name val="Century Gothic"/>
      <family val="2"/>
    </font>
    <font>
      <sz val="14"/>
      <name val="Arial Narrow"/>
      <family val="2"/>
    </font>
    <font>
      <b/>
      <sz val="1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20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867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4" borderId="0" applyNumberFormat="0" applyBorder="0" applyAlignment="0" applyProtection="0"/>
    <xf numFmtId="0" fontId="13" fillId="16" borderId="1" applyNumberFormat="0" applyAlignment="0" applyProtection="0"/>
    <xf numFmtId="0" fontId="14" fillId="17" borderId="2" applyNumberFormat="0" applyAlignment="0" applyProtection="0"/>
    <xf numFmtId="0" fontId="15" fillId="0" borderId="3" applyNumberFormat="0" applyFill="0" applyAlignment="0" applyProtection="0"/>
    <xf numFmtId="43" fontId="10" fillId="0" borderId="0" applyFont="0" applyFill="0" applyBorder="0" applyAlignment="0" applyProtection="0"/>
    <xf numFmtId="0" fontId="16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8" fillId="0" borderId="0" applyNumberFormat="0" applyFill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21" borderId="0" applyNumberFormat="0" applyBorder="0" applyAlignment="0" applyProtection="0"/>
    <xf numFmtId="0" fontId="19" fillId="7" borderId="1" applyNumberFormat="0" applyAlignment="0" applyProtection="0"/>
    <xf numFmtId="169" fontId="20" fillId="0" borderId="0" applyFont="0" applyFill="0" applyBorder="0" applyAlignment="0" applyProtection="0"/>
    <xf numFmtId="174" fontId="16" fillId="0" borderId="0">
      <protection locked="0"/>
    </xf>
    <xf numFmtId="174" fontId="16" fillId="0" borderId="0">
      <protection locked="0"/>
    </xf>
    <xf numFmtId="174" fontId="21" fillId="0" borderId="0">
      <protection locked="0"/>
    </xf>
    <xf numFmtId="174" fontId="16" fillId="0" borderId="0">
      <protection locked="0"/>
    </xf>
    <xf numFmtId="174" fontId="16" fillId="0" borderId="0">
      <protection locked="0"/>
    </xf>
    <xf numFmtId="174" fontId="16" fillId="0" borderId="0">
      <protection locked="0"/>
    </xf>
    <xf numFmtId="174" fontId="16" fillId="0" borderId="0">
      <protection locked="0"/>
    </xf>
    <xf numFmtId="0" fontId="16" fillId="0" borderId="0">
      <protection locked="0"/>
    </xf>
    <xf numFmtId="4" fontId="16" fillId="0" borderId="0">
      <protection locked="0"/>
    </xf>
    <xf numFmtId="0" fontId="22" fillId="3" borderId="0" applyNumberFormat="0" applyBorder="0" applyAlignment="0" applyProtection="0"/>
    <xf numFmtId="43" fontId="23" fillId="0" borderId="0" applyFont="0" applyFill="0" applyBorder="0" applyAlignment="0" applyProtection="0"/>
    <xf numFmtId="164" fontId="24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6" fillId="0" borderId="0">
      <protection locked="0"/>
    </xf>
    <xf numFmtId="0" fontId="25" fillId="22" borderId="0" applyNumberFormat="0" applyBorder="0" applyAlignment="0" applyProtection="0"/>
    <xf numFmtId="0" fontId="26" fillId="0" borderId="0"/>
    <xf numFmtId="0" fontId="24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23" fillId="23" borderId="4" applyNumberFormat="0" applyFont="0" applyAlignment="0" applyProtection="0"/>
    <xf numFmtId="9" fontId="10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7" fillId="16" borderId="5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2" fillId="0" borderId="7" applyNumberFormat="0" applyFill="0" applyAlignment="0" applyProtection="0"/>
    <xf numFmtId="0" fontId="18" fillId="0" borderId="8" applyNumberFormat="0" applyFill="0" applyAlignment="0" applyProtection="0"/>
    <xf numFmtId="0" fontId="33" fillId="0" borderId="9" applyNumberFormat="0" applyFill="0" applyAlignment="0" applyProtection="0"/>
    <xf numFmtId="0" fontId="26" fillId="0" borderId="0"/>
    <xf numFmtId="0" fontId="26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21" borderId="0" applyNumberFormat="0" applyBorder="0" applyAlignment="0" applyProtection="0"/>
    <xf numFmtId="0" fontId="22" fillId="3" borderId="0" applyNumberFormat="0" applyBorder="0" applyAlignment="0" applyProtection="0"/>
    <xf numFmtId="0" fontId="13" fillId="16" borderId="1" applyNumberFormat="0" applyAlignment="0" applyProtection="0"/>
    <xf numFmtId="0" fontId="14" fillId="17" borderId="2" applyNumberFormat="0" applyAlignment="0" applyProtection="0"/>
    <xf numFmtId="0" fontId="29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31" fillId="0" borderId="6" applyNumberFormat="0" applyFill="0" applyAlignment="0" applyProtection="0"/>
    <xf numFmtId="0" fontId="32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15" fillId="0" borderId="3" applyNumberFormat="0" applyFill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26" fillId="23" borderId="4" applyNumberFormat="0" applyFont="0" applyAlignment="0" applyProtection="0"/>
    <xf numFmtId="0" fontId="27" fillId="16" borderId="5" applyNumberFormat="0" applyAlignment="0" applyProtection="0"/>
    <xf numFmtId="0" fontId="3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6" fillId="0" borderId="0"/>
    <xf numFmtId="0" fontId="52" fillId="0" borderId="0" applyNumberFormat="0" applyFill="0" applyBorder="0" applyAlignment="0" applyProtection="0"/>
    <xf numFmtId="0" fontId="26" fillId="0" borderId="0"/>
    <xf numFmtId="0" fontId="26" fillId="0" borderId="0"/>
    <xf numFmtId="166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80" fontId="53" fillId="0" borderId="0"/>
    <xf numFmtId="0" fontId="8" fillId="0" borderId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4" fillId="0" borderId="0"/>
    <xf numFmtId="0" fontId="34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8" fillId="0" borderId="0"/>
    <xf numFmtId="0" fontId="8" fillId="0" borderId="0"/>
    <xf numFmtId="0" fontId="26" fillId="0" borderId="0"/>
    <xf numFmtId="0" fontId="26" fillId="0" borderId="0"/>
    <xf numFmtId="0" fontId="8" fillId="0" borderId="0"/>
    <xf numFmtId="0" fontId="8" fillId="0" borderId="0"/>
    <xf numFmtId="0" fontId="26" fillId="0" borderId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9" fontId="3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82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23" fillId="0" borderId="0"/>
    <xf numFmtId="0" fontId="23" fillId="0" borderId="0"/>
    <xf numFmtId="0" fontId="2" fillId="0" borderId="0"/>
    <xf numFmtId="0" fontId="1" fillId="0" borderId="0"/>
  </cellStyleXfs>
  <cellXfs count="1910">
    <xf numFmtId="0" fontId="0" fillId="0" borderId="0" xfId="0"/>
    <xf numFmtId="0" fontId="37" fillId="0" borderId="0" xfId="0" applyFont="1" applyFill="1" applyAlignment="1">
      <alignment vertical="center"/>
    </xf>
    <xf numFmtId="0" fontId="36" fillId="24" borderId="13" xfId="0" applyFont="1" applyFill="1" applyBorder="1" applyAlignment="1">
      <alignment horizontal="center" vertical="center" wrapText="1"/>
    </xf>
    <xf numFmtId="0" fontId="36" fillId="24" borderId="14" xfId="0" applyFont="1" applyFill="1" applyBorder="1" applyAlignment="1">
      <alignment horizontal="center" vertical="center" wrapText="1"/>
    </xf>
    <xf numFmtId="166" fontId="37" fillId="0" borderId="0" xfId="0" applyNumberFormat="1" applyFont="1" applyFill="1" applyAlignment="1">
      <alignment vertical="center"/>
    </xf>
    <xf numFmtId="172" fontId="37" fillId="0" borderId="0" xfId="59" applyNumberFormat="1" applyFont="1" applyFill="1" applyAlignment="1">
      <alignment vertical="center"/>
    </xf>
    <xf numFmtId="0" fontId="37" fillId="0" borderId="13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37" fillId="0" borderId="14" xfId="0" applyFont="1" applyFill="1" applyBorder="1" applyAlignment="1">
      <alignment vertical="center" wrapText="1"/>
    </xf>
    <xf numFmtId="0" fontId="37" fillId="0" borderId="15" xfId="0" applyFont="1" applyFill="1" applyBorder="1" applyAlignment="1">
      <alignment vertical="center"/>
    </xf>
    <xf numFmtId="0" fontId="37" fillId="0" borderId="16" xfId="0" applyFont="1" applyFill="1" applyBorder="1" applyAlignment="1">
      <alignment vertical="center"/>
    </xf>
    <xf numFmtId="0" fontId="37" fillId="0" borderId="17" xfId="0" applyFont="1" applyFill="1" applyBorder="1" applyAlignment="1">
      <alignment vertical="center"/>
    </xf>
    <xf numFmtId="0" fontId="37" fillId="0" borderId="15" xfId="0" applyFont="1" applyFill="1" applyBorder="1" applyAlignment="1">
      <alignment vertical="center" wrapText="1"/>
    </xf>
    <xf numFmtId="0" fontId="37" fillId="0" borderId="17" xfId="0" applyFont="1" applyFill="1" applyBorder="1" applyAlignment="1">
      <alignment vertical="center" wrapText="1"/>
    </xf>
    <xf numFmtId="43" fontId="45" fillId="0" borderId="0" xfId="0" applyNumberFormat="1" applyFont="1" applyFill="1" applyBorder="1" applyAlignment="1">
      <alignment vertical="center"/>
    </xf>
    <xf numFmtId="0" fontId="37" fillId="0" borderId="36" xfId="0" applyFont="1" applyFill="1" applyBorder="1" applyAlignment="1">
      <alignment horizontal="left" vertical="center" indent="1"/>
    </xf>
    <xf numFmtId="0" fontId="37" fillId="0" borderId="37" xfId="0" applyFont="1" applyFill="1" applyBorder="1" applyAlignment="1">
      <alignment horizontal="left" vertical="center" indent="1"/>
    </xf>
    <xf numFmtId="0" fontId="37" fillId="0" borderId="0" xfId="0" applyFont="1" applyFill="1" applyBorder="1" applyAlignment="1">
      <alignment vertical="center"/>
    </xf>
    <xf numFmtId="0" fontId="37" fillId="0" borderId="38" xfId="0" applyFont="1" applyFill="1" applyBorder="1" applyAlignment="1">
      <alignment horizontal="left" vertical="center" indent="1"/>
    </xf>
    <xf numFmtId="0" fontId="42" fillId="24" borderId="0" xfId="56" applyFont="1" applyFill="1" applyAlignment="1">
      <alignment vertical="center"/>
    </xf>
    <xf numFmtId="0" fontId="42" fillId="24" borderId="0" xfId="56" applyFont="1" applyFill="1" applyAlignment="1">
      <alignment horizontal="center" vertical="center"/>
    </xf>
    <xf numFmtId="167" fontId="42" fillId="0" borderId="10" xfId="52" applyNumberFormat="1" applyFont="1" applyFill="1" applyBorder="1" applyAlignment="1" applyProtection="1">
      <alignment horizontal="center" vertical="center" wrapText="1"/>
      <protection locked="0"/>
    </xf>
    <xf numFmtId="167" fontId="42" fillId="0" borderId="13" xfId="52" applyNumberFormat="1" applyFont="1" applyFill="1" applyBorder="1" applyAlignment="1" applyProtection="1">
      <alignment horizontal="center" vertical="center" wrapText="1"/>
      <protection locked="0"/>
    </xf>
    <xf numFmtId="0" fontId="42" fillId="0" borderId="0" xfId="52" applyFont="1" applyFill="1" applyBorder="1" applyAlignment="1">
      <alignment vertical="center" wrapText="1"/>
    </xf>
    <xf numFmtId="0" fontId="42" fillId="0" borderId="0" xfId="52" applyFont="1" applyFill="1" applyBorder="1" applyAlignment="1">
      <alignment horizontal="center" vertical="center" wrapText="1"/>
    </xf>
    <xf numFmtId="164" fontId="42" fillId="0" borderId="0" xfId="47" applyFont="1" applyFill="1" applyBorder="1" applyAlignment="1">
      <alignment horizontal="right" vertical="center" wrapText="1"/>
    </xf>
    <xf numFmtId="164" fontId="42" fillId="24" borderId="0" xfId="47" applyFont="1" applyFill="1" applyBorder="1" applyAlignment="1">
      <alignment horizontal="right" vertical="center"/>
    </xf>
    <xf numFmtId="164" fontId="42" fillId="24" borderId="0" xfId="47" applyNumberFormat="1" applyFont="1" applyFill="1" applyBorder="1" applyAlignment="1">
      <alignment horizontal="right" vertical="center"/>
    </xf>
    <xf numFmtId="170" fontId="42" fillId="24" borderId="0" xfId="47" applyNumberFormat="1" applyFont="1" applyFill="1" applyBorder="1" applyAlignment="1">
      <alignment horizontal="right" vertical="center"/>
    </xf>
    <xf numFmtId="164" fontId="42" fillId="24" borderId="14" xfId="47" applyNumberFormat="1" applyFont="1" applyFill="1" applyBorder="1" applyAlignment="1">
      <alignment horizontal="right" vertical="center"/>
    </xf>
    <xf numFmtId="0" fontId="42" fillId="24" borderId="0" xfId="56" applyFont="1" applyFill="1" applyBorder="1" applyAlignment="1">
      <alignment vertical="center"/>
    </xf>
    <xf numFmtId="0" fontId="42" fillId="0" borderId="0" xfId="52" applyFont="1" applyFill="1" applyBorder="1" applyAlignment="1">
      <alignment horizontal="right" vertical="center" wrapText="1"/>
    </xf>
    <xf numFmtId="0" fontId="42" fillId="24" borderId="0" xfId="56" applyFont="1" applyFill="1" applyBorder="1" applyAlignment="1">
      <alignment horizontal="right" vertical="center"/>
    </xf>
    <xf numFmtId="0" fontId="42" fillId="24" borderId="14" xfId="56" applyFont="1" applyFill="1" applyBorder="1" applyAlignment="1">
      <alignment horizontal="right" vertical="center"/>
    </xf>
    <xf numFmtId="0" fontId="42" fillId="24" borderId="0" xfId="56" applyFont="1" applyFill="1" applyAlignment="1">
      <alignment horizontal="right" vertical="center"/>
    </xf>
    <xf numFmtId="0" fontId="42" fillId="0" borderId="27" xfId="52" applyFont="1" applyFill="1" applyBorder="1" applyAlignment="1">
      <alignment vertical="center" wrapText="1"/>
    </xf>
    <xf numFmtId="165" fontId="42" fillId="0" borderId="27" xfId="47" applyNumberFormat="1" applyFont="1" applyFill="1" applyBorder="1" applyAlignment="1" applyProtection="1">
      <alignment horizontal="right" vertical="center" wrapText="1"/>
      <protection locked="0"/>
    </xf>
    <xf numFmtId="165" fontId="42" fillId="24" borderId="29" xfId="47" applyNumberFormat="1" applyFont="1" applyFill="1" applyBorder="1" applyAlignment="1">
      <alignment horizontal="right" vertical="center"/>
    </xf>
    <xf numFmtId="165" fontId="42" fillId="0" borderId="27" xfId="47" applyNumberFormat="1" applyFont="1" applyFill="1" applyBorder="1" applyAlignment="1">
      <alignment horizontal="right" vertical="center" wrapText="1"/>
    </xf>
    <xf numFmtId="164" fontId="42" fillId="24" borderId="27" xfId="47" applyFont="1" applyFill="1" applyBorder="1" applyAlignment="1">
      <alignment horizontal="left" vertical="center"/>
    </xf>
    <xf numFmtId="0" fontId="42" fillId="0" borderId="60" xfId="52" applyFont="1" applyFill="1" applyBorder="1" applyAlignment="1">
      <alignment vertical="center" wrapText="1"/>
    </xf>
    <xf numFmtId="0" fontId="44" fillId="0" borderId="32" xfId="52" applyNumberFormat="1" applyFont="1" applyFill="1" applyBorder="1" applyAlignment="1" applyProtection="1">
      <alignment vertical="center"/>
    </xf>
    <xf numFmtId="0" fontId="42" fillId="0" borderId="32" xfId="52" applyFont="1" applyBorder="1" applyAlignment="1">
      <alignment horizontal="center" vertical="center"/>
    </xf>
    <xf numFmtId="165" fontId="42" fillId="0" borderId="32" xfId="52" applyNumberFormat="1" applyFont="1" applyBorder="1" applyAlignment="1">
      <alignment horizontal="right" vertical="center"/>
    </xf>
    <xf numFmtId="165" fontId="42" fillId="24" borderId="32" xfId="56" applyNumberFormat="1" applyFont="1" applyFill="1" applyBorder="1" applyAlignment="1">
      <alignment horizontal="right" vertical="center"/>
    </xf>
    <xf numFmtId="0" fontId="42" fillId="0" borderId="63" xfId="52" applyFont="1" applyFill="1" applyBorder="1" applyAlignment="1">
      <alignment vertical="center" wrapText="1"/>
    </xf>
    <xf numFmtId="165" fontId="42" fillId="0" borderId="63" xfId="47" applyNumberFormat="1" applyFont="1" applyFill="1" applyBorder="1" applyAlignment="1" applyProtection="1">
      <alignment horizontal="right" vertical="center" wrapText="1"/>
      <protection locked="0"/>
    </xf>
    <xf numFmtId="165" fontId="42" fillId="24" borderId="64" xfId="47" applyNumberFormat="1" applyFont="1" applyFill="1" applyBorder="1" applyAlignment="1">
      <alignment horizontal="right" vertical="center"/>
    </xf>
    <xf numFmtId="0" fontId="43" fillId="0" borderId="32" xfId="52" applyFont="1" applyFill="1" applyBorder="1" applyAlignment="1">
      <alignment vertical="center" wrapText="1"/>
    </xf>
    <xf numFmtId="0" fontId="44" fillId="0" borderId="32" xfId="52" applyFont="1" applyFill="1" applyBorder="1" applyAlignment="1">
      <alignment horizontal="center" vertical="center" wrapText="1"/>
    </xf>
    <xf numFmtId="165" fontId="44" fillId="0" borderId="32" xfId="47" applyNumberFormat="1" applyFont="1" applyFill="1" applyBorder="1" applyAlignment="1">
      <alignment horizontal="right" vertical="center" wrapText="1"/>
    </xf>
    <xf numFmtId="165" fontId="44" fillId="0" borderId="32" xfId="47" applyNumberFormat="1" applyFont="1" applyFill="1" applyBorder="1" applyAlignment="1" applyProtection="1">
      <alignment horizontal="right" vertical="center" wrapText="1"/>
      <protection locked="0"/>
    </xf>
    <xf numFmtId="165" fontId="44" fillId="24" borderId="32" xfId="47" applyNumberFormat="1" applyFont="1" applyFill="1" applyBorder="1" applyAlignment="1">
      <alignment horizontal="right" vertical="center"/>
    </xf>
    <xf numFmtId="165" fontId="42" fillId="24" borderId="32" xfId="47" applyNumberFormat="1" applyFont="1" applyFill="1" applyBorder="1" applyAlignment="1">
      <alignment horizontal="right" vertical="center"/>
    </xf>
    <xf numFmtId="165" fontId="42" fillId="24" borderId="21" xfId="47" applyNumberFormat="1" applyFont="1" applyFill="1" applyBorder="1" applyAlignment="1">
      <alignment horizontal="right" vertical="center"/>
    </xf>
    <xf numFmtId="0" fontId="43" fillId="0" borderId="32" xfId="52" applyNumberFormat="1" applyFont="1" applyFill="1" applyBorder="1" applyAlignment="1" applyProtection="1">
      <alignment horizontal="center" vertical="center" wrapText="1"/>
    </xf>
    <xf numFmtId="165" fontId="49" fillId="0" borderId="32" xfId="47" applyNumberFormat="1" applyFont="1" applyFill="1" applyBorder="1" applyAlignment="1" applyProtection="1">
      <alignment horizontal="right" vertical="center" wrapText="1"/>
    </xf>
    <xf numFmtId="165" fontId="42" fillId="0" borderId="32" xfId="47" applyNumberFormat="1" applyFont="1" applyFill="1" applyBorder="1" applyAlignment="1">
      <alignment horizontal="right" vertical="center" wrapText="1"/>
    </xf>
    <xf numFmtId="0" fontId="42" fillId="0" borderId="65" xfId="52" applyFont="1" applyFill="1" applyBorder="1" applyAlignment="1">
      <alignment horizontal="center" vertical="center" wrapText="1"/>
    </xf>
    <xf numFmtId="0" fontId="42" fillId="0" borderId="44" xfId="52" applyFont="1" applyFill="1" applyBorder="1" applyAlignment="1">
      <alignment horizontal="center" vertical="center" wrapText="1"/>
    </xf>
    <xf numFmtId="0" fontId="42" fillId="0" borderId="66" xfId="52" applyFont="1" applyFill="1" applyBorder="1" applyAlignment="1">
      <alignment horizontal="center" vertical="center" wrapText="1"/>
    </xf>
    <xf numFmtId="165" fontId="42" fillId="24" borderId="53" xfId="47" applyNumberFormat="1" applyFont="1" applyFill="1" applyBorder="1" applyAlignment="1">
      <alignment horizontal="right" vertical="center"/>
    </xf>
    <xf numFmtId="165" fontId="42" fillId="0" borderId="57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25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26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58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29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62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64" xfId="47" applyNumberFormat="1" applyFont="1" applyFill="1" applyBorder="1" applyAlignment="1" applyProtection="1">
      <alignment horizontal="right" vertical="center" wrapText="1"/>
      <protection locked="0"/>
    </xf>
    <xf numFmtId="165" fontId="44" fillId="0" borderId="19" xfId="47" applyNumberFormat="1" applyFont="1" applyFill="1" applyBorder="1" applyAlignment="1">
      <alignment horizontal="right" vertical="center" wrapText="1"/>
    </xf>
    <xf numFmtId="165" fontId="44" fillId="0" borderId="21" xfId="47" applyNumberFormat="1" applyFont="1" applyFill="1" applyBorder="1" applyAlignment="1">
      <alignment horizontal="right" vertical="center" wrapText="1"/>
    </xf>
    <xf numFmtId="165" fontId="42" fillId="24" borderId="44" xfId="47" applyNumberFormat="1" applyFont="1" applyFill="1" applyBorder="1" applyAlignment="1">
      <alignment horizontal="right" vertical="center"/>
    </xf>
    <xf numFmtId="165" fontId="42" fillId="24" borderId="57" xfId="47" applyNumberFormat="1" applyFont="1" applyFill="1" applyBorder="1" applyAlignment="1">
      <alignment horizontal="right" vertical="center"/>
    </xf>
    <xf numFmtId="165" fontId="42" fillId="24" borderId="26" xfId="47" applyNumberFormat="1" applyFont="1" applyFill="1" applyBorder="1" applyAlignment="1">
      <alignment horizontal="right" vertical="center"/>
    </xf>
    <xf numFmtId="0" fontId="42" fillId="0" borderId="32" xfId="52" applyFont="1" applyFill="1" applyBorder="1" applyAlignment="1">
      <alignment horizontal="center" vertical="center" wrapText="1"/>
    </xf>
    <xf numFmtId="165" fontId="42" fillId="0" borderId="32" xfId="47" applyNumberFormat="1" applyFont="1" applyFill="1" applyBorder="1" applyAlignment="1" applyProtection="1">
      <alignment horizontal="right" vertical="center" wrapText="1"/>
      <protection locked="0"/>
    </xf>
    <xf numFmtId="165" fontId="44" fillId="24" borderId="21" xfId="47" applyNumberFormat="1" applyFont="1" applyFill="1" applyBorder="1" applyAlignment="1">
      <alignment horizontal="right" vertical="center"/>
    </xf>
    <xf numFmtId="0" fontId="44" fillId="24" borderId="0" xfId="56" applyFont="1" applyFill="1" applyAlignment="1">
      <alignment vertical="center"/>
    </xf>
    <xf numFmtId="165" fontId="42" fillId="0" borderId="63" xfId="47" applyNumberFormat="1" applyFont="1" applyFill="1" applyBorder="1" applyAlignment="1">
      <alignment horizontal="right" vertical="center" wrapText="1"/>
    </xf>
    <xf numFmtId="165" fontId="42" fillId="0" borderId="57" xfId="47" applyNumberFormat="1" applyFont="1" applyFill="1" applyBorder="1" applyAlignment="1">
      <alignment horizontal="right" vertical="center" wrapText="1"/>
    </xf>
    <xf numFmtId="165" fontId="42" fillId="0" borderId="26" xfId="47" applyNumberFormat="1" applyFont="1" applyFill="1" applyBorder="1" applyAlignment="1">
      <alignment horizontal="right" vertical="center" wrapText="1"/>
    </xf>
    <xf numFmtId="165" fontId="42" fillId="0" borderId="58" xfId="47" applyNumberFormat="1" applyFont="1" applyFill="1" applyBorder="1" applyAlignment="1">
      <alignment horizontal="right" vertical="center" wrapText="1"/>
    </xf>
    <xf numFmtId="165" fontId="42" fillId="0" borderId="29" xfId="47" applyNumberFormat="1" applyFont="1" applyFill="1" applyBorder="1" applyAlignment="1">
      <alignment horizontal="right" vertical="center" wrapText="1"/>
    </xf>
    <xf numFmtId="165" fontId="42" fillId="0" borderId="62" xfId="47" applyNumberFormat="1" applyFont="1" applyFill="1" applyBorder="1" applyAlignment="1">
      <alignment horizontal="right" vertical="center" wrapText="1"/>
    </xf>
    <xf numFmtId="165" fontId="42" fillId="0" borderId="64" xfId="47" applyNumberFormat="1" applyFont="1" applyFill="1" applyBorder="1" applyAlignment="1">
      <alignment horizontal="right" vertical="center" wrapText="1"/>
    </xf>
    <xf numFmtId="0" fontId="42" fillId="0" borderId="68" xfId="52" applyFont="1" applyFill="1" applyBorder="1" applyAlignment="1">
      <alignment vertical="center" wrapText="1"/>
    </xf>
    <xf numFmtId="165" fontId="42" fillId="0" borderId="68" xfId="47" applyNumberFormat="1" applyFont="1" applyFill="1" applyBorder="1" applyAlignment="1" applyProtection="1">
      <alignment horizontal="right" vertical="center" wrapText="1"/>
      <protection locked="0"/>
    </xf>
    <xf numFmtId="0" fontId="42" fillId="0" borderId="70" xfId="52" applyFont="1" applyFill="1" applyBorder="1" applyAlignment="1">
      <alignment horizontal="center" vertical="center" wrapText="1"/>
    </xf>
    <xf numFmtId="165" fontId="42" fillId="0" borderId="71" xfId="47" applyNumberFormat="1" applyFont="1" applyFill="1" applyBorder="1" applyAlignment="1">
      <alignment horizontal="right" vertical="center" wrapText="1"/>
    </xf>
    <xf numFmtId="165" fontId="42" fillId="0" borderId="72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73" xfId="47" applyNumberFormat="1" applyFont="1" applyFill="1" applyBorder="1" applyAlignment="1">
      <alignment horizontal="right" vertical="center" wrapText="1"/>
    </xf>
    <xf numFmtId="165" fontId="42" fillId="24" borderId="73" xfId="47" applyNumberFormat="1" applyFont="1" applyFill="1" applyBorder="1" applyAlignment="1">
      <alignment horizontal="right" vertical="center"/>
    </xf>
    <xf numFmtId="0" fontId="42" fillId="24" borderId="13" xfId="56" applyFont="1" applyFill="1" applyBorder="1" applyAlignment="1">
      <alignment horizontal="center" vertical="center"/>
    </xf>
    <xf numFmtId="168" fontId="42" fillId="0" borderId="19" xfId="52" applyNumberFormat="1" applyFont="1" applyFill="1" applyBorder="1" applyAlignment="1" applyProtection="1">
      <alignment horizontal="center" vertical="center" wrapText="1"/>
      <protection locked="0"/>
    </xf>
    <xf numFmtId="165" fontId="44" fillId="0" borderId="32" xfId="0" applyNumberFormat="1" applyFont="1" applyFill="1" applyBorder="1" applyAlignment="1" applyProtection="1">
      <alignment vertical="center" wrapText="1"/>
    </xf>
    <xf numFmtId="165" fontId="42" fillId="0" borderId="32" xfId="0" applyNumberFormat="1" applyFont="1" applyFill="1" applyBorder="1" applyAlignment="1" applyProtection="1">
      <alignment horizontal="right" vertical="center"/>
    </xf>
    <xf numFmtId="165" fontId="42" fillId="24" borderId="69" xfId="47" applyNumberFormat="1" applyFont="1" applyFill="1" applyBorder="1" applyAlignment="1">
      <alignment horizontal="right" vertical="center"/>
    </xf>
    <xf numFmtId="0" fontId="42" fillId="0" borderId="19" xfId="0" applyNumberFormat="1" applyFont="1" applyFill="1" applyBorder="1" applyAlignment="1" applyProtection="1">
      <alignment horizontal="center" vertical="center"/>
    </xf>
    <xf numFmtId="165" fontId="42" fillId="0" borderId="71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73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25" xfId="47" applyNumberFormat="1" applyFont="1" applyFill="1" applyBorder="1" applyAlignment="1">
      <alignment horizontal="right" vertical="center" wrapText="1"/>
    </xf>
    <xf numFmtId="165" fontId="42" fillId="0" borderId="72" xfId="47" applyNumberFormat="1" applyFont="1" applyFill="1" applyBorder="1" applyAlignment="1">
      <alignment horizontal="right" vertical="center" wrapText="1"/>
    </xf>
    <xf numFmtId="0" fontId="44" fillId="0" borderId="32" xfId="52" applyFont="1" applyFill="1" applyBorder="1" applyAlignment="1">
      <alignment vertical="center" wrapText="1"/>
    </xf>
    <xf numFmtId="165" fontId="42" fillId="0" borderId="67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69" xfId="47" applyNumberFormat="1" applyFont="1" applyFill="1" applyBorder="1" applyAlignment="1" applyProtection="1">
      <alignment horizontal="right" vertical="center" wrapText="1"/>
      <protection locked="0"/>
    </xf>
    <xf numFmtId="0" fontId="44" fillId="25" borderId="24" xfId="52" applyFont="1" applyFill="1" applyBorder="1" applyAlignment="1">
      <alignment horizontal="center" vertical="center"/>
    </xf>
    <xf numFmtId="0" fontId="50" fillId="0" borderId="0" xfId="0" applyFont="1"/>
    <xf numFmtId="0" fontId="51" fillId="0" borderId="0" xfId="0" applyFont="1"/>
    <xf numFmtId="0" fontId="47" fillId="0" borderId="0" xfId="0" applyFont="1"/>
    <xf numFmtId="0" fontId="47" fillId="0" borderId="13" xfId="0" applyFont="1" applyBorder="1"/>
    <xf numFmtId="0" fontId="47" fillId="0" borderId="14" xfId="0" applyFont="1" applyBorder="1"/>
    <xf numFmtId="0" fontId="47" fillId="0" borderId="15" xfId="0" applyFont="1" applyBorder="1"/>
    <xf numFmtId="0" fontId="47" fillId="0" borderId="17" xfId="0" applyFont="1" applyBorder="1"/>
    <xf numFmtId="0" fontId="41" fillId="0" borderId="13" xfId="0" applyFont="1" applyBorder="1" applyAlignment="1"/>
    <xf numFmtId="0" fontId="47" fillId="0" borderId="54" xfId="0" applyFont="1" applyBorder="1"/>
    <xf numFmtId="0" fontId="47" fillId="0" borderId="55" xfId="0" applyFont="1" applyBorder="1"/>
    <xf numFmtId="0" fontId="47" fillId="0" borderId="56" xfId="0" applyFont="1" applyBorder="1"/>
    <xf numFmtId="0" fontId="47" fillId="0" borderId="35" xfId="0" applyFont="1" applyBorder="1" applyAlignment="1">
      <alignment horizontal="center"/>
    </xf>
    <xf numFmtId="0" fontId="41" fillId="0" borderId="20" xfId="0" applyFont="1" applyBorder="1"/>
    <xf numFmtId="0" fontId="41" fillId="0" borderId="22" xfId="0" applyFont="1" applyBorder="1"/>
    <xf numFmtId="165" fontId="47" fillId="0" borderId="33" xfId="0" applyNumberFormat="1" applyFont="1" applyBorder="1"/>
    <xf numFmtId="165" fontId="47" fillId="0" borderId="25" xfId="0" applyNumberFormat="1" applyFont="1" applyBorder="1"/>
    <xf numFmtId="165" fontId="47" fillId="0" borderId="46" xfId="0" applyNumberFormat="1" applyFont="1" applyBorder="1"/>
    <xf numFmtId="165" fontId="47" fillId="0" borderId="23" xfId="0" applyNumberFormat="1" applyFont="1" applyBorder="1"/>
    <xf numFmtId="165" fontId="47" fillId="0" borderId="27" xfId="0" applyNumberFormat="1" applyFont="1" applyBorder="1"/>
    <xf numFmtId="165" fontId="47" fillId="0" borderId="44" xfId="0" applyNumberFormat="1" applyFont="1" applyBorder="1"/>
    <xf numFmtId="165" fontId="47" fillId="0" borderId="52" xfId="0" applyNumberFormat="1" applyFont="1" applyBorder="1"/>
    <xf numFmtId="165" fontId="47" fillId="0" borderId="63" xfId="0" applyNumberFormat="1" applyFont="1" applyBorder="1"/>
    <xf numFmtId="165" fontId="47" fillId="0" borderId="66" xfId="0" applyNumberFormat="1" applyFont="1" applyBorder="1"/>
    <xf numFmtId="165" fontId="41" fillId="0" borderId="33" xfId="0" applyNumberFormat="1" applyFont="1" applyBorder="1"/>
    <xf numFmtId="165" fontId="41" fillId="0" borderId="25" xfId="0" applyNumberFormat="1" applyFont="1" applyBorder="1"/>
    <xf numFmtId="165" fontId="41" fillId="0" borderId="46" xfId="0" applyNumberFormat="1" applyFont="1" applyBorder="1"/>
    <xf numFmtId="0" fontId="47" fillId="0" borderId="11" xfId="0" applyFont="1" applyBorder="1"/>
    <xf numFmtId="0" fontId="47" fillId="0" borderId="12" xfId="0" applyFont="1" applyBorder="1"/>
    <xf numFmtId="0" fontId="47" fillId="0" borderId="0" xfId="0" applyFont="1" applyBorder="1"/>
    <xf numFmtId="0" fontId="41" fillId="0" borderId="10" xfId="0" applyFont="1" applyBorder="1"/>
    <xf numFmtId="0" fontId="47" fillId="0" borderId="0" xfId="0" applyFont="1" applyBorder="1" applyAlignment="1">
      <alignment horizontal="left"/>
    </xf>
    <xf numFmtId="0" fontId="47" fillId="0" borderId="0" xfId="0" applyFont="1" applyBorder="1" applyAlignment="1"/>
    <xf numFmtId="0" fontId="41" fillId="0" borderId="15" xfId="0" applyFont="1" applyBorder="1" applyAlignment="1"/>
    <xf numFmtId="0" fontId="47" fillId="0" borderId="16" xfId="0" applyFont="1" applyBorder="1" applyAlignment="1"/>
    <xf numFmtId="176" fontId="47" fillId="0" borderId="57" xfId="0" applyNumberFormat="1" applyFont="1" applyBorder="1" applyAlignment="1">
      <alignment horizontal="center"/>
    </xf>
    <xf numFmtId="176" fontId="47" fillId="0" borderId="26" xfId="0" applyNumberFormat="1" applyFont="1" applyBorder="1" applyAlignment="1">
      <alignment horizontal="center"/>
    </xf>
    <xf numFmtId="176" fontId="47" fillId="0" borderId="58" xfId="0" applyNumberFormat="1" applyFont="1" applyBorder="1" applyAlignment="1">
      <alignment horizontal="center"/>
    </xf>
    <xf numFmtId="176" fontId="47" fillId="0" borderId="29" xfId="0" applyNumberFormat="1" applyFont="1" applyBorder="1" applyAlignment="1">
      <alignment horizontal="center"/>
    </xf>
    <xf numFmtId="176" fontId="47" fillId="0" borderId="62" xfId="0" applyNumberFormat="1" applyFont="1" applyBorder="1" applyAlignment="1">
      <alignment horizontal="center"/>
    </xf>
    <xf numFmtId="176" fontId="47" fillId="0" borderId="64" xfId="0" applyNumberFormat="1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51" xfId="0" applyFont="1" applyBorder="1" applyAlignment="1">
      <alignment horizontal="center"/>
    </xf>
    <xf numFmtId="0" fontId="47" fillId="0" borderId="0" xfId="141" applyFont="1" applyAlignment="1">
      <alignment vertical="center"/>
    </xf>
    <xf numFmtId="0" fontId="47" fillId="0" borderId="0" xfId="141" applyFont="1" applyBorder="1" applyAlignment="1">
      <alignment vertical="center"/>
    </xf>
    <xf numFmtId="0" fontId="41" fillId="0" borderId="0" xfId="141" applyFont="1" applyFill="1" applyBorder="1" applyAlignment="1">
      <alignment horizontal="left" vertical="center" wrapText="1"/>
    </xf>
    <xf numFmtId="180" fontId="47" fillId="0" borderId="0" xfId="145" applyFont="1" applyFill="1" applyBorder="1" applyAlignment="1">
      <alignment horizontal="centerContinuous" vertical="center"/>
    </xf>
    <xf numFmtId="0" fontId="47" fillId="0" borderId="0" xfId="141" applyFont="1" applyBorder="1" applyAlignment="1">
      <alignment horizontal="centerContinuous" vertical="center"/>
    </xf>
    <xf numFmtId="0" fontId="41" fillId="0" borderId="0" xfId="141" applyFont="1" applyFill="1" applyBorder="1" applyAlignment="1">
      <alignment horizontal="center" vertical="center"/>
    </xf>
    <xf numFmtId="0" fontId="41" fillId="0" borderId="0" xfId="141" applyFont="1" applyBorder="1" applyAlignment="1">
      <alignment vertical="center"/>
    </xf>
    <xf numFmtId="178" fontId="47" fillId="0" borderId="55" xfId="141" applyNumberFormat="1" applyFont="1" applyBorder="1" applyAlignment="1">
      <alignment horizontal="center" vertical="center"/>
    </xf>
    <xf numFmtId="0" fontId="41" fillId="0" borderId="0" xfId="141" applyFont="1" applyFill="1" applyBorder="1" applyAlignment="1">
      <alignment horizontal="left" vertical="center"/>
    </xf>
    <xf numFmtId="0" fontId="41" fillId="0" borderId="0" xfId="141" applyFont="1" applyFill="1" applyBorder="1" applyAlignment="1">
      <alignment vertical="center"/>
    </xf>
    <xf numFmtId="0" fontId="41" fillId="0" borderId="0" xfId="141" applyFont="1" applyFill="1" applyBorder="1" applyAlignment="1">
      <alignment horizontal="centerContinuous" vertical="center"/>
    </xf>
    <xf numFmtId="0" fontId="41" fillId="0" borderId="13" xfId="141" applyFont="1" applyFill="1" applyBorder="1" applyAlignment="1">
      <alignment horizontal="left" vertical="center"/>
    </xf>
    <xf numFmtId="0" fontId="41" fillId="0" borderId="14" xfId="141" applyFont="1" applyFill="1" applyBorder="1" applyAlignment="1">
      <alignment horizontal="left" vertical="center" wrapText="1"/>
    </xf>
    <xf numFmtId="0" fontId="41" fillId="0" borderId="13" xfId="141" applyFont="1" applyFill="1" applyBorder="1" applyAlignment="1">
      <alignment horizontal="center" vertical="center"/>
    </xf>
    <xf numFmtId="0" fontId="47" fillId="0" borderId="14" xfId="141" applyFont="1" applyBorder="1" applyAlignment="1">
      <alignment vertical="center"/>
    </xf>
    <xf numFmtId="0" fontId="41" fillId="0" borderId="13" xfId="141" applyFont="1" applyFill="1" applyBorder="1" applyAlignment="1">
      <alignment vertical="center"/>
    </xf>
    <xf numFmtId="0" fontId="41" fillId="0" borderId="15" xfId="141" applyFont="1" applyFill="1" applyBorder="1" applyAlignment="1">
      <alignment vertical="center"/>
    </xf>
    <xf numFmtId="0" fontId="47" fillId="0" borderId="16" xfId="141" applyFont="1" applyBorder="1" applyAlignment="1">
      <alignment horizontal="centerContinuous" vertical="center"/>
    </xf>
    <xf numFmtId="0" fontId="47" fillId="0" borderId="16" xfId="141" applyFont="1" applyBorder="1" applyAlignment="1">
      <alignment vertical="center"/>
    </xf>
    <xf numFmtId="0" fontId="41" fillId="0" borderId="16" xfId="141" applyFont="1" applyFill="1" applyBorder="1" applyAlignment="1">
      <alignment horizontal="center" vertical="center"/>
    </xf>
    <xf numFmtId="0" fontId="47" fillId="0" borderId="13" xfId="141" applyFont="1" applyBorder="1" applyAlignment="1">
      <alignment vertical="center"/>
    </xf>
    <xf numFmtId="0" fontId="41" fillId="0" borderId="13" xfId="141" applyFont="1" applyBorder="1" applyAlignment="1">
      <alignment horizontal="right" vertical="center"/>
    </xf>
    <xf numFmtId="0" fontId="41" fillId="0" borderId="13" xfId="141" applyFont="1" applyBorder="1" applyAlignment="1">
      <alignment vertical="center"/>
    </xf>
    <xf numFmtId="0" fontId="41" fillId="0" borderId="14" xfId="141" applyFont="1" applyBorder="1" applyAlignment="1">
      <alignment vertical="center"/>
    </xf>
    <xf numFmtId="0" fontId="47" fillId="0" borderId="10" xfId="141" applyFont="1" applyBorder="1" applyAlignment="1">
      <alignment vertical="center"/>
    </xf>
    <xf numFmtId="178" fontId="47" fillId="0" borderId="27" xfId="141" applyNumberFormat="1" applyFont="1" applyBorder="1" applyAlignment="1" applyProtection="1">
      <alignment horizontal="right" vertical="center"/>
    </xf>
    <xf numFmtId="0" fontId="47" fillId="0" borderId="0" xfId="141" applyFont="1" applyBorder="1" applyAlignment="1">
      <alignment horizontal="center" vertical="center"/>
    </xf>
    <xf numFmtId="0" fontId="47" fillId="0" borderId="0" xfId="141" applyFont="1" applyFill="1" applyBorder="1" applyAlignment="1">
      <alignment horizontal="center" vertical="center"/>
    </xf>
    <xf numFmtId="0" fontId="8" fillId="0" borderId="0" xfId="631"/>
    <xf numFmtId="0" fontId="56" fillId="0" borderId="0" xfId="631" applyFont="1" applyBorder="1"/>
    <xf numFmtId="0" fontId="59" fillId="0" borderId="0" xfId="631" applyFont="1"/>
    <xf numFmtId="0" fontId="60" fillId="0" borderId="0" xfId="631" applyFont="1"/>
    <xf numFmtId="0" fontId="8" fillId="0" borderId="0" xfId="631" applyFont="1"/>
    <xf numFmtId="0" fontId="61" fillId="0" borderId="0" xfId="631" applyFont="1"/>
    <xf numFmtId="4" fontId="61" fillId="0" borderId="0" xfId="631" applyNumberFormat="1" applyFont="1"/>
    <xf numFmtId="4" fontId="8" fillId="0" borderId="0" xfId="631" applyNumberFormat="1"/>
    <xf numFmtId="0" fontId="62" fillId="0" borderId="0" xfId="141" applyFont="1" applyBorder="1" applyAlignment="1">
      <alignment vertical="center"/>
    </xf>
    <xf numFmtId="0" fontId="46" fillId="0" borderId="0" xfId="141" applyFont="1" applyBorder="1" applyAlignment="1">
      <alignment horizontal="right" vertical="center"/>
    </xf>
    <xf numFmtId="4" fontId="58" fillId="0" borderId="0" xfId="631" applyNumberFormat="1" applyFont="1" applyBorder="1"/>
    <xf numFmtId="0" fontId="60" fillId="0" borderId="14" xfId="631" applyFont="1" applyBorder="1"/>
    <xf numFmtId="0" fontId="57" fillId="0" borderId="10" xfId="631" applyFont="1" applyBorder="1"/>
    <xf numFmtId="0" fontId="57" fillId="0" borderId="13" xfId="631" applyFont="1" applyBorder="1"/>
    <xf numFmtId="0" fontId="46" fillId="0" borderId="14" xfId="141" applyFont="1" applyBorder="1" applyAlignment="1">
      <alignment horizontal="center" vertical="center"/>
    </xf>
    <xf numFmtId="0" fontId="56" fillId="0" borderId="14" xfId="631" applyFont="1" applyBorder="1"/>
    <xf numFmtId="4" fontId="56" fillId="0" borderId="0" xfId="631" applyNumberFormat="1" applyFont="1" applyBorder="1"/>
    <xf numFmtId="0" fontId="58" fillId="0" borderId="0" xfId="631" applyFont="1" applyBorder="1"/>
    <xf numFmtId="0" fontId="58" fillId="0" borderId="14" xfId="631" applyFont="1" applyBorder="1"/>
    <xf numFmtId="0" fontId="56" fillId="0" borderId="0" xfId="631" applyFont="1" applyBorder="1" applyAlignment="1">
      <alignment horizontal="center"/>
    </xf>
    <xf numFmtId="0" fontId="58" fillId="0" borderId="0" xfId="631" applyFont="1" applyBorder="1" applyAlignment="1">
      <alignment horizontal="center"/>
    </xf>
    <xf numFmtId="0" fontId="8" fillId="0" borderId="16" xfId="631" applyFont="1" applyBorder="1"/>
    <xf numFmtId="0" fontId="58" fillId="0" borderId="16" xfId="631" applyFont="1" applyBorder="1" applyAlignment="1">
      <alignment horizontal="center"/>
    </xf>
    <xf numFmtId="0" fontId="8" fillId="0" borderId="17" xfId="631" applyFont="1" applyBorder="1"/>
    <xf numFmtId="0" fontId="58" fillId="0" borderId="0" xfId="631" applyFont="1" applyBorder="1" applyAlignment="1"/>
    <xf numFmtId="17" fontId="56" fillId="0" borderId="61" xfId="631" applyNumberFormat="1" applyFont="1" applyBorder="1" applyAlignment="1">
      <alignment horizontal="center" vertical="center"/>
    </xf>
    <xf numFmtId="0" fontId="63" fillId="0" borderId="10" xfId="53" applyFont="1" applyBorder="1" applyAlignment="1">
      <alignment horizontal="left" vertical="center"/>
    </xf>
    <xf numFmtId="0" fontId="59" fillId="0" borderId="16" xfId="631" applyFont="1" applyBorder="1"/>
    <xf numFmtId="166" fontId="56" fillId="0" borderId="0" xfId="631" applyNumberFormat="1" applyFont="1" applyBorder="1" applyAlignment="1">
      <alignment horizontal="center"/>
    </xf>
    <xf numFmtId="0" fontId="47" fillId="0" borderId="0" xfId="633" applyFont="1" applyAlignment="1">
      <alignment vertical="center"/>
    </xf>
    <xf numFmtId="0" fontId="47" fillId="0" borderId="0" xfId="633" applyFont="1" applyBorder="1" applyAlignment="1">
      <alignment vertical="center"/>
    </xf>
    <xf numFmtId="0" fontId="54" fillId="0" borderId="0" xfId="633" applyFont="1" applyBorder="1" applyAlignment="1">
      <alignment horizontal="center" vertical="center"/>
    </xf>
    <xf numFmtId="0" fontId="41" fillId="0" borderId="0" xfId="633" applyFont="1" applyBorder="1" applyAlignment="1">
      <alignment horizontal="right" vertical="center"/>
    </xf>
    <xf numFmtId="4" fontId="47" fillId="0" borderId="0" xfId="633" applyNumberFormat="1" applyFont="1" applyAlignment="1">
      <alignment vertical="center"/>
    </xf>
    <xf numFmtId="4" fontId="47" fillId="0" borderId="55" xfId="633" applyNumberFormat="1" applyFont="1" applyFill="1" applyBorder="1" applyAlignment="1">
      <alignment horizontal="right" vertical="center"/>
    </xf>
    <xf numFmtId="4" fontId="47" fillId="0" borderId="55" xfId="141" applyNumberFormat="1" applyFont="1" applyFill="1" applyBorder="1" applyAlignment="1">
      <alignment horizontal="right" vertical="center"/>
    </xf>
    <xf numFmtId="178" fontId="47" fillId="0" borderId="55" xfId="633" applyNumberFormat="1" applyFont="1" applyBorder="1" applyAlignment="1">
      <alignment horizontal="center" vertical="center"/>
    </xf>
    <xf numFmtId="178" fontId="47" fillId="0" borderId="56" xfId="633" applyNumberFormat="1" applyFont="1" applyBorder="1" applyAlignment="1">
      <alignment horizontal="center" vertical="center"/>
    </xf>
    <xf numFmtId="0" fontId="41" fillId="0" borderId="0" xfId="633" applyFont="1" applyFill="1" applyBorder="1" applyAlignment="1">
      <alignment vertical="center"/>
    </xf>
    <xf numFmtId="4" fontId="41" fillId="0" borderId="0" xfId="633" applyNumberFormat="1" applyFont="1" applyFill="1" applyBorder="1" applyAlignment="1">
      <alignment vertical="center"/>
    </xf>
    <xf numFmtId="0" fontId="47" fillId="0" borderId="0" xfId="633" applyFont="1" applyFill="1" applyBorder="1" applyAlignment="1">
      <alignment vertical="center"/>
    </xf>
    <xf numFmtId="0" fontId="41" fillId="0" borderId="0" xfId="633" applyFont="1" applyFill="1" applyBorder="1" applyAlignment="1">
      <alignment horizontal="left" vertical="center" indent="2"/>
    </xf>
    <xf numFmtId="0" fontId="41" fillId="0" borderId="0" xfId="633" applyFont="1" applyFill="1" applyBorder="1" applyAlignment="1">
      <alignment horizontal="left" vertical="center"/>
    </xf>
    <xf numFmtId="180" fontId="47" fillId="0" borderId="0" xfId="145" applyFont="1" applyFill="1" applyBorder="1" applyAlignment="1">
      <alignment vertical="center"/>
    </xf>
    <xf numFmtId="0" fontId="41" fillId="0" borderId="0" xfId="633" applyFont="1" applyBorder="1" applyAlignment="1">
      <alignment vertical="center"/>
    </xf>
    <xf numFmtId="0" fontId="41" fillId="0" borderId="0" xfId="633" applyFont="1" applyFill="1" applyBorder="1" applyAlignment="1">
      <alignment horizontal="left" vertical="center" wrapText="1"/>
    </xf>
    <xf numFmtId="0" fontId="41" fillId="0" borderId="0" xfId="633" applyFont="1" applyFill="1" applyBorder="1" applyAlignment="1">
      <alignment horizontal="center" vertical="center" wrapText="1"/>
    </xf>
    <xf numFmtId="43" fontId="41" fillId="0" borderId="0" xfId="633" applyNumberFormat="1" applyFont="1" applyFill="1" applyBorder="1" applyAlignment="1">
      <alignment horizontal="left" vertical="center" wrapText="1"/>
    </xf>
    <xf numFmtId="0" fontId="41" fillId="0" borderId="0" xfId="633" applyFont="1" applyFill="1" applyBorder="1" applyAlignment="1">
      <alignment horizontal="center" vertical="center"/>
    </xf>
    <xf numFmtId="0" fontId="55" fillId="0" borderId="0" xfId="633" applyFont="1" applyFill="1" applyBorder="1" applyAlignment="1">
      <alignment vertical="center"/>
    </xf>
    <xf numFmtId="0" fontId="47" fillId="0" borderId="0" xfId="633" applyFont="1" applyBorder="1" applyAlignment="1">
      <alignment horizontal="centerContinuous" vertical="center"/>
    </xf>
    <xf numFmtId="0" fontId="55" fillId="0" borderId="0" xfId="633" applyFont="1" applyFill="1" applyBorder="1" applyAlignment="1">
      <alignment horizontal="center" vertical="center"/>
    </xf>
    <xf numFmtId="0" fontId="41" fillId="0" borderId="16" xfId="633" applyFont="1" applyBorder="1" applyAlignment="1">
      <alignment vertical="center"/>
    </xf>
    <xf numFmtId="0" fontId="47" fillId="0" borderId="13" xfId="633" applyFont="1" applyBorder="1" applyAlignment="1">
      <alignment vertical="center"/>
    </xf>
    <xf numFmtId="0" fontId="41" fillId="0" borderId="13" xfId="633" applyFont="1" applyBorder="1" applyAlignment="1">
      <alignment horizontal="right" vertical="center"/>
    </xf>
    <xf numFmtId="0" fontId="41" fillId="0" borderId="14" xfId="633" applyFont="1" applyBorder="1" applyAlignment="1">
      <alignment vertical="center"/>
    </xf>
    <xf numFmtId="0" fontId="41" fillId="0" borderId="14" xfId="633" applyFont="1" applyBorder="1" applyAlignment="1">
      <alignment horizontal="center" vertical="center"/>
    </xf>
    <xf numFmtId="0" fontId="47" fillId="0" borderId="24" xfId="633" applyFont="1" applyBorder="1" applyAlignment="1">
      <alignment vertical="center"/>
    </xf>
    <xf numFmtId="0" fontId="41" fillId="0" borderId="24" xfId="633" applyFont="1" applyBorder="1" applyAlignment="1">
      <alignment horizontal="center" vertical="center"/>
    </xf>
    <xf numFmtId="4" fontId="41" fillId="0" borderId="16" xfId="633" applyNumberFormat="1" applyFont="1" applyBorder="1" applyAlignment="1">
      <alignment vertical="center"/>
    </xf>
    <xf numFmtId="0" fontId="41" fillId="0" borderId="10" xfId="633" applyFont="1" applyFill="1" applyBorder="1" applyAlignment="1">
      <alignment horizontal="center" vertical="center"/>
    </xf>
    <xf numFmtId="0" fontId="41" fillId="0" borderId="11" xfId="633" applyFont="1" applyFill="1" applyBorder="1" applyAlignment="1">
      <alignment horizontal="center" vertical="center"/>
    </xf>
    <xf numFmtId="0" fontId="41" fillId="0" borderId="11" xfId="633" applyFont="1" applyFill="1" applyBorder="1" applyAlignment="1">
      <alignment vertical="center"/>
    </xf>
    <xf numFmtId="0" fontId="41" fillId="0" borderId="12" xfId="633" applyFont="1" applyFill="1" applyBorder="1" applyAlignment="1">
      <alignment vertical="center"/>
    </xf>
    <xf numFmtId="0" fontId="41" fillId="0" borderId="13" xfId="633" applyFont="1" applyFill="1" applyBorder="1" applyAlignment="1">
      <alignment horizontal="left" vertical="center" indent="2"/>
    </xf>
    <xf numFmtId="0" fontId="41" fillId="0" borderId="14" xfId="633" applyFont="1" applyFill="1" applyBorder="1" applyAlignment="1">
      <alignment horizontal="left" vertical="center" wrapText="1"/>
    </xf>
    <xf numFmtId="0" fontId="41" fillId="0" borderId="13" xfId="633" applyFont="1" applyFill="1" applyBorder="1" applyAlignment="1">
      <alignment horizontal="left" vertical="center"/>
    </xf>
    <xf numFmtId="0" fontId="41" fillId="0" borderId="13" xfId="633" applyFont="1" applyFill="1" applyBorder="1" applyAlignment="1">
      <alignment horizontal="center" vertical="center"/>
    </xf>
    <xf numFmtId="0" fontId="41" fillId="0" borderId="14" xfId="633" applyFont="1" applyFill="1" applyBorder="1" applyAlignment="1">
      <alignment vertical="center"/>
    </xf>
    <xf numFmtId="0" fontId="55" fillId="0" borderId="13" xfId="633" applyFont="1" applyFill="1" applyBorder="1" applyAlignment="1">
      <alignment vertical="center"/>
    </xf>
    <xf numFmtId="0" fontId="41" fillId="0" borderId="14" xfId="633" applyFont="1" applyFill="1" applyBorder="1" applyAlignment="1">
      <alignment horizontal="center" vertical="center"/>
    </xf>
    <xf numFmtId="0" fontId="41" fillId="0" borderId="13" xfId="633" applyFont="1" applyFill="1" applyBorder="1" applyAlignment="1">
      <alignment vertical="center"/>
    </xf>
    <xf numFmtId="0" fontId="47" fillId="0" borderId="16" xfId="633" applyFont="1" applyBorder="1" applyAlignment="1">
      <alignment vertical="center"/>
    </xf>
    <xf numFmtId="0" fontId="41" fillId="0" borderId="17" xfId="633" applyFont="1" applyFill="1" applyBorder="1" applyAlignment="1">
      <alignment horizontal="center" vertical="center"/>
    </xf>
    <xf numFmtId="0" fontId="47" fillId="0" borderId="58" xfId="633" applyFont="1" applyBorder="1" applyAlignment="1">
      <alignment horizontal="center" vertical="center" wrapText="1"/>
    </xf>
    <xf numFmtId="0" fontId="47" fillId="0" borderId="58" xfId="141" applyFont="1" applyBorder="1" applyAlignment="1">
      <alignment horizontal="center" vertical="center" wrapText="1"/>
    </xf>
    <xf numFmtId="0" fontId="47" fillId="0" borderId="64" xfId="141" applyFont="1" applyBorder="1" applyAlignment="1">
      <alignment horizontal="center" vertical="center" wrapText="1"/>
    </xf>
    <xf numFmtId="0" fontId="47" fillId="0" borderId="62" xfId="141" applyFont="1" applyBorder="1" applyAlignment="1">
      <alignment horizontal="center" vertical="center" wrapText="1"/>
    </xf>
    <xf numFmtId="0" fontId="41" fillId="0" borderId="15" xfId="633" applyFont="1" applyBorder="1" applyAlignment="1">
      <alignment vertical="center"/>
    </xf>
    <xf numFmtId="0" fontId="41" fillId="0" borderId="17" xfId="633" applyFont="1" applyBorder="1" applyAlignment="1">
      <alignment vertical="center"/>
    </xf>
    <xf numFmtId="179" fontId="47" fillId="0" borderId="55" xfId="633" applyNumberFormat="1" applyFont="1" applyBorder="1" applyAlignment="1">
      <alignment vertical="center" wrapText="1"/>
    </xf>
    <xf numFmtId="179" fontId="47" fillId="0" borderId="55" xfId="633" applyNumberFormat="1" applyFont="1" applyBorder="1" applyAlignment="1">
      <alignment vertical="center"/>
    </xf>
    <xf numFmtId="179" fontId="47" fillId="0" borderId="55" xfId="633" applyNumberFormat="1" applyFont="1" applyFill="1" applyBorder="1" applyAlignment="1">
      <alignment vertical="center"/>
    </xf>
    <xf numFmtId="179" fontId="47" fillId="0" borderId="56" xfId="633" applyNumberFormat="1" applyFont="1" applyBorder="1" applyAlignment="1">
      <alignment vertical="center"/>
    </xf>
    <xf numFmtId="0" fontId="47" fillId="0" borderId="14" xfId="633" applyFont="1" applyBorder="1" applyAlignment="1">
      <alignment vertical="center"/>
    </xf>
    <xf numFmtId="178" fontId="47" fillId="0" borderId="45" xfId="633" applyNumberFormat="1" applyFont="1" applyBorder="1" applyAlignment="1" applyProtection="1">
      <alignment horizontal="right" vertical="center"/>
    </xf>
    <xf numFmtId="178" fontId="47" fillId="0" borderId="45" xfId="141" applyNumberFormat="1" applyFont="1" applyBorder="1" applyAlignment="1" applyProtection="1">
      <alignment horizontal="right" vertical="center"/>
    </xf>
    <xf numFmtId="178" fontId="47" fillId="0" borderId="57" xfId="633" applyNumberFormat="1" applyFont="1" applyBorder="1" applyAlignment="1" applyProtection="1">
      <alignment horizontal="right" vertical="center"/>
    </xf>
    <xf numFmtId="178" fontId="47" fillId="0" borderId="25" xfId="633" applyNumberFormat="1" applyFont="1" applyFill="1" applyBorder="1" applyAlignment="1" applyProtection="1">
      <alignment horizontal="right" vertical="center"/>
    </xf>
    <xf numFmtId="178" fontId="47" fillId="0" borderId="26" xfId="633" applyNumberFormat="1" applyFont="1" applyBorder="1" applyAlignment="1" applyProtection="1">
      <alignment horizontal="right" vertical="center"/>
    </xf>
    <xf numFmtId="178" fontId="47" fillId="0" borderId="58" xfId="141" applyNumberFormat="1" applyFont="1" applyBorder="1" applyAlignment="1" applyProtection="1">
      <alignment horizontal="right" vertical="center"/>
    </xf>
    <xf numFmtId="178" fontId="47" fillId="0" borderId="29" xfId="141" applyNumberFormat="1" applyFont="1" applyBorder="1" applyAlignment="1" applyProtection="1">
      <alignment horizontal="right" vertical="center"/>
    </xf>
    <xf numFmtId="178" fontId="47" fillId="0" borderId="27" xfId="141" applyNumberFormat="1" applyFont="1" applyFill="1" applyBorder="1" applyAlignment="1" applyProtection="1">
      <alignment horizontal="right" vertical="center"/>
    </xf>
    <xf numFmtId="178" fontId="47" fillId="0" borderId="27" xfId="141" applyNumberFormat="1" applyFont="1" applyBorder="1" applyAlignment="1" applyProtection="1">
      <alignment horizontal="left" vertical="center"/>
    </xf>
    <xf numFmtId="178" fontId="47" fillId="0" borderId="63" xfId="141" applyNumberFormat="1" applyFont="1" applyBorder="1" applyAlignment="1" applyProtection="1">
      <alignment horizontal="left" vertical="center"/>
    </xf>
    <xf numFmtId="0" fontId="58" fillId="0" borderId="38" xfId="631" applyFont="1" applyBorder="1" applyAlignment="1">
      <alignment horizontal="center" vertical="center"/>
    </xf>
    <xf numFmtId="0" fontId="58" fillId="0" borderId="31" xfId="631" applyFont="1" applyBorder="1" applyAlignment="1">
      <alignment horizontal="center" vertical="center"/>
    </xf>
    <xf numFmtId="0" fontId="58" fillId="0" borderId="50" xfId="631" applyFont="1" applyBorder="1" applyAlignment="1">
      <alignment horizontal="center" vertical="center"/>
    </xf>
    <xf numFmtId="179" fontId="47" fillId="0" borderId="18" xfId="633" applyNumberFormat="1" applyFont="1" applyBorder="1" applyAlignment="1">
      <alignment vertical="center"/>
    </xf>
    <xf numFmtId="178" fontId="41" fillId="0" borderId="41" xfId="141" applyNumberFormat="1" applyFont="1" applyBorder="1" applyAlignment="1" applyProtection="1">
      <alignment horizontal="right" vertical="center"/>
    </xf>
    <xf numFmtId="178" fontId="41" fillId="0" borderId="42" xfId="141" applyNumberFormat="1" applyFont="1" applyBorder="1" applyAlignment="1" applyProtection="1">
      <alignment horizontal="left" vertical="center"/>
    </xf>
    <xf numFmtId="178" fontId="41" fillId="0" borderId="43" xfId="141" applyNumberFormat="1" applyFont="1" applyBorder="1" applyAlignment="1" applyProtection="1">
      <alignment horizontal="right" vertical="center"/>
    </xf>
    <xf numFmtId="178" fontId="41" fillId="0" borderId="21" xfId="141" applyNumberFormat="1" applyFont="1" applyBorder="1" applyAlignment="1" applyProtection="1">
      <alignment horizontal="right" vertical="center"/>
    </xf>
    <xf numFmtId="0" fontId="44" fillId="0" borderId="17" xfId="139" applyFont="1" applyBorder="1" applyAlignment="1">
      <alignment horizontal="center" vertical="center" wrapText="1"/>
    </xf>
    <xf numFmtId="0" fontId="44" fillId="0" borderId="15" xfId="139" applyFont="1" applyBorder="1" applyAlignment="1">
      <alignment horizontal="center" vertical="center" wrapText="1"/>
    </xf>
    <xf numFmtId="0" fontId="44" fillId="0" borderId="30" xfId="139" applyFont="1" applyBorder="1" applyAlignment="1">
      <alignment horizontal="center" vertical="center" wrapText="1"/>
    </xf>
    <xf numFmtId="0" fontId="40" fillId="0" borderId="15" xfId="139" applyFont="1" applyBorder="1" applyAlignment="1">
      <alignment horizontal="center" vertical="center" wrapText="1" shrinkToFit="1"/>
    </xf>
    <xf numFmtId="0" fontId="40" fillId="0" borderId="31" xfId="139" applyFont="1" applyBorder="1" applyAlignment="1">
      <alignment horizontal="center" vertical="center"/>
    </xf>
    <xf numFmtId="0" fontId="42" fillId="0" borderId="10" xfId="52" applyFont="1" applyFill="1" applyBorder="1" applyAlignment="1">
      <alignment horizontal="center" vertical="center" wrapText="1"/>
    </xf>
    <xf numFmtId="0" fontId="42" fillId="0" borderId="19" xfId="52" applyNumberFormat="1" applyFont="1" applyFill="1" applyBorder="1" applyAlignment="1" applyProtection="1">
      <alignment horizontal="center" vertical="center"/>
    </xf>
    <xf numFmtId="167" fontId="42" fillId="0" borderId="19" xfId="52" applyNumberFormat="1" applyFont="1" applyFill="1" applyBorder="1" applyAlignment="1" applyProtection="1">
      <alignment horizontal="center" vertical="center" wrapText="1"/>
      <protection locked="0"/>
    </xf>
    <xf numFmtId="167" fontId="34" fillId="0" borderId="59" xfId="140" applyNumberFormat="1" applyFont="1" applyFill="1" applyBorder="1" applyAlignment="1" applyProtection="1">
      <alignment horizontal="center" vertical="center" wrapText="1"/>
      <protection locked="0"/>
    </xf>
    <xf numFmtId="167" fontId="34" fillId="0" borderId="58" xfId="140" applyNumberFormat="1" applyFont="1" applyFill="1" applyBorder="1" applyAlignment="1" applyProtection="1">
      <alignment horizontal="center" vertical="center" wrapText="1"/>
      <protection locked="0"/>
    </xf>
    <xf numFmtId="167" fontId="34" fillId="0" borderId="62" xfId="140" applyNumberFormat="1" applyFont="1" applyFill="1" applyBorder="1" applyAlignment="1" applyProtection="1">
      <alignment horizontal="center" vertical="center" wrapText="1"/>
      <protection locked="0"/>
    </xf>
    <xf numFmtId="168" fontId="34" fillId="0" borderId="58" xfId="140" applyNumberFormat="1" applyFont="1" applyFill="1" applyBorder="1" applyAlignment="1" applyProtection="1">
      <alignment horizontal="center" vertical="center" wrapText="1"/>
      <protection locked="0"/>
    </xf>
    <xf numFmtId="168" fontId="34" fillId="0" borderId="62" xfId="140" applyNumberFormat="1" applyFont="1" applyFill="1" applyBorder="1" applyAlignment="1" applyProtection="1">
      <alignment horizontal="center" vertical="center" wrapText="1"/>
      <protection locked="0"/>
    </xf>
    <xf numFmtId="167" fontId="34" fillId="0" borderId="67" xfId="140" applyNumberFormat="1" applyFont="1" applyFill="1" applyBorder="1" applyAlignment="1" applyProtection="1">
      <alignment horizontal="center" vertical="center" wrapText="1"/>
      <protection locked="0"/>
    </xf>
    <xf numFmtId="167" fontId="34" fillId="24" borderId="58" xfId="140" applyNumberFormat="1" applyFont="1" applyFill="1" applyBorder="1" applyAlignment="1">
      <alignment horizontal="center" vertical="center"/>
    </xf>
    <xf numFmtId="168" fontId="34" fillId="0" borderId="67" xfId="140" applyNumberFormat="1" applyFont="1" applyFill="1" applyBorder="1" applyAlignment="1" applyProtection="1">
      <alignment horizontal="center" vertical="center" wrapText="1"/>
      <protection locked="0"/>
    </xf>
    <xf numFmtId="0" fontId="44" fillId="25" borderId="78" xfId="56" applyFont="1" applyFill="1" applyBorder="1" applyAlignment="1">
      <alignment horizontal="center" vertical="center"/>
    </xf>
    <xf numFmtId="0" fontId="44" fillId="25" borderId="31" xfId="52" applyFont="1" applyFill="1" applyBorder="1" applyAlignment="1">
      <alignment horizontal="center" vertical="center" wrapText="1"/>
    </xf>
    <xf numFmtId="0" fontId="44" fillId="25" borderId="30" xfId="52" applyFont="1" applyFill="1" applyBorder="1" applyAlignment="1">
      <alignment horizontal="center" vertical="center" wrapText="1"/>
    </xf>
    <xf numFmtId="0" fontId="44" fillId="25" borderId="50" xfId="52" applyFont="1" applyFill="1" applyBorder="1" applyAlignment="1">
      <alignment horizontal="center" vertical="center" wrapText="1"/>
    </xf>
    <xf numFmtId="0" fontId="42" fillId="24" borderId="15" xfId="56" applyFont="1" applyFill="1" applyBorder="1" applyAlignment="1">
      <alignment horizontal="center" vertical="center"/>
    </xf>
    <xf numFmtId="0" fontId="42" fillId="24" borderId="16" xfId="56" applyFont="1" applyFill="1" applyBorder="1" applyAlignment="1">
      <alignment horizontal="right" vertical="center"/>
    </xf>
    <xf numFmtId="0" fontId="42" fillId="24" borderId="17" xfId="56" applyFont="1" applyFill="1" applyBorder="1" applyAlignment="1">
      <alignment horizontal="right" vertical="center"/>
    </xf>
    <xf numFmtId="166" fontId="56" fillId="0" borderId="0" xfId="631" applyNumberFormat="1" applyFont="1" applyBorder="1"/>
    <xf numFmtId="0" fontId="56" fillId="0" borderId="0" xfId="631" applyFont="1" applyBorder="1" applyAlignment="1"/>
    <xf numFmtId="4" fontId="37" fillId="0" borderId="0" xfId="0" applyNumberFormat="1" applyFont="1" applyFill="1" applyAlignment="1">
      <alignment vertical="center"/>
    </xf>
    <xf numFmtId="0" fontId="42" fillId="0" borderId="27" xfId="52" applyFont="1" applyFill="1" applyBorder="1" applyAlignment="1">
      <alignment vertical="center"/>
    </xf>
    <xf numFmtId="43" fontId="50" fillId="0" borderId="0" xfId="0" applyNumberFormat="1" applyFont="1"/>
    <xf numFmtId="0" fontId="42" fillId="0" borderId="15" xfId="0" applyFont="1" applyBorder="1" applyAlignment="1">
      <alignment horizontal="center"/>
    </xf>
    <xf numFmtId="0" fontId="42" fillId="0" borderId="15" xfId="0" applyFont="1" applyBorder="1" applyAlignment="1"/>
    <xf numFmtId="0" fontId="42" fillId="0" borderId="16" xfId="0" applyFont="1" applyBorder="1" applyAlignment="1"/>
    <xf numFmtId="0" fontId="0" fillId="0" borderId="12" xfId="0" applyBorder="1"/>
    <xf numFmtId="0" fontId="0" fillId="0" borderId="0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66" fillId="0" borderId="16" xfId="0" applyFont="1" applyFill="1" applyBorder="1" applyAlignment="1"/>
    <xf numFmtId="0" fontId="44" fillId="25" borderId="40" xfId="52" applyFont="1" applyFill="1" applyBorder="1" applyAlignment="1">
      <alignment horizontal="center" vertical="center" wrapText="1"/>
    </xf>
    <xf numFmtId="165" fontId="42" fillId="24" borderId="39" xfId="47" applyNumberFormat="1" applyFont="1" applyFill="1" applyBorder="1" applyAlignment="1">
      <alignment horizontal="right" vertical="center"/>
    </xf>
    <xf numFmtId="165" fontId="42" fillId="24" borderId="34" xfId="47" applyNumberFormat="1" applyFont="1" applyFill="1" applyBorder="1" applyAlignment="1">
      <alignment horizontal="right" vertical="center"/>
    </xf>
    <xf numFmtId="165" fontId="42" fillId="24" borderId="92" xfId="47" applyNumberFormat="1" applyFont="1" applyFill="1" applyBorder="1" applyAlignment="1">
      <alignment horizontal="right" vertical="center"/>
    </xf>
    <xf numFmtId="165" fontId="44" fillId="24" borderId="39" xfId="47" applyNumberFormat="1" applyFont="1" applyFill="1" applyBorder="1" applyAlignment="1">
      <alignment horizontal="right" vertical="center"/>
    </xf>
    <xf numFmtId="165" fontId="44" fillId="24" borderId="92" xfId="47" applyNumberFormat="1" applyFont="1" applyFill="1" applyBorder="1" applyAlignment="1">
      <alignment horizontal="right" vertical="center"/>
    </xf>
    <xf numFmtId="165" fontId="44" fillId="24" borderId="11" xfId="47" applyNumberFormat="1" applyFont="1" applyFill="1" applyBorder="1" applyAlignment="1">
      <alignment horizontal="right" vertical="center"/>
    </xf>
    <xf numFmtId="165" fontId="42" fillId="0" borderId="39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34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92" xfId="47" applyNumberFormat="1" applyFont="1" applyFill="1" applyBorder="1" applyAlignment="1" applyProtection="1">
      <alignment horizontal="right" vertical="center" wrapText="1"/>
      <protection locked="0"/>
    </xf>
    <xf numFmtId="165" fontId="42" fillId="24" borderId="11" xfId="47" applyNumberFormat="1" applyFont="1" applyFill="1" applyBorder="1" applyAlignment="1">
      <alignment horizontal="right" vertical="center"/>
    </xf>
    <xf numFmtId="165" fontId="42" fillId="24" borderId="0" xfId="47" applyNumberFormat="1" applyFont="1" applyFill="1" applyBorder="1" applyAlignment="1">
      <alignment horizontal="right" vertical="center"/>
    </xf>
    <xf numFmtId="165" fontId="68" fillId="24" borderId="32" xfId="47" applyNumberFormat="1" applyFont="1" applyFill="1" applyBorder="1" applyAlignment="1">
      <alignment horizontal="right" vertical="center"/>
    </xf>
    <xf numFmtId="0" fontId="44" fillId="25" borderId="16" xfId="56" applyFont="1" applyFill="1" applyBorder="1" applyAlignment="1">
      <alignment horizontal="center" vertical="center"/>
    </xf>
    <xf numFmtId="0" fontId="67" fillId="0" borderId="0" xfId="0" applyFont="1" applyFill="1" applyBorder="1"/>
    <xf numFmtId="0" fontId="67" fillId="0" borderId="14" xfId="0" applyFont="1" applyFill="1" applyBorder="1"/>
    <xf numFmtId="0" fontId="43" fillId="0" borderId="42" xfId="52" applyFont="1" applyFill="1" applyBorder="1" applyAlignment="1">
      <alignment vertical="center" wrapText="1"/>
    </xf>
    <xf numFmtId="165" fontId="44" fillId="24" borderId="49" xfId="47" applyNumberFormat="1" applyFont="1" applyFill="1" applyBorder="1" applyAlignment="1">
      <alignment horizontal="right" vertical="center"/>
    </xf>
    <xf numFmtId="165" fontId="44" fillId="24" borderId="43" xfId="47" applyNumberFormat="1" applyFont="1" applyFill="1" applyBorder="1" applyAlignment="1">
      <alignment horizontal="right" vertical="center"/>
    </xf>
    <xf numFmtId="165" fontId="42" fillId="0" borderId="19" xfId="47" applyNumberFormat="1" applyFont="1" applyFill="1" applyBorder="1" applyAlignment="1">
      <alignment horizontal="right" vertical="center" wrapText="1"/>
    </xf>
    <xf numFmtId="183" fontId="44" fillId="24" borderId="42" xfId="47" applyNumberFormat="1" applyFont="1" applyFill="1" applyBorder="1" applyAlignment="1">
      <alignment horizontal="right" vertical="center"/>
    </xf>
    <xf numFmtId="164" fontId="47" fillId="0" borderId="0" xfId="0" applyNumberFormat="1" applyFont="1"/>
    <xf numFmtId="165" fontId="0" fillId="0" borderId="0" xfId="0" applyNumberFormat="1"/>
    <xf numFmtId="0" fontId="0" fillId="0" borderId="10" xfId="0" applyBorder="1"/>
    <xf numFmtId="0" fontId="0" fillId="0" borderId="93" xfId="0" applyBorder="1"/>
    <xf numFmtId="0" fontId="0" fillId="0" borderId="94" xfId="0" applyBorder="1"/>
    <xf numFmtId="0" fontId="0" fillId="0" borderId="13" xfId="0" applyBorder="1"/>
    <xf numFmtId="0" fontId="0" fillId="0" borderId="15" xfId="0" applyBorder="1"/>
    <xf numFmtId="0" fontId="37" fillId="0" borderId="13" xfId="0" applyFont="1" applyFill="1" applyBorder="1" applyAlignment="1">
      <alignment vertical="center"/>
    </xf>
    <xf numFmtId="0" fontId="37" fillId="0" borderId="14" xfId="0" applyFont="1" applyFill="1" applyBorder="1" applyAlignment="1">
      <alignment vertical="center"/>
    </xf>
    <xf numFmtId="0" fontId="37" fillId="0" borderId="34" xfId="0" applyFont="1" applyFill="1" applyBorder="1" applyAlignment="1">
      <alignment horizontal="left" vertical="center" indent="3"/>
    </xf>
    <xf numFmtId="0" fontId="38" fillId="0" borderId="93" xfId="0" applyFont="1" applyFill="1" applyBorder="1" applyAlignment="1">
      <alignment horizontal="center" vertical="center"/>
    </xf>
    <xf numFmtId="0" fontId="38" fillId="0" borderId="94" xfId="0" applyFont="1" applyFill="1" applyBorder="1" applyAlignment="1">
      <alignment horizontal="center" vertical="center"/>
    </xf>
    <xf numFmtId="0" fontId="36" fillId="24" borderId="94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vertical="center"/>
    </xf>
    <xf numFmtId="0" fontId="41" fillId="0" borderId="0" xfId="0" applyFont="1" applyFill="1" applyBorder="1" applyAlignment="1" applyProtection="1">
      <alignment vertical="center"/>
    </xf>
    <xf numFmtId="0" fontId="41" fillId="0" borderId="14" xfId="0" applyFont="1" applyFill="1" applyBorder="1" applyAlignment="1" applyProtection="1">
      <alignment vertical="center"/>
    </xf>
    <xf numFmtId="0" fontId="47" fillId="0" borderId="0" xfId="0" applyFont="1" applyFill="1" applyAlignment="1">
      <alignment vertical="center"/>
    </xf>
    <xf numFmtId="0" fontId="45" fillId="24" borderId="0" xfId="0" applyFont="1" applyFill="1" applyBorder="1" applyAlignment="1">
      <alignment horizontal="center" vertical="center"/>
    </xf>
    <xf numFmtId="0" fontId="41" fillId="24" borderId="13" xfId="0" applyFont="1" applyFill="1" applyBorder="1" applyAlignment="1">
      <alignment horizontal="left" vertical="center" indent="1"/>
    </xf>
    <xf numFmtId="0" fontId="38" fillId="0" borderId="1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vertical="center"/>
    </xf>
    <xf numFmtId="0" fontId="41" fillId="24" borderId="10" xfId="0" applyFont="1" applyFill="1" applyBorder="1" applyAlignment="1">
      <alignment horizontal="left" vertical="center" indent="1"/>
    </xf>
    <xf numFmtId="0" fontId="41" fillId="24" borderId="93" xfId="0" applyFont="1" applyFill="1" applyBorder="1" applyAlignment="1">
      <alignment horizontal="center" vertical="center"/>
    </xf>
    <xf numFmtId="0" fontId="47" fillId="0" borderId="93" xfId="0" applyFont="1" applyFill="1" applyBorder="1" applyAlignment="1">
      <alignment vertical="center"/>
    </xf>
    <xf numFmtId="0" fontId="47" fillId="0" borderId="94" xfId="0" applyFont="1" applyFill="1" applyBorder="1" applyAlignment="1">
      <alignment vertical="center"/>
    </xf>
    <xf numFmtId="0" fontId="47" fillId="0" borderId="14" xfId="0" applyFont="1" applyFill="1" applyBorder="1" applyAlignment="1">
      <alignment vertical="center"/>
    </xf>
    <xf numFmtId="0" fontId="41" fillId="0" borderId="13" xfId="0" applyFont="1" applyFill="1" applyBorder="1" applyAlignment="1">
      <alignment horizontal="left" vertical="center" indent="1"/>
    </xf>
    <xf numFmtId="0" fontId="45" fillId="0" borderId="14" xfId="0" applyFont="1" applyFill="1" applyBorder="1" applyAlignment="1">
      <alignment vertical="center"/>
    </xf>
    <xf numFmtId="0" fontId="41" fillId="0" borderId="15" xfId="0" applyFont="1" applyFill="1" applyBorder="1" applyAlignment="1">
      <alignment horizontal="left" vertical="center" indent="1"/>
    </xf>
    <xf numFmtId="0" fontId="45" fillId="0" borderId="16" xfId="0" applyFont="1" applyFill="1" applyBorder="1" applyAlignment="1">
      <alignment horizontal="center" vertical="center"/>
    </xf>
    <xf numFmtId="0" fontId="45" fillId="0" borderId="17" xfId="0" applyFont="1" applyFill="1" applyBorder="1" applyAlignment="1">
      <alignment horizontal="center" vertical="center"/>
    </xf>
    <xf numFmtId="0" fontId="47" fillId="0" borderId="10" xfId="0" applyFont="1" applyFill="1" applyBorder="1" applyAlignment="1">
      <alignment vertical="center"/>
    </xf>
    <xf numFmtId="0" fontId="41" fillId="0" borderId="94" xfId="0" applyFont="1" applyFill="1" applyBorder="1" applyAlignment="1" applyProtection="1">
      <alignment vertical="center"/>
    </xf>
    <xf numFmtId="0" fontId="47" fillId="0" borderId="13" xfId="0" applyFont="1" applyFill="1" applyBorder="1" applyAlignment="1">
      <alignment vertical="center"/>
    </xf>
    <xf numFmtId="0" fontId="45" fillId="0" borderId="13" xfId="0" applyFont="1" applyFill="1" applyBorder="1" applyAlignment="1">
      <alignment vertical="center"/>
    </xf>
    <xf numFmtId="0" fontId="45" fillId="0" borderId="15" xfId="0" applyFont="1" applyFill="1" applyBorder="1" applyAlignment="1">
      <alignment horizontal="center" vertical="center"/>
    </xf>
    <xf numFmtId="0" fontId="37" fillId="0" borderId="94" xfId="0" applyFont="1" applyFill="1" applyBorder="1" applyAlignment="1">
      <alignment vertical="center"/>
    </xf>
    <xf numFmtId="0" fontId="41" fillId="0" borderId="16" xfId="0" applyFont="1" applyFill="1" applyBorder="1" applyAlignment="1">
      <alignment horizontal="left" vertical="center"/>
    </xf>
    <xf numFmtId="0" fontId="47" fillId="0" borderId="16" xfId="0" applyFont="1" applyFill="1" applyBorder="1" applyAlignment="1">
      <alignment horizontal="left" vertical="center"/>
    </xf>
    <xf numFmtId="0" fontId="37" fillId="0" borderId="33" xfId="0" applyFont="1" applyFill="1" applyBorder="1" applyAlignment="1">
      <alignment vertical="center"/>
    </xf>
    <xf numFmtId="0" fontId="37" fillId="0" borderId="28" xfId="0" applyFont="1" applyFill="1" applyBorder="1" applyAlignment="1">
      <alignment vertical="center"/>
    </xf>
    <xf numFmtId="0" fontId="37" fillId="0" borderId="36" xfId="0" applyFont="1" applyFill="1" applyBorder="1" applyAlignment="1">
      <alignment vertical="center"/>
    </xf>
    <xf numFmtId="0" fontId="37" fillId="0" borderId="39" xfId="0" applyFont="1" applyFill="1" applyBorder="1" applyAlignment="1">
      <alignment vertical="center"/>
    </xf>
    <xf numFmtId="0" fontId="37" fillId="0" borderId="34" xfId="0" applyFont="1" applyFill="1" applyBorder="1" applyAlignment="1">
      <alignment vertical="center"/>
    </xf>
    <xf numFmtId="0" fontId="37" fillId="0" borderId="34" xfId="0" applyFont="1" applyFill="1" applyBorder="1" applyAlignment="1">
      <alignment horizontal="left" vertical="center"/>
    </xf>
    <xf numFmtId="0" fontId="37" fillId="0" borderId="13" xfId="0" applyFont="1" applyFill="1" applyBorder="1" applyAlignment="1">
      <alignment horizontal="left" vertical="center" indent="1"/>
    </xf>
    <xf numFmtId="0" fontId="37" fillId="0" borderId="0" xfId="0" applyFont="1" applyFill="1" applyBorder="1" applyAlignment="1">
      <alignment horizontal="left" vertical="center" indent="1"/>
    </xf>
    <xf numFmtId="0" fontId="40" fillId="0" borderId="0" xfId="0" applyFont="1" applyFill="1" applyBorder="1" applyAlignment="1">
      <alignment vertical="center"/>
    </xf>
    <xf numFmtId="0" fontId="37" fillId="0" borderId="27" xfId="0" applyFont="1" applyFill="1" applyBorder="1" applyAlignment="1">
      <alignment vertical="center"/>
    </xf>
    <xf numFmtId="0" fontId="40" fillId="0" borderId="10" xfId="0" applyFont="1" applyFill="1" applyBorder="1" applyAlignment="1">
      <alignment vertical="center"/>
    </xf>
    <xf numFmtId="0" fontId="42" fillId="0" borderId="93" xfId="0" applyFont="1" applyFill="1" applyBorder="1" applyAlignment="1">
      <alignment vertical="center"/>
    </xf>
    <xf numFmtId="0" fontId="37" fillId="0" borderId="30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left" vertical="center" wrapText="1"/>
    </xf>
    <xf numFmtId="0" fontId="37" fillId="0" borderId="13" xfId="0" applyFont="1" applyBorder="1" applyAlignment="1">
      <alignment horizontal="left" vertical="center" indent="1"/>
    </xf>
    <xf numFmtId="0" fontId="40" fillId="0" borderId="93" xfId="0" applyFont="1" applyFill="1" applyBorder="1" applyAlignment="1">
      <alignment vertical="center"/>
    </xf>
    <xf numFmtId="0" fontId="40" fillId="0" borderId="94" xfId="0" applyFont="1" applyFill="1" applyBorder="1" applyAlignment="1">
      <alignment vertical="center"/>
    </xf>
    <xf numFmtId="0" fontId="3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left" vertical="center"/>
    </xf>
    <xf numFmtId="166" fontId="37" fillId="0" borderId="0" xfId="0" applyNumberFormat="1" applyFont="1" applyFill="1" applyAlignment="1">
      <alignment horizontal="left" vertical="center" indent="1"/>
    </xf>
    <xf numFmtId="0" fontId="44" fillId="0" borderId="0" xfId="0" applyFont="1" applyFill="1" applyBorder="1" applyAlignment="1">
      <alignment vertical="center"/>
    </xf>
    <xf numFmtId="0" fontId="37" fillId="0" borderId="93" xfId="0" applyFont="1" applyFill="1" applyBorder="1" applyAlignment="1">
      <alignment horizontal="left" vertical="center" wrapText="1"/>
    </xf>
    <xf numFmtId="0" fontId="37" fillId="0" borderId="10" xfId="0" applyFont="1" applyFill="1" applyBorder="1" applyAlignment="1">
      <alignment horizontal="left" vertical="center" wrapText="1" indent="1"/>
    </xf>
    <xf numFmtId="0" fontId="37" fillId="0" borderId="0" xfId="0" applyFont="1" applyBorder="1" applyAlignment="1">
      <alignment vertical="center"/>
    </xf>
    <xf numFmtId="165" fontId="42" fillId="24" borderId="0" xfId="56" applyNumberFormat="1" applyFont="1" applyFill="1" applyAlignment="1">
      <alignment horizontal="right" vertical="center"/>
    </xf>
    <xf numFmtId="173" fontId="37" fillId="0" borderId="69" xfId="0" applyNumberFormat="1" applyFont="1" applyFill="1" applyBorder="1" applyAlignment="1" applyProtection="1">
      <alignment vertical="center"/>
    </xf>
    <xf numFmtId="173" fontId="37" fillId="0" borderId="78" xfId="0" applyNumberFormat="1" applyFont="1" applyFill="1" applyBorder="1" applyAlignment="1" applyProtection="1">
      <alignment vertical="center"/>
    </xf>
    <xf numFmtId="0" fontId="37" fillId="0" borderId="38" xfId="0" applyFont="1" applyFill="1" applyBorder="1" applyAlignment="1">
      <alignment vertical="center"/>
    </xf>
    <xf numFmtId="0" fontId="73" fillId="0" borderId="0" xfId="857" applyFont="1" applyAlignment="1">
      <alignment vertical="center"/>
    </xf>
    <xf numFmtId="186" fontId="37" fillId="0" borderId="0" xfId="0" applyNumberFormat="1" applyFont="1" applyFill="1" applyAlignment="1">
      <alignment vertical="center"/>
    </xf>
    <xf numFmtId="185" fontId="37" fillId="0" borderId="0" xfId="0" applyNumberFormat="1" applyFont="1" applyFill="1" applyAlignment="1">
      <alignment vertical="center"/>
    </xf>
    <xf numFmtId="165" fontId="42" fillId="0" borderId="35" xfId="47" applyNumberFormat="1" applyFont="1" applyFill="1" applyBorder="1" applyAlignment="1">
      <alignment horizontal="right" vertical="center" wrapText="1"/>
    </xf>
    <xf numFmtId="165" fontId="42" fillId="0" borderId="28" xfId="47" applyNumberFormat="1" applyFont="1" applyFill="1" applyBorder="1" applyAlignment="1">
      <alignment horizontal="right" vertical="center" wrapText="1"/>
    </xf>
    <xf numFmtId="165" fontId="42" fillId="0" borderId="51" xfId="47" applyNumberFormat="1" applyFont="1" applyFill="1" applyBorder="1" applyAlignment="1">
      <alignment horizontal="right" vertical="center" wrapText="1"/>
    </xf>
    <xf numFmtId="165" fontId="42" fillId="0" borderId="50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31" xfId="47" applyNumberFormat="1" applyFont="1" applyFill="1" applyBorder="1" applyAlignment="1">
      <alignment horizontal="right" vertical="center" wrapText="1"/>
    </xf>
    <xf numFmtId="0" fontId="42" fillId="0" borderId="0" xfId="0" applyFont="1"/>
    <xf numFmtId="184" fontId="42" fillId="0" borderId="0" xfId="0" applyNumberFormat="1" applyFont="1"/>
    <xf numFmtId="167" fontId="42" fillId="0" borderId="59" xfId="140" applyNumberFormat="1" applyFont="1" applyFill="1" applyBorder="1" applyAlignment="1" applyProtection="1">
      <alignment horizontal="center" vertical="center" wrapText="1"/>
      <protection locked="0"/>
    </xf>
    <xf numFmtId="167" fontId="42" fillId="0" borderId="58" xfId="140" applyNumberFormat="1" applyFont="1" applyFill="1" applyBorder="1" applyAlignment="1" applyProtection="1">
      <alignment horizontal="center" vertical="center" wrapText="1"/>
      <protection locked="0"/>
    </xf>
    <xf numFmtId="167" fontId="42" fillId="0" borderId="62" xfId="140" applyNumberFormat="1" applyFont="1" applyFill="1" applyBorder="1" applyAlignment="1" applyProtection="1">
      <alignment horizontal="center" vertical="center" wrapText="1"/>
      <protection locked="0"/>
    </xf>
    <xf numFmtId="167" fontId="42" fillId="0" borderId="0" xfId="52" applyNumberFormat="1" applyFont="1" applyFill="1" applyBorder="1" applyAlignment="1" applyProtection="1">
      <alignment horizontal="center" vertical="center" wrapText="1"/>
      <protection locked="0"/>
    </xf>
    <xf numFmtId="0" fontId="44" fillId="0" borderId="0" xfId="52" applyFont="1" applyFill="1" applyBorder="1" applyAlignment="1">
      <alignment vertical="center" wrapText="1"/>
    </xf>
    <xf numFmtId="0" fontId="44" fillId="0" borderId="0" xfId="52" applyFont="1" applyFill="1" applyBorder="1" applyAlignment="1">
      <alignment horizontal="center" vertical="center" wrapText="1"/>
    </xf>
    <xf numFmtId="165" fontId="44" fillId="0" borderId="0" xfId="47" applyNumberFormat="1" applyFont="1" applyFill="1" applyBorder="1" applyAlignment="1">
      <alignment horizontal="right" vertical="center" wrapText="1"/>
    </xf>
    <xf numFmtId="165" fontId="44" fillId="0" borderId="0" xfId="47" applyNumberFormat="1" applyFont="1" applyFill="1" applyBorder="1" applyAlignment="1" applyProtection="1">
      <alignment horizontal="right" vertical="center" wrapText="1"/>
      <protection locked="0"/>
    </xf>
    <xf numFmtId="165" fontId="44" fillId="24" borderId="0" xfId="47" applyNumberFormat="1" applyFont="1" applyFill="1" applyBorder="1" applyAlignment="1">
      <alignment horizontal="right" vertical="center"/>
    </xf>
    <xf numFmtId="167" fontId="42" fillId="0" borderId="93" xfId="52" applyNumberFormat="1" applyFont="1" applyFill="1" applyBorder="1" applyAlignment="1" applyProtection="1">
      <alignment horizontal="center" vertical="center" wrapText="1"/>
      <protection locked="0"/>
    </xf>
    <xf numFmtId="0" fontId="44" fillId="0" borderId="93" xfId="52" applyFont="1" applyFill="1" applyBorder="1" applyAlignment="1">
      <alignment vertical="center" wrapText="1"/>
    </xf>
    <xf numFmtId="0" fontId="44" fillId="0" borderId="93" xfId="52" applyFont="1" applyFill="1" applyBorder="1" applyAlignment="1">
      <alignment horizontal="center" vertical="center" wrapText="1"/>
    </xf>
    <xf numFmtId="165" fontId="44" fillId="0" borderId="93" xfId="47" applyNumberFormat="1" applyFont="1" applyFill="1" applyBorder="1" applyAlignment="1">
      <alignment horizontal="right" vertical="center" wrapText="1"/>
    </xf>
    <xf numFmtId="165" fontId="44" fillId="0" borderId="93" xfId="47" applyNumberFormat="1" applyFont="1" applyFill="1" applyBorder="1" applyAlignment="1" applyProtection="1">
      <alignment horizontal="right" vertical="center" wrapText="1"/>
      <protection locked="0"/>
    </xf>
    <xf numFmtId="165" fontId="44" fillId="24" borderId="93" xfId="47" applyNumberFormat="1" applyFont="1" applyFill="1" applyBorder="1" applyAlignment="1">
      <alignment horizontal="right" vertical="center"/>
    </xf>
    <xf numFmtId="165" fontId="44" fillId="0" borderId="42" xfId="47" applyNumberFormat="1" applyFont="1" applyFill="1" applyBorder="1" applyAlignment="1" applyProtection="1">
      <alignment horizontal="center" vertical="center" wrapText="1"/>
      <protection locked="0"/>
    </xf>
    <xf numFmtId="0" fontId="41" fillId="0" borderId="0" xfId="52" applyFont="1" applyFill="1" applyBorder="1" applyAlignment="1">
      <alignment horizontal="center" vertical="center"/>
    </xf>
    <xf numFmtId="165" fontId="44" fillId="0" borderId="107" xfId="47" applyNumberFormat="1" applyFont="1" applyFill="1" applyBorder="1" applyAlignment="1">
      <alignment horizontal="center" vertical="center" wrapText="1"/>
    </xf>
    <xf numFmtId="165" fontId="44" fillId="0" borderId="108" xfId="47" applyNumberFormat="1" applyFont="1" applyFill="1" applyBorder="1" applyAlignment="1">
      <alignment horizontal="center" vertical="center" wrapText="1"/>
    </xf>
    <xf numFmtId="188" fontId="42" fillId="0" borderId="111" xfId="47" applyNumberFormat="1" applyFont="1" applyFill="1" applyBorder="1" applyAlignment="1">
      <alignment horizontal="right" vertical="center" wrapText="1"/>
    </xf>
    <xf numFmtId="188" fontId="42" fillId="0" borderId="25" xfId="47" applyNumberFormat="1" applyFont="1" applyFill="1" applyBorder="1" applyAlignment="1" applyProtection="1">
      <alignment horizontal="right" vertical="center" wrapText="1"/>
      <protection locked="0"/>
    </xf>
    <xf numFmtId="188" fontId="42" fillId="0" borderId="112" xfId="47" applyNumberFormat="1" applyFont="1" applyFill="1" applyBorder="1" applyAlignment="1">
      <alignment horizontal="right" vertical="center" wrapText="1"/>
    </xf>
    <xf numFmtId="188" fontId="42" fillId="24" borderId="113" xfId="47" applyNumberFormat="1" applyFont="1" applyFill="1" applyBorder="1" applyAlignment="1">
      <alignment horizontal="right" vertical="center"/>
    </xf>
    <xf numFmtId="188" fontId="42" fillId="0" borderId="115" xfId="47" applyNumberFormat="1" applyFont="1" applyFill="1" applyBorder="1" applyAlignment="1">
      <alignment horizontal="right" vertical="center" wrapText="1"/>
    </xf>
    <xf numFmtId="188" fontId="42" fillId="0" borderId="63" xfId="47" applyNumberFormat="1" applyFont="1" applyFill="1" applyBorder="1" applyAlignment="1" applyProtection="1">
      <alignment horizontal="right" vertical="center" wrapText="1"/>
      <protection locked="0"/>
    </xf>
    <xf numFmtId="188" fontId="42" fillId="0" borderId="116" xfId="47" applyNumberFormat="1" applyFont="1" applyFill="1" applyBorder="1" applyAlignment="1">
      <alignment horizontal="right" vertical="center" wrapText="1"/>
    </xf>
    <xf numFmtId="188" fontId="42" fillId="24" borderId="102" xfId="47" applyNumberFormat="1" applyFont="1" applyFill="1" applyBorder="1" applyAlignment="1">
      <alignment horizontal="right" vertical="center"/>
    </xf>
    <xf numFmtId="188" fontId="44" fillId="0" borderId="107" xfId="0" applyNumberFormat="1" applyFont="1" applyBorder="1" applyAlignment="1">
      <alignment horizontal="right" vertical="center"/>
    </xf>
    <xf numFmtId="188" fontId="44" fillId="0" borderId="42" xfId="0" applyNumberFormat="1" applyFont="1" applyBorder="1" applyAlignment="1">
      <alignment horizontal="right" vertical="center"/>
    </xf>
    <xf numFmtId="188" fontId="44" fillId="0" borderId="108" xfId="0" applyNumberFormat="1" applyFont="1" applyBorder="1" applyAlignment="1">
      <alignment horizontal="right" vertical="center"/>
    </xf>
    <xf numFmtId="188" fontId="44" fillId="24" borderId="117" xfId="47" applyNumberFormat="1" applyFont="1" applyFill="1" applyBorder="1" applyAlignment="1">
      <alignment horizontal="right" vertical="center"/>
    </xf>
    <xf numFmtId="188" fontId="42" fillId="0" borderId="85" xfId="47" applyNumberFormat="1" applyFont="1" applyFill="1" applyBorder="1" applyAlignment="1">
      <alignment horizontal="right" vertical="center" wrapText="1"/>
    </xf>
    <xf numFmtId="188" fontId="42" fillId="0" borderId="32" xfId="47" applyNumberFormat="1" applyFont="1" applyFill="1" applyBorder="1" applyAlignment="1" applyProtection="1">
      <alignment horizontal="right" vertical="center" wrapText="1"/>
      <protection locked="0"/>
    </xf>
    <xf numFmtId="188" fontId="42" fillId="0" borderId="86" xfId="47" applyNumberFormat="1" applyFont="1" applyFill="1" applyBorder="1" applyAlignment="1">
      <alignment horizontal="right" vertical="center" wrapText="1"/>
    </xf>
    <xf numFmtId="188" fontId="51" fillId="24" borderId="118" xfId="47" applyNumberFormat="1" applyFont="1" applyFill="1" applyBorder="1" applyAlignment="1">
      <alignment horizontal="right" vertical="center"/>
    </xf>
    <xf numFmtId="188" fontId="42" fillId="0" borderId="120" xfId="47" applyNumberFormat="1" applyFont="1" applyFill="1" applyBorder="1" applyAlignment="1">
      <alignment horizontal="right" vertical="center" wrapText="1"/>
    </xf>
    <xf numFmtId="188" fontId="42" fillId="0" borderId="60" xfId="47" applyNumberFormat="1" applyFont="1" applyFill="1" applyBorder="1" applyAlignment="1" applyProtection="1">
      <alignment horizontal="right" vertical="center" wrapText="1"/>
      <protection locked="0"/>
    </xf>
    <xf numFmtId="188" fontId="42" fillId="0" borderId="121" xfId="47" applyNumberFormat="1" applyFont="1" applyFill="1" applyBorder="1" applyAlignment="1">
      <alignment horizontal="right" vertical="center" wrapText="1"/>
    </xf>
    <xf numFmtId="188" fontId="44" fillId="24" borderId="122" xfId="47" applyNumberFormat="1" applyFont="1" applyFill="1" applyBorder="1" applyAlignment="1">
      <alignment horizontal="right" vertical="center"/>
    </xf>
    <xf numFmtId="188" fontId="42" fillId="24" borderId="126" xfId="47" applyNumberFormat="1" applyFont="1" applyFill="1" applyBorder="1" applyAlignment="1">
      <alignment horizontal="right" vertical="center"/>
    </xf>
    <xf numFmtId="4" fontId="42" fillId="0" borderId="124" xfId="47" applyNumberFormat="1" applyFont="1" applyFill="1" applyBorder="1" applyAlignment="1">
      <alignment horizontal="right" vertical="center" wrapText="1"/>
    </xf>
    <xf numFmtId="4" fontId="42" fillId="0" borderId="27" xfId="47" applyNumberFormat="1" applyFont="1" applyFill="1" applyBorder="1" applyAlignment="1" applyProtection="1">
      <alignment horizontal="right" vertical="center" wrapText="1"/>
      <protection locked="0"/>
    </xf>
    <xf numFmtId="4" fontId="42" fillId="0" borderId="125" xfId="47" applyNumberFormat="1" applyFont="1" applyFill="1" applyBorder="1" applyAlignment="1">
      <alignment horizontal="right" vertical="center" wrapText="1"/>
    </xf>
    <xf numFmtId="4" fontId="42" fillId="24" borderId="127" xfId="47" applyNumberFormat="1" applyFont="1" applyFill="1" applyBorder="1" applyAlignment="1">
      <alignment horizontal="right" vertical="center"/>
    </xf>
    <xf numFmtId="188" fontId="43" fillId="0" borderId="128" xfId="47" applyNumberFormat="1" applyFont="1" applyFill="1" applyBorder="1" applyAlignment="1">
      <alignment horizontal="right" vertical="center" wrapText="1"/>
    </xf>
    <xf numFmtId="188" fontId="43" fillId="0" borderId="68" xfId="47" applyNumberFormat="1" applyFont="1" applyFill="1" applyBorder="1" applyAlignment="1" applyProtection="1">
      <alignment horizontal="right" vertical="center" wrapText="1"/>
      <protection locked="0"/>
    </xf>
    <xf numFmtId="188" fontId="43" fillId="0" borderId="129" xfId="47" applyNumberFormat="1" applyFont="1" applyFill="1" applyBorder="1" applyAlignment="1">
      <alignment horizontal="right" vertical="center" wrapText="1"/>
    </xf>
    <xf numFmtId="188" fontId="43" fillId="0" borderId="102" xfId="47" applyNumberFormat="1" applyFont="1" applyFill="1" applyBorder="1" applyAlignment="1">
      <alignment horizontal="right" vertical="center" wrapText="1"/>
    </xf>
    <xf numFmtId="188" fontId="42" fillId="0" borderId="118" xfId="47" applyNumberFormat="1" applyFont="1" applyFill="1" applyBorder="1" applyAlignment="1">
      <alignment horizontal="right" vertical="center" wrapText="1"/>
    </xf>
    <xf numFmtId="188" fontId="42" fillId="0" borderId="128" xfId="47" applyNumberFormat="1" applyFont="1" applyFill="1" applyBorder="1" applyAlignment="1">
      <alignment horizontal="right" vertical="center" wrapText="1"/>
    </xf>
    <xf numFmtId="188" fontId="42" fillId="0" borderId="68" xfId="47" applyNumberFormat="1" applyFont="1" applyFill="1" applyBorder="1" applyAlignment="1" applyProtection="1">
      <alignment horizontal="right" vertical="center" wrapText="1"/>
      <protection locked="0"/>
    </xf>
    <xf numFmtId="188" fontId="42" fillId="0" borderId="129" xfId="47" applyNumberFormat="1" applyFont="1" applyFill="1" applyBorder="1" applyAlignment="1">
      <alignment horizontal="right" vertical="center" wrapText="1"/>
    </xf>
    <xf numFmtId="188" fontId="42" fillId="0" borderId="102" xfId="47" applyNumberFormat="1" applyFont="1" applyFill="1" applyBorder="1" applyAlignment="1">
      <alignment horizontal="right" vertical="center" wrapText="1"/>
    </xf>
    <xf numFmtId="188" fontId="42" fillId="0" borderId="126" xfId="47" applyNumberFormat="1" applyFont="1" applyFill="1" applyBorder="1" applyAlignment="1">
      <alignment horizontal="right" vertical="center" wrapText="1"/>
    </xf>
    <xf numFmtId="4" fontId="44" fillId="0" borderId="107" xfId="47" applyNumberFormat="1" applyFont="1" applyFill="1" applyBorder="1" applyAlignment="1">
      <alignment horizontal="right" vertical="center" wrapText="1"/>
    </xf>
    <xf numFmtId="4" fontId="44" fillId="0" borderId="42" xfId="47" applyNumberFormat="1" applyFont="1" applyFill="1" applyBorder="1" applyAlignment="1" applyProtection="1">
      <alignment horizontal="right" vertical="center" wrapText="1"/>
      <protection locked="0"/>
    </xf>
    <xf numFmtId="4" fontId="44" fillId="0" borderId="108" xfId="47" applyNumberFormat="1" applyFont="1" applyFill="1" applyBorder="1" applyAlignment="1">
      <alignment horizontal="right" vertical="center" wrapText="1"/>
    </xf>
    <xf numFmtId="4" fontId="44" fillId="0" borderId="118" xfId="47" applyNumberFormat="1" applyFont="1" applyFill="1" applyBorder="1" applyAlignment="1">
      <alignment horizontal="right" vertical="center" wrapText="1"/>
    </xf>
    <xf numFmtId="0" fontId="42" fillId="0" borderId="85" xfId="52" applyFont="1" applyFill="1" applyBorder="1" applyAlignment="1">
      <alignment horizontal="center" vertical="center" wrapText="1"/>
    </xf>
    <xf numFmtId="188" fontId="44" fillId="0" borderId="132" xfId="47" applyNumberFormat="1" applyFont="1" applyFill="1" applyBorder="1" applyAlignment="1">
      <alignment horizontal="right" vertical="center" wrapText="1"/>
    </xf>
    <xf numFmtId="188" fontId="44" fillId="0" borderId="133" xfId="47" applyNumberFormat="1" applyFont="1" applyFill="1" applyBorder="1" applyAlignment="1">
      <alignment horizontal="right" vertical="center" wrapText="1"/>
    </xf>
    <xf numFmtId="188" fontId="44" fillId="0" borderId="134" xfId="47" applyNumberFormat="1" applyFont="1" applyFill="1" applyBorder="1" applyAlignment="1">
      <alignment horizontal="right" vertical="center" wrapText="1"/>
    </xf>
    <xf numFmtId="188" fontId="44" fillId="0" borderId="103" xfId="47" applyNumberFormat="1" applyFont="1" applyFill="1" applyBorder="1" applyAlignment="1">
      <alignment horizontal="right" vertical="center" wrapText="1"/>
    </xf>
    <xf numFmtId="188" fontId="42" fillId="0" borderId="124" xfId="47" applyNumberFormat="1" applyFont="1" applyFill="1" applyBorder="1" applyAlignment="1">
      <alignment horizontal="right" vertical="center" wrapText="1"/>
    </xf>
    <xf numFmtId="188" fontId="42" fillId="0" borderId="27" xfId="47" applyNumberFormat="1" applyFont="1" applyFill="1" applyBorder="1" applyAlignment="1" applyProtection="1">
      <alignment horizontal="right" vertical="center" wrapText="1"/>
      <protection locked="0"/>
    </xf>
    <xf numFmtId="188" fontId="42" fillId="0" borderId="125" xfId="47" applyNumberFormat="1" applyFont="1" applyFill="1" applyBorder="1" applyAlignment="1">
      <alignment horizontal="right" vertical="center" wrapText="1"/>
    </xf>
    <xf numFmtId="0" fontId="47" fillId="0" borderId="93" xfId="141" applyFont="1" applyBorder="1" applyAlignment="1">
      <alignment vertical="center"/>
    </xf>
    <xf numFmtId="17" fontId="47" fillId="0" borderId="28" xfId="141" applyNumberFormat="1" applyFont="1" applyBorder="1" applyAlignment="1">
      <alignment horizontal="center" vertical="center" wrapText="1"/>
    </xf>
    <xf numFmtId="0" fontId="41" fillId="0" borderId="50" xfId="141" applyFont="1" applyBorder="1" applyAlignment="1">
      <alignment horizontal="center" vertical="center"/>
    </xf>
    <xf numFmtId="0" fontId="41" fillId="0" borderId="31" xfId="141" applyFont="1" applyFill="1" applyBorder="1" applyAlignment="1">
      <alignment horizontal="center" vertical="center"/>
    </xf>
    <xf numFmtId="17" fontId="41" fillId="0" borderId="32" xfId="141" applyNumberFormat="1" applyFont="1" applyBorder="1" applyAlignment="1">
      <alignment horizontal="center" vertical="center" wrapText="1"/>
    </xf>
    <xf numFmtId="0" fontId="47" fillId="0" borderId="94" xfId="141" applyFont="1" applyBorder="1" applyAlignment="1">
      <alignment vertical="center"/>
    </xf>
    <xf numFmtId="0" fontId="47" fillId="0" borderId="17" xfId="141" applyFont="1" applyBorder="1" applyAlignment="1">
      <alignment vertical="center"/>
    </xf>
    <xf numFmtId="189" fontId="47" fillId="0" borderId="0" xfId="633" applyNumberFormat="1" applyFont="1" applyAlignment="1">
      <alignment vertical="center"/>
    </xf>
    <xf numFmtId="164" fontId="0" fillId="0" borderId="0" xfId="0" applyNumberFormat="1"/>
    <xf numFmtId="190" fontId="0" fillId="0" borderId="0" xfId="0" applyNumberFormat="1"/>
    <xf numFmtId="0" fontId="0" fillId="0" borderId="0" xfId="0" applyAlignment="1">
      <alignment horizontal="right"/>
    </xf>
    <xf numFmtId="191" fontId="37" fillId="0" borderId="0" xfId="0" applyNumberFormat="1" applyFont="1" applyFill="1" applyAlignment="1">
      <alignment vertical="center"/>
    </xf>
    <xf numFmtId="192" fontId="44" fillId="24" borderId="0" xfId="47" applyNumberFormat="1" applyFont="1" applyFill="1" applyBorder="1" applyAlignment="1">
      <alignment horizontal="right" vertical="center"/>
    </xf>
    <xf numFmtId="165" fontId="44" fillId="24" borderId="113" xfId="47" applyNumberFormat="1" applyFont="1" applyFill="1" applyBorder="1" applyAlignment="1">
      <alignment horizontal="right" vertical="center"/>
    </xf>
    <xf numFmtId="165" fontId="44" fillId="24" borderId="135" xfId="47" applyNumberFormat="1" applyFont="1" applyFill="1" applyBorder="1" applyAlignment="1">
      <alignment horizontal="right" vertical="center"/>
    </xf>
    <xf numFmtId="165" fontId="42" fillId="24" borderId="89" xfId="47" applyNumberFormat="1" applyFont="1" applyFill="1" applyBorder="1" applyAlignment="1">
      <alignment horizontal="left" vertical="center"/>
    </xf>
    <xf numFmtId="165" fontId="42" fillId="24" borderId="138" xfId="47" applyNumberFormat="1" applyFont="1" applyFill="1" applyBorder="1" applyAlignment="1">
      <alignment horizontal="left" vertical="center"/>
    </xf>
    <xf numFmtId="165" fontId="42" fillId="24" borderId="139" xfId="47" applyNumberFormat="1" applyFont="1" applyFill="1" applyBorder="1" applyAlignment="1">
      <alignment horizontal="right" vertical="center"/>
    </xf>
    <xf numFmtId="165" fontId="42" fillId="24" borderId="140" xfId="47" applyNumberFormat="1" applyFont="1" applyFill="1" applyBorder="1" applyAlignment="1">
      <alignment horizontal="right" vertical="center"/>
    </xf>
    <xf numFmtId="165" fontId="44" fillId="24" borderId="142" xfId="47" applyNumberFormat="1" applyFont="1" applyFill="1" applyBorder="1" applyAlignment="1">
      <alignment horizontal="right" vertical="center"/>
    </xf>
    <xf numFmtId="192" fontId="44" fillId="24" borderId="136" xfId="47" applyNumberFormat="1" applyFont="1" applyFill="1" applyBorder="1" applyAlignment="1">
      <alignment horizontal="right" vertical="center"/>
    </xf>
    <xf numFmtId="192" fontId="44" fillId="24" borderId="18" xfId="47" applyNumberFormat="1" applyFont="1" applyFill="1" applyBorder="1" applyAlignment="1">
      <alignment horizontal="right" vertical="center"/>
    </xf>
    <xf numFmtId="192" fontId="44" fillId="24" borderId="137" xfId="47" applyNumberFormat="1" applyFont="1" applyFill="1" applyBorder="1" applyAlignment="1">
      <alignment horizontal="right" vertical="center"/>
    </xf>
    <xf numFmtId="192" fontId="42" fillId="0" borderId="0" xfId="0" applyNumberFormat="1" applyFont="1"/>
    <xf numFmtId="165" fontId="42" fillId="0" borderId="59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121" xfId="47" applyNumberFormat="1" applyFont="1" applyFill="1" applyBorder="1" applyAlignment="1">
      <alignment horizontal="right" vertical="center" wrapText="1"/>
    </xf>
    <xf numFmtId="165" fontId="42" fillId="0" borderId="0" xfId="0" applyNumberFormat="1" applyFont="1"/>
    <xf numFmtId="165" fontId="42" fillId="0" borderId="111" xfId="47" applyNumberFormat="1" applyFont="1" applyFill="1" applyBorder="1" applyAlignment="1">
      <alignment horizontal="center" vertical="center" wrapText="1"/>
    </xf>
    <xf numFmtId="165" fontId="42" fillId="0" borderId="25" xfId="0" applyNumberFormat="1" applyFont="1" applyBorder="1"/>
    <xf numFmtId="165" fontId="42" fillId="0" borderId="112" xfId="0" applyNumberFormat="1" applyFont="1" applyBorder="1"/>
    <xf numFmtId="165" fontId="42" fillId="0" borderId="124" xfId="47" applyNumberFormat="1" applyFont="1" applyFill="1" applyBorder="1" applyAlignment="1">
      <alignment horizontal="center" vertical="center" wrapText="1"/>
    </xf>
    <xf numFmtId="165" fontId="42" fillId="0" borderId="125" xfId="47" applyNumberFormat="1" applyFont="1" applyFill="1" applyBorder="1" applyAlignment="1">
      <alignment horizontal="right" vertical="center" wrapText="1"/>
    </xf>
    <xf numFmtId="165" fontId="44" fillId="24" borderId="127" xfId="47" applyNumberFormat="1" applyFont="1" applyFill="1" applyBorder="1" applyAlignment="1">
      <alignment horizontal="right" vertical="center"/>
    </xf>
    <xf numFmtId="165" fontId="42" fillId="0" borderId="141" xfId="47" applyNumberFormat="1" applyFont="1" applyFill="1" applyBorder="1" applyAlignment="1">
      <alignment horizontal="center" vertical="center" wrapText="1"/>
    </xf>
    <xf numFmtId="165" fontId="42" fillId="0" borderId="120" xfId="47" applyNumberFormat="1" applyFont="1" applyFill="1" applyBorder="1" applyAlignment="1">
      <alignment horizontal="center" vertical="center" wrapText="1"/>
    </xf>
    <xf numFmtId="165" fontId="42" fillId="0" borderId="60" xfId="0" applyNumberFormat="1" applyFont="1" applyBorder="1"/>
    <xf numFmtId="165" fontId="42" fillId="0" borderId="121" xfId="0" applyNumberFormat="1" applyFont="1" applyBorder="1"/>
    <xf numFmtId="165" fontId="44" fillId="24" borderId="122" xfId="47" applyNumberFormat="1" applyFont="1" applyFill="1" applyBorder="1" applyAlignment="1">
      <alignment horizontal="right" vertical="center"/>
    </xf>
    <xf numFmtId="165" fontId="42" fillId="0" borderId="144" xfId="47" applyNumberFormat="1" applyFont="1" applyFill="1" applyBorder="1" applyAlignment="1">
      <alignment horizontal="center" vertical="center" wrapText="1"/>
    </xf>
    <xf numFmtId="165" fontId="42" fillId="0" borderId="30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145" xfId="47" applyNumberFormat="1" applyFont="1" applyFill="1" applyBorder="1" applyAlignment="1">
      <alignment horizontal="right" vertical="center" wrapText="1"/>
    </xf>
    <xf numFmtId="165" fontId="44" fillId="24" borderId="143" xfId="47" applyNumberFormat="1" applyFont="1" applyFill="1" applyBorder="1" applyAlignment="1">
      <alignment horizontal="right" vertical="center"/>
    </xf>
    <xf numFmtId="165" fontId="42" fillId="0" borderId="146" xfId="0" applyNumberFormat="1" applyFont="1" applyBorder="1"/>
    <xf numFmtId="178" fontId="47" fillId="0" borderId="62" xfId="141" applyNumberFormat="1" applyFont="1" applyBorder="1" applyAlignment="1" applyProtection="1">
      <alignment horizontal="left" vertical="center"/>
    </xf>
    <xf numFmtId="178" fontId="47" fillId="0" borderId="58" xfId="633" applyNumberFormat="1" applyFont="1" applyFill="1" applyBorder="1" applyAlignment="1" applyProtection="1">
      <alignment horizontal="right" vertical="center"/>
    </xf>
    <xf numFmtId="4" fontId="47" fillId="0" borderId="58" xfId="141" applyNumberFormat="1" applyFont="1" applyBorder="1" applyAlignment="1" applyProtection="1">
      <alignment horizontal="right" vertical="center"/>
    </xf>
    <xf numFmtId="4" fontId="42" fillId="0" borderId="0" xfId="47" applyNumberFormat="1" applyFont="1" applyFill="1" applyBorder="1" applyAlignment="1">
      <alignment horizontal="right" vertical="center" wrapText="1"/>
    </xf>
    <xf numFmtId="4" fontId="42" fillId="0" borderId="0" xfId="47" applyNumberFormat="1" applyFont="1" applyFill="1" applyBorder="1" applyAlignment="1" applyProtection="1">
      <alignment horizontal="right" vertical="center" wrapText="1"/>
      <protection locked="0"/>
    </xf>
    <xf numFmtId="192" fontId="44" fillId="0" borderId="81" xfId="0" applyNumberFormat="1" applyFont="1" applyBorder="1"/>
    <xf numFmtId="4" fontId="44" fillId="0" borderId="115" xfId="47" applyNumberFormat="1" applyFont="1" applyFill="1" applyBorder="1" applyAlignment="1">
      <alignment horizontal="right" vertical="center" wrapText="1"/>
    </xf>
    <xf numFmtId="4" fontId="44" fillId="0" borderId="63" xfId="47" applyNumberFormat="1" applyFont="1" applyFill="1" applyBorder="1" applyAlignment="1">
      <alignment horizontal="right" vertical="center" wrapText="1"/>
    </xf>
    <xf numFmtId="4" fontId="44" fillId="0" borderId="116" xfId="47" applyNumberFormat="1" applyFont="1" applyFill="1" applyBorder="1" applyAlignment="1">
      <alignment horizontal="right" vertical="center" wrapText="1"/>
    </xf>
    <xf numFmtId="193" fontId="42" fillId="0" borderId="0" xfId="0" applyNumberFormat="1" applyFont="1"/>
    <xf numFmtId="4" fontId="42" fillId="0" borderId="148" xfId="47" applyNumberFormat="1" applyFont="1" applyFill="1" applyBorder="1" applyAlignment="1">
      <alignment horizontal="right" vertical="center" wrapText="1"/>
    </xf>
    <xf numFmtId="4" fontId="42" fillId="0" borderId="72" xfId="47" applyNumberFormat="1" applyFont="1" applyFill="1" applyBorder="1" applyAlignment="1" applyProtection="1">
      <alignment horizontal="right" vertical="center" wrapText="1"/>
      <protection locked="0"/>
    </xf>
    <xf numFmtId="4" fontId="42" fillId="0" borderId="149" xfId="47" applyNumberFormat="1" applyFont="1" applyFill="1" applyBorder="1" applyAlignment="1">
      <alignment horizontal="right" vertical="center" wrapText="1"/>
    </xf>
    <xf numFmtId="4" fontId="42" fillId="0" borderId="141" xfId="47" applyNumberFormat="1" applyFont="1" applyFill="1" applyBorder="1" applyAlignment="1">
      <alignment horizontal="right" vertical="center" wrapText="1"/>
    </xf>
    <xf numFmtId="4" fontId="42" fillId="0" borderId="147" xfId="47" applyNumberFormat="1" applyFont="1" applyFill="1" applyBorder="1" applyAlignment="1" applyProtection="1">
      <alignment horizontal="right" vertical="center" wrapText="1"/>
      <protection locked="0"/>
    </xf>
    <xf numFmtId="4" fontId="42" fillId="0" borderId="140" xfId="47" applyNumberFormat="1" applyFont="1" applyFill="1" applyBorder="1" applyAlignment="1">
      <alignment horizontal="right" vertical="center" wrapText="1"/>
    </xf>
    <xf numFmtId="188" fontId="42" fillId="0" borderId="0" xfId="0" applyNumberFormat="1" applyFont="1"/>
    <xf numFmtId="194" fontId="37" fillId="0" borderId="0" xfId="0" applyNumberFormat="1" applyFont="1" applyFill="1" applyAlignment="1">
      <alignment vertical="center"/>
    </xf>
    <xf numFmtId="195" fontId="37" fillId="0" borderId="0" xfId="0" applyNumberFormat="1" applyFont="1" applyFill="1" applyAlignment="1">
      <alignment vertical="center"/>
    </xf>
    <xf numFmtId="196" fontId="37" fillId="0" borderId="0" xfId="0" applyNumberFormat="1" applyFont="1" applyFill="1" applyAlignment="1">
      <alignment vertical="center"/>
    </xf>
    <xf numFmtId="0" fontId="75" fillId="0" borderId="0" xfId="0" applyFont="1" applyFill="1" applyBorder="1" applyAlignment="1">
      <alignment vertical="center"/>
    </xf>
    <xf numFmtId="188" fontId="76" fillId="27" borderId="0" xfId="859" applyNumberFormat="1" applyFont="1" applyFill="1" applyAlignment="1">
      <alignment vertical="center"/>
    </xf>
    <xf numFmtId="0" fontId="42" fillId="0" borderId="0" xfId="859" applyFont="1" applyAlignment="1">
      <alignment vertical="center"/>
    </xf>
    <xf numFmtId="0" fontId="23" fillId="0" borderId="0" xfId="859"/>
    <xf numFmtId="0" fontId="23" fillId="0" borderId="0" xfId="859" applyFill="1"/>
    <xf numFmtId="0" fontId="47" fillId="0" borderId="0" xfId="859" applyFont="1" applyAlignment="1">
      <alignment vertical="center"/>
    </xf>
    <xf numFmtId="0" fontId="77" fillId="0" borderId="0" xfId="859" applyFont="1" applyAlignment="1">
      <alignment vertical="center"/>
    </xf>
    <xf numFmtId="0" fontId="42" fillId="0" borderId="0" xfId="859" applyFont="1" applyAlignment="1">
      <alignment horizontal="center" vertical="center"/>
    </xf>
    <xf numFmtId="0" fontId="78" fillId="0" borderId="0" xfId="859" applyFont="1" applyAlignment="1">
      <alignment vertical="center"/>
    </xf>
    <xf numFmtId="197" fontId="47" fillId="0" borderId="0" xfId="859" applyNumberFormat="1" applyFont="1" applyAlignment="1">
      <alignment vertical="center"/>
    </xf>
    <xf numFmtId="0" fontId="47" fillId="0" borderId="151" xfId="859" applyFont="1" applyBorder="1" applyAlignment="1" applyProtection="1">
      <alignment vertical="center"/>
    </xf>
    <xf numFmtId="0" fontId="47" fillId="0" borderId="151" xfId="859" applyFont="1" applyBorder="1" applyAlignment="1">
      <alignment vertical="center"/>
    </xf>
    <xf numFmtId="0" fontId="47" fillId="0" borderId="154" xfId="859" applyFont="1" applyBorder="1" applyAlignment="1">
      <alignment vertical="center"/>
    </xf>
    <xf numFmtId="0" fontId="47" fillId="0" borderId="155" xfId="859" applyFont="1" applyBorder="1" applyAlignment="1">
      <alignment vertical="center"/>
    </xf>
    <xf numFmtId="0" fontId="47" fillId="0" borderId="156" xfId="859" applyFont="1" applyBorder="1" applyAlignment="1">
      <alignment horizontal="center" vertical="center"/>
    </xf>
    <xf numFmtId="0" fontId="78" fillId="0" borderId="154" xfId="859" applyFont="1" applyBorder="1" applyAlignment="1">
      <alignment vertical="center"/>
    </xf>
    <xf numFmtId="0" fontId="78" fillId="0" borderId="155" xfId="859" applyFont="1" applyBorder="1" applyAlignment="1">
      <alignment vertical="center"/>
    </xf>
    <xf numFmtId="0" fontId="78" fillId="0" borderId="156" xfId="859" applyFont="1" applyBorder="1" applyAlignment="1">
      <alignment horizontal="center" vertical="center"/>
    </xf>
    <xf numFmtId="0" fontId="79" fillId="0" borderId="154" xfId="859" applyFont="1" applyBorder="1" applyAlignment="1">
      <alignment vertical="center"/>
    </xf>
    <xf numFmtId="0" fontId="79" fillId="0" borderId="155" xfId="859" applyFont="1" applyBorder="1" applyAlignment="1">
      <alignment vertical="center"/>
    </xf>
    <xf numFmtId="0" fontId="79" fillId="0" borderId="156" xfId="859" applyFont="1" applyBorder="1" applyAlignment="1">
      <alignment horizontal="center" vertical="center"/>
    </xf>
    <xf numFmtId="0" fontId="77" fillId="0" borderId="154" xfId="859" applyFont="1" applyBorder="1" applyAlignment="1">
      <alignment vertical="center"/>
    </xf>
    <xf numFmtId="0" fontId="77" fillId="0" borderId="155" xfId="859" applyFont="1" applyBorder="1" applyAlignment="1">
      <alignment vertical="center"/>
    </xf>
    <xf numFmtId="0" fontId="77" fillId="0" borderId="156" xfId="859" applyFont="1" applyBorder="1" applyAlignment="1">
      <alignment horizontal="center" vertical="center"/>
    </xf>
    <xf numFmtId="0" fontId="80" fillId="0" borderId="154" xfId="859" applyFont="1" applyBorder="1" applyAlignment="1">
      <alignment vertical="center"/>
    </xf>
    <xf numFmtId="0" fontId="80" fillId="0" borderId="155" xfId="859" applyFont="1" applyBorder="1" applyAlignment="1">
      <alignment vertical="center"/>
    </xf>
    <xf numFmtId="0" fontId="80" fillId="0" borderId="156" xfId="859" applyFont="1" applyBorder="1" applyAlignment="1">
      <alignment horizontal="center" vertical="center"/>
    </xf>
    <xf numFmtId="0" fontId="47" fillId="0" borderId="0" xfId="859" quotePrefix="1" applyFont="1" applyAlignment="1">
      <alignment vertical="center"/>
    </xf>
    <xf numFmtId="0" fontId="47" fillId="0" borderId="157" xfId="859" applyFont="1" applyBorder="1" applyAlignment="1">
      <alignment vertical="center"/>
    </xf>
    <xf numFmtId="0" fontId="47" fillId="0" borderId="158" xfId="859" applyFont="1" applyBorder="1" applyAlignment="1">
      <alignment vertical="center"/>
    </xf>
    <xf numFmtId="0" fontId="47" fillId="0" borderId="159" xfId="859" applyFont="1" applyBorder="1" applyAlignment="1">
      <alignment horizontal="center" vertical="center"/>
    </xf>
    <xf numFmtId="0" fontId="78" fillId="0" borderId="157" xfId="859" applyFont="1" applyBorder="1" applyAlignment="1">
      <alignment vertical="center"/>
    </xf>
    <xf numFmtId="0" fontId="78" fillId="0" borderId="158" xfId="859" applyFont="1" applyBorder="1" applyAlignment="1">
      <alignment vertical="center"/>
    </xf>
    <xf numFmtId="0" fontId="78" fillId="0" borderId="159" xfId="859" applyFont="1" applyBorder="1" applyAlignment="1">
      <alignment horizontal="center" vertical="center"/>
    </xf>
    <xf numFmtId="0" fontId="79" fillId="0" borderId="157" xfId="859" applyFont="1" applyBorder="1" applyAlignment="1">
      <alignment vertical="center"/>
    </xf>
    <xf numFmtId="0" fontId="79" fillId="0" borderId="158" xfId="859" applyFont="1" applyBorder="1" applyAlignment="1">
      <alignment vertical="center"/>
    </xf>
    <xf numFmtId="0" fontId="79" fillId="0" borderId="159" xfId="859" applyFont="1" applyBorder="1" applyAlignment="1">
      <alignment horizontal="center" vertical="center"/>
    </xf>
    <xf numFmtId="0" fontId="77" fillId="0" borderId="157" xfId="859" applyFont="1" applyBorder="1" applyAlignment="1">
      <alignment vertical="center"/>
    </xf>
    <xf numFmtId="0" fontId="77" fillId="0" borderId="158" xfId="859" applyFont="1" applyBorder="1" applyAlignment="1">
      <alignment vertical="center"/>
    </xf>
    <xf numFmtId="0" fontId="77" fillId="0" borderId="159" xfId="859" applyFont="1" applyBorder="1" applyAlignment="1">
      <alignment horizontal="center" vertical="center"/>
    </xf>
    <xf numFmtId="0" fontId="80" fillId="0" borderId="157" xfId="859" applyFont="1" applyBorder="1" applyAlignment="1">
      <alignment vertical="center"/>
    </xf>
    <xf numFmtId="0" fontId="80" fillId="0" borderId="158" xfId="859" applyFont="1" applyBorder="1" applyAlignment="1">
      <alignment vertical="center"/>
    </xf>
    <xf numFmtId="0" fontId="80" fillId="0" borderId="159" xfId="859" applyFont="1" applyBorder="1" applyAlignment="1">
      <alignment horizontal="center" vertical="center"/>
    </xf>
    <xf numFmtId="0" fontId="79" fillId="0" borderId="0" xfId="859" applyFont="1" applyAlignment="1">
      <alignment vertical="center"/>
    </xf>
    <xf numFmtId="0" fontId="37" fillId="0" borderId="14" xfId="0" applyFont="1" applyFill="1" applyBorder="1" applyAlignment="1">
      <alignment horizontal="justify" vertical="center" wrapText="1"/>
    </xf>
    <xf numFmtId="0" fontId="41" fillId="0" borderId="16" xfId="0" applyFont="1" applyBorder="1" applyAlignment="1">
      <alignment horizontal="right"/>
    </xf>
    <xf numFmtId="0" fontId="6" fillId="0" borderId="0" xfId="631" applyFont="1"/>
    <xf numFmtId="198" fontId="37" fillId="0" borderId="0" xfId="0" applyNumberFormat="1" applyFont="1" applyFill="1" applyAlignment="1">
      <alignment horizontal="left" vertical="center" indent="1"/>
    </xf>
    <xf numFmtId="198" fontId="42" fillId="24" borderId="0" xfId="56" applyNumberFormat="1" applyFont="1" applyFill="1" applyAlignment="1">
      <alignment horizontal="right" vertical="center"/>
    </xf>
    <xf numFmtId="43" fontId="42" fillId="24" borderId="0" xfId="56" applyNumberFormat="1" applyFont="1" applyFill="1" applyAlignment="1">
      <alignment horizontal="right" vertical="center"/>
    </xf>
    <xf numFmtId="2" fontId="42" fillId="24" borderId="0" xfId="56" applyNumberFormat="1" applyFont="1" applyFill="1" applyAlignment="1">
      <alignment horizontal="right" vertical="center"/>
    </xf>
    <xf numFmtId="0" fontId="58" fillId="0" borderId="48" xfId="631" applyFont="1" applyBorder="1" applyAlignment="1">
      <alignment horizontal="center" vertical="center"/>
    </xf>
    <xf numFmtId="0" fontId="62" fillId="0" borderId="13" xfId="141" applyFont="1" applyBorder="1" applyAlignment="1">
      <alignment horizontal="center" vertical="center"/>
    </xf>
    <xf numFmtId="0" fontId="46" fillId="0" borderId="13" xfId="141" applyFont="1" applyBorder="1" applyAlignment="1">
      <alignment horizontal="center" vertical="center"/>
    </xf>
    <xf numFmtId="0" fontId="58" fillId="0" borderId="50" xfId="631" applyFont="1" applyBorder="1" applyAlignment="1">
      <alignment horizontal="center" vertical="center" wrapText="1"/>
    </xf>
    <xf numFmtId="0" fontId="56" fillId="0" borderId="13" xfId="631" applyFont="1" applyBorder="1" applyAlignment="1">
      <alignment horizontal="center"/>
    </xf>
    <xf numFmtId="0" fontId="61" fillId="0" borderId="0" xfId="631" applyFont="1" applyAlignment="1">
      <alignment horizontal="center"/>
    </xf>
    <xf numFmtId="0" fontId="58" fillId="0" borderId="13" xfId="631" applyFont="1" applyBorder="1" applyAlignment="1">
      <alignment horizontal="left"/>
    </xf>
    <xf numFmtId="0" fontId="58" fillId="0" borderId="0" xfId="631" applyFont="1" applyBorder="1" applyAlignment="1">
      <alignment horizontal="right"/>
    </xf>
    <xf numFmtId="4" fontId="58" fillId="0" borderId="0" xfId="631" applyNumberFormat="1" applyFont="1" applyBorder="1" applyAlignment="1">
      <alignment horizontal="left"/>
    </xf>
    <xf numFmtId="0" fontId="46" fillId="0" borderId="14" xfId="141" applyFont="1" applyBorder="1" applyAlignment="1">
      <alignment horizontal="center" wrapText="1"/>
    </xf>
    <xf numFmtId="0" fontId="42" fillId="0" borderId="16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2" fillId="0" borderId="14" xfId="0" applyFont="1" applyFill="1" applyBorder="1" applyAlignment="1">
      <alignment vertical="center"/>
    </xf>
    <xf numFmtId="0" fontId="60" fillId="0" borderId="0" xfId="631" applyFont="1" applyBorder="1"/>
    <xf numFmtId="0" fontId="41" fillId="0" borderId="94" xfId="141" applyFont="1" applyBorder="1" applyAlignment="1">
      <alignment horizontal="center" vertical="center" wrapText="1"/>
    </xf>
    <xf numFmtId="0" fontId="58" fillId="0" borderId="36" xfId="631" applyFont="1" applyBorder="1" applyAlignment="1">
      <alignment horizontal="center" vertical="center"/>
    </xf>
    <xf numFmtId="0" fontId="58" fillId="0" borderId="37" xfId="631" applyFont="1" applyBorder="1" applyAlignment="1">
      <alignment horizontal="center" vertical="center"/>
    </xf>
    <xf numFmtId="0" fontId="58" fillId="0" borderId="30" xfId="631" applyFont="1" applyBorder="1" applyAlignment="1">
      <alignment horizontal="center" vertical="center"/>
    </xf>
    <xf numFmtId="0" fontId="57" fillId="0" borderId="93" xfId="631" applyFont="1" applyBorder="1"/>
    <xf numFmtId="0" fontId="57" fillId="0" borderId="0" xfId="631" applyFont="1" applyBorder="1"/>
    <xf numFmtId="0" fontId="56" fillId="0" borderId="16" xfId="631" applyFont="1" applyBorder="1"/>
    <xf numFmtId="0" fontId="62" fillId="0" borderId="94" xfId="141" applyFont="1" applyBorder="1" applyAlignment="1">
      <alignment vertical="center"/>
    </xf>
    <xf numFmtId="0" fontId="8" fillId="0" borderId="0" xfId="631" applyFont="1" applyBorder="1"/>
    <xf numFmtId="0" fontId="59" fillId="0" borderId="0" xfId="631" applyFont="1" applyBorder="1"/>
    <xf numFmtId="0" fontId="46" fillId="0" borderId="0" xfId="141" applyFont="1" applyBorder="1" applyAlignment="1">
      <alignment horizontal="center" vertical="center"/>
    </xf>
    <xf numFmtId="0" fontId="46" fillId="0" borderId="13" xfId="141" applyFont="1" applyBorder="1" applyAlignment="1">
      <alignment wrapText="1"/>
    </xf>
    <xf numFmtId="0" fontId="46" fillId="0" borderId="0" xfId="141" applyFont="1" applyBorder="1" applyAlignment="1">
      <alignment wrapText="1"/>
    </xf>
    <xf numFmtId="0" fontId="62" fillId="0" borderId="93" xfId="141" applyFont="1" applyBorder="1" applyAlignment="1">
      <alignment vertical="center"/>
    </xf>
    <xf numFmtId="0" fontId="42" fillId="0" borderId="93" xfId="52" applyFont="1" applyFill="1" applyBorder="1" applyAlignment="1">
      <alignment vertical="center" wrapText="1"/>
    </xf>
    <xf numFmtId="165" fontId="42" fillId="0" borderId="93" xfId="47" applyNumberFormat="1" applyFont="1" applyFill="1" applyBorder="1" applyAlignment="1" applyProtection="1">
      <alignment horizontal="right" vertical="center" wrapText="1"/>
      <protection locked="0"/>
    </xf>
    <xf numFmtId="165" fontId="42" fillId="24" borderId="94" xfId="47" applyNumberFormat="1" applyFont="1" applyFill="1" applyBorder="1" applyAlignment="1">
      <alignment horizontal="right" vertical="center"/>
    </xf>
    <xf numFmtId="0" fontId="63" fillId="0" borderId="94" xfId="53" applyFont="1" applyBorder="1" applyAlignment="1">
      <alignment vertical="center"/>
    </xf>
    <xf numFmtId="0" fontId="64" fillId="0" borderId="14" xfId="0" applyFont="1" applyFill="1" applyBorder="1" applyAlignment="1" applyProtection="1">
      <alignment horizontal="center" vertical="center"/>
    </xf>
    <xf numFmtId="0" fontId="64" fillId="0" borderId="13" xfId="0" applyFont="1" applyFill="1" applyBorder="1" applyAlignment="1" applyProtection="1">
      <alignment horizontal="center" vertical="center"/>
    </xf>
    <xf numFmtId="0" fontId="37" fillId="0" borderId="13" xfId="0" applyFont="1" applyFill="1" applyBorder="1" applyAlignment="1" applyProtection="1">
      <alignment horizontal="center" vertical="center"/>
    </xf>
    <xf numFmtId="0" fontId="37" fillId="0" borderId="25" xfId="0" applyFont="1" applyFill="1" applyBorder="1" applyAlignment="1">
      <alignment vertical="center"/>
    </xf>
    <xf numFmtId="0" fontId="42" fillId="0" borderId="10" xfId="0" applyFont="1" applyBorder="1" applyAlignment="1">
      <alignment horizontal="center"/>
    </xf>
    <xf numFmtId="0" fontId="44" fillId="0" borderId="93" xfId="0" applyFont="1" applyBorder="1" applyAlignment="1">
      <alignment horizontal="center"/>
    </xf>
    <xf numFmtId="0" fontId="42" fillId="0" borderId="93" xfId="0" applyFont="1" applyBorder="1" applyAlignment="1">
      <alignment horizontal="center"/>
    </xf>
    <xf numFmtId="0" fontId="42" fillId="0" borderId="94" xfId="0" applyFont="1" applyBorder="1" applyAlignment="1">
      <alignment horizontal="center"/>
    </xf>
    <xf numFmtId="0" fontId="42" fillId="0" borderId="0" xfId="0" applyFont="1" applyBorder="1" applyAlignment="1"/>
    <xf numFmtId="0" fontId="71" fillId="0" borderId="0" xfId="0" applyFont="1" applyAlignment="1">
      <alignment horizontal="center" vertical="center" wrapText="1"/>
    </xf>
    <xf numFmtId="0" fontId="71" fillId="0" borderId="55" xfId="0" applyFont="1" applyBorder="1" applyAlignment="1">
      <alignment horizontal="center" vertical="center" wrapText="1"/>
    </xf>
    <xf numFmtId="0" fontId="71" fillId="0" borderId="0" xfId="633" applyFont="1" applyAlignment="1">
      <alignment vertical="center"/>
    </xf>
    <xf numFmtId="0" fontId="71" fillId="0" borderId="14" xfId="633" applyFont="1" applyBorder="1" applyAlignment="1">
      <alignment vertical="center"/>
    </xf>
    <xf numFmtId="0" fontId="71" fillId="0" borderId="0" xfId="633" applyFont="1" applyBorder="1" applyAlignment="1">
      <alignment vertical="center"/>
    </xf>
    <xf numFmtId="0" fontId="39" fillId="0" borderId="16" xfId="633" applyFont="1" applyBorder="1" applyAlignment="1">
      <alignment vertical="center"/>
    </xf>
    <xf numFmtId="0" fontId="39" fillId="0" borderId="93" xfId="633" applyFont="1" applyBorder="1" applyAlignment="1">
      <alignment vertical="center"/>
    </xf>
    <xf numFmtId="4" fontId="39" fillId="0" borderId="93" xfId="633" applyNumberFormat="1" applyFont="1" applyBorder="1" applyAlignment="1">
      <alignment vertical="center"/>
    </xf>
    <xf numFmtId="4" fontId="39" fillId="0" borderId="16" xfId="633" applyNumberFormat="1" applyFont="1" applyBorder="1" applyAlignment="1">
      <alignment vertical="center"/>
    </xf>
    <xf numFmtId="4" fontId="71" fillId="0" borderId="0" xfId="633" applyNumberFormat="1" applyFont="1" applyAlignment="1">
      <alignment vertical="center"/>
    </xf>
    <xf numFmtId="0" fontId="39" fillId="0" borderId="93" xfId="633" applyFont="1" applyFill="1" applyBorder="1" applyAlignment="1">
      <alignment horizontal="center" vertical="center"/>
    </xf>
    <xf numFmtId="0" fontId="39" fillId="0" borderId="0" xfId="633" applyFont="1" applyFill="1" applyBorder="1" applyAlignment="1">
      <alignment vertical="center"/>
    </xf>
    <xf numFmtId="4" fontId="39" fillId="0" borderId="0" xfId="633" applyNumberFormat="1" applyFont="1" applyFill="1" applyBorder="1" applyAlignment="1">
      <alignment vertical="center"/>
    </xf>
    <xf numFmtId="0" fontId="71" fillId="0" borderId="0" xfId="633" applyFont="1" applyFill="1" applyBorder="1" applyAlignment="1">
      <alignment vertical="center"/>
    </xf>
    <xf numFmtId="0" fontId="39" fillId="0" borderId="0" xfId="633" applyFont="1" applyFill="1" applyBorder="1" applyAlignment="1">
      <alignment horizontal="left" vertical="center"/>
    </xf>
    <xf numFmtId="0" fontId="39" fillId="0" borderId="0" xfId="633" applyFont="1" applyFill="1" applyBorder="1" applyAlignment="1">
      <alignment horizontal="left" vertical="center" wrapText="1"/>
    </xf>
    <xf numFmtId="0" fontId="39" fillId="0" borderId="0" xfId="633" applyFont="1" applyFill="1" applyBorder="1" applyAlignment="1">
      <alignment horizontal="center" vertical="center"/>
    </xf>
    <xf numFmtId="180" fontId="71" fillId="0" borderId="0" xfId="145" applyFont="1" applyFill="1" applyBorder="1" applyAlignment="1">
      <alignment horizontal="centerContinuous" vertical="center"/>
    </xf>
    <xf numFmtId="0" fontId="83" fillId="0" borderId="0" xfId="633" applyFont="1" applyFill="1" applyBorder="1" applyAlignment="1">
      <alignment horizontal="center" vertical="center"/>
    </xf>
    <xf numFmtId="0" fontId="39" fillId="0" borderId="79" xfId="633" applyFont="1" applyBorder="1" applyAlignment="1"/>
    <xf numFmtId="0" fontId="39" fillId="0" borderId="164" xfId="633" applyFont="1" applyBorder="1" applyAlignment="1"/>
    <xf numFmtId="0" fontId="39" fillId="0" borderId="165" xfId="633" applyFont="1" applyBorder="1" applyAlignment="1">
      <alignment horizontal="center" vertical="center"/>
    </xf>
    <xf numFmtId="0" fontId="71" fillId="0" borderId="81" xfId="633" applyFont="1" applyBorder="1" applyAlignment="1">
      <alignment vertical="center"/>
    </xf>
    <xf numFmtId="0" fontId="71" fillId="0" borderId="88" xfId="633" applyFont="1" applyBorder="1" applyAlignment="1">
      <alignment vertical="center"/>
    </xf>
    <xf numFmtId="0" fontId="39" fillId="0" borderId="88" xfId="633" applyFont="1" applyBorder="1" applyAlignment="1">
      <alignment horizontal="center" vertical="center"/>
    </xf>
    <xf numFmtId="0" fontId="39" fillId="0" borderId="84" xfId="633" applyFont="1" applyBorder="1" applyAlignment="1">
      <alignment vertical="center"/>
    </xf>
    <xf numFmtId="0" fontId="39" fillId="0" borderId="83" xfId="633" applyFont="1" applyBorder="1" applyAlignment="1">
      <alignment vertical="center"/>
    </xf>
    <xf numFmtId="0" fontId="39" fillId="0" borderId="136" xfId="633" applyFont="1" applyBorder="1" applyAlignment="1">
      <alignment horizontal="center" vertical="center"/>
    </xf>
    <xf numFmtId="0" fontId="71" fillId="0" borderId="90" xfId="633" applyFont="1" applyBorder="1" applyAlignment="1">
      <alignment horizontal="center" vertical="center" wrapText="1"/>
    </xf>
    <xf numFmtId="0" fontId="71" fillId="0" borderId="90" xfId="141" applyFont="1" applyBorder="1" applyAlignment="1">
      <alignment horizontal="center" vertical="center" wrapText="1"/>
    </xf>
    <xf numFmtId="0" fontId="39" fillId="0" borderId="167" xfId="633" applyFont="1" applyFill="1" applyBorder="1" applyAlignment="1">
      <alignment horizontal="center" vertical="center"/>
    </xf>
    <xf numFmtId="0" fontId="39" fillId="0" borderId="93" xfId="633" applyFont="1" applyFill="1" applyBorder="1" applyAlignment="1">
      <alignment vertical="center"/>
    </xf>
    <xf numFmtId="0" fontId="39" fillId="0" borderId="84" xfId="633" applyFont="1" applyFill="1" applyBorder="1" applyAlignment="1">
      <alignment vertical="center"/>
    </xf>
    <xf numFmtId="0" fontId="39" fillId="0" borderId="97" xfId="633" applyFont="1" applyFill="1" applyBorder="1" applyAlignment="1">
      <alignment horizontal="left" vertical="center" wrapText="1"/>
    </xf>
    <xf numFmtId="0" fontId="39" fillId="0" borderId="81" xfId="633" applyFont="1" applyFill="1" applyBorder="1" applyAlignment="1">
      <alignment horizontal="left" vertical="center"/>
    </xf>
    <xf numFmtId="0" fontId="39" fillId="0" borderId="81" xfId="633" applyFont="1" applyFill="1" applyBorder="1" applyAlignment="1">
      <alignment horizontal="center" vertical="center"/>
    </xf>
    <xf numFmtId="0" fontId="39" fillId="0" borderId="97" xfId="633" applyFont="1" applyFill="1" applyBorder="1" applyAlignment="1">
      <alignment vertical="center"/>
    </xf>
    <xf numFmtId="0" fontId="39" fillId="0" borderId="97" xfId="633" applyFont="1" applyFill="1" applyBorder="1" applyAlignment="1">
      <alignment horizontal="center" vertical="center"/>
    </xf>
    <xf numFmtId="17" fontId="5" fillId="0" borderId="34" xfId="631" applyNumberFormat="1" applyFont="1" applyBorder="1" applyAlignment="1">
      <alignment horizontal="center" vertical="center"/>
    </xf>
    <xf numFmtId="0" fontId="71" fillId="0" borderId="100" xfId="633" applyFont="1" applyBorder="1" applyAlignment="1">
      <alignment vertical="center"/>
    </xf>
    <xf numFmtId="0" fontId="39" fillId="0" borderId="81" xfId="633" applyFont="1" applyFill="1" applyBorder="1" applyAlignment="1">
      <alignment vertical="center"/>
    </xf>
    <xf numFmtId="180" fontId="39" fillId="0" borderId="0" xfId="145" applyFont="1" applyFill="1" applyBorder="1" applyAlignment="1">
      <alignment horizontal="centerContinuous" vertical="center"/>
    </xf>
    <xf numFmtId="0" fontId="71" fillId="0" borderId="99" xfId="633" applyFont="1" applyBorder="1" applyAlignment="1">
      <alignment vertical="center"/>
    </xf>
    <xf numFmtId="0" fontId="71" fillId="0" borderId="0" xfId="857" applyFont="1" applyAlignment="1">
      <alignment vertical="center"/>
    </xf>
    <xf numFmtId="4" fontId="71" fillId="0" borderId="0" xfId="857" applyNumberFormat="1" applyFont="1" applyAlignment="1">
      <alignment vertical="center"/>
    </xf>
    <xf numFmtId="49" fontId="71" fillId="0" borderId="50" xfId="857" applyNumberFormat="1" applyFont="1" applyBorder="1" applyAlignment="1" applyProtection="1">
      <alignment horizontal="center" vertical="center"/>
    </xf>
    <xf numFmtId="0" fontId="71" fillId="0" borderId="48" xfId="857" applyFont="1" applyBorder="1" applyAlignment="1">
      <alignment horizontal="center" vertical="center" wrapText="1"/>
    </xf>
    <xf numFmtId="4" fontId="71" fillId="0" borderId="74" xfId="857" applyNumberFormat="1" applyFont="1" applyBorder="1" applyAlignment="1">
      <alignment horizontal="center" vertical="center"/>
    </xf>
    <xf numFmtId="4" fontId="71" fillId="0" borderId="36" xfId="857" applyNumberFormat="1" applyFont="1" applyBorder="1" applyAlignment="1">
      <alignment horizontal="center" vertical="center"/>
    </xf>
    <xf numFmtId="4" fontId="71" fillId="0" borderId="50" xfId="857" applyNumberFormat="1" applyFont="1" applyBorder="1" applyAlignment="1" applyProtection="1">
      <alignment horizontal="right" vertical="center"/>
    </xf>
    <xf numFmtId="4" fontId="71" fillId="0" borderId="48" xfId="857" applyNumberFormat="1" applyFont="1" applyBorder="1" applyAlignment="1" applyProtection="1">
      <alignment horizontal="right" vertical="center" indent="1"/>
    </xf>
    <xf numFmtId="182" fontId="71" fillId="0" borderId="50" xfId="857" applyNumberFormat="1" applyFont="1" applyBorder="1" applyAlignment="1" applyProtection="1">
      <alignment horizontal="center" vertical="center"/>
    </xf>
    <xf numFmtId="182" fontId="71" fillId="0" borderId="48" xfId="857" applyNumberFormat="1" applyFont="1" applyBorder="1" applyAlignment="1" applyProtection="1">
      <alignment horizontal="center" vertical="center"/>
    </xf>
    <xf numFmtId="0" fontId="71" fillId="0" borderId="0" xfId="857" applyFont="1" applyBorder="1" applyAlignment="1">
      <alignment horizontal="center" vertical="center" wrapText="1"/>
    </xf>
    <xf numFmtId="49" fontId="71" fillId="0" borderId="0" xfId="857" applyNumberFormat="1" applyFont="1" applyBorder="1" applyAlignment="1" applyProtection="1">
      <alignment horizontal="center" vertical="center"/>
    </xf>
    <xf numFmtId="182" fontId="71" fillId="0" borderId="0" xfId="857" applyNumberFormat="1" applyFont="1" applyBorder="1" applyAlignment="1" applyProtection="1">
      <alignment horizontal="center" vertical="center"/>
    </xf>
    <xf numFmtId="0" fontId="71" fillId="0" borderId="0" xfId="857" applyFont="1" applyBorder="1" applyAlignment="1">
      <alignment vertical="center"/>
    </xf>
    <xf numFmtId="0" fontId="71" fillId="24" borderId="0" xfId="858" applyFont="1" applyFill="1" applyBorder="1" applyAlignment="1">
      <alignment vertical="center"/>
    </xf>
    <xf numFmtId="0" fontId="71" fillId="24" borderId="0" xfId="858" applyFont="1" applyFill="1" applyBorder="1" applyAlignment="1">
      <alignment horizontal="right" vertical="center"/>
    </xf>
    <xf numFmtId="14" fontId="71" fillId="0" borderId="0" xfId="857" applyNumberFormat="1" applyFont="1" applyBorder="1" applyAlignment="1">
      <alignment vertical="center"/>
    </xf>
    <xf numFmtId="2" fontId="71" fillId="0" borderId="0" xfId="857" applyNumberFormat="1" applyFont="1" applyBorder="1" applyAlignment="1">
      <alignment vertical="center"/>
    </xf>
    <xf numFmtId="0" fontId="84" fillId="0" borderId="0" xfId="857" applyFont="1" applyAlignment="1">
      <alignment vertical="center"/>
    </xf>
    <xf numFmtId="0" fontId="84" fillId="0" borderId="0" xfId="857" applyFont="1" applyBorder="1" applyAlignment="1">
      <alignment vertical="center"/>
    </xf>
    <xf numFmtId="0" fontId="84" fillId="24" borderId="0" xfId="858" applyFont="1" applyFill="1" applyBorder="1" applyAlignment="1">
      <alignment horizontal="right" vertical="center"/>
    </xf>
    <xf numFmtId="4" fontId="71" fillId="0" borderId="0" xfId="857" applyNumberFormat="1" applyFont="1" applyBorder="1" applyAlignment="1">
      <alignment horizontal="center" vertical="center"/>
    </xf>
    <xf numFmtId="4" fontId="71" fillId="0" borderId="0" xfId="857" applyNumberFormat="1" applyFont="1" applyBorder="1" applyAlignment="1" applyProtection="1">
      <alignment horizontal="right" vertical="center"/>
    </xf>
    <xf numFmtId="4" fontId="71" fillId="0" borderId="0" xfId="857" applyNumberFormat="1" applyFont="1" applyBorder="1" applyAlignment="1" applyProtection="1">
      <alignment horizontal="right" vertical="center" indent="1"/>
    </xf>
    <xf numFmtId="4" fontId="71" fillId="0" borderId="0" xfId="857" applyNumberFormat="1" applyFont="1" applyBorder="1" applyAlignment="1">
      <alignment horizontal="left" vertical="center"/>
    </xf>
    <xf numFmtId="182" fontId="71" fillId="0" borderId="0" xfId="857" applyNumberFormat="1" applyFont="1" applyBorder="1" applyAlignment="1" applyProtection="1">
      <alignment horizontal="left" vertical="center"/>
    </xf>
    <xf numFmtId="182" fontId="5" fillId="0" borderId="28" xfId="631" applyNumberFormat="1" applyFont="1" applyBorder="1" applyAlignment="1">
      <alignment horizontal="center" vertical="center"/>
    </xf>
    <xf numFmtId="182" fontId="5" fillId="0" borderId="45" xfId="631" applyNumberFormat="1" applyFont="1" applyBorder="1" applyAlignment="1">
      <alignment horizontal="center" vertical="center"/>
    </xf>
    <xf numFmtId="165" fontId="42" fillId="24" borderId="93" xfId="47" applyNumberFormat="1" applyFont="1" applyFill="1" applyBorder="1" applyAlignment="1" applyProtection="1">
      <alignment horizontal="right" vertical="center"/>
      <protection locked="0"/>
    </xf>
    <xf numFmtId="0" fontId="46" fillId="0" borderId="14" xfId="631" applyFont="1" applyBorder="1"/>
    <xf numFmtId="165" fontId="42" fillId="24" borderId="19" xfId="47" applyNumberFormat="1" applyFont="1" applyFill="1" applyBorder="1" applyAlignment="1" applyProtection="1">
      <alignment horizontal="right" vertical="center"/>
      <protection locked="0"/>
    </xf>
    <xf numFmtId="165" fontId="42" fillId="24" borderId="19" xfId="47" applyNumberFormat="1" applyFont="1" applyFill="1" applyBorder="1" applyAlignment="1">
      <alignment horizontal="right" vertical="center"/>
    </xf>
    <xf numFmtId="179" fontId="71" fillId="0" borderId="168" xfId="633" applyNumberFormat="1" applyFont="1" applyBorder="1" applyAlignment="1">
      <alignment horizontal="center" vertical="center" wrapText="1"/>
    </xf>
    <xf numFmtId="0" fontId="71" fillId="0" borderId="13" xfId="0" applyFont="1" applyBorder="1" applyAlignment="1">
      <alignment horizontal="center" vertical="center" wrapText="1"/>
    </xf>
    <xf numFmtId="0" fontId="71" fillId="0" borderId="0" xfId="0" applyFont="1" applyBorder="1" applyAlignment="1">
      <alignment horizontal="center" vertical="center" wrapText="1"/>
    </xf>
    <xf numFmtId="0" fontId="71" fillId="0" borderId="14" xfId="0" applyFont="1" applyBorder="1" applyAlignment="1">
      <alignment horizontal="center" vertical="center" wrapText="1"/>
    </xf>
    <xf numFmtId="0" fontId="71" fillId="0" borderId="15" xfId="0" applyFont="1" applyBorder="1" applyAlignment="1">
      <alignment horizontal="center" vertical="center" wrapText="1"/>
    </xf>
    <xf numFmtId="43" fontId="8" fillId="0" borderId="0" xfId="631" applyNumberFormat="1" applyFont="1"/>
    <xf numFmtId="166" fontId="8" fillId="0" borderId="0" xfId="631" applyNumberFormat="1" applyFont="1"/>
    <xf numFmtId="166" fontId="61" fillId="0" borderId="0" xfId="631" applyNumberFormat="1" applyFont="1"/>
    <xf numFmtId="43" fontId="61" fillId="0" borderId="0" xfId="631" applyNumberFormat="1" applyFont="1"/>
    <xf numFmtId="0" fontId="71" fillId="0" borderId="169" xfId="141" applyFont="1" applyBorder="1" applyAlignment="1">
      <alignment horizontal="center" vertical="center" wrapText="1"/>
    </xf>
    <xf numFmtId="182" fontId="5" fillId="0" borderId="51" xfId="631" applyNumberFormat="1" applyFont="1" applyBorder="1" applyAlignment="1">
      <alignment horizontal="center" vertical="center"/>
    </xf>
    <xf numFmtId="17" fontId="5" fillId="0" borderId="92" xfId="631" applyNumberFormat="1" applyFont="1" applyBorder="1" applyAlignment="1">
      <alignment horizontal="center" vertical="center"/>
    </xf>
    <xf numFmtId="182" fontId="5" fillId="0" borderId="162" xfId="631" applyNumberFormat="1" applyFont="1" applyBorder="1" applyAlignment="1">
      <alignment horizontal="center" vertical="center"/>
    </xf>
    <xf numFmtId="179" fontId="71" fillId="0" borderId="91" xfId="633" applyNumberFormat="1" applyFont="1" applyBorder="1" applyAlignment="1">
      <alignment horizontal="center" vertical="center" wrapText="1"/>
    </xf>
    <xf numFmtId="0" fontId="40" fillId="0" borderId="13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72" fillId="0" borderId="0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left" vertical="center" indent="1"/>
    </xf>
    <xf numFmtId="0" fontId="37" fillId="0" borderId="34" xfId="0" applyFont="1" applyFill="1" applyBorder="1" applyAlignment="1">
      <alignment horizontal="left" vertical="center" indent="1"/>
    </xf>
    <xf numFmtId="0" fontId="37" fillId="0" borderId="23" xfId="0" applyFont="1" applyFill="1" applyBorder="1" applyAlignment="1">
      <alignment horizontal="left" vertical="center" indent="1"/>
    </xf>
    <xf numFmtId="0" fontId="72" fillId="0" borderId="14" xfId="0" applyFont="1" applyFill="1" applyBorder="1" applyAlignment="1">
      <alignment horizontal="center" vertical="center"/>
    </xf>
    <xf numFmtId="0" fontId="37" fillId="0" borderId="10" xfId="0" applyFont="1" applyFill="1" applyBorder="1" applyAlignment="1">
      <alignment vertical="center"/>
    </xf>
    <xf numFmtId="0" fontId="37" fillId="0" borderId="93" xfId="0" applyFont="1" applyFill="1" applyBorder="1" applyAlignment="1">
      <alignment vertical="center"/>
    </xf>
    <xf numFmtId="179" fontId="71" fillId="0" borderId="91" xfId="633" applyNumberFormat="1" applyFont="1" applyBorder="1" applyAlignment="1">
      <alignment horizontal="center" vertical="center"/>
    </xf>
    <xf numFmtId="179" fontId="71" fillId="0" borderId="91" xfId="633" applyNumberFormat="1" applyFont="1" applyFill="1" applyBorder="1" applyAlignment="1">
      <alignment horizontal="center" vertical="center"/>
    </xf>
    <xf numFmtId="179" fontId="71" fillId="0" borderId="170" xfId="633" applyNumberFormat="1" applyFont="1" applyBorder="1" applyAlignment="1">
      <alignment horizontal="center" vertical="center"/>
    </xf>
    <xf numFmtId="166" fontId="8" fillId="0" borderId="0" xfId="631" applyNumberFormat="1"/>
    <xf numFmtId="0" fontId="41" fillId="0" borderId="13" xfId="141" applyFont="1" applyBorder="1" applyAlignment="1">
      <alignment vertical="center" wrapText="1"/>
    </xf>
    <xf numFmtId="0" fontId="41" fillId="0" borderId="14" xfId="141" applyFont="1" applyBorder="1" applyAlignment="1">
      <alignment vertical="center" wrapText="1"/>
    </xf>
    <xf numFmtId="0" fontId="47" fillId="0" borderId="10" xfId="141" applyFont="1" applyFill="1" applyBorder="1" applyAlignment="1">
      <alignment horizontal="left" vertical="center"/>
    </xf>
    <xf numFmtId="0" fontId="41" fillId="0" borderId="93" xfId="141" applyFont="1" applyFill="1" applyBorder="1" applyAlignment="1">
      <alignment horizontal="left" vertical="center"/>
    </xf>
    <xf numFmtId="0" fontId="47" fillId="0" borderId="32" xfId="141" applyFont="1" applyBorder="1" applyAlignment="1">
      <alignment vertical="center"/>
    </xf>
    <xf numFmtId="0" fontId="47" fillId="0" borderId="15" xfId="141" applyFont="1" applyBorder="1" applyAlignment="1">
      <alignment vertical="center"/>
    </xf>
    <xf numFmtId="183" fontId="42" fillId="24" borderId="0" xfId="56" applyNumberFormat="1" applyFont="1" applyFill="1" applyAlignment="1">
      <alignment horizontal="right" vertical="center"/>
    </xf>
    <xf numFmtId="190" fontId="42" fillId="24" borderId="0" xfId="56" applyNumberFormat="1" applyFont="1" applyFill="1" applyAlignment="1">
      <alignment horizontal="right" vertical="center"/>
    </xf>
    <xf numFmtId="199" fontId="42" fillId="24" borderId="0" xfId="56" applyNumberFormat="1" applyFont="1" applyFill="1" applyAlignment="1">
      <alignment horizontal="right" vertical="center"/>
    </xf>
    <xf numFmtId="2" fontId="61" fillId="0" borderId="0" xfId="631" applyNumberFormat="1" applyFont="1"/>
    <xf numFmtId="17" fontId="4" fillId="0" borderId="34" xfId="631" applyNumberFormat="1" applyFont="1" applyBorder="1" applyAlignment="1">
      <alignment horizontal="center" vertical="center"/>
    </xf>
    <xf numFmtId="200" fontId="37" fillId="0" borderId="0" xfId="59" applyNumberFormat="1" applyFont="1" applyFill="1" applyAlignment="1">
      <alignment vertical="center"/>
    </xf>
    <xf numFmtId="189" fontId="37" fillId="0" borderId="0" xfId="59" applyNumberFormat="1" applyFont="1" applyFill="1" applyAlignment="1">
      <alignment vertical="center"/>
    </xf>
    <xf numFmtId="2" fontId="37" fillId="0" borderId="0" xfId="0" applyNumberFormat="1" applyFont="1" applyFill="1" applyAlignment="1">
      <alignment vertical="center"/>
    </xf>
    <xf numFmtId="179" fontId="47" fillId="0" borderId="55" xfId="633" applyNumberFormat="1" applyFont="1" applyBorder="1" applyAlignment="1">
      <alignment horizontal="center" vertical="center" wrapText="1"/>
    </xf>
    <xf numFmtId="43" fontId="42" fillId="24" borderId="0" xfId="56" applyNumberFormat="1" applyFont="1" applyFill="1" applyAlignment="1">
      <alignment vertical="center"/>
    </xf>
    <xf numFmtId="0" fontId="75" fillId="0" borderId="0" xfId="0" applyFont="1" applyFill="1" applyAlignment="1">
      <alignment vertical="center"/>
    </xf>
    <xf numFmtId="0" fontId="41" fillId="0" borderId="0" xfId="141" applyFont="1" applyBorder="1" applyAlignment="1">
      <alignment vertical="center" wrapText="1"/>
    </xf>
    <xf numFmtId="0" fontId="41" fillId="0" borderId="40" xfId="14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right" vertical="center"/>
    </xf>
    <xf numFmtId="177" fontId="41" fillId="24" borderId="32" xfId="142" applyNumberFormat="1" applyFont="1" applyFill="1" applyBorder="1" applyAlignment="1">
      <alignment horizontal="center" vertical="center"/>
    </xf>
    <xf numFmtId="0" fontId="41" fillId="0" borderId="0" xfId="141" applyFont="1" applyBorder="1" applyAlignment="1">
      <alignment horizontal="center" vertical="center"/>
    </xf>
    <xf numFmtId="0" fontId="41" fillId="0" borderId="0" xfId="141" applyFont="1" applyBorder="1" applyAlignment="1">
      <alignment horizontal="center" vertical="center" wrapText="1"/>
    </xf>
    <xf numFmtId="0" fontId="41" fillId="0" borderId="14" xfId="141" applyFont="1" applyBorder="1" applyAlignment="1">
      <alignment horizontal="center" vertical="center" wrapText="1"/>
    </xf>
    <xf numFmtId="0" fontId="47" fillId="0" borderId="14" xfId="141" applyFont="1" applyFill="1" applyBorder="1" applyAlignment="1">
      <alignment vertical="center"/>
    </xf>
    <xf numFmtId="0" fontId="41" fillId="0" borderId="14" xfId="141" applyFont="1" applyFill="1" applyBorder="1" applyAlignment="1">
      <alignment horizontal="center" vertical="center"/>
    </xf>
    <xf numFmtId="0" fontId="41" fillId="0" borderId="17" xfId="141" applyFont="1" applyFill="1" applyBorder="1" applyAlignment="1">
      <alignment horizontal="center" vertical="center"/>
    </xf>
    <xf numFmtId="165" fontId="42" fillId="0" borderId="23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33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52" xfId="47" applyNumberFormat="1" applyFont="1" applyFill="1" applyBorder="1" applyAlignment="1" applyProtection="1">
      <alignment horizontal="right" vertical="center" wrapText="1"/>
      <protection locked="0"/>
    </xf>
    <xf numFmtId="0" fontId="42" fillId="0" borderId="44" xfId="52" applyFont="1" applyFill="1" applyBorder="1" applyAlignment="1">
      <alignment vertical="center" wrapText="1"/>
    </xf>
    <xf numFmtId="0" fontId="42" fillId="0" borderId="35" xfId="52" applyFont="1" applyFill="1" applyBorder="1" applyAlignment="1">
      <alignment horizontal="center" vertical="center" wrapText="1"/>
    </xf>
    <xf numFmtId="165" fontId="42" fillId="0" borderId="94" xfId="47" applyNumberFormat="1" applyFont="1" applyFill="1" applyBorder="1" applyAlignment="1">
      <alignment horizontal="right" vertical="center" wrapText="1"/>
    </xf>
    <xf numFmtId="0" fontId="42" fillId="0" borderId="28" xfId="52" applyFont="1" applyFill="1" applyBorder="1" applyAlignment="1">
      <alignment horizontal="center" vertical="center" wrapText="1"/>
    </xf>
    <xf numFmtId="0" fontId="42" fillId="0" borderId="65" xfId="52" applyFont="1" applyFill="1" applyBorder="1" applyAlignment="1">
      <alignment vertical="center" wrapText="1"/>
    </xf>
    <xf numFmtId="0" fontId="42" fillId="0" borderId="66" xfId="52" applyFont="1" applyFill="1" applyBorder="1" applyAlignment="1">
      <alignment vertical="center" wrapText="1"/>
    </xf>
    <xf numFmtId="0" fontId="42" fillId="0" borderId="51" xfId="52" applyFont="1" applyFill="1" applyBorder="1" applyAlignment="1">
      <alignment horizontal="center" vertical="center" wrapText="1"/>
    </xf>
    <xf numFmtId="0" fontId="42" fillId="0" borderId="44" xfId="52" applyFont="1" applyFill="1" applyBorder="1" applyAlignment="1">
      <alignment vertical="center"/>
    </xf>
    <xf numFmtId="0" fontId="37" fillId="0" borderId="0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/>
    </xf>
    <xf numFmtId="164" fontId="42" fillId="24" borderId="0" xfId="47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/>
    </xf>
    <xf numFmtId="0" fontId="42" fillId="0" borderId="17" xfId="0" applyFont="1" applyBorder="1" applyAlignment="1">
      <alignment horizontal="center"/>
    </xf>
    <xf numFmtId="0" fontId="42" fillId="24" borderId="0" xfId="56" applyFont="1" applyFill="1" applyBorder="1" applyAlignment="1">
      <alignment horizontal="center" vertical="center"/>
    </xf>
    <xf numFmtId="4" fontId="41" fillId="0" borderId="16" xfId="633" applyNumberFormat="1" applyFont="1" applyBorder="1" applyAlignment="1">
      <alignment horizontal="left" vertical="center"/>
    </xf>
    <xf numFmtId="0" fontId="23" fillId="0" borderId="0" xfId="0" applyFont="1"/>
    <xf numFmtId="10" fontId="47" fillId="0" borderId="62" xfId="59" applyNumberFormat="1" applyFont="1" applyBorder="1" applyAlignment="1" applyProtection="1">
      <alignment horizontal="center" vertical="center"/>
    </xf>
    <xf numFmtId="0" fontId="39" fillId="0" borderId="82" xfId="0" applyFont="1" applyBorder="1" applyAlignment="1">
      <alignment horizontal="right"/>
    </xf>
    <xf numFmtId="0" fontId="39" fillId="0" borderId="167" xfId="0" applyFont="1" applyBorder="1" applyAlignment="1">
      <alignment horizontal="right"/>
    </xf>
    <xf numFmtId="0" fontId="71" fillId="0" borderId="93" xfId="633" applyFont="1" applyBorder="1" applyAlignment="1">
      <alignment vertical="center"/>
    </xf>
    <xf numFmtId="0" fontId="71" fillId="0" borderId="16" xfId="633" applyFont="1" applyBorder="1" applyAlignment="1">
      <alignment vertical="center"/>
    </xf>
    <xf numFmtId="0" fontId="42" fillId="0" borderId="93" xfId="0" applyFont="1" applyBorder="1" applyAlignment="1">
      <alignment horizontal="right"/>
    </xf>
    <xf numFmtId="0" fontId="44" fillId="0" borderId="93" xfId="0" applyFont="1" applyBorder="1" applyAlignment="1">
      <alignment horizontal="left"/>
    </xf>
    <xf numFmtId="43" fontId="44" fillId="24" borderId="0" xfId="56" applyNumberFormat="1" applyFont="1" applyFill="1" applyAlignment="1">
      <alignment vertical="center"/>
    </xf>
    <xf numFmtId="10" fontId="42" fillId="24" borderId="53" xfId="59" applyNumberFormat="1" applyFont="1" applyFill="1" applyBorder="1" applyAlignment="1">
      <alignment horizontal="right" vertical="center"/>
    </xf>
    <xf numFmtId="43" fontId="42" fillId="24" borderId="0" xfId="56" applyNumberFormat="1" applyFont="1" applyFill="1" applyBorder="1" applyAlignment="1">
      <alignment vertical="center"/>
    </xf>
    <xf numFmtId="0" fontId="42" fillId="0" borderId="57" xfId="52" applyFont="1" applyFill="1" applyBorder="1" applyAlignment="1">
      <alignment horizontal="center" vertical="center" wrapText="1"/>
    </xf>
    <xf numFmtId="10" fontId="42" fillId="24" borderId="77" xfId="59" applyNumberFormat="1" applyFont="1" applyFill="1" applyBorder="1" applyAlignment="1">
      <alignment horizontal="right" vertical="center"/>
    </xf>
    <xf numFmtId="0" fontId="44" fillId="0" borderId="94" xfId="52" applyFont="1" applyFill="1" applyBorder="1" applyAlignment="1">
      <alignment vertical="center" wrapText="1"/>
    </xf>
    <xf numFmtId="0" fontId="71" fillId="24" borderId="0" xfId="858" applyFont="1" applyFill="1" applyBorder="1" applyAlignment="1">
      <alignment horizontal="center" vertical="center"/>
    </xf>
    <xf numFmtId="0" fontId="23" fillId="0" borderId="79" xfId="863" applyBorder="1"/>
    <xf numFmtId="0" fontId="23" fillId="0" borderId="80" xfId="863" applyBorder="1"/>
    <xf numFmtId="0" fontId="23" fillId="0" borderId="96" xfId="863" applyBorder="1"/>
    <xf numFmtId="0" fontId="23" fillId="0" borderId="0" xfId="863"/>
    <xf numFmtId="0" fontId="23" fillId="0" borderId="81" xfId="863" applyBorder="1"/>
    <xf numFmtId="0" fontId="23" fillId="0" borderId="0" xfId="863" applyBorder="1"/>
    <xf numFmtId="0" fontId="23" fillId="0" borderId="97" xfId="863" applyBorder="1"/>
    <xf numFmtId="0" fontId="23" fillId="0" borderId="98" xfId="863" applyBorder="1"/>
    <xf numFmtId="0" fontId="23" fillId="0" borderId="100" xfId="863" applyBorder="1"/>
    <xf numFmtId="0" fontId="23" fillId="0" borderId="99" xfId="863" applyBorder="1"/>
    <xf numFmtId="0" fontId="23" fillId="0" borderId="0" xfId="863" applyBorder="1" applyAlignment="1"/>
    <xf numFmtId="0" fontId="23" fillId="0" borderId="81" xfId="863" applyBorder="1" applyAlignment="1"/>
    <xf numFmtId="0" fontId="23" fillId="0" borderId="97" xfId="863" applyBorder="1" applyAlignment="1"/>
    <xf numFmtId="0" fontId="23" fillId="0" borderId="0" xfId="863" applyBorder="1" applyAlignment="1">
      <alignment horizontal="right"/>
    </xf>
    <xf numFmtId="0" fontId="23" fillId="0" borderId="0" xfId="863" applyFont="1" applyBorder="1" applyAlignment="1"/>
    <xf numFmtId="0" fontId="90" fillId="0" borderId="81" xfId="863" applyFont="1" applyFill="1" applyBorder="1" applyAlignment="1"/>
    <xf numFmtId="0" fontId="90" fillId="0" borderId="0" xfId="863" applyFont="1" applyFill="1" applyBorder="1" applyAlignment="1"/>
    <xf numFmtId="49" fontId="88" fillId="0" borderId="81" xfId="863" applyNumberFormat="1" applyFont="1" applyFill="1" applyBorder="1" applyAlignment="1"/>
    <xf numFmtId="17" fontId="88" fillId="0" borderId="0" xfId="863" applyNumberFormat="1" applyFont="1" applyFill="1" applyBorder="1" applyAlignment="1"/>
    <xf numFmtId="17" fontId="88" fillId="0" borderId="97" xfId="863" applyNumberFormat="1" applyFont="1" applyFill="1" applyBorder="1" applyAlignment="1"/>
    <xf numFmtId="0" fontId="92" fillId="0" borderId="100" xfId="863" applyFont="1" applyBorder="1"/>
    <xf numFmtId="0" fontId="23" fillId="0" borderId="100" xfId="863" applyFont="1" applyBorder="1"/>
    <xf numFmtId="0" fontId="91" fillId="0" borderId="81" xfId="863" applyFont="1" applyFill="1" applyBorder="1" applyAlignment="1"/>
    <xf numFmtId="0" fontId="91" fillId="0" borderId="0" xfId="863" applyFont="1" applyFill="1" applyBorder="1" applyAlignment="1"/>
    <xf numFmtId="0" fontId="88" fillId="0" borderId="81" xfId="863" applyFont="1" applyBorder="1" applyAlignment="1">
      <alignment horizontal="center"/>
    </xf>
    <xf numFmtId="0" fontId="88" fillId="0" borderId="0" xfId="863" applyFont="1" applyBorder="1" applyAlignment="1">
      <alignment horizontal="center"/>
    </xf>
    <xf numFmtId="0" fontId="88" fillId="0" borderId="97" xfId="863" applyFont="1" applyBorder="1" applyAlignment="1">
      <alignment horizontal="center"/>
    </xf>
    <xf numFmtId="0" fontId="89" fillId="0" borderId="0" xfId="863" applyFont="1" applyBorder="1"/>
    <xf numFmtId="0" fontId="90" fillId="0" borderId="0" xfId="863" applyFont="1" applyFill="1" applyBorder="1" applyAlignment="1">
      <alignment horizontal="center" vertical="center"/>
    </xf>
    <xf numFmtId="0" fontId="23" fillId="0" borderId="0" xfId="864"/>
    <xf numFmtId="0" fontId="23" fillId="0" borderId="0" xfId="864" applyAlignment="1">
      <alignment horizontal="left"/>
    </xf>
    <xf numFmtId="0" fontId="23" fillId="0" borderId="0" xfId="864" applyFont="1"/>
    <xf numFmtId="0" fontId="23" fillId="0" borderId="81" xfId="864" applyFont="1" applyBorder="1" applyAlignment="1"/>
    <xf numFmtId="0" fontId="23" fillId="0" borderId="0" xfId="864" applyFont="1" applyBorder="1" applyAlignment="1"/>
    <xf numFmtId="0" fontId="23" fillId="0" borderId="137" xfId="864" applyBorder="1" applyAlignment="1">
      <alignment horizontal="center"/>
    </xf>
    <xf numFmtId="0" fontId="23" fillId="0" borderId="81" xfId="864" applyFont="1" applyBorder="1"/>
    <xf numFmtId="0" fontId="23" fillId="0" borderId="0" xfId="864" applyFont="1" applyBorder="1"/>
    <xf numFmtId="0" fontId="23" fillId="0" borderId="97" xfId="864" applyFont="1" applyBorder="1"/>
    <xf numFmtId="0" fontId="23" fillId="0" borderId="98" xfId="864" applyFont="1" applyBorder="1"/>
    <xf numFmtId="0" fontId="23" fillId="0" borderId="100" xfId="864" applyFont="1" applyBorder="1"/>
    <xf numFmtId="0" fontId="23" fillId="0" borderId="99" xfId="864" applyFont="1" applyBorder="1"/>
    <xf numFmtId="202" fontId="23" fillId="0" borderId="0" xfId="864" applyNumberFormat="1" applyFont="1"/>
    <xf numFmtId="0" fontId="23" fillId="0" borderId="171" xfId="864" applyFont="1" applyBorder="1"/>
    <xf numFmtId="0" fontId="23" fillId="0" borderId="86" xfId="864" applyFont="1" applyBorder="1"/>
    <xf numFmtId="0" fontId="69" fillId="0" borderId="86" xfId="864" applyFont="1" applyBorder="1"/>
    <xf numFmtId="0" fontId="69" fillId="0" borderId="0" xfId="864" applyFont="1" applyAlignment="1">
      <alignment wrapText="1"/>
    </xf>
    <xf numFmtId="0" fontId="69" fillId="0" borderId="0" xfId="864" applyFont="1"/>
    <xf numFmtId="0" fontId="23" fillId="0" borderId="181" xfId="864" applyFont="1" applyBorder="1"/>
    <xf numFmtId="0" fontId="87" fillId="0" borderId="0" xfId="864" applyFont="1"/>
    <xf numFmtId="0" fontId="94" fillId="0" borderId="18" xfId="864" applyFont="1" applyBorder="1" applyAlignment="1">
      <alignment horizontal="center"/>
    </xf>
    <xf numFmtId="0" fontId="87" fillId="0" borderId="54" xfId="864" applyFont="1" applyBorder="1" applyAlignment="1">
      <alignment vertical="center"/>
    </xf>
    <xf numFmtId="0" fontId="87" fillId="0" borderId="183" xfId="864" applyFont="1" applyBorder="1" applyAlignment="1">
      <alignment vertical="center"/>
    </xf>
    <xf numFmtId="0" fontId="87" fillId="0" borderId="55" xfId="864" applyFont="1" applyBorder="1" applyAlignment="1">
      <alignment vertical="center"/>
    </xf>
    <xf numFmtId="0" fontId="87" fillId="0" borderId="91" xfId="864" applyFont="1" applyBorder="1" applyAlignment="1">
      <alignment vertical="center"/>
    </xf>
    <xf numFmtId="0" fontId="87" fillId="0" borderId="74" xfId="864" applyFont="1" applyBorder="1" applyAlignment="1">
      <alignment vertical="center"/>
    </xf>
    <xf numFmtId="0" fontId="87" fillId="0" borderId="160" xfId="864" applyFont="1" applyBorder="1" applyAlignment="1">
      <alignment vertical="center"/>
    </xf>
    <xf numFmtId="0" fontId="87" fillId="0" borderId="186" xfId="864" applyFont="1" applyBorder="1" applyAlignment="1">
      <alignment vertical="center"/>
    </xf>
    <xf numFmtId="0" fontId="87" fillId="0" borderId="187" xfId="864" applyFont="1" applyBorder="1" applyAlignment="1">
      <alignment vertical="center"/>
    </xf>
    <xf numFmtId="49" fontId="23" fillId="0" borderId="0" xfId="864" applyNumberFormat="1" applyFont="1"/>
    <xf numFmtId="49" fontId="37" fillId="0" borderId="0" xfId="0" applyNumberFormat="1" applyFont="1" applyFill="1" applyAlignment="1">
      <alignment vertical="center"/>
    </xf>
    <xf numFmtId="0" fontId="1" fillId="0" borderId="0" xfId="866" applyAlignment="1">
      <alignment horizontal="right"/>
    </xf>
    <xf numFmtId="0" fontId="1" fillId="0" borderId="0" xfId="866"/>
    <xf numFmtId="0" fontId="23" fillId="0" borderId="172" xfId="864" applyBorder="1" applyAlignment="1">
      <alignment horizontal="right"/>
    </xf>
    <xf numFmtId="0" fontId="23" fillId="0" borderId="173" xfId="864" applyBorder="1" applyAlignment="1">
      <alignment horizontal="right"/>
    </xf>
    <xf numFmtId="0" fontId="23" fillId="0" borderId="173" xfId="864" applyBorder="1"/>
    <xf numFmtId="0" fontId="23" fillId="0" borderId="174" xfId="864" applyBorder="1"/>
    <xf numFmtId="0" fontId="23" fillId="0" borderId="175" xfId="864" applyBorder="1" applyAlignment="1">
      <alignment horizontal="center" vertical="center"/>
    </xf>
    <xf numFmtId="0" fontId="23" fillId="0" borderId="0" xfId="864" applyBorder="1" applyAlignment="1">
      <alignment horizontal="center" vertical="center"/>
    </xf>
    <xf numFmtId="0" fontId="23" fillId="0" borderId="176" xfId="864" applyBorder="1" applyAlignment="1">
      <alignment horizontal="center" vertical="center"/>
    </xf>
    <xf numFmtId="0" fontId="23" fillId="0" borderId="175" xfId="864" applyBorder="1" applyAlignment="1">
      <alignment horizontal="right"/>
    </xf>
    <xf numFmtId="0" fontId="23" fillId="0" borderId="0" xfId="864" applyBorder="1" applyAlignment="1">
      <alignment horizontal="right"/>
    </xf>
    <xf numFmtId="0" fontId="23" fillId="0" borderId="0" xfId="864" applyBorder="1"/>
    <xf numFmtId="0" fontId="67" fillId="0" borderId="0" xfId="864" applyFont="1" applyBorder="1"/>
    <xf numFmtId="0" fontId="67" fillId="0" borderId="176" xfId="864" applyFont="1" applyBorder="1"/>
    <xf numFmtId="0" fontId="23" fillId="0" borderId="0" xfId="864" applyFont="1" applyBorder="1" applyAlignment="1">
      <alignment horizontal="left"/>
    </xf>
    <xf numFmtId="0" fontId="67" fillId="0" borderId="0" xfId="864" applyFont="1" applyBorder="1" applyAlignment="1"/>
    <xf numFmtId="0" fontId="67" fillId="0" borderId="176" xfId="864" applyFont="1" applyBorder="1" applyAlignment="1"/>
    <xf numFmtId="0" fontId="100" fillId="0" borderId="175" xfId="864" applyFont="1" applyBorder="1" applyAlignment="1">
      <alignment horizontal="right"/>
    </xf>
    <xf numFmtId="0" fontId="96" fillId="0" borderId="0" xfId="864" applyFont="1" applyBorder="1" applyAlignment="1">
      <alignment horizontal="left"/>
    </xf>
    <xf numFmtId="0" fontId="1" fillId="0" borderId="0" xfId="866" applyBorder="1"/>
    <xf numFmtId="0" fontId="100" fillId="0" borderId="0" xfId="864" applyFont="1" applyBorder="1" applyAlignment="1">
      <alignment horizontal="right"/>
    </xf>
    <xf numFmtId="0" fontId="23" fillId="0" borderId="177" xfId="864" applyBorder="1" applyAlignment="1">
      <alignment horizontal="right"/>
    </xf>
    <xf numFmtId="0" fontId="23" fillId="0" borderId="178" xfId="864" applyBorder="1" applyAlignment="1">
      <alignment horizontal="right"/>
    </xf>
    <xf numFmtId="0" fontId="23" fillId="0" borderId="178" xfId="864" applyFont="1" applyBorder="1" applyAlignment="1">
      <alignment horizontal="left"/>
    </xf>
    <xf numFmtId="0" fontId="23" fillId="0" borderId="178" xfId="864" applyBorder="1" applyAlignment="1"/>
    <xf numFmtId="0" fontId="23" fillId="0" borderId="179" xfId="864" applyBorder="1" applyAlignment="1"/>
    <xf numFmtId="0" fontId="23" fillId="0" borderId="176" xfId="864" applyBorder="1"/>
    <xf numFmtId="0" fontId="23" fillId="0" borderId="0" xfId="864" applyBorder="1" applyAlignment="1">
      <alignment horizontal="left"/>
    </xf>
    <xf numFmtId="0" fontId="23" fillId="0" borderId="0" xfId="864" applyBorder="1" applyAlignment="1"/>
    <xf numFmtId="0" fontId="23" fillId="0" borderId="176" xfId="864" applyBorder="1" applyAlignment="1"/>
    <xf numFmtId="0" fontId="102" fillId="0" borderId="0" xfId="0" applyFont="1" applyFill="1" applyAlignment="1">
      <alignment horizontal="center"/>
    </xf>
    <xf numFmtId="0" fontId="102" fillId="28" borderId="0" xfId="0" applyFont="1" applyFill="1" applyAlignment="1">
      <alignment horizontal="center"/>
    </xf>
    <xf numFmtId="0" fontId="102" fillId="28" borderId="0" xfId="0" applyFont="1" applyFill="1"/>
    <xf numFmtId="0" fontId="102" fillId="0" borderId="0" xfId="0" applyFont="1" applyAlignment="1">
      <alignment horizontal="center"/>
    </xf>
    <xf numFmtId="0" fontId="102" fillId="0" borderId="0" xfId="0" applyFont="1"/>
    <xf numFmtId="165" fontId="42" fillId="24" borderId="191" xfId="56" applyNumberFormat="1" applyFont="1" applyFill="1" applyBorder="1" applyAlignment="1">
      <alignment horizontal="right" vertical="center"/>
    </xf>
    <xf numFmtId="165" fontId="42" fillId="24" borderId="191" xfId="47" applyNumberFormat="1" applyFont="1" applyFill="1" applyBorder="1" applyAlignment="1">
      <alignment horizontal="right" vertical="center"/>
    </xf>
    <xf numFmtId="165" fontId="42" fillId="0" borderId="191" xfId="47" applyNumberFormat="1" applyFont="1" applyFill="1" applyBorder="1" applyAlignment="1">
      <alignment horizontal="right" vertical="center" wrapText="1"/>
    </xf>
    <xf numFmtId="165" fontId="42" fillId="24" borderId="61" xfId="47" applyNumberFormat="1" applyFont="1" applyFill="1" applyBorder="1" applyAlignment="1">
      <alignment horizontal="right" vertical="center"/>
    </xf>
    <xf numFmtId="165" fontId="42" fillId="24" borderId="0" xfId="56" applyNumberFormat="1" applyFont="1" applyFill="1" applyAlignment="1">
      <alignment vertical="center"/>
    </xf>
    <xf numFmtId="0" fontId="42" fillId="0" borderId="0" xfId="0" applyFont="1" applyBorder="1" applyAlignment="1">
      <alignment horizontal="center"/>
    </xf>
    <xf numFmtId="0" fontId="44" fillId="26" borderId="0" xfId="56" applyFont="1" applyFill="1" applyBorder="1" applyAlignment="1">
      <alignment horizontal="center" vertical="center" wrapText="1"/>
    </xf>
    <xf numFmtId="10" fontId="44" fillId="24" borderId="0" xfId="59" applyNumberFormat="1" applyFont="1" applyFill="1" applyBorder="1" applyAlignment="1">
      <alignment horizontal="right" vertical="center"/>
    </xf>
    <xf numFmtId="2" fontId="42" fillId="24" borderId="0" xfId="59" applyNumberFormat="1" applyFont="1" applyFill="1" applyBorder="1" applyAlignment="1">
      <alignment horizontal="right" vertical="center"/>
    </xf>
    <xf numFmtId="0" fontId="44" fillId="0" borderId="191" xfId="52" applyNumberFormat="1" applyFont="1" applyFill="1" applyBorder="1" applyAlignment="1" applyProtection="1">
      <alignment vertical="center"/>
    </xf>
    <xf numFmtId="0" fontId="42" fillId="0" borderId="191" xfId="52" applyFont="1" applyBorder="1" applyAlignment="1">
      <alignment horizontal="center" vertical="center"/>
    </xf>
    <xf numFmtId="165" fontId="42" fillId="0" borderId="191" xfId="52" applyNumberFormat="1" applyFont="1" applyBorder="1" applyAlignment="1">
      <alignment horizontal="right" vertical="center"/>
    </xf>
    <xf numFmtId="165" fontId="42" fillId="24" borderId="191" xfId="56" applyNumberFormat="1" applyFont="1" applyFill="1" applyBorder="1" applyAlignment="1">
      <alignment horizontal="right" vertical="center" wrapText="1"/>
    </xf>
    <xf numFmtId="165" fontId="42" fillId="24" borderId="188" xfId="56" applyNumberFormat="1" applyFont="1" applyFill="1" applyBorder="1" applyAlignment="1">
      <alignment horizontal="right" vertical="center" wrapText="1"/>
    </xf>
    <xf numFmtId="0" fontId="43" fillId="0" borderId="191" xfId="52" applyNumberFormat="1" applyFont="1" applyFill="1" applyBorder="1" applyAlignment="1" applyProtection="1">
      <alignment horizontal="center" vertical="center" wrapText="1"/>
    </xf>
    <xf numFmtId="165" fontId="49" fillId="0" borderId="191" xfId="47" applyNumberFormat="1" applyFont="1" applyFill="1" applyBorder="1" applyAlignment="1" applyProtection="1">
      <alignment horizontal="right" vertical="center" wrapText="1"/>
    </xf>
    <xf numFmtId="165" fontId="42" fillId="24" borderId="191" xfId="47" applyNumberFormat="1" applyFont="1" applyFill="1" applyBorder="1" applyAlignment="1">
      <alignment horizontal="right" vertical="center" wrapText="1"/>
    </xf>
    <xf numFmtId="165" fontId="42" fillId="24" borderId="188" xfId="47" applyNumberFormat="1" applyFont="1" applyFill="1" applyBorder="1" applyAlignment="1">
      <alignment horizontal="right" vertical="center" wrapText="1"/>
    </xf>
    <xf numFmtId="0" fontId="42" fillId="0" borderId="191" xfId="52" applyFont="1" applyFill="1" applyBorder="1" applyAlignment="1">
      <alignment horizontal="center" vertical="center" wrapText="1"/>
    </xf>
    <xf numFmtId="165" fontId="42" fillId="0" borderId="191" xfId="47" applyNumberFormat="1" applyFont="1" applyFill="1" applyBorder="1" applyAlignment="1" applyProtection="1">
      <alignment horizontal="right" vertical="center" wrapText="1"/>
      <protection locked="0"/>
    </xf>
    <xf numFmtId="165" fontId="42" fillId="24" borderId="188" xfId="47" applyNumberFormat="1" applyFont="1" applyFill="1" applyBorder="1" applyAlignment="1">
      <alignment horizontal="right" vertical="center"/>
    </xf>
    <xf numFmtId="165" fontId="44" fillId="0" borderId="191" xfId="0" applyNumberFormat="1" applyFont="1" applyFill="1" applyBorder="1" applyAlignment="1" applyProtection="1">
      <alignment vertical="center" wrapText="1"/>
    </xf>
    <xf numFmtId="165" fontId="42" fillId="24" borderId="188" xfId="47" applyNumberFormat="1" applyFont="1" applyFill="1" applyBorder="1" applyAlignment="1" applyProtection="1">
      <alignment horizontal="right" vertical="center"/>
      <protection locked="0"/>
    </xf>
    <xf numFmtId="165" fontId="42" fillId="24" borderId="191" xfId="47" applyNumberFormat="1" applyFont="1" applyFill="1" applyBorder="1" applyAlignment="1" applyProtection="1">
      <alignment horizontal="right" vertical="center"/>
      <protection locked="0"/>
    </xf>
    <xf numFmtId="0" fontId="87" fillId="0" borderId="0" xfId="863" applyFont="1" applyBorder="1" applyAlignment="1">
      <alignment horizontal="right" vertical="center"/>
    </xf>
    <xf numFmtId="17" fontId="94" fillId="0" borderId="0" xfId="863" applyNumberFormat="1" applyFont="1" applyFill="1" applyBorder="1" applyAlignment="1">
      <alignment vertical="center"/>
    </xf>
    <xf numFmtId="0" fontId="23" fillId="0" borderId="0" xfId="864" applyFont="1" applyBorder="1" applyAlignment="1">
      <alignment horizontal="right" vertical="center"/>
    </xf>
    <xf numFmtId="0" fontId="69" fillId="0" borderId="191" xfId="864" applyFont="1" applyBorder="1" applyAlignment="1">
      <alignment vertical="center"/>
    </xf>
    <xf numFmtId="0" fontId="69" fillId="0" borderId="191" xfId="864" applyFont="1" applyBorder="1"/>
    <xf numFmtId="0" fontId="47" fillId="24" borderId="0" xfId="56" applyFont="1" applyFill="1" applyAlignment="1">
      <alignment horizontal="left" vertical="center"/>
    </xf>
    <xf numFmtId="0" fontId="41" fillId="24" borderId="0" xfId="56" applyFont="1" applyFill="1" applyBorder="1" applyAlignment="1">
      <alignment horizontal="left" vertical="center"/>
    </xf>
    <xf numFmtId="0" fontId="41" fillId="24" borderId="0" xfId="56" applyFont="1" applyFill="1" applyBorder="1" applyAlignment="1">
      <alignment vertical="center"/>
    </xf>
    <xf numFmtId="0" fontId="42" fillId="0" borderId="163" xfId="52" applyFont="1" applyFill="1" applyBorder="1" applyAlignment="1">
      <alignment horizontal="center" vertical="center" wrapText="1"/>
    </xf>
    <xf numFmtId="165" fontId="42" fillId="0" borderId="60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53" xfId="47" applyNumberFormat="1" applyFont="1" applyFill="1" applyBorder="1" applyAlignment="1" applyProtection="1">
      <alignment horizontal="right" vertical="center" wrapText="1"/>
      <protection locked="0"/>
    </xf>
    <xf numFmtId="165" fontId="42" fillId="24" borderId="59" xfId="47" applyNumberFormat="1" applyFont="1" applyFill="1" applyBorder="1" applyAlignment="1">
      <alignment horizontal="right" vertical="center"/>
    </xf>
    <xf numFmtId="165" fontId="42" fillId="24" borderId="197" xfId="47" applyNumberFormat="1" applyFont="1" applyFill="1" applyBorder="1" applyAlignment="1">
      <alignment horizontal="right" vertical="center"/>
    </xf>
    <xf numFmtId="165" fontId="42" fillId="24" borderId="66" xfId="47" applyNumberFormat="1" applyFont="1" applyFill="1" applyBorder="1" applyAlignment="1">
      <alignment horizontal="right" vertical="center"/>
    </xf>
    <xf numFmtId="165" fontId="42" fillId="24" borderId="67" xfId="47" applyNumberFormat="1" applyFont="1" applyFill="1" applyBorder="1" applyAlignment="1">
      <alignment horizontal="right" vertical="center"/>
    </xf>
    <xf numFmtId="10" fontId="42" fillId="24" borderId="197" xfId="59" applyNumberFormat="1" applyFont="1" applyFill="1" applyBorder="1" applyAlignment="1">
      <alignment horizontal="right" vertical="center"/>
    </xf>
    <xf numFmtId="10" fontId="42" fillId="24" borderId="14" xfId="59" applyNumberFormat="1" applyFont="1" applyFill="1" applyBorder="1" applyAlignment="1">
      <alignment horizontal="right" vertical="center"/>
    </xf>
    <xf numFmtId="0" fontId="42" fillId="0" borderId="58" xfId="52" applyFont="1" applyFill="1" applyBorder="1" applyAlignment="1">
      <alignment horizontal="center" vertical="center" wrapText="1"/>
    </xf>
    <xf numFmtId="10" fontId="42" fillId="24" borderId="41" xfId="59" applyNumberFormat="1" applyFont="1" applyFill="1" applyBorder="1" applyAlignment="1">
      <alignment horizontal="right" vertical="center"/>
    </xf>
    <xf numFmtId="49" fontId="44" fillId="0" borderId="19" xfId="52" applyNumberFormat="1" applyFont="1" applyFill="1" applyBorder="1" applyAlignment="1" applyProtection="1">
      <alignment horizontal="center" vertical="center"/>
    </xf>
    <xf numFmtId="49" fontId="42" fillId="0" borderId="58" xfId="140" applyNumberFormat="1" applyFont="1" applyFill="1" applyBorder="1" applyAlignment="1" applyProtection="1">
      <alignment horizontal="center" vertical="center" wrapText="1"/>
      <protection locked="0"/>
    </xf>
    <xf numFmtId="49" fontId="44" fillId="0" borderId="19" xfId="52" applyNumberFormat="1" applyFont="1" applyFill="1" applyBorder="1" applyAlignment="1" applyProtection="1">
      <alignment horizontal="center" vertical="center" wrapText="1"/>
      <protection locked="0"/>
    </xf>
    <xf numFmtId="49" fontId="42" fillId="0" borderId="62" xfId="140" applyNumberFormat="1" applyFont="1" applyFill="1" applyBorder="1" applyAlignment="1" applyProtection="1">
      <alignment horizontal="center" vertical="center" wrapText="1"/>
      <protection locked="0"/>
    </xf>
    <xf numFmtId="49" fontId="23" fillId="0" borderId="0" xfId="863" applyNumberFormat="1"/>
    <xf numFmtId="0" fontId="104" fillId="0" borderId="173" xfId="863" applyFont="1" applyBorder="1"/>
    <xf numFmtId="0" fontId="104" fillId="0" borderId="0" xfId="863" applyFont="1" applyBorder="1"/>
    <xf numFmtId="0" fontId="105" fillId="0" borderId="0" xfId="863" applyFont="1" applyBorder="1"/>
    <xf numFmtId="0" fontId="105" fillId="0" borderId="0" xfId="863" applyFont="1" applyBorder="1" applyAlignment="1">
      <alignment vertical="center" wrapText="1"/>
    </xf>
    <xf numFmtId="0" fontId="104" fillId="0" borderId="178" xfId="863" applyFont="1" applyBorder="1"/>
    <xf numFmtId="0" fontId="109" fillId="0" borderId="0" xfId="863" applyFont="1" applyBorder="1" applyAlignment="1">
      <alignment horizontal="right" vertical="center"/>
    </xf>
    <xf numFmtId="0" fontId="109" fillId="0" borderId="0" xfId="863" applyFont="1" applyBorder="1" applyAlignment="1">
      <alignment horizontal="center" vertical="center"/>
    </xf>
    <xf numFmtId="49" fontId="44" fillId="30" borderId="19" xfId="52" applyNumberFormat="1" applyFont="1" applyFill="1" applyBorder="1" applyAlignment="1" applyProtection="1">
      <alignment horizontal="center" vertical="center" wrapText="1"/>
      <protection locked="0"/>
    </xf>
    <xf numFmtId="0" fontId="43" fillId="30" borderId="191" xfId="52" applyFont="1" applyFill="1" applyBorder="1" applyAlignment="1">
      <alignment horizontal="right" vertical="center" wrapText="1"/>
    </xf>
    <xf numFmtId="0" fontId="44" fillId="30" borderId="19" xfId="52" applyFont="1" applyFill="1" applyBorder="1" applyAlignment="1">
      <alignment horizontal="center" vertical="center" wrapText="1"/>
    </xf>
    <xf numFmtId="165" fontId="44" fillId="30" borderId="191" xfId="47" applyNumberFormat="1" applyFont="1" applyFill="1" applyBorder="1" applyAlignment="1" applyProtection="1">
      <alignment horizontal="right" vertical="center" wrapText="1"/>
      <protection locked="0"/>
    </xf>
    <xf numFmtId="165" fontId="44" fillId="30" borderId="191" xfId="47" applyNumberFormat="1" applyFont="1" applyFill="1" applyBorder="1" applyAlignment="1">
      <alignment horizontal="right" vertical="center" wrapText="1"/>
    </xf>
    <xf numFmtId="165" fontId="44" fillId="30" borderId="188" xfId="47" applyNumberFormat="1" applyFont="1" applyFill="1" applyBorder="1" applyAlignment="1">
      <alignment horizontal="right" vertical="center" wrapText="1"/>
    </xf>
    <xf numFmtId="165" fontId="44" fillId="30" borderId="191" xfId="47" applyNumberFormat="1" applyFont="1" applyFill="1" applyBorder="1" applyAlignment="1">
      <alignment horizontal="right" vertical="center"/>
    </xf>
    <xf numFmtId="165" fontId="44" fillId="30" borderId="19" xfId="47" applyNumberFormat="1" applyFont="1" applyFill="1" applyBorder="1" applyAlignment="1">
      <alignment horizontal="right" vertical="center"/>
    </xf>
    <xf numFmtId="165" fontId="42" fillId="0" borderId="60" xfId="47" applyNumberFormat="1" applyFont="1" applyFill="1" applyBorder="1" applyAlignment="1" applyProtection="1">
      <alignment horizontal="center" vertical="center" wrapText="1"/>
      <protection locked="0"/>
    </xf>
    <xf numFmtId="0" fontId="59" fillId="0" borderId="16" xfId="631" applyFont="1" applyBorder="1" applyAlignment="1">
      <alignment horizontal="center" vertical="top"/>
    </xf>
    <xf numFmtId="0" fontId="39" fillId="0" borderId="81" xfId="633" applyFont="1" applyBorder="1" applyAlignment="1"/>
    <xf numFmtId="0" fontId="39" fillId="0" borderId="14" xfId="633" applyFont="1" applyBorder="1" applyAlignment="1"/>
    <xf numFmtId="0" fontId="71" fillId="0" borderId="54" xfId="0" applyFont="1" applyBorder="1" applyAlignment="1">
      <alignment horizontal="center" vertical="center" wrapText="1"/>
    </xf>
    <xf numFmtId="0" fontId="71" fillId="0" borderId="74" xfId="0" applyFont="1" applyBorder="1" applyAlignment="1">
      <alignment horizontal="center" vertical="center" wrapText="1"/>
    </xf>
    <xf numFmtId="0" fontId="39" fillId="0" borderId="0" xfId="141" applyFont="1" applyBorder="1" applyAlignment="1">
      <alignment horizontal="center" vertical="center"/>
    </xf>
    <xf numFmtId="17" fontId="47" fillId="0" borderId="54" xfId="141" applyNumberFormat="1" applyFont="1" applyBorder="1" applyAlignment="1">
      <alignment horizontal="center" vertical="center" wrapText="1"/>
    </xf>
    <xf numFmtId="17" fontId="47" fillId="0" borderId="55" xfId="141" applyNumberFormat="1" applyFont="1" applyBorder="1" applyAlignment="1">
      <alignment horizontal="center" vertical="center" wrapText="1"/>
    </xf>
    <xf numFmtId="0" fontId="41" fillId="0" borderId="16" xfId="141" applyFont="1" applyFill="1" applyBorder="1" applyAlignment="1">
      <alignment horizontal="center" vertical="top"/>
    </xf>
    <xf numFmtId="0" fontId="41" fillId="0" borderId="0" xfId="141" applyFont="1" applyFill="1" applyBorder="1" applyAlignment="1">
      <alignment horizontal="right" vertical="center"/>
    </xf>
    <xf numFmtId="43" fontId="47" fillId="0" borderId="57" xfId="46" applyFont="1" applyBorder="1" applyAlignment="1">
      <alignment vertical="center"/>
    </xf>
    <xf numFmtId="43" fontId="47" fillId="0" borderId="26" xfId="46" applyFont="1" applyFill="1" applyBorder="1" applyAlignment="1">
      <alignment horizontal="right" vertical="center"/>
    </xf>
    <xf numFmtId="43" fontId="47" fillId="0" borderId="58" xfId="46" applyFont="1" applyBorder="1" applyAlignment="1">
      <alignment vertical="center"/>
    </xf>
    <xf numFmtId="43" fontId="47" fillId="0" borderId="29" xfId="46" applyFont="1" applyFill="1" applyBorder="1" applyAlignment="1">
      <alignment horizontal="right" vertical="center"/>
    </xf>
    <xf numFmtId="43" fontId="47" fillId="0" borderId="50" xfId="46" applyFont="1" applyBorder="1" applyAlignment="1">
      <alignment vertical="center"/>
    </xf>
    <xf numFmtId="43" fontId="47" fillId="0" borderId="31" xfId="46" applyFont="1" applyFill="1" applyBorder="1" applyAlignment="1">
      <alignment horizontal="right" vertical="center"/>
    </xf>
    <xf numFmtId="43" fontId="47" fillId="0" borderId="0" xfId="46" applyFont="1" applyAlignment="1">
      <alignment vertical="center"/>
    </xf>
    <xf numFmtId="43" fontId="8" fillId="0" borderId="0" xfId="46" applyFont="1"/>
    <xf numFmtId="43" fontId="6" fillId="0" borderId="0" xfId="46" applyFont="1"/>
    <xf numFmtId="10" fontId="44" fillId="30" borderId="41" xfId="59" applyNumberFormat="1" applyFont="1" applyFill="1" applyBorder="1" applyAlignment="1">
      <alignment horizontal="right" vertical="center"/>
    </xf>
    <xf numFmtId="165" fontId="42" fillId="24" borderId="78" xfId="47" applyNumberFormat="1" applyFont="1" applyFill="1" applyBorder="1" applyAlignment="1">
      <alignment horizontal="right" vertical="center"/>
    </xf>
    <xf numFmtId="165" fontId="42" fillId="24" borderId="31" xfId="47" applyNumberFormat="1" applyFont="1" applyFill="1" applyBorder="1" applyAlignment="1">
      <alignment horizontal="right" vertical="center"/>
    </xf>
    <xf numFmtId="165" fontId="42" fillId="0" borderId="41" xfId="47" applyNumberFormat="1" applyFont="1" applyFill="1" applyBorder="1" applyAlignment="1" applyProtection="1">
      <alignment horizontal="right" vertical="center" wrapText="1"/>
      <protection locked="0"/>
    </xf>
    <xf numFmtId="165" fontId="42" fillId="24" borderId="43" xfId="47" applyNumberFormat="1" applyFont="1" applyFill="1" applyBorder="1" applyAlignment="1">
      <alignment horizontal="right" vertical="center"/>
    </xf>
    <xf numFmtId="9" fontId="47" fillId="0" borderId="0" xfId="59" applyFont="1" applyAlignment="1">
      <alignment vertical="center"/>
    </xf>
    <xf numFmtId="167" fontId="110" fillId="30" borderId="19" xfId="52" applyNumberFormat="1" applyFont="1" applyFill="1" applyBorder="1" applyAlignment="1" applyProtection="1">
      <alignment horizontal="center" vertical="center" wrapText="1"/>
      <protection locked="0"/>
    </xf>
    <xf numFmtId="0" fontId="111" fillId="30" borderId="191" xfId="52" applyFont="1" applyFill="1" applyBorder="1" applyAlignment="1">
      <alignment vertical="center" wrapText="1"/>
    </xf>
    <xf numFmtId="0" fontId="111" fillId="30" borderId="191" xfId="52" applyFont="1" applyFill="1" applyBorder="1" applyAlignment="1">
      <alignment horizontal="center" vertical="center" wrapText="1"/>
    </xf>
    <xf numFmtId="165" fontId="111" fillId="30" borderId="191" xfId="47" applyNumberFormat="1" applyFont="1" applyFill="1" applyBorder="1" applyAlignment="1" applyProtection="1">
      <alignment horizontal="right" vertical="center" wrapText="1"/>
      <protection locked="0"/>
    </xf>
    <xf numFmtId="165" fontId="111" fillId="30" borderId="191" xfId="47" applyNumberFormat="1" applyFont="1" applyFill="1" applyBorder="1" applyAlignment="1">
      <alignment horizontal="right" vertical="center" wrapText="1"/>
    </xf>
    <xf numFmtId="165" fontId="111" fillId="30" borderId="191" xfId="47" applyNumberFormat="1" applyFont="1" applyFill="1" applyBorder="1" applyAlignment="1" applyProtection="1">
      <alignment horizontal="right" vertical="center"/>
      <protection locked="0"/>
    </xf>
    <xf numFmtId="165" fontId="111" fillId="30" borderId="19" xfId="47" applyNumberFormat="1" applyFont="1" applyFill="1" applyBorder="1" applyAlignment="1" applyProtection="1">
      <alignment horizontal="right" vertical="center"/>
      <protection locked="0"/>
    </xf>
    <xf numFmtId="10" fontId="111" fillId="30" borderId="188" xfId="59" applyNumberFormat="1" applyFont="1" applyFill="1" applyBorder="1" applyAlignment="1">
      <alignment horizontal="right" vertical="center"/>
    </xf>
    <xf numFmtId="17" fontId="85" fillId="0" borderId="0" xfId="0" applyNumberFormat="1" applyFont="1" applyFill="1" applyBorder="1" applyAlignment="1">
      <alignment vertical="center"/>
    </xf>
    <xf numFmtId="0" fontId="37" fillId="24" borderId="0" xfId="56" applyFont="1" applyFill="1" applyBorder="1" applyAlignment="1">
      <alignment horizontal="center" vertical="center"/>
    </xf>
    <xf numFmtId="0" fontId="37" fillId="24" borderId="0" xfId="56" applyFont="1" applyFill="1" applyBorder="1" applyAlignment="1">
      <alignment horizontal="right" vertical="center"/>
    </xf>
    <xf numFmtId="0" fontId="40" fillId="24" borderId="0" xfId="56" applyFont="1" applyFill="1" applyBorder="1" applyAlignment="1">
      <alignment horizontal="center" vertical="center"/>
    </xf>
    <xf numFmtId="0" fontId="40" fillId="24" borderId="16" xfId="56" applyFont="1" applyFill="1" applyBorder="1" applyAlignment="1">
      <alignment horizontal="center" vertical="center" wrapText="1"/>
    </xf>
    <xf numFmtId="0" fontId="37" fillId="24" borderId="16" xfId="56" applyFont="1" applyFill="1" applyBorder="1" applyAlignment="1">
      <alignment horizontal="center" vertical="center"/>
    </xf>
    <xf numFmtId="0" fontId="37" fillId="24" borderId="16" xfId="56" applyFont="1" applyFill="1" applyBorder="1" applyAlignment="1">
      <alignment horizontal="right" vertical="center"/>
    </xf>
    <xf numFmtId="10" fontId="47" fillId="0" borderId="58" xfId="59" applyNumberFormat="1" applyFont="1" applyBorder="1" applyAlignment="1">
      <alignment horizontal="right" vertical="center" indent="1"/>
    </xf>
    <xf numFmtId="10" fontId="47" fillId="0" borderId="29" xfId="59" applyNumberFormat="1" applyFont="1" applyFill="1" applyBorder="1" applyAlignment="1">
      <alignment horizontal="right" vertical="center" indent="1"/>
    </xf>
    <xf numFmtId="10" fontId="47" fillId="0" borderId="26" xfId="59" applyNumberFormat="1" applyFont="1" applyFill="1" applyBorder="1" applyAlignment="1">
      <alignment horizontal="right" vertical="center" indent="1"/>
    </xf>
    <xf numFmtId="43" fontId="47" fillId="0" borderId="58" xfId="46" applyFont="1" applyBorder="1" applyAlignment="1">
      <alignment horizontal="right" vertical="center" indent="1"/>
    </xf>
    <xf numFmtId="43" fontId="47" fillId="0" borderId="29" xfId="46" applyFont="1" applyFill="1" applyBorder="1" applyAlignment="1">
      <alignment horizontal="right" vertical="center" indent="1"/>
    </xf>
    <xf numFmtId="10" fontId="47" fillId="0" borderId="57" xfId="59" applyNumberFormat="1" applyFont="1" applyBorder="1" applyAlignment="1">
      <alignment horizontal="right" vertical="center" indent="1"/>
    </xf>
    <xf numFmtId="10" fontId="47" fillId="0" borderId="50" xfId="59" applyNumberFormat="1" applyFont="1" applyBorder="1" applyAlignment="1">
      <alignment horizontal="right" vertical="center" indent="1"/>
    </xf>
    <xf numFmtId="10" fontId="47" fillId="0" borderId="31" xfId="59" applyNumberFormat="1" applyFont="1" applyFill="1" applyBorder="1" applyAlignment="1">
      <alignment horizontal="right" vertical="center" indent="1"/>
    </xf>
    <xf numFmtId="0" fontId="39" fillId="0" borderId="0" xfId="857" applyFont="1" applyBorder="1" applyAlignment="1"/>
    <xf numFmtId="4" fontId="47" fillId="0" borderId="17" xfId="46" applyNumberFormat="1" applyFont="1" applyBorder="1" applyAlignment="1">
      <alignment horizontal="left" indent="1"/>
    </xf>
    <xf numFmtId="0" fontId="86" fillId="0" borderId="67" xfId="631" applyFont="1" applyBorder="1" applyAlignment="1">
      <alignment horizontal="center" vertical="center" wrapText="1"/>
    </xf>
    <xf numFmtId="0" fontId="86" fillId="0" borderId="63" xfId="631" applyFont="1" applyBorder="1" applyAlignment="1">
      <alignment horizontal="center" vertical="center"/>
    </xf>
    <xf numFmtId="0" fontId="40" fillId="0" borderId="20" xfId="633" applyFont="1" applyBorder="1" applyAlignment="1">
      <alignment horizontal="center" vertical="center"/>
    </xf>
    <xf numFmtId="0" fontId="41" fillId="0" borderId="16" xfId="633" applyFont="1" applyFill="1" applyBorder="1" applyAlignment="1">
      <alignment horizontal="center" vertical="top"/>
    </xf>
    <xf numFmtId="0" fontId="40" fillId="24" borderId="0" xfId="56" applyFont="1" applyFill="1" applyBorder="1" applyAlignment="1">
      <alignment horizontal="center" vertical="center"/>
    </xf>
    <xf numFmtId="0" fontId="37" fillId="24" borderId="0" xfId="56" applyFont="1" applyFill="1" applyBorder="1" applyAlignment="1">
      <alignment horizontal="center" vertical="center"/>
    </xf>
    <xf numFmtId="0" fontId="41" fillId="0" borderId="93" xfId="633" applyFont="1" applyFill="1" applyBorder="1" applyAlignment="1">
      <alignment horizontal="center" vertical="center"/>
    </xf>
    <xf numFmtId="0" fontId="40" fillId="0" borderId="22" xfId="633" applyFont="1" applyBorder="1" applyAlignment="1">
      <alignment horizontal="center" vertical="center" wrapText="1"/>
    </xf>
    <xf numFmtId="0" fontId="40" fillId="31" borderId="189" xfId="633" applyFont="1" applyFill="1" applyBorder="1" applyAlignment="1">
      <alignment horizontal="center" vertical="center" wrapText="1"/>
    </xf>
    <xf numFmtId="0" fontId="40" fillId="0" borderId="10" xfId="633" applyFont="1" applyBorder="1" applyAlignment="1"/>
    <xf numFmtId="0" fontId="41" fillId="0" borderId="13" xfId="633" applyFont="1" applyBorder="1" applyAlignment="1">
      <alignment vertical="center"/>
    </xf>
    <xf numFmtId="0" fontId="41" fillId="0" borderId="14" xfId="633" applyFont="1" applyBorder="1" applyAlignment="1">
      <alignment horizontal="right" vertical="center"/>
    </xf>
    <xf numFmtId="0" fontId="41" fillId="0" borderId="93" xfId="633" applyFont="1" applyBorder="1" applyAlignment="1">
      <alignment vertical="center"/>
    </xf>
    <xf numFmtId="0" fontId="47" fillId="0" borderId="94" xfId="633" applyFont="1" applyBorder="1" applyAlignment="1">
      <alignment vertical="center"/>
    </xf>
    <xf numFmtId="0" fontId="41" fillId="0" borderId="24" xfId="633" applyFont="1" applyBorder="1" applyAlignment="1">
      <alignment wrapText="1"/>
    </xf>
    <xf numFmtId="0" fontId="40" fillId="0" borderId="22" xfId="633" applyFont="1" applyBorder="1" applyAlignment="1">
      <alignment horizontal="center" wrapText="1"/>
    </xf>
    <xf numFmtId="0" fontId="41" fillId="0" borderId="13" xfId="0" applyFont="1" applyBorder="1" applyAlignment="1">
      <alignment horizontal="center"/>
    </xf>
    <xf numFmtId="0" fontId="41" fillId="0" borderId="14" xfId="0" applyFont="1" applyBorder="1" applyAlignment="1">
      <alignment horizontal="center"/>
    </xf>
    <xf numFmtId="0" fontId="40" fillId="0" borderId="13" xfId="0" applyFont="1" applyFill="1" applyBorder="1" applyAlignment="1" applyProtection="1">
      <alignment vertical="center"/>
    </xf>
    <xf numFmtId="0" fontId="40" fillId="0" borderId="14" xfId="0" applyFont="1" applyFill="1" applyBorder="1" applyAlignment="1" applyProtection="1">
      <alignment vertical="center"/>
    </xf>
    <xf numFmtId="0" fontId="37" fillId="0" borderId="28" xfId="0" applyFont="1" applyFill="1" applyBorder="1" applyAlignment="1">
      <alignment horizontal="left" vertical="center" indent="1"/>
    </xf>
    <xf numFmtId="0" fontId="37" fillId="0" borderId="34" xfId="0" applyFont="1" applyFill="1" applyBorder="1" applyAlignment="1">
      <alignment horizontal="left" vertical="center" indent="1"/>
    </xf>
    <xf numFmtId="0" fontId="37" fillId="0" borderId="23" xfId="0" applyFont="1" applyFill="1" applyBorder="1" applyAlignment="1">
      <alignment horizontal="left" vertical="center" indent="1"/>
    </xf>
    <xf numFmtId="0" fontId="112" fillId="0" borderId="175" xfId="0" applyFont="1" applyBorder="1" applyAlignment="1">
      <alignment horizontal="left"/>
    </xf>
    <xf numFmtId="0" fontId="113" fillId="0" borderId="0" xfId="0" applyFont="1" applyAlignment="1">
      <alignment horizontal="left"/>
    </xf>
    <xf numFmtId="0" fontId="69" fillId="0" borderId="0" xfId="0" applyFont="1"/>
    <xf numFmtId="0" fontId="69" fillId="0" borderId="0" xfId="0" applyFont="1" applyAlignment="1">
      <alignment horizontal="right"/>
    </xf>
    <xf numFmtId="0" fontId="41" fillId="0" borderId="93" xfId="0" applyFont="1" applyFill="1" applyBorder="1" applyAlignment="1">
      <alignment horizontal="right" vertical="center"/>
    </xf>
    <xf numFmtId="0" fontId="114" fillId="0" borderId="59" xfId="631" applyFont="1" applyBorder="1" applyAlignment="1">
      <alignment horizontal="center" vertical="center" wrapText="1"/>
    </xf>
    <xf numFmtId="15" fontId="71" fillId="0" borderId="54" xfId="0" applyNumberFormat="1" applyFont="1" applyBorder="1" applyAlignment="1">
      <alignment horizontal="center" vertical="center" wrapText="1"/>
    </xf>
    <xf numFmtId="15" fontId="71" fillId="0" borderId="55" xfId="0" applyNumberFormat="1" applyFont="1" applyBorder="1" applyAlignment="1">
      <alignment horizontal="center" vertical="center" wrapText="1"/>
    </xf>
    <xf numFmtId="15" fontId="71" fillId="0" borderId="74" xfId="0" applyNumberFormat="1" applyFont="1" applyBorder="1" applyAlignment="1">
      <alignment horizontal="center" vertical="center" wrapText="1"/>
    </xf>
    <xf numFmtId="43" fontId="41" fillId="0" borderId="0" xfId="46" applyFont="1" applyAlignment="1">
      <alignment vertical="center"/>
    </xf>
    <xf numFmtId="49" fontId="71" fillId="0" borderId="57" xfId="857" applyNumberFormat="1" applyFont="1" applyBorder="1" applyAlignment="1" applyProtection="1">
      <alignment horizontal="center" vertical="center"/>
    </xf>
    <xf numFmtId="0" fontId="47" fillId="0" borderId="47" xfId="857" applyFont="1" applyBorder="1" applyAlignment="1">
      <alignment horizontal="center" vertical="center" wrapText="1"/>
    </xf>
    <xf numFmtId="4" fontId="71" fillId="0" borderId="54" xfId="857" applyNumberFormat="1" applyFont="1" applyBorder="1" applyAlignment="1">
      <alignment horizontal="center" vertical="center"/>
    </xf>
    <xf numFmtId="4" fontId="71" fillId="0" borderId="35" xfId="857" applyNumberFormat="1" applyFont="1" applyBorder="1" applyAlignment="1">
      <alignment horizontal="center" vertical="center"/>
    </xf>
    <xf numFmtId="4" fontId="71" fillId="0" borderId="57" xfId="857" applyNumberFormat="1" applyFont="1" applyBorder="1" applyAlignment="1" applyProtection="1">
      <alignment horizontal="right" vertical="center"/>
    </xf>
    <xf numFmtId="4" fontId="71" fillId="0" borderId="47" xfId="857" applyNumberFormat="1" applyFont="1" applyBorder="1" applyAlignment="1" applyProtection="1">
      <alignment horizontal="right" vertical="center" indent="1"/>
    </xf>
    <xf numFmtId="15" fontId="71" fillId="0" borderId="57" xfId="857" applyNumberFormat="1" applyFont="1" applyBorder="1" applyAlignment="1" applyProtection="1">
      <alignment horizontal="center" vertical="center"/>
    </xf>
    <xf numFmtId="15" fontId="71" fillId="0" borderId="26" xfId="857" applyNumberFormat="1" applyFont="1" applyBorder="1" applyAlignment="1" applyProtection="1">
      <alignment horizontal="center" vertical="center"/>
    </xf>
    <xf numFmtId="0" fontId="116" fillId="24" borderId="0" xfId="56" applyFont="1" applyFill="1" applyAlignment="1">
      <alignment horizontal="left" vertical="center"/>
    </xf>
    <xf numFmtId="0" fontId="116" fillId="24" borderId="0" xfId="56" applyFont="1" applyFill="1" applyBorder="1" applyAlignment="1">
      <alignment horizontal="left" vertical="center"/>
    </xf>
    <xf numFmtId="0" fontId="41" fillId="30" borderId="188" xfId="857" applyFont="1" applyFill="1" applyBorder="1" applyAlignment="1">
      <alignment horizontal="center" vertical="center" wrapText="1"/>
    </xf>
    <xf numFmtId="0" fontId="41" fillId="30" borderId="189" xfId="857" applyFont="1" applyFill="1" applyBorder="1" applyAlignment="1">
      <alignment horizontal="center" vertical="center"/>
    </xf>
    <xf numFmtId="0" fontId="39" fillId="32" borderId="191" xfId="857" applyFont="1" applyFill="1" applyBorder="1" applyAlignment="1">
      <alignment vertical="center" wrapText="1"/>
    </xf>
    <xf numFmtId="0" fontId="39" fillId="32" borderId="191" xfId="857" applyFont="1" applyFill="1" applyBorder="1" applyAlignment="1">
      <alignment horizontal="left" vertical="center" indent="1"/>
    </xf>
    <xf numFmtId="4" fontId="39" fillId="32" borderId="191" xfId="857" applyNumberFormat="1" applyFont="1" applyFill="1" applyBorder="1" applyAlignment="1">
      <alignment vertical="center" wrapText="1"/>
    </xf>
    <xf numFmtId="4" fontId="39" fillId="32" borderId="191" xfId="857" applyNumberFormat="1" applyFont="1" applyFill="1" applyBorder="1" applyAlignment="1" applyProtection="1">
      <alignment horizontal="right" vertical="center" indent="1"/>
    </xf>
    <xf numFmtId="182" fontId="71" fillId="32" borderId="191" xfId="857" applyNumberFormat="1" applyFont="1" applyFill="1" applyBorder="1" applyAlignment="1" applyProtection="1">
      <alignment horizontal="center" vertical="center"/>
    </xf>
    <xf numFmtId="0" fontId="47" fillId="24" borderId="0" xfId="858" applyFont="1" applyFill="1" applyBorder="1" applyAlignment="1">
      <alignment horizontal="right" vertical="center"/>
    </xf>
    <xf numFmtId="0" fontId="47" fillId="0" borderId="0" xfId="857" applyFont="1" applyBorder="1" applyAlignment="1">
      <alignment vertical="center"/>
    </xf>
    <xf numFmtId="0" fontId="118" fillId="0" borderId="10" xfId="53" applyFont="1" applyBorder="1" applyAlignment="1">
      <alignment vertical="center"/>
    </xf>
    <xf numFmtId="0" fontId="40" fillId="0" borderId="0" xfId="0" applyFont="1" applyFill="1" applyBorder="1" applyAlignment="1">
      <alignment horizontal="right" vertical="center"/>
    </xf>
    <xf numFmtId="203" fontId="47" fillId="0" borderId="0" xfId="0" applyNumberFormat="1" applyFont="1" applyFill="1" applyBorder="1" applyAlignment="1" applyProtection="1">
      <alignment horizontal="center" vertical="center"/>
    </xf>
    <xf numFmtId="0" fontId="23" fillId="0" borderId="0" xfId="0" applyFont="1" applyAlignment="1">
      <alignment horizontal="center"/>
    </xf>
    <xf numFmtId="49" fontId="113" fillId="0" borderId="0" xfId="0" applyNumberFormat="1" applyFont="1" applyAlignment="1">
      <alignment horizontal="center"/>
    </xf>
    <xf numFmtId="14" fontId="47" fillId="0" borderId="0" xfId="0" applyNumberFormat="1" applyFont="1" applyFill="1" applyBorder="1" applyAlignment="1" applyProtection="1">
      <alignment vertical="center"/>
    </xf>
    <xf numFmtId="49" fontId="0" fillId="0" borderId="0" xfId="0" applyNumberFormat="1"/>
    <xf numFmtId="0" fontId="0" fillId="32" borderId="0" xfId="0" applyFill="1"/>
    <xf numFmtId="49" fontId="119" fillId="32" borderId="0" xfId="0" applyNumberFormat="1" applyFont="1" applyFill="1" applyAlignment="1">
      <alignment horizontal="center"/>
    </xf>
    <xf numFmtId="0" fontId="67" fillId="32" borderId="0" xfId="0" applyFont="1" applyFill="1"/>
    <xf numFmtId="49" fontId="67" fillId="32" borderId="0" xfId="0" applyNumberFormat="1" applyFont="1" applyFill="1"/>
    <xf numFmtId="0" fontId="41" fillId="0" borderId="93" xfId="0" applyFont="1" applyFill="1" applyBorder="1" applyAlignment="1">
      <alignment horizontal="left" vertical="center"/>
    </xf>
    <xf numFmtId="0" fontId="37" fillId="0" borderId="0" xfId="0" applyNumberFormat="1" applyFont="1" applyFill="1" applyBorder="1" applyAlignment="1">
      <alignment horizontal="left" vertical="center"/>
    </xf>
    <xf numFmtId="49" fontId="47" fillId="0" borderId="0" xfId="0" applyNumberFormat="1" applyFont="1" applyFill="1" applyAlignment="1">
      <alignment vertical="center"/>
    </xf>
    <xf numFmtId="2" fontId="44" fillId="24" borderId="0" xfId="59" applyNumberFormat="1" applyFont="1" applyFill="1" applyBorder="1" applyAlignment="1">
      <alignment horizontal="right" vertical="center"/>
    </xf>
    <xf numFmtId="165" fontId="42" fillId="24" borderId="93" xfId="47" applyNumberFormat="1" applyFont="1" applyFill="1" applyBorder="1" applyAlignment="1">
      <alignment horizontal="right" vertical="center"/>
    </xf>
    <xf numFmtId="10" fontId="42" fillId="24" borderId="42" xfId="59" applyNumberFormat="1" applyFont="1" applyFill="1" applyBorder="1" applyAlignment="1">
      <alignment horizontal="right" vertical="center"/>
    </xf>
    <xf numFmtId="10" fontId="44" fillId="30" borderId="42" xfId="59" applyNumberFormat="1" applyFont="1" applyFill="1" applyBorder="1" applyAlignment="1">
      <alignment horizontal="right" vertical="center"/>
    </xf>
    <xf numFmtId="10" fontId="111" fillId="30" borderId="42" xfId="59" applyNumberFormat="1" applyFont="1" applyFill="1" applyBorder="1" applyAlignment="1">
      <alignment horizontal="right" vertical="center"/>
    </xf>
    <xf numFmtId="10" fontId="42" fillId="24" borderId="43" xfId="59" applyNumberFormat="1" applyFont="1" applyFill="1" applyBorder="1" applyAlignment="1">
      <alignment horizontal="right" vertical="center"/>
    </xf>
    <xf numFmtId="10" fontId="44" fillId="30" borderId="43" xfId="59" applyNumberFormat="1" applyFont="1" applyFill="1" applyBorder="1" applyAlignment="1">
      <alignment horizontal="right" vertical="center"/>
    </xf>
    <xf numFmtId="10" fontId="111" fillId="30" borderId="41" xfId="59" applyNumberFormat="1" applyFont="1" applyFill="1" applyBorder="1" applyAlignment="1">
      <alignment horizontal="right" vertical="center"/>
    </xf>
    <xf numFmtId="165" fontId="111" fillId="30" borderId="188" xfId="47" applyNumberFormat="1" applyFont="1" applyFill="1" applyBorder="1" applyAlignment="1">
      <alignment horizontal="right" vertical="center" wrapText="1"/>
    </xf>
    <xf numFmtId="17" fontId="114" fillId="0" borderId="61" xfId="631" applyNumberFormat="1" applyFont="1" applyBorder="1" applyAlignment="1">
      <alignment horizontal="center" vertical="center"/>
    </xf>
    <xf numFmtId="166" fontId="114" fillId="0" borderId="59" xfId="631" applyNumberFormat="1" applyFont="1" applyBorder="1" applyAlignment="1">
      <alignment horizontal="center" vertical="center"/>
    </xf>
    <xf numFmtId="166" fontId="114" fillId="0" borderId="76" xfId="631" applyNumberFormat="1" applyFont="1" applyBorder="1" applyAlignment="1">
      <alignment horizontal="center" vertical="center"/>
    </xf>
    <xf numFmtId="166" fontId="114" fillId="0" borderId="60" xfId="631" applyNumberFormat="1" applyFont="1" applyBorder="1" applyAlignment="1">
      <alignment horizontal="center" vertical="center"/>
    </xf>
    <xf numFmtId="166" fontId="114" fillId="0" borderId="77" xfId="631" applyNumberFormat="1" applyFont="1" applyBorder="1" applyAlignment="1">
      <alignment horizontal="center" vertical="center"/>
    </xf>
    <xf numFmtId="166" fontId="114" fillId="0" borderId="53" xfId="631" applyNumberFormat="1" applyFont="1" applyBorder="1" applyAlignment="1">
      <alignment horizontal="center" vertical="center"/>
    </xf>
    <xf numFmtId="166" fontId="114" fillId="0" borderId="57" xfId="631" applyNumberFormat="1" applyFont="1" applyBorder="1" applyAlignment="1">
      <alignment horizontal="center" vertical="center"/>
    </xf>
    <xf numFmtId="166" fontId="114" fillId="0" borderId="57" xfId="631" applyNumberFormat="1" applyFont="1" applyFill="1" applyBorder="1" applyAlignment="1">
      <alignment vertical="center"/>
    </xf>
    <xf numFmtId="10" fontId="114" fillId="0" borderId="29" xfId="59" applyNumberFormat="1" applyFont="1" applyFill="1" applyBorder="1" applyAlignment="1">
      <alignment vertical="center"/>
    </xf>
    <xf numFmtId="0" fontId="114" fillId="0" borderId="58" xfId="631" applyFont="1" applyBorder="1" applyAlignment="1">
      <alignment horizontal="center" vertical="center"/>
    </xf>
    <xf numFmtId="166" fontId="47" fillId="0" borderId="58" xfId="631" applyNumberFormat="1" applyFont="1" applyFill="1" applyBorder="1" applyAlignment="1">
      <alignment vertical="center"/>
    </xf>
    <xf numFmtId="10" fontId="47" fillId="0" borderId="34" xfId="59" applyNumberFormat="1" applyFont="1" applyFill="1" applyBorder="1" applyAlignment="1">
      <alignment vertical="center"/>
    </xf>
    <xf numFmtId="166" fontId="114" fillId="0" borderId="58" xfId="631" applyNumberFormat="1" applyFont="1" applyFill="1" applyBorder="1" applyAlignment="1">
      <alignment vertical="center"/>
    </xf>
    <xf numFmtId="166" fontId="114" fillId="0" borderId="27" xfId="631" applyNumberFormat="1" applyFont="1" applyFill="1" applyBorder="1" applyAlignment="1">
      <alignment vertical="center"/>
    </xf>
    <xf numFmtId="166" fontId="114" fillId="0" borderId="34" xfId="631" applyNumberFormat="1" applyFont="1" applyFill="1" applyBorder="1" applyAlignment="1">
      <alignment vertical="center"/>
    </xf>
    <xf numFmtId="10" fontId="114" fillId="0" borderId="45" xfId="59" applyNumberFormat="1" applyFont="1" applyFill="1" applyBorder="1" applyAlignment="1">
      <alignment vertical="center"/>
    </xf>
    <xf numFmtId="166" fontId="114" fillId="0" borderId="23" xfId="631" applyNumberFormat="1" applyFont="1" applyFill="1" applyBorder="1" applyAlignment="1">
      <alignment vertical="center"/>
    </xf>
    <xf numFmtId="166" fontId="114" fillId="0" borderId="45" xfId="631" applyNumberFormat="1" applyFont="1" applyFill="1" applyBorder="1" applyAlignment="1">
      <alignment vertical="center"/>
    </xf>
    <xf numFmtId="4" fontId="86" fillId="0" borderId="161" xfId="631" applyNumberFormat="1" applyFont="1" applyBorder="1" applyAlignment="1">
      <alignment vertical="center"/>
    </xf>
    <xf numFmtId="10" fontId="86" fillId="0" borderId="43" xfId="59" applyNumberFormat="1" applyFont="1" applyBorder="1" applyAlignment="1">
      <alignment vertical="center"/>
    </xf>
    <xf numFmtId="4" fontId="86" fillId="0" borderId="42" xfId="631" applyNumberFormat="1" applyFont="1" applyBorder="1" applyAlignment="1">
      <alignment vertical="center"/>
    </xf>
    <xf numFmtId="43" fontId="86" fillId="0" borderId="42" xfId="46" applyFont="1" applyBorder="1" applyAlignment="1">
      <alignment vertical="center"/>
    </xf>
    <xf numFmtId="43" fontId="86" fillId="0" borderId="43" xfId="46" applyFont="1" applyBorder="1" applyAlignment="1">
      <alignment vertical="center"/>
    </xf>
    <xf numFmtId="43" fontId="86" fillId="0" borderId="161" xfId="46" applyFont="1" applyBorder="1" applyAlignment="1">
      <alignment vertical="center"/>
    </xf>
    <xf numFmtId="0" fontId="47" fillId="0" borderId="0" xfId="633" applyFont="1" applyFill="1" applyBorder="1" applyAlignment="1">
      <alignment horizontal="center" vertical="center"/>
    </xf>
    <xf numFmtId="0" fontId="58" fillId="0" borderId="15" xfId="631" applyFont="1" applyBorder="1" applyAlignment="1">
      <alignment wrapText="1"/>
    </xf>
    <xf numFmtId="0" fontId="37" fillId="24" borderId="16" xfId="56" applyFont="1" applyFill="1" applyBorder="1" applyAlignment="1">
      <alignment horizontal="right" vertical="top"/>
    </xf>
    <xf numFmtId="0" fontId="42" fillId="24" borderId="16" xfId="56" applyFont="1" applyFill="1" applyBorder="1" applyAlignment="1">
      <alignment vertical="top"/>
    </xf>
    <xf numFmtId="0" fontId="42" fillId="24" borderId="16" xfId="56" applyFont="1" applyFill="1" applyBorder="1" applyAlignment="1">
      <alignment horizontal="right" vertical="top"/>
    </xf>
    <xf numFmtId="15" fontId="47" fillId="0" borderId="0" xfId="141" applyNumberFormat="1" applyFont="1" applyAlignment="1">
      <alignment vertical="center"/>
    </xf>
    <xf numFmtId="0" fontId="41" fillId="0" borderId="13" xfId="0" applyFont="1" applyBorder="1" applyAlignment="1">
      <alignment horizontal="center"/>
    </xf>
    <xf numFmtId="0" fontId="41" fillId="0" borderId="14" xfId="0" applyFont="1" applyBorder="1" applyAlignment="1">
      <alignment horizontal="center"/>
    </xf>
    <xf numFmtId="0" fontId="46" fillId="0" borderId="10" xfId="0" applyFont="1" applyBorder="1" applyAlignment="1">
      <alignment vertical="center" wrapText="1"/>
    </xf>
    <xf numFmtId="0" fontId="46" fillId="0" borderId="94" xfId="0" applyFont="1" applyBorder="1" applyAlignment="1">
      <alignment vertical="center" wrapText="1"/>
    </xf>
    <xf numFmtId="0" fontId="71" fillId="0" borderId="17" xfId="0" applyFont="1" applyBorder="1" applyAlignment="1">
      <alignment horizontal="center" vertical="center" wrapText="1"/>
    </xf>
    <xf numFmtId="0" fontId="46" fillId="0" borderId="20" xfId="0" applyFont="1" applyBorder="1" applyAlignment="1">
      <alignment vertical="center" wrapText="1"/>
    </xf>
    <xf numFmtId="0" fontId="71" fillId="0" borderId="24" xfId="0" applyFont="1" applyBorder="1" applyAlignment="1">
      <alignment horizontal="center" vertical="center" wrapText="1"/>
    </xf>
    <xf numFmtId="0" fontId="46" fillId="0" borderId="13" xfId="0" applyFont="1" applyBorder="1" applyAlignment="1">
      <alignment vertical="center" wrapText="1"/>
    </xf>
    <xf numFmtId="0" fontId="46" fillId="0" borderId="14" xfId="0" applyFont="1" applyBorder="1" applyAlignment="1">
      <alignment vertical="center" wrapText="1"/>
    </xf>
    <xf numFmtId="0" fontId="46" fillId="0" borderId="24" xfId="0" applyFont="1" applyBorder="1" applyAlignment="1">
      <alignment vertical="center" wrapText="1"/>
    </xf>
    <xf numFmtId="0" fontId="37" fillId="0" borderId="22" xfId="0" applyFont="1" applyBorder="1" applyAlignment="1">
      <alignment horizontal="center" vertical="center" wrapText="1"/>
    </xf>
    <xf numFmtId="0" fontId="71" fillId="0" borderId="55" xfId="0" applyFont="1" applyBorder="1" applyAlignment="1">
      <alignment horizontal="left" vertical="center" wrapText="1" indent="1"/>
    </xf>
    <xf numFmtId="0" fontId="71" fillId="0" borderId="74" xfId="0" applyFont="1" applyBorder="1" applyAlignment="1">
      <alignment horizontal="left" vertical="center" wrapText="1" indent="1"/>
    </xf>
    <xf numFmtId="0" fontId="71" fillId="0" borderId="54" xfId="0" applyFont="1" applyBorder="1" applyAlignment="1">
      <alignment horizontal="left" vertical="center" wrapText="1" indent="1"/>
    </xf>
    <xf numFmtId="0" fontId="39" fillId="30" borderId="18" xfId="0" applyFont="1" applyFill="1" applyBorder="1" applyAlignment="1">
      <alignment horizontal="center" vertical="center" wrapText="1"/>
    </xf>
    <xf numFmtId="0" fontId="46" fillId="0" borderId="93" xfId="0" applyFont="1" applyBorder="1" applyAlignment="1">
      <alignment vertical="center" wrapText="1"/>
    </xf>
    <xf numFmtId="0" fontId="71" fillId="0" borderId="16" xfId="0" applyFont="1" applyBorder="1" applyAlignment="1">
      <alignment horizontal="center" vertical="center" wrapText="1"/>
    </xf>
    <xf numFmtId="49" fontId="113" fillId="0" borderId="0" xfId="0" applyNumberFormat="1" applyFont="1" applyAlignment="1">
      <alignment horizontal="left"/>
    </xf>
    <xf numFmtId="166" fontId="114" fillId="0" borderId="29" xfId="631" applyNumberFormat="1" applyFont="1" applyFill="1" applyBorder="1" applyAlignment="1">
      <alignment vertical="center"/>
    </xf>
    <xf numFmtId="17" fontId="114" fillId="0" borderId="29" xfId="631" applyNumberFormat="1" applyFont="1" applyBorder="1" applyAlignment="1">
      <alignment horizontal="center" vertical="center"/>
    </xf>
    <xf numFmtId="166" fontId="114" fillId="0" borderId="50" xfId="631" applyNumberFormat="1" applyFont="1" applyFill="1" applyBorder="1" applyAlignment="1">
      <alignment vertical="center"/>
    </xf>
    <xf numFmtId="166" fontId="114" fillId="0" borderId="30" xfId="631" applyNumberFormat="1" applyFont="1" applyFill="1" applyBorder="1" applyAlignment="1">
      <alignment vertical="center"/>
    </xf>
    <xf numFmtId="166" fontId="114" fillId="0" borderId="31" xfId="631" applyNumberFormat="1" applyFont="1" applyFill="1" applyBorder="1" applyAlignment="1">
      <alignment vertical="center"/>
    </xf>
    <xf numFmtId="0" fontId="39" fillId="0" borderId="189" xfId="633" applyFont="1" applyBorder="1" applyAlignment="1">
      <alignment horizontal="center" vertical="center" wrapText="1"/>
    </xf>
    <xf numFmtId="0" fontId="39" fillId="0" borderId="137" xfId="633" applyFont="1" applyBorder="1" applyAlignment="1">
      <alignment horizontal="center" vertical="center"/>
    </xf>
    <xf numFmtId="0" fontId="71" fillId="0" borderId="190" xfId="141" applyFont="1" applyBorder="1" applyAlignment="1">
      <alignment horizontal="center" vertical="center" wrapText="1"/>
    </xf>
    <xf numFmtId="182" fontId="5" fillId="0" borderId="191" xfId="631" applyNumberFormat="1" applyFont="1" applyBorder="1" applyAlignment="1">
      <alignment horizontal="center" vertical="center"/>
    </xf>
    <xf numFmtId="17" fontId="5" fillId="0" borderId="191" xfId="631" applyNumberFormat="1" applyFont="1" applyBorder="1" applyAlignment="1">
      <alignment horizontal="center" vertical="center"/>
    </xf>
    <xf numFmtId="182" fontId="58" fillId="0" borderId="191" xfId="631" applyNumberFormat="1" applyFont="1" applyBorder="1" applyAlignment="1">
      <alignment horizontal="right" vertical="center"/>
    </xf>
    <xf numFmtId="179" fontId="71" fillId="0" borderId="192" xfId="633" applyNumberFormat="1" applyFont="1" applyBorder="1" applyAlignment="1">
      <alignment vertical="center"/>
    </xf>
    <xf numFmtId="0" fontId="39" fillId="0" borderId="98" xfId="633" applyFont="1" applyBorder="1" applyAlignment="1">
      <alignment vertical="center" wrapText="1"/>
    </xf>
    <xf numFmtId="0" fontId="41" fillId="0" borderId="166" xfId="633" applyFont="1" applyBorder="1" applyAlignment="1">
      <alignment horizontal="center" vertical="center" wrapText="1"/>
    </xf>
    <xf numFmtId="0" fontId="71" fillId="0" borderId="81" xfId="633" applyFont="1" applyFill="1" applyBorder="1" applyAlignment="1">
      <alignment vertical="center"/>
    </xf>
    <xf numFmtId="0" fontId="39" fillId="0" borderId="100" xfId="633" applyFont="1" applyBorder="1" applyAlignment="1">
      <alignment horizontal="center" vertical="top"/>
    </xf>
    <xf numFmtId="0" fontId="37" fillId="0" borderId="28" xfId="0" applyFont="1" applyFill="1" applyBorder="1" applyAlignment="1">
      <alignment horizontal="left" vertical="center" indent="1"/>
    </xf>
    <xf numFmtId="0" fontId="47" fillId="0" borderId="55" xfId="0" applyFont="1" applyBorder="1" applyAlignment="1">
      <alignment horizontal="center"/>
    </xf>
    <xf numFmtId="0" fontId="47" fillId="0" borderId="54" xfId="0" applyFont="1" applyBorder="1" applyAlignment="1">
      <alignment horizontal="center"/>
    </xf>
    <xf numFmtId="49" fontId="71" fillId="0" borderId="58" xfId="857" applyNumberFormat="1" applyFont="1" applyBorder="1" applyAlignment="1" applyProtection="1">
      <alignment horizontal="center" vertical="center"/>
    </xf>
    <xf numFmtId="0" fontId="47" fillId="0" borderId="45" xfId="857" applyFont="1" applyBorder="1" applyAlignment="1">
      <alignment horizontal="center" vertical="center" wrapText="1"/>
    </xf>
    <xf numFmtId="4" fontId="71" fillId="0" borderId="55" xfId="857" applyNumberFormat="1" applyFont="1" applyBorder="1" applyAlignment="1">
      <alignment horizontal="center" vertical="center"/>
    </xf>
    <xf numFmtId="4" fontId="71" fillId="0" borderId="28" xfId="857" applyNumberFormat="1" applyFont="1" applyBorder="1" applyAlignment="1">
      <alignment horizontal="center" vertical="center"/>
    </xf>
    <xf numFmtId="4" fontId="71" fillId="0" borderId="58" xfId="857" applyNumberFormat="1" applyFont="1" applyBorder="1" applyAlignment="1" applyProtection="1">
      <alignment horizontal="right" vertical="center"/>
    </xf>
    <xf numFmtId="4" fontId="71" fillId="0" borderId="45" xfId="857" applyNumberFormat="1" applyFont="1" applyBorder="1" applyAlignment="1" applyProtection="1">
      <alignment horizontal="right" vertical="center" indent="1"/>
    </xf>
    <xf numFmtId="15" fontId="71" fillId="0" borderId="58" xfId="857" applyNumberFormat="1" applyFont="1" applyBorder="1" applyAlignment="1" applyProtection="1">
      <alignment horizontal="center" vertical="center"/>
    </xf>
    <xf numFmtId="15" fontId="71" fillId="0" borderId="29" xfId="857" applyNumberFormat="1" applyFont="1" applyBorder="1" applyAlignment="1" applyProtection="1">
      <alignment horizontal="center" vertical="center"/>
    </xf>
    <xf numFmtId="0" fontId="44" fillId="0" borderId="15" xfId="0" applyFont="1" applyBorder="1" applyAlignment="1"/>
    <xf numFmtId="0" fontId="44" fillId="0" borderId="16" xfId="0" applyFont="1" applyBorder="1" applyAlignment="1"/>
    <xf numFmtId="0" fontId="44" fillId="0" borderId="17" xfId="0" applyFont="1" applyBorder="1" applyAlignment="1"/>
    <xf numFmtId="0" fontId="42" fillId="0" borderId="13" xfId="0" applyFont="1" applyBorder="1" applyAlignment="1"/>
    <xf numFmtId="0" fontId="42" fillId="0" borderId="14" xfId="0" applyFont="1" applyBorder="1" applyAlignment="1"/>
    <xf numFmtId="0" fontId="37" fillId="0" borderId="0" xfId="0" applyFont="1" applyBorder="1" applyAlignment="1">
      <alignment horizontal="center"/>
    </xf>
    <xf numFmtId="10" fontId="41" fillId="0" borderId="37" xfId="59" applyNumberFormat="1" applyFont="1" applyBorder="1"/>
    <xf numFmtId="10" fontId="41" fillId="0" borderId="30" xfId="59" applyNumberFormat="1" applyFont="1" applyBorder="1"/>
    <xf numFmtId="10" fontId="41" fillId="0" borderId="40" xfId="59" applyNumberFormat="1" applyFont="1" applyBorder="1"/>
    <xf numFmtId="43" fontId="47" fillId="0" borderId="58" xfId="46" applyNumberFormat="1" applyFont="1" applyBorder="1" applyAlignment="1">
      <alignment vertical="center"/>
    </xf>
    <xf numFmtId="0" fontId="42" fillId="0" borderId="13" xfId="52" applyFont="1" applyFill="1" applyBorder="1" applyAlignment="1">
      <alignment horizontal="center" vertical="center" wrapText="1"/>
    </xf>
    <xf numFmtId="0" fontId="44" fillId="0" borderId="14" xfId="52" applyFont="1" applyFill="1" applyBorder="1" applyAlignment="1">
      <alignment vertical="center" wrapText="1"/>
    </xf>
    <xf numFmtId="0" fontId="44" fillId="0" borderId="13" xfId="52" applyFont="1" applyFill="1" applyBorder="1" applyAlignment="1">
      <alignment horizontal="center" vertical="center" wrapText="1"/>
    </xf>
    <xf numFmtId="0" fontId="44" fillId="0" borderId="14" xfId="52" applyFont="1" applyFill="1" applyBorder="1" applyAlignment="1">
      <alignment horizontal="center" vertical="center" wrapText="1"/>
    </xf>
    <xf numFmtId="0" fontId="37" fillId="0" borderId="14" xfId="0" applyFont="1" applyBorder="1" applyAlignment="1">
      <alignment horizontal="left" vertical="center" indent="7"/>
    </xf>
    <xf numFmtId="0" fontId="103" fillId="29" borderId="189" xfId="56" applyFont="1" applyFill="1" applyBorder="1" applyAlignment="1">
      <alignment horizontal="center" vertical="center" wrapText="1"/>
    </xf>
    <xf numFmtId="0" fontId="103" fillId="29" borderId="189" xfId="56" applyFont="1" applyFill="1" applyBorder="1" applyAlignment="1">
      <alignment horizontal="center" vertical="center"/>
    </xf>
    <xf numFmtId="0" fontId="103" fillId="29" borderId="189" xfId="52" applyFont="1" applyFill="1" applyBorder="1" applyAlignment="1">
      <alignment horizontal="center" vertical="center" wrapText="1"/>
    </xf>
    <xf numFmtId="0" fontId="103" fillId="29" borderId="189" xfId="52" applyFont="1" applyFill="1" applyBorder="1" applyAlignment="1">
      <alignment horizontal="center" vertical="center"/>
    </xf>
    <xf numFmtId="0" fontId="40" fillId="24" borderId="0" xfId="56" applyFont="1" applyFill="1" applyBorder="1" applyAlignment="1">
      <alignment horizontal="center" vertical="center"/>
    </xf>
    <xf numFmtId="0" fontId="40" fillId="24" borderId="16" xfId="56" applyFont="1" applyFill="1" applyBorder="1" applyAlignment="1">
      <alignment horizontal="center" vertical="top"/>
    </xf>
    <xf numFmtId="0" fontId="37" fillId="24" borderId="0" xfId="56" applyFont="1" applyFill="1" applyBorder="1" applyAlignment="1">
      <alignment horizontal="center" vertical="center"/>
    </xf>
    <xf numFmtId="164" fontId="42" fillId="24" borderId="0" xfId="47" applyFont="1" applyFill="1" applyBorder="1" applyAlignment="1">
      <alignment horizontal="center" vertical="center"/>
    </xf>
    <xf numFmtId="49" fontId="95" fillId="0" borderId="0" xfId="863" applyNumberFormat="1" applyFont="1" applyFill="1" applyBorder="1" applyAlignment="1">
      <alignment horizontal="left" vertical="center" wrapText="1"/>
    </xf>
    <xf numFmtId="0" fontId="103" fillId="29" borderId="19" xfId="56" applyFont="1" applyFill="1" applyBorder="1" applyAlignment="1">
      <alignment horizontal="center" vertical="center" wrapText="1"/>
    </xf>
    <xf numFmtId="10" fontId="42" fillId="24" borderId="49" xfId="59" applyNumberFormat="1" applyFont="1" applyFill="1" applyBorder="1" applyAlignment="1">
      <alignment horizontal="right" vertical="center"/>
    </xf>
    <xf numFmtId="10" fontId="44" fillId="30" borderId="49" xfId="59" applyNumberFormat="1" applyFont="1" applyFill="1" applyBorder="1" applyAlignment="1">
      <alignment horizontal="right" vertical="center"/>
    </xf>
    <xf numFmtId="10" fontId="42" fillId="24" borderId="76" xfId="59" applyNumberFormat="1" applyFont="1" applyFill="1" applyBorder="1" applyAlignment="1">
      <alignment horizontal="right" vertical="center"/>
    </xf>
    <xf numFmtId="10" fontId="42" fillId="24" borderId="0" xfId="59" applyNumberFormat="1" applyFont="1" applyFill="1" applyBorder="1" applyAlignment="1">
      <alignment horizontal="right" vertical="center"/>
    </xf>
    <xf numFmtId="10" fontId="111" fillId="30" borderId="191" xfId="59" applyNumberFormat="1" applyFont="1" applyFill="1" applyBorder="1" applyAlignment="1">
      <alignment horizontal="right" vertical="center"/>
    </xf>
    <xf numFmtId="0" fontId="41" fillId="33" borderId="198" xfId="56" applyFont="1" applyFill="1" applyBorder="1" applyAlignment="1">
      <alignment horizontal="center" vertical="center"/>
    </xf>
    <xf numFmtId="0" fontId="41" fillId="33" borderId="199" xfId="56" applyFont="1" applyFill="1" applyBorder="1" applyAlignment="1">
      <alignment horizontal="center" vertical="center"/>
    </xf>
    <xf numFmtId="0" fontId="41" fillId="33" borderId="200" xfId="56" applyFont="1" applyFill="1" applyBorder="1" applyAlignment="1">
      <alignment horizontal="center" vertical="center"/>
    </xf>
    <xf numFmtId="17" fontId="41" fillId="24" borderId="115" xfId="56" applyNumberFormat="1" applyFont="1" applyFill="1" applyBorder="1" applyAlignment="1">
      <alignment horizontal="center" vertical="center"/>
    </xf>
    <xf numFmtId="10" fontId="41" fillId="24" borderId="116" xfId="59" applyNumberFormat="1" applyFont="1" applyFill="1" applyBorder="1" applyAlignment="1">
      <alignment horizontal="center" vertical="center"/>
    </xf>
    <xf numFmtId="0" fontId="69" fillId="33" borderId="198" xfId="56" applyFont="1" applyFill="1" applyBorder="1" applyAlignment="1">
      <alignment horizontal="center" vertical="center"/>
    </xf>
    <xf numFmtId="0" fontId="69" fillId="33" borderId="199" xfId="56" applyFont="1" applyFill="1" applyBorder="1" applyAlignment="1">
      <alignment horizontal="center" vertical="center"/>
    </xf>
    <xf numFmtId="0" fontId="69" fillId="33" borderId="200" xfId="56" applyFont="1" applyFill="1" applyBorder="1" applyAlignment="1">
      <alignment horizontal="center" vertical="center"/>
    </xf>
    <xf numFmtId="10" fontId="69" fillId="24" borderId="116" xfId="59" applyNumberFormat="1" applyFont="1" applyFill="1" applyBorder="1" applyAlignment="1">
      <alignment horizontal="center" vertical="center"/>
    </xf>
    <xf numFmtId="43" fontId="120" fillId="30" borderId="124" xfId="46" applyFont="1" applyFill="1" applyBorder="1" applyAlignment="1">
      <alignment horizontal="right" vertical="center" wrapText="1"/>
    </xf>
    <xf numFmtId="43" fontId="120" fillId="30" borderId="27" xfId="46" applyFont="1" applyFill="1" applyBorder="1" applyAlignment="1">
      <alignment horizontal="right" vertical="center"/>
    </xf>
    <xf numFmtId="10" fontId="120" fillId="30" borderId="125" xfId="59" applyNumberFormat="1" applyFont="1" applyFill="1" applyBorder="1" applyAlignment="1">
      <alignment horizontal="right" vertical="center" wrapText="1"/>
    </xf>
    <xf numFmtId="43" fontId="34" fillId="24" borderId="120" xfId="46" applyFont="1" applyFill="1" applyBorder="1" applyAlignment="1">
      <alignment vertical="center"/>
    </xf>
    <xf numFmtId="43" fontId="34" fillId="24" borderId="60" xfId="46" applyFont="1" applyFill="1" applyBorder="1" applyAlignment="1">
      <alignment vertical="center"/>
    </xf>
    <xf numFmtId="10" fontId="34" fillId="24" borderId="121" xfId="59" applyNumberFormat="1" applyFont="1" applyFill="1" applyBorder="1" applyAlignment="1">
      <alignment vertical="center"/>
    </xf>
    <xf numFmtId="43" fontId="34" fillId="24" borderId="124" xfId="46" applyFont="1" applyFill="1" applyBorder="1" applyAlignment="1">
      <alignment vertical="center"/>
    </xf>
    <xf numFmtId="43" fontId="34" fillId="24" borderId="27" xfId="46" applyFont="1" applyFill="1" applyBorder="1" applyAlignment="1">
      <alignment vertical="center"/>
    </xf>
    <xf numFmtId="10" fontId="34" fillId="24" borderId="125" xfId="59" applyNumberFormat="1" applyFont="1" applyFill="1" applyBorder="1" applyAlignment="1">
      <alignment vertical="center"/>
    </xf>
    <xf numFmtId="43" fontId="121" fillId="34" borderId="63" xfId="46" applyFont="1" applyFill="1" applyBorder="1" applyAlignment="1">
      <alignment horizontal="center" vertical="center"/>
    </xf>
    <xf numFmtId="43" fontId="34" fillId="24" borderId="141" xfId="46" applyFont="1" applyFill="1" applyBorder="1" applyAlignment="1">
      <alignment vertical="center"/>
    </xf>
    <xf numFmtId="43" fontId="34" fillId="24" borderId="147" xfId="46" applyFont="1" applyFill="1" applyBorder="1" applyAlignment="1">
      <alignment vertical="center"/>
    </xf>
    <xf numFmtId="10" fontId="34" fillId="24" borderId="140" xfId="59" applyNumberFormat="1" applyFont="1" applyFill="1" applyBorder="1" applyAlignment="1">
      <alignment vertical="center"/>
    </xf>
    <xf numFmtId="17" fontId="44" fillId="24" borderId="115" xfId="56" applyNumberFormat="1" applyFont="1" applyFill="1" applyBorder="1" applyAlignment="1">
      <alignment horizontal="center" vertical="center" wrapText="1"/>
    </xf>
    <xf numFmtId="0" fontId="47" fillId="0" borderId="55" xfId="0" applyFont="1" applyBorder="1" applyAlignment="1">
      <alignment horizontal="center" vertical="center"/>
    </xf>
    <xf numFmtId="10" fontId="8" fillId="0" borderId="0" xfId="59" applyNumberFormat="1" applyFont="1"/>
    <xf numFmtId="10" fontId="47" fillId="0" borderId="0" xfId="59" applyNumberFormat="1" applyFont="1" applyAlignment="1">
      <alignment vertical="center"/>
    </xf>
    <xf numFmtId="49" fontId="95" fillId="0" borderId="0" xfId="863" applyNumberFormat="1" applyFont="1" applyFill="1" applyBorder="1" applyAlignment="1">
      <alignment vertical="center" wrapText="1"/>
    </xf>
    <xf numFmtId="17" fontId="87" fillId="0" borderId="0" xfId="863" applyNumberFormat="1" applyFont="1" applyFill="1" applyBorder="1" applyAlignment="1">
      <alignment vertical="center"/>
    </xf>
    <xf numFmtId="0" fontId="37" fillId="0" borderId="13" xfId="0" applyFont="1" applyFill="1" applyBorder="1" applyAlignment="1">
      <alignment horizontal="center" vertical="center"/>
    </xf>
    <xf numFmtId="0" fontId="37" fillId="0" borderId="16" xfId="0" applyFont="1" applyFill="1" applyBorder="1" applyAlignment="1">
      <alignment horizontal="center" vertical="center"/>
    </xf>
    <xf numFmtId="0" fontId="37" fillId="24" borderId="0" xfId="56" applyFont="1" applyFill="1" applyBorder="1" applyAlignment="1">
      <alignment horizontal="center" vertical="center"/>
    </xf>
    <xf numFmtId="0" fontId="47" fillId="24" borderId="0" xfId="858" applyFont="1" applyFill="1" applyBorder="1" applyAlignment="1">
      <alignment horizontal="center" vertical="center"/>
    </xf>
    <xf numFmtId="0" fontId="41" fillId="24" borderId="0" xfId="858" applyFont="1" applyFill="1" applyBorder="1" applyAlignment="1">
      <alignment horizontal="center" vertical="center"/>
    </xf>
    <xf numFmtId="201" fontId="69" fillId="0" borderId="81" xfId="864" applyNumberFormat="1" applyFont="1" applyBorder="1" applyAlignment="1">
      <alignment horizontal="left" vertical="center"/>
    </xf>
    <xf numFmtId="201" fontId="69" fillId="0" borderId="0" xfId="864" applyNumberFormat="1" applyFont="1" applyBorder="1" applyAlignment="1">
      <alignment horizontal="left" vertical="center"/>
    </xf>
    <xf numFmtId="49" fontId="41" fillId="0" borderId="0" xfId="864" applyNumberFormat="1" applyFont="1" applyBorder="1" applyAlignment="1">
      <alignment horizontal="left" vertical="center"/>
    </xf>
    <xf numFmtId="0" fontId="41" fillId="0" borderId="0" xfId="864" applyNumberFormat="1" applyFont="1" applyBorder="1" applyAlignment="1">
      <alignment horizontal="left" vertical="center"/>
    </xf>
    <xf numFmtId="0" fontId="41" fillId="0" borderId="97" xfId="864" applyNumberFormat="1" applyFont="1" applyBorder="1" applyAlignment="1">
      <alignment horizontal="left" vertical="center"/>
    </xf>
    <xf numFmtId="183" fontId="42" fillId="24" borderId="26" xfId="47" applyNumberFormat="1" applyFont="1" applyFill="1" applyBorder="1" applyAlignment="1">
      <alignment horizontal="right" vertical="center"/>
    </xf>
    <xf numFmtId="10" fontId="47" fillId="0" borderId="0" xfId="59" applyNumberFormat="1" applyFont="1" applyAlignment="1">
      <alignment horizontal="left" vertical="center"/>
    </xf>
    <xf numFmtId="0" fontId="122" fillId="0" borderId="0" xfId="864" applyFont="1" applyBorder="1" applyAlignment="1">
      <alignment horizontal="left"/>
    </xf>
    <xf numFmtId="0" fontId="125" fillId="0" borderId="0" xfId="863" applyFont="1" applyBorder="1" applyAlignment="1">
      <alignment horizontal="right" vertical="center"/>
    </xf>
    <xf numFmtId="0" fontId="125" fillId="0" borderId="0" xfId="863" applyFont="1" applyBorder="1" applyAlignment="1">
      <alignment horizontal="center" vertical="center"/>
    </xf>
    <xf numFmtId="0" fontId="37" fillId="0" borderId="0" xfId="0" applyFont="1" applyFill="1" applyBorder="1" applyAlignment="1">
      <alignment horizontal="right" vertical="center"/>
    </xf>
    <xf numFmtId="0" fontId="37" fillId="0" borderId="14" xfId="0" applyFont="1" applyFill="1" applyBorder="1" applyAlignment="1">
      <alignment horizontal="right" vertical="center"/>
    </xf>
    <xf numFmtId="0" fontId="42" fillId="0" borderId="13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 vertical="center"/>
    </xf>
    <xf numFmtId="43" fontId="42" fillId="24" borderId="0" xfId="46" applyFont="1" applyFill="1" applyAlignment="1">
      <alignment vertical="center"/>
    </xf>
    <xf numFmtId="164" fontId="44" fillId="0" borderId="0" xfId="0" applyNumberFormat="1" applyFont="1" applyBorder="1" applyAlignment="1">
      <alignment horizontal="center"/>
    </xf>
    <xf numFmtId="0" fontId="40" fillId="24" borderId="0" xfId="56" applyFont="1" applyFill="1" applyBorder="1" applyAlignment="1">
      <alignment horizontal="center" vertical="center" wrapText="1"/>
    </xf>
    <xf numFmtId="0" fontId="37" fillId="24" borderId="0" xfId="56" applyFont="1" applyFill="1" applyBorder="1" applyAlignment="1">
      <alignment horizontal="right" vertical="top"/>
    </xf>
    <xf numFmtId="0" fontId="42" fillId="24" borderId="0" xfId="56" applyFont="1" applyFill="1" applyBorder="1" applyAlignment="1">
      <alignment vertical="top"/>
    </xf>
    <xf numFmtId="0" fontId="40" fillId="24" borderId="0" xfId="56" applyFont="1" applyFill="1" applyBorder="1" applyAlignment="1">
      <alignment horizontal="center" vertical="top"/>
    </xf>
    <xf numFmtId="0" fontId="42" fillId="24" borderId="0" xfId="56" applyFont="1" applyFill="1" applyBorder="1" applyAlignment="1">
      <alignment horizontal="right" vertical="top"/>
    </xf>
    <xf numFmtId="0" fontId="42" fillId="24" borderId="16" xfId="56" applyFont="1" applyFill="1" applyBorder="1" applyAlignment="1">
      <alignment vertical="center"/>
    </xf>
    <xf numFmtId="0" fontId="42" fillId="24" borderId="16" xfId="56" applyFont="1" applyFill="1" applyBorder="1" applyAlignment="1">
      <alignment horizontal="center" vertical="center"/>
    </xf>
    <xf numFmtId="49" fontId="42" fillId="0" borderId="59" xfId="140" applyNumberFormat="1" applyFont="1" applyFill="1" applyBorder="1" applyAlignment="1" applyProtection="1">
      <alignment horizontal="center" vertical="center" wrapText="1"/>
      <protection locked="0"/>
    </xf>
    <xf numFmtId="0" fontId="42" fillId="0" borderId="59" xfId="52" applyFont="1" applyFill="1" applyBorder="1" applyAlignment="1">
      <alignment horizontal="center" vertical="center" wrapText="1"/>
    </xf>
    <xf numFmtId="165" fontId="42" fillId="0" borderId="61" xfId="47" applyNumberFormat="1" applyFont="1" applyFill="1" applyBorder="1" applyAlignment="1" applyProtection="1">
      <alignment horizontal="right" vertical="center" wrapText="1"/>
      <protection locked="0"/>
    </xf>
    <xf numFmtId="165" fontId="42" fillId="24" borderId="65" xfId="47" applyNumberFormat="1" applyFont="1" applyFill="1" applyBorder="1" applyAlignment="1">
      <alignment horizontal="right" vertical="center"/>
    </xf>
    <xf numFmtId="49" fontId="42" fillId="0" borderId="50" xfId="140" applyNumberFormat="1" applyFont="1" applyFill="1" applyBorder="1" applyAlignment="1" applyProtection="1">
      <alignment horizontal="center" vertical="center" wrapText="1"/>
      <protection locked="0"/>
    </xf>
    <xf numFmtId="0" fontId="42" fillId="0" borderId="40" xfId="52" applyFont="1" applyFill="1" applyBorder="1" applyAlignment="1">
      <alignment vertical="center" wrapText="1"/>
    </xf>
    <xf numFmtId="0" fontId="42" fillId="0" borderId="50" xfId="52" applyFont="1" applyFill="1" applyBorder="1" applyAlignment="1">
      <alignment horizontal="center" vertical="center" wrapText="1"/>
    </xf>
    <xf numFmtId="165" fontId="42" fillId="0" borderId="30" xfId="47" applyNumberFormat="1" applyFont="1" applyFill="1" applyBorder="1" applyAlignment="1">
      <alignment horizontal="right" vertical="center" wrapText="1"/>
    </xf>
    <xf numFmtId="165" fontId="42" fillId="0" borderId="31" xfId="47" applyNumberFormat="1" applyFont="1" applyFill="1" applyBorder="1" applyAlignment="1" applyProtection="1">
      <alignment horizontal="right" vertical="center" wrapText="1"/>
      <protection locked="0"/>
    </xf>
    <xf numFmtId="165" fontId="42" fillId="24" borderId="37" xfId="47" applyNumberFormat="1" applyFont="1" applyFill="1" applyBorder="1" applyAlignment="1">
      <alignment horizontal="right" vertical="center"/>
    </xf>
    <xf numFmtId="165" fontId="42" fillId="24" borderId="40" xfId="47" applyNumberFormat="1" applyFont="1" applyFill="1" applyBorder="1" applyAlignment="1">
      <alignment horizontal="right" vertical="center"/>
    </xf>
    <xf numFmtId="10" fontId="42" fillId="24" borderId="37" xfId="59" applyNumberFormat="1" applyFont="1" applyFill="1" applyBorder="1" applyAlignment="1">
      <alignment horizontal="right" vertical="center"/>
    </xf>
    <xf numFmtId="10" fontId="42" fillId="24" borderId="48" xfId="59" applyNumberFormat="1" applyFont="1" applyFill="1" applyBorder="1" applyAlignment="1">
      <alignment horizontal="right" vertical="center"/>
    </xf>
    <xf numFmtId="0" fontId="39" fillId="0" borderId="93" xfId="140" applyFont="1" applyBorder="1" applyAlignment="1">
      <alignment vertical="center"/>
    </xf>
    <xf numFmtId="0" fontId="39" fillId="0" borderId="94" xfId="140" applyFont="1" applyBorder="1" applyAlignment="1">
      <alignment vertical="center"/>
    </xf>
    <xf numFmtId="0" fontId="39" fillId="0" borderId="14" xfId="140" applyFont="1" applyBorder="1" applyAlignment="1">
      <alignment vertical="center"/>
    </xf>
    <xf numFmtId="0" fontId="39" fillId="0" borderId="10" xfId="857" applyFont="1" applyBorder="1" applyAlignment="1"/>
    <xf numFmtId="0" fontId="71" fillId="0" borderId="13" xfId="857" applyFont="1" applyBorder="1" applyAlignment="1">
      <alignment vertical="center"/>
    </xf>
    <xf numFmtId="0" fontId="39" fillId="0" borderId="13" xfId="857" applyFont="1" applyBorder="1" applyAlignment="1">
      <alignment horizontal="right" vertical="center" indent="11"/>
    </xf>
    <xf numFmtId="0" fontId="40" fillId="0" borderId="15" xfId="857" applyFont="1" applyBorder="1" applyAlignment="1">
      <alignment horizontal="center" vertical="center"/>
    </xf>
    <xf numFmtId="0" fontId="39" fillId="0" borderId="0" xfId="140" applyFont="1" applyBorder="1" applyAlignment="1">
      <alignment vertical="center"/>
    </xf>
    <xf numFmtId="0" fontId="39" fillId="0" borderId="10" xfId="140" applyFont="1" applyBorder="1" applyAlignment="1">
      <alignment vertical="center"/>
    </xf>
    <xf numFmtId="0" fontId="41" fillId="32" borderId="19" xfId="857" applyFont="1" applyFill="1" applyBorder="1" applyAlignment="1">
      <alignment horizontal="left" vertical="center" indent="1"/>
    </xf>
    <xf numFmtId="179" fontId="71" fillId="32" borderId="188" xfId="857" applyNumberFormat="1" applyFont="1" applyFill="1" applyBorder="1" applyAlignment="1">
      <alignment vertical="center"/>
    </xf>
    <xf numFmtId="0" fontId="47" fillId="0" borderId="54" xfId="857" applyFont="1" applyBorder="1" applyAlignment="1">
      <alignment horizontal="center" vertical="center" wrapText="1"/>
    </xf>
    <xf numFmtId="179" fontId="71" fillId="0" borderId="54" xfId="857" applyNumberFormat="1" applyFont="1" applyBorder="1" applyAlignment="1">
      <alignment horizontal="center" vertical="center" wrapText="1"/>
    </xf>
    <xf numFmtId="0" fontId="47" fillId="0" borderId="55" xfId="857" applyFont="1" applyBorder="1" applyAlignment="1">
      <alignment horizontal="center" vertical="center" wrapText="1"/>
    </xf>
    <xf numFmtId="4" fontId="71" fillId="0" borderId="45" xfId="857" applyNumberFormat="1" applyFont="1" applyBorder="1" applyAlignment="1" applyProtection="1">
      <alignment horizontal="center" vertical="center" wrapText="1"/>
    </xf>
    <xf numFmtId="179" fontId="71" fillId="0" borderId="55" xfId="857" applyNumberFormat="1" applyFont="1" applyBorder="1" applyAlignment="1">
      <alignment horizontal="center" vertical="center"/>
    </xf>
    <xf numFmtId="49" fontId="37" fillId="0" borderId="74" xfId="857" applyNumberFormat="1" applyFont="1" applyBorder="1" applyAlignment="1">
      <alignment horizontal="left" vertical="center" wrapText="1"/>
    </xf>
    <xf numFmtId="179" fontId="71" fillId="0" borderId="74" xfId="857" applyNumberFormat="1" applyFont="1" applyBorder="1" applyAlignment="1">
      <alignment horizontal="center" vertical="center"/>
    </xf>
    <xf numFmtId="0" fontId="71" fillId="0" borderId="13" xfId="857" applyFont="1" applyBorder="1" applyAlignment="1">
      <alignment horizontal="left" vertical="center" wrapText="1"/>
    </xf>
    <xf numFmtId="179" fontId="71" fillId="0" borderId="14" xfId="857" applyNumberFormat="1" applyFont="1" applyBorder="1" applyAlignment="1">
      <alignment vertical="center" wrapText="1"/>
    </xf>
    <xf numFmtId="0" fontId="71" fillId="0" borderId="13" xfId="857" applyFont="1" applyBorder="1" applyAlignment="1">
      <alignment horizontal="center" vertical="center" wrapText="1"/>
    </xf>
    <xf numFmtId="0" fontId="71" fillId="0" borderId="14" xfId="857" applyFont="1" applyBorder="1" applyAlignment="1">
      <alignment vertical="center"/>
    </xf>
    <xf numFmtId="0" fontId="71" fillId="24" borderId="13" xfId="858" applyFont="1" applyFill="1" applyBorder="1" applyAlignment="1">
      <alignment horizontal="center" vertical="center"/>
    </xf>
    <xf numFmtId="0" fontId="71" fillId="24" borderId="14" xfId="858" applyFont="1" applyFill="1" applyBorder="1" applyAlignment="1">
      <alignment horizontal="right" vertical="center"/>
    </xf>
    <xf numFmtId="0" fontId="47" fillId="24" borderId="14" xfId="858" applyFont="1" applyFill="1" applyBorder="1" applyAlignment="1">
      <alignment horizontal="right" vertical="center"/>
    </xf>
    <xf numFmtId="0" fontId="41" fillId="24" borderId="0" xfId="858" applyFont="1" applyFill="1" applyBorder="1" applyAlignment="1">
      <alignment horizontal="center" vertical="top"/>
    </xf>
    <xf numFmtId="0" fontId="47" fillId="24" borderId="0" xfId="858" applyFont="1" applyFill="1" applyBorder="1" applyAlignment="1">
      <alignment horizontal="right" vertical="top"/>
    </xf>
    <xf numFmtId="0" fontId="47" fillId="0" borderId="0" xfId="857" applyFont="1" applyBorder="1" applyAlignment="1">
      <alignment vertical="top"/>
    </xf>
    <xf numFmtId="0" fontId="71" fillId="0" borderId="15" xfId="857" applyFont="1" applyBorder="1" applyAlignment="1">
      <alignment vertical="center"/>
    </xf>
    <xf numFmtId="0" fontId="71" fillId="0" borderId="16" xfId="857" applyFont="1" applyBorder="1" applyAlignment="1">
      <alignment vertical="center"/>
    </xf>
    <xf numFmtId="0" fontId="71" fillId="0" borderId="17" xfId="857" applyFont="1" applyBorder="1" applyAlignment="1">
      <alignment vertical="center"/>
    </xf>
    <xf numFmtId="0" fontId="71" fillId="0" borderId="13" xfId="857" applyFont="1" applyBorder="1" applyAlignment="1">
      <alignment horizontal="right"/>
    </xf>
    <xf numFmtId="0" fontId="39" fillId="0" borderId="14" xfId="857" applyFont="1" applyBorder="1" applyAlignment="1"/>
    <xf numFmtId="206" fontId="47" fillId="0" borderId="0" xfId="46" applyNumberFormat="1" applyFont="1" applyAlignment="1">
      <alignment vertical="center"/>
    </xf>
    <xf numFmtId="17" fontId="37" fillId="0" borderId="55" xfId="141" applyNumberFormat="1" applyFont="1" applyBorder="1" applyAlignment="1">
      <alignment horizontal="center" vertical="center" wrapText="1"/>
    </xf>
    <xf numFmtId="17" fontId="128" fillId="0" borderId="14" xfId="141" applyNumberFormat="1" applyFont="1" applyBorder="1" applyAlignment="1">
      <alignment horizontal="center" vertical="center" wrapText="1"/>
    </xf>
    <xf numFmtId="0" fontId="44" fillId="35" borderId="189" xfId="52" applyFont="1" applyFill="1" applyBorder="1" applyAlignment="1">
      <alignment horizontal="center" vertical="center" wrapText="1"/>
    </xf>
    <xf numFmtId="0" fontId="44" fillId="35" borderId="189" xfId="56" applyFont="1" applyFill="1" applyBorder="1" applyAlignment="1">
      <alignment horizontal="center" vertical="center"/>
    </xf>
    <xf numFmtId="0" fontId="44" fillId="35" borderId="189" xfId="56" applyFont="1" applyFill="1" applyBorder="1" applyAlignment="1">
      <alignment horizontal="center" vertical="center" wrapText="1"/>
    </xf>
    <xf numFmtId="0" fontId="23" fillId="0" borderId="106" xfId="864" applyFont="1" applyBorder="1"/>
    <xf numFmtId="0" fontId="47" fillId="0" borderId="35" xfId="0" applyFont="1" applyBorder="1" applyAlignment="1">
      <alignment horizontal="center" vertical="center"/>
    </xf>
    <xf numFmtId="176" fontId="47" fillId="0" borderId="57" xfId="0" applyNumberFormat="1" applyFont="1" applyBorder="1" applyAlignment="1">
      <alignment horizontal="center" vertical="center"/>
    </xf>
    <xf numFmtId="176" fontId="47" fillId="0" borderId="26" xfId="0" applyNumberFormat="1" applyFont="1" applyBorder="1" applyAlignment="1">
      <alignment horizontal="center" vertical="center"/>
    </xf>
    <xf numFmtId="165" fontId="47" fillId="0" borderId="33" xfId="0" applyNumberFormat="1" applyFont="1" applyBorder="1" applyAlignment="1">
      <alignment horizontal="center" vertical="center"/>
    </xf>
    <xf numFmtId="165" fontId="47" fillId="0" borderId="25" xfId="0" applyNumberFormat="1" applyFont="1" applyBorder="1" applyAlignment="1">
      <alignment horizontal="center" vertical="center"/>
    </xf>
    <xf numFmtId="165" fontId="47" fillId="0" borderId="46" xfId="0" applyNumberFormat="1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55" xfId="0" applyFont="1" applyBorder="1" applyAlignment="1">
      <alignment horizontal="center" vertical="center" wrapText="1"/>
    </xf>
    <xf numFmtId="0" fontId="47" fillId="0" borderId="28" xfId="0" applyFont="1" applyBorder="1" applyAlignment="1">
      <alignment horizontal="center" vertical="center"/>
    </xf>
    <xf numFmtId="176" fontId="47" fillId="0" borderId="58" xfId="0" applyNumberFormat="1" applyFont="1" applyBorder="1" applyAlignment="1">
      <alignment horizontal="center" vertical="center"/>
    </xf>
    <xf numFmtId="176" fontId="47" fillId="0" borderId="29" xfId="0" applyNumberFormat="1" applyFont="1" applyBorder="1" applyAlignment="1">
      <alignment horizontal="center" vertical="center"/>
    </xf>
    <xf numFmtId="165" fontId="47" fillId="0" borderId="23" xfId="0" applyNumberFormat="1" applyFont="1" applyBorder="1" applyAlignment="1">
      <alignment vertical="center"/>
    </xf>
    <xf numFmtId="165" fontId="47" fillId="0" borderId="27" xfId="0" applyNumberFormat="1" applyFont="1" applyBorder="1" applyAlignment="1">
      <alignment vertical="center"/>
    </xf>
    <xf numFmtId="165" fontId="47" fillId="0" borderId="44" xfId="0" applyNumberFormat="1" applyFont="1" applyBorder="1" applyAlignment="1">
      <alignment vertical="center"/>
    </xf>
    <xf numFmtId="165" fontId="47" fillId="0" borderId="23" xfId="0" applyNumberFormat="1" applyFont="1" applyBorder="1" applyAlignment="1">
      <alignment horizontal="center" vertical="center"/>
    </xf>
    <xf numFmtId="165" fontId="47" fillId="0" borderId="27" xfId="0" applyNumberFormat="1" applyFont="1" applyBorder="1" applyAlignment="1">
      <alignment horizontal="center" vertical="center"/>
    </xf>
    <xf numFmtId="165" fontId="47" fillId="0" borderId="44" xfId="0" applyNumberFormat="1" applyFont="1" applyBorder="1" applyAlignment="1">
      <alignment horizontal="center" vertical="center"/>
    </xf>
    <xf numFmtId="164" fontId="47" fillId="0" borderId="0" xfId="0" applyNumberFormat="1" applyFont="1" applyAlignment="1">
      <alignment horizontal="center" vertical="center"/>
    </xf>
    <xf numFmtId="0" fontId="47" fillId="0" borderId="0" xfId="0" applyFont="1" applyAlignment="1">
      <alignment horizontal="right" vertical="center"/>
    </xf>
    <xf numFmtId="0" fontId="47" fillId="0" borderId="0" xfId="0" applyFont="1" applyAlignment="1">
      <alignment horizontal="right"/>
    </xf>
    <xf numFmtId="10" fontId="41" fillId="0" borderId="41" xfId="59" applyNumberFormat="1" applyFont="1" applyBorder="1" applyAlignment="1" applyProtection="1">
      <alignment horizontal="right" vertical="center"/>
    </xf>
    <xf numFmtId="0" fontId="69" fillId="0" borderId="85" xfId="864" applyFont="1" applyBorder="1" applyAlignment="1">
      <alignment vertical="center"/>
    </xf>
    <xf numFmtId="0" fontId="69" fillId="0" borderId="130" xfId="864" applyFont="1" applyBorder="1" applyAlignment="1">
      <alignment vertical="center"/>
    </xf>
    <xf numFmtId="0" fontId="69" fillId="0" borderId="196" xfId="864" applyFont="1" applyBorder="1"/>
    <xf numFmtId="0" fontId="69" fillId="0" borderId="0" xfId="864" applyFont="1" applyBorder="1" applyAlignment="1">
      <alignment horizontal="center" vertical="center"/>
    </xf>
    <xf numFmtId="2" fontId="69" fillId="0" borderId="0" xfId="864" applyNumberFormat="1" applyFont="1" applyBorder="1" applyAlignment="1">
      <alignment horizontal="center" vertical="center"/>
    </xf>
    <xf numFmtId="0" fontId="99" fillId="0" borderId="0" xfId="864" applyFont="1" applyBorder="1" applyAlignment="1">
      <alignment horizontal="left" vertical="center"/>
    </xf>
    <xf numFmtId="0" fontId="99" fillId="0" borderId="0" xfId="864" applyFont="1" applyBorder="1" applyAlignment="1">
      <alignment vertical="center"/>
    </xf>
    <xf numFmtId="0" fontId="23" fillId="0" borderId="0" xfId="864" applyBorder="1" applyAlignment="1">
      <alignment vertical="center"/>
    </xf>
    <xf numFmtId="0" fontId="67" fillId="0" borderId="0" xfId="864" applyFont="1" applyBorder="1" applyAlignment="1">
      <alignment vertical="center"/>
    </xf>
    <xf numFmtId="0" fontId="67" fillId="0" borderId="176" xfId="864" applyFont="1" applyBorder="1" applyAlignment="1">
      <alignment vertical="center"/>
    </xf>
    <xf numFmtId="0" fontId="23" fillId="0" borderId="0" xfId="864" applyFont="1" applyBorder="1" applyAlignment="1">
      <alignment horizontal="left" vertical="center"/>
    </xf>
    <xf numFmtId="0" fontId="96" fillId="0" borderId="0" xfId="864" applyFont="1" applyBorder="1" applyAlignment="1">
      <alignment horizontal="left" vertical="center"/>
    </xf>
    <xf numFmtId="49" fontId="131" fillId="0" borderId="0" xfId="863" applyNumberFormat="1" applyFont="1" applyFill="1" applyBorder="1" applyAlignment="1">
      <alignment vertical="center" wrapText="1"/>
    </xf>
    <xf numFmtId="49" fontId="131" fillId="0" borderId="97" xfId="863" applyNumberFormat="1" applyFont="1" applyFill="1" applyBorder="1" applyAlignment="1">
      <alignment vertical="center" wrapText="1"/>
    </xf>
    <xf numFmtId="49" fontId="131" fillId="0" borderId="0" xfId="863" applyNumberFormat="1" applyFont="1" applyFill="1" applyBorder="1" applyAlignment="1">
      <alignment horizontal="right" vertical="center"/>
    </xf>
    <xf numFmtId="0" fontId="69" fillId="0" borderId="0" xfId="864" applyFont="1" applyBorder="1" applyAlignment="1">
      <alignment horizontal="right" vertical="center"/>
    </xf>
    <xf numFmtId="0" fontId="69" fillId="0" borderId="180" xfId="864" applyFont="1" applyBorder="1" applyAlignment="1">
      <alignment vertical="center"/>
    </xf>
    <xf numFmtId="43" fontId="37" fillId="0" borderId="0" xfId="46" applyFont="1" applyFill="1" applyAlignment="1">
      <alignment vertical="center"/>
    </xf>
    <xf numFmtId="187" fontId="40" fillId="0" borderId="0" xfId="0" applyNumberFormat="1" applyFont="1" applyFill="1" applyAlignment="1">
      <alignment vertical="center"/>
    </xf>
    <xf numFmtId="164" fontId="37" fillId="0" borderId="0" xfId="0" applyNumberFormat="1" applyFont="1" applyFill="1" applyAlignment="1">
      <alignment vertical="center"/>
    </xf>
    <xf numFmtId="207" fontId="37" fillId="0" borderId="0" xfId="0" applyNumberFormat="1" applyFont="1" applyFill="1" applyAlignment="1">
      <alignment vertical="center"/>
    </xf>
    <xf numFmtId="10" fontId="37" fillId="0" borderId="0" xfId="59" applyNumberFormat="1" applyFont="1" applyFill="1" applyAlignment="1">
      <alignment vertical="center"/>
    </xf>
    <xf numFmtId="49" fontId="131" fillId="0" borderId="0" xfId="863" applyNumberFormat="1" applyFont="1" applyFill="1" applyBorder="1" applyAlignment="1">
      <alignment horizontal="left" vertical="center"/>
    </xf>
    <xf numFmtId="17" fontId="5" fillId="0" borderId="34" xfId="631" applyNumberFormat="1" applyFont="1" applyBorder="1" applyAlignment="1">
      <alignment horizontal="center" vertical="center"/>
    </xf>
    <xf numFmtId="164" fontId="47" fillId="0" borderId="0" xfId="0" applyNumberFormat="1" applyFont="1" applyAlignment="1">
      <alignment horizontal="right"/>
    </xf>
    <xf numFmtId="43" fontId="47" fillId="0" borderId="0" xfId="46" applyFont="1" applyAlignment="1">
      <alignment horizontal="right"/>
    </xf>
    <xf numFmtId="43" fontId="47" fillId="0" borderId="29" xfId="46" applyFont="1" applyFill="1" applyBorder="1" applyAlignment="1">
      <alignment vertical="center"/>
    </xf>
    <xf numFmtId="0" fontId="37" fillId="0" borderId="23" xfId="0" applyFont="1" applyFill="1" applyBorder="1" applyAlignment="1">
      <alignment vertical="center"/>
    </xf>
    <xf numFmtId="0" fontId="37" fillId="0" borderId="37" xfId="0" applyFont="1" applyFill="1" applyBorder="1" applyAlignment="1">
      <alignment vertical="center"/>
    </xf>
    <xf numFmtId="0" fontId="37" fillId="0" borderId="38" xfId="0" applyFont="1" applyFill="1" applyBorder="1" applyAlignment="1">
      <alignment horizontal="left" vertical="center" indent="3"/>
    </xf>
    <xf numFmtId="0" fontId="42" fillId="0" borderId="39" xfId="0" applyFont="1" applyFill="1" applyBorder="1" applyAlignment="1">
      <alignment horizontal="left" vertical="center" indent="3"/>
    </xf>
    <xf numFmtId="0" fontId="37" fillId="0" borderId="38" xfId="0" applyFont="1" applyFill="1" applyBorder="1" applyAlignment="1">
      <alignment horizontal="left" vertical="center"/>
    </xf>
    <xf numFmtId="0" fontId="37" fillId="0" borderId="39" xfId="0" applyFont="1" applyFill="1" applyBorder="1" applyAlignment="1">
      <alignment horizontal="left" vertical="center"/>
    </xf>
    <xf numFmtId="0" fontId="126" fillId="35" borderId="163" xfId="0" applyFont="1" applyFill="1" applyBorder="1" applyAlignment="1">
      <alignment vertical="center"/>
    </xf>
    <xf numFmtId="0" fontId="37" fillId="0" borderId="10" xfId="0" applyFont="1" applyFill="1" applyBorder="1" applyAlignment="1">
      <alignment horizontal="center" vertical="center"/>
    </xf>
    <xf numFmtId="0" fontId="65" fillId="0" borderId="93" xfId="0" applyFont="1" applyFill="1" applyBorder="1" applyAlignment="1">
      <alignment horizontal="left" vertical="center" indent="1"/>
    </xf>
    <xf numFmtId="43" fontId="47" fillId="0" borderId="94" xfId="46" applyFont="1" applyFill="1" applyBorder="1" applyAlignment="1">
      <alignment vertical="center"/>
    </xf>
    <xf numFmtId="4" fontId="47" fillId="0" borderId="27" xfId="59" applyNumberFormat="1" applyFont="1" applyFill="1" applyBorder="1" applyAlignment="1">
      <alignment vertical="center"/>
    </xf>
    <xf numFmtId="4" fontId="47" fillId="0" borderId="27" xfId="0" applyNumberFormat="1" applyFont="1" applyFill="1" applyBorder="1" applyAlignment="1" applyProtection="1">
      <alignment vertical="center"/>
    </xf>
    <xf numFmtId="4" fontId="47" fillId="0" borderId="27" xfId="0" applyNumberFormat="1" applyFont="1" applyFill="1" applyBorder="1" applyAlignment="1">
      <alignment vertical="center"/>
    </xf>
    <xf numFmtId="4" fontId="47" fillId="0" borderId="63" xfId="0" applyNumberFormat="1" applyFont="1" applyFill="1" applyBorder="1" applyAlignment="1">
      <alignment vertical="center"/>
    </xf>
    <xf numFmtId="4" fontId="47" fillId="0" borderId="63" xfId="46" applyNumberFormat="1" applyFont="1" applyFill="1" applyBorder="1" applyAlignment="1">
      <alignment vertical="center"/>
    </xf>
    <xf numFmtId="43" fontId="47" fillId="0" borderId="25" xfId="46" applyNumberFormat="1" applyFont="1" applyFill="1" applyBorder="1" applyAlignment="1">
      <alignment vertical="center"/>
    </xf>
    <xf numFmtId="43" fontId="47" fillId="0" borderId="27" xfId="46" applyNumberFormat="1" applyFont="1" applyFill="1" applyBorder="1" applyAlignment="1">
      <alignment vertical="center"/>
    </xf>
    <xf numFmtId="43" fontId="47" fillId="0" borderId="30" xfId="46" applyNumberFormat="1" applyFont="1" applyFill="1" applyBorder="1" applyAlignment="1">
      <alignment vertical="center"/>
    </xf>
    <xf numFmtId="43" fontId="47" fillId="0" borderId="25" xfId="46" applyFont="1" applyFill="1" applyBorder="1" applyAlignment="1">
      <alignment vertical="center"/>
    </xf>
    <xf numFmtId="43" fontId="47" fillId="0" borderId="27" xfId="46" applyFont="1" applyFill="1" applyBorder="1" applyAlignment="1">
      <alignment vertical="center"/>
    </xf>
    <xf numFmtId="43" fontId="47" fillId="0" borderId="30" xfId="46" applyFont="1" applyFill="1" applyBorder="1" applyAlignment="1">
      <alignment vertical="center"/>
    </xf>
    <xf numFmtId="164" fontId="42" fillId="24" borderId="0" xfId="47" applyFont="1" applyFill="1" applyBorder="1" applyAlignment="1">
      <alignment horizontal="center" vertical="center"/>
    </xf>
    <xf numFmtId="0" fontId="40" fillId="0" borderId="28" xfId="0" applyFont="1" applyFill="1" applyBorder="1" applyAlignment="1">
      <alignment horizontal="center" vertical="center"/>
    </xf>
    <xf numFmtId="0" fontId="40" fillId="0" borderId="36" xfId="0" applyFont="1" applyFill="1" applyBorder="1" applyAlignment="1">
      <alignment horizontal="center" vertical="center"/>
    </xf>
    <xf numFmtId="0" fontId="44" fillId="0" borderId="35" xfId="0" applyFont="1" applyFill="1" applyBorder="1" applyAlignment="1">
      <alignment horizontal="center" vertical="center"/>
    </xf>
    <xf numFmtId="0" fontId="40" fillId="0" borderId="35" xfId="0" applyFont="1" applyFill="1" applyBorder="1" applyAlignment="1">
      <alignment horizontal="center" vertical="center"/>
    </xf>
    <xf numFmtId="0" fontId="37" fillId="0" borderId="34" xfId="0" applyFont="1" applyFill="1" applyBorder="1" applyAlignment="1">
      <alignment horizontal="left" vertical="center" indent="1"/>
    </xf>
    <xf numFmtId="0" fontId="37" fillId="0" borderId="39" xfId="0" applyFont="1" applyFill="1" applyBorder="1" applyAlignment="1">
      <alignment horizontal="left" vertical="center" indent="1"/>
    </xf>
    <xf numFmtId="43" fontId="47" fillId="0" borderId="31" xfId="46" applyFont="1" applyFill="1" applyBorder="1" applyAlignment="1">
      <alignment vertical="center"/>
    </xf>
    <xf numFmtId="43" fontId="47" fillId="0" borderId="26" xfId="46" applyFont="1" applyFill="1" applyBorder="1" applyAlignment="1">
      <alignment vertical="center"/>
    </xf>
    <xf numFmtId="165" fontId="42" fillId="36" borderId="57" xfId="47" applyNumberFormat="1" applyFont="1" applyFill="1" applyBorder="1" applyAlignment="1">
      <alignment horizontal="right" vertical="center"/>
    </xf>
    <xf numFmtId="165" fontId="42" fillId="36" borderId="26" xfId="47" applyNumberFormat="1" applyFont="1" applyFill="1" applyBorder="1" applyAlignment="1">
      <alignment horizontal="right" vertical="center"/>
    </xf>
    <xf numFmtId="165" fontId="42" fillId="36" borderId="59" xfId="47" applyNumberFormat="1" applyFont="1" applyFill="1" applyBorder="1" applyAlignment="1">
      <alignment horizontal="right" vertical="center"/>
    </xf>
    <xf numFmtId="165" fontId="42" fillId="36" borderId="61" xfId="47" applyNumberFormat="1" applyFont="1" applyFill="1" applyBorder="1" applyAlignment="1">
      <alignment horizontal="right" vertical="center"/>
    </xf>
    <xf numFmtId="165" fontId="42" fillId="36" borderId="67" xfId="47" applyNumberFormat="1" applyFont="1" applyFill="1" applyBorder="1" applyAlignment="1">
      <alignment horizontal="right" vertical="center"/>
    </xf>
    <xf numFmtId="165" fontId="42" fillId="36" borderId="69" xfId="47" applyNumberFormat="1" applyFont="1" applyFill="1" applyBorder="1" applyAlignment="1">
      <alignment horizontal="right" vertical="center"/>
    </xf>
    <xf numFmtId="165" fontId="42" fillId="36" borderId="31" xfId="47" applyNumberFormat="1" applyFont="1" applyFill="1" applyBorder="1" applyAlignment="1">
      <alignment horizontal="right" vertical="center"/>
    </xf>
    <xf numFmtId="165" fontId="42" fillId="36" borderId="78" xfId="47" applyNumberFormat="1" applyFont="1" applyFill="1" applyBorder="1" applyAlignment="1">
      <alignment horizontal="right" vertical="center"/>
    </xf>
    <xf numFmtId="165" fontId="42" fillId="36" borderId="29" xfId="47" applyNumberFormat="1" applyFont="1" applyFill="1" applyBorder="1" applyAlignment="1">
      <alignment horizontal="right" vertical="center"/>
    </xf>
    <xf numFmtId="165" fontId="42" fillId="36" borderId="43" xfId="47" applyNumberFormat="1" applyFont="1" applyFill="1" applyBorder="1" applyAlignment="1">
      <alignment horizontal="right" vertical="center"/>
    </xf>
    <xf numFmtId="0" fontId="42" fillId="0" borderId="62" xfId="52" applyFont="1" applyFill="1" applyBorder="1" applyAlignment="1">
      <alignment horizontal="center" vertical="center" wrapText="1"/>
    </xf>
    <xf numFmtId="165" fontId="42" fillId="24" borderId="23" xfId="47" applyNumberFormat="1" applyFont="1" applyFill="1" applyBorder="1" applyAlignment="1">
      <alignment horizontal="right" vertical="center"/>
    </xf>
    <xf numFmtId="10" fontId="42" fillId="24" borderId="23" xfId="59" applyNumberFormat="1" applyFont="1" applyFill="1" applyBorder="1" applyAlignment="1">
      <alignment horizontal="right" vertical="center"/>
    </xf>
    <xf numFmtId="10" fontId="42" fillId="24" borderId="45" xfId="59" applyNumberFormat="1" applyFont="1" applyFill="1" applyBorder="1" applyAlignment="1">
      <alignment horizontal="right" vertical="center"/>
    </xf>
    <xf numFmtId="165" fontId="42" fillId="24" borderId="52" xfId="47" applyNumberFormat="1" applyFont="1" applyFill="1" applyBorder="1" applyAlignment="1">
      <alignment horizontal="right" vertical="center"/>
    </xf>
    <xf numFmtId="165" fontId="42" fillId="36" borderId="64" xfId="47" applyNumberFormat="1" applyFont="1" applyFill="1" applyBorder="1" applyAlignment="1">
      <alignment horizontal="right" vertical="center"/>
    </xf>
    <xf numFmtId="10" fontId="42" fillId="24" borderId="52" xfId="59" applyNumberFormat="1" applyFont="1" applyFill="1" applyBorder="1" applyAlignment="1">
      <alignment horizontal="right" vertical="center"/>
    </xf>
    <xf numFmtId="10" fontId="42" fillId="24" borderId="162" xfId="59" applyNumberFormat="1" applyFont="1" applyFill="1" applyBorder="1" applyAlignment="1">
      <alignment horizontal="right" vertical="center"/>
    </xf>
    <xf numFmtId="0" fontId="92" fillId="0" borderId="0" xfId="864" applyFont="1" applyBorder="1" applyAlignment="1">
      <alignment horizontal="left" vertical="top"/>
    </xf>
    <xf numFmtId="0" fontId="87" fillId="0" borderId="0" xfId="863" applyFont="1" applyBorder="1"/>
    <xf numFmtId="0" fontId="87" fillId="0" borderId="0" xfId="863" applyFont="1"/>
    <xf numFmtId="17" fontId="94" fillId="0" borderId="0" xfId="863" applyNumberFormat="1" applyFont="1" applyFill="1" applyBorder="1" applyAlignment="1">
      <alignment horizontal="right" vertical="center"/>
    </xf>
    <xf numFmtId="0" fontId="87" fillId="0" borderId="97" xfId="863" applyFont="1" applyBorder="1"/>
    <xf numFmtId="0" fontId="133" fillId="0" borderId="0" xfId="863" applyFont="1" applyBorder="1" applyAlignment="1"/>
    <xf numFmtId="0" fontId="94" fillId="0" borderId="0" xfId="863" applyFont="1" applyBorder="1" applyAlignment="1">
      <alignment horizontal="right"/>
    </xf>
    <xf numFmtId="0" fontId="94" fillId="0" borderId="0" xfId="863" applyFont="1" applyBorder="1" applyAlignment="1">
      <alignment horizontal="right" vertical="top"/>
    </xf>
    <xf numFmtId="0" fontId="54" fillId="0" borderId="11" xfId="633" applyFont="1" applyBorder="1" applyAlignment="1">
      <alignment vertical="center"/>
    </xf>
    <xf numFmtId="0" fontId="135" fillId="0" borderId="11" xfId="633" applyFont="1" applyBorder="1" applyAlignment="1">
      <alignment vertical="center"/>
    </xf>
    <xf numFmtId="0" fontId="54" fillId="0" borderId="0" xfId="633" applyFont="1" applyBorder="1" applyAlignment="1">
      <alignment horizontal="center" vertical="top"/>
    </xf>
    <xf numFmtId="0" fontId="47" fillId="0" borderId="0" xfId="141" applyFont="1" applyAlignment="1">
      <alignment horizontal="right" vertical="center"/>
    </xf>
    <xf numFmtId="0" fontId="41" fillId="0" borderId="19" xfId="141" applyFont="1" applyBorder="1" applyAlignment="1">
      <alignment horizontal="left" vertical="center" indent="1"/>
    </xf>
    <xf numFmtId="14" fontId="47" fillId="0" borderId="0" xfId="141" applyNumberFormat="1" applyFont="1" applyBorder="1" applyAlignment="1">
      <alignment vertical="center"/>
    </xf>
    <xf numFmtId="2" fontId="47" fillId="0" borderId="0" xfId="141" applyNumberFormat="1" applyFont="1" applyBorder="1" applyAlignment="1">
      <alignment vertical="center"/>
    </xf>
    <xf numFmtId="49" fontId="37" fillId="0" borderId="13" xfId="857" applyNumberFormat="1" applyFont="1" applyBorder="1" applyAlignment="1">
      <alignment horizontal="left" vertical="center" wrapText="1"/>
    </xf>
    <xf numFmtId="179" fontId="71" fillId="0" borderId="14" xfId="857" applyNumberFormat="1" applyFont="1" applyBorder="1" applyAlignment="1">
      <alignment horizontal="center" vertical="center"/>
    </xf>
    <xf numFmtId="0" fontId="47" fillId="0" borderId="56" xfId="857" applyFont="1" applyBorder="1" applyAlignment="1">
      <alignment horizontal="center" vertical="center" wrapText="1"/>
    </xf>
    <xf numFmtId="49" fontId="71" fillId="0" borderId="62" xfId="857" applyNumberFormat="1" applyFont="1" applyBorder="1" applyAlignment="1" applyProtection="1">
      <alignment horizontal="center" vertical="center"/>
    </xf>
    <xf numFmtId="0" fontId="47" fillId="0" borderId="162" xfId="857" applyFont="1" applyBorder="1" applyAlignment="1">
      <alignment horizontal="center" vertical="center" wrapText="1"/>
    </xf>
    <xf numFmtId="4" fontId="71" fillId="0" borderId="56" xfId="857" applyNumberFormat="1" applyFont="1" applyBorder="1" applyAlignment="1">
      <alignment horizontal="center" vertical="center"/>
    </xf>
    <xf numFmtId="4" fontId="71" fillId="0" borderId="51" xfId="857" applyNumberFormat="1" applyFont="1" applyBorder="1" applyAlignment="1">
      <alignment horizontal="center" vertical="center"/>
    </xf>
    <xf numFmtId="4" fontId="71" fillId="0" borderId="62" xfId="857" applyNumberFormat="1" applyFont="1" applyBorder="1" applyAlignment="1" applyProtection="1">
      <alignment horizontal="right" vertical="center"/>
    </xf>
    <xf numFmtId="4" fontId="71" fillId="0" borderId="162" xfId="857" applyNumberFormat="1" applyFont="1" applyBorder="1" applyAlignment="1" applyProtection="1">
      <alignment horizontal="right" vertical="center" indent="1"/>
    </xf>
    <xf numFmtId="15" fontId="71" fillId="0" borderId="62" xfId="857" applyNumberFormat="1" applyFont="1" applyBorder="1" applyAlignment="1" applyProtection="1">
      <alignment horizontal="center" vertical="center"/>
    </xf>
    <xf numFmtId="15" fontId="71" fillId="0" borderId="162" xfId="857" applyNumberFormat="1" applyFont="1" applyBorder="1" applyAlignment="1" applyProtection="1">
      <alignment horizontal="center" vertical="center"/>
    </xf>
    <xf numFmtId="179" fontId="71" fillId="0" borderId="56" xfId="857" applyNumberFormat="1" applyFont="1" applyBorder="1" applyAlignment="1">
      <alignment horizontal="center" vertical="center"/>
    </xf>
    <xf numFmtId="43" fontId="41" fillId="0" borderId="31" xfId="46" applyNumberFormat="1" applyFont="1" applyFill="1" applyBorder="1" applyAlignment="1">
      <alignment vertical="center"/>
    </xf>
    <xf numFmtId="0" fontId="37" fillId="0" borderId="53" xfId="0" applyFont="1" applyFill="1" applyBorder="1" applyAlignment="1">
      <alignment vertical="center"/>
    </xf>
    <xf numFmtId="43" fontId="47" fillId="0" borderId="61" xfId="46" applyFont="1" applyFill="1" applyBorder="1" applyAlignment="1">
      <alignment vertical="center"/>
    </xf>
    <xf numFmtId="0" fontId="37" fillId="36" borderId="161" xfId="0" applyFont="1" applyFill="1" applyBorder="1" applyAlignment="1">
      <alignment vertical="center"/>
    </xf>
    <xf numFmtId="0" fontId="40" fillId="36" borderId="43" xfId="0" applyFont="1" applyFill="1" applyBorder="1" applyAlignment="1">
      <alignment horizontal="center" vertical="center"/>
    </xf>
    <xf numFmtId="43" fontId="47" fillId="0" borderId="0" xfId="46" applyFont="1"/>
    <xf numFmtId="208" fontId="41" fillId="0" borderId="41" xfId="59" applyNumberFormat="1" applyFont="1" applyBorder="1" applyAlignment="1" applyProtection="1">
      <alignment horizontal="right" vertical="center"/>
    </xf>
    <xf numFmtId="0" fontId="47" fillId="0" borderId="29" xfId="857" applyFont="1" applyBorder="1" applyAlignment="1">
      <alignment horizontal="center" vertical="center" wrapText="1"/>
    </xf>
    <xf numFmtId="0" fontId="47" fillId="0" borderId="0" xfId="0" applyFont="1" applyAlignment="1">
      <alignment horizontal="center"/>
    </xf>
    <xf numFmtId="209" fontId="47" fillId="0" borderId="25" xfId="46" applyNumberFormat="1" applyFont="1" applyFill="1" applyBorder="1" applyAlignment="1">
      <alignment vertical="center"/>
    </xf>
    <xf numFmtId="209" fontId="47" fillId="0" borderId="27" xfId="46" applyNumberFormat="1" applyFont="1" applyFill="1" applyBorder="1" applyAlignment="1">
      <alignment vertical="center"/>
    </xf>
    <xf numFmtId="209" fontId="47" fillId="0" borderId="30" xfId="46" applyNumberFormat="1" applyFont="1" applyFill="1" applyBorder="1" applyAlignment="1">
      <alignment vertical="center"/>
    </xf>
    <xf numFmtId="43" fontId="37" fillId="0" borderId="0" xfId="0" applyNumberFormat="1" applyFont="1" applyFill="1" applyAlignment="1">
      <alignment vertical="center"/>
    </xf>
    <xf numFmtId="10" fontId="8" fillId="0" borderId="0" xfId="631" applyNumberFormat="1" applyFont="1"/>
    <xf numFmtId="164" fontId="42" fillId="24" borderId="0" xfId="56" applyNumberFormat="1" applyFont="1" applyFill="1" applyAlignment="1">
      <alignment vertical="center"/>
    </xf>
    <xf numFmtId="164" fontId="44" fillId="24" borderId="0" xfId="56" applyNumberFormat="1" applyFont="1" applyFill="1" applyAlignment="1">
      <alignment vertical="center"/>
    </xf>
    <xf numFmtId="43" fontId="34" fillId="37" borderId="60" xfId="46" applyFont="1" applyFill="1" applyBorder="1" applyAlignment="1">
      <alignment vertical="center"/>
    </xf>
    <xf numFmtId="2" fontId="96" fillId="0" borderId="28" xfId="46" applyNumberFormat="1" applyFont="1" applyBorder="1" applyAlignment="1" applyProtection="1">
      <alignment horizontal="right" vertical="center" indent="1"/>
    </xf>
    <xf numFmtId="2" fontId="96" fillId="0" borderId="28" xfId="141" applyNumberFormat="1" applyFont="1" applyBorder="1" applyAlignment="1" applyProtection="1">
      <alignment horizontal="right" vertical="center" indent="1"/>
    </xf>
    <xf numFmtId="2" fontId="96" fillId="0" borderId="55" xfId="633" applyNumberFormat="1" applyFont="1" applyBorder="1" applyAlignment="1" applyProtection="1">
      <alignment horizontal="right" vertical="center" indent="1"/>
    </xf>
    <xf numFmtId="2" fontId="96" fillId="0" borderId="56" xfId="633" applyNumberFormat="1" applyFont="1" applyBorder="1" applyAlignment="1" applyProtection="1">
      <alignment horizontal="right" vertical="center" indent="1"/>
    </xf>
    <xf numFmtId="2" fontId="96" fillId="0" borderId="51" xfId="141" applyNumberFormat="1" applyFont="1" applyBorder="1" applyAlignment="1" applyProtection="1">
      <alignment horizontal="right" vertical="center" indent="1"/>
    </xf>
    <xf numFmtId="2" fontId="136" fillId="0" borderId="189" xfId="633" applyNumberFormat="1" applyFont="1" applyBorder="1" applyAlignment="1" applyProtection="1">
      <alignment horizontal="right" vertical="center" indent="1"/>
    </xf>
    <xf numFmtId="2" fontId="136" fillId="0" borderId="189" xfId="141" applyNumberFormat="1" applyFont="1" applyBorder="1" applyAlignment="1" applyProtection="1">
      <alignment horizontal="right" vertical="center" indent="1"/>
    </xf>
    <xf numFmtId="0" fontId="47" fillId="0" borderId="152" xfId="859" applyFont="1" applyBorder="1" applyAlignment="1">
      <alignment horizontal="center" vertical="center"/>
    </xf>
    <xf numFmtId="0" fontId="47" fillId="0" borderId="153" xfId="859" applyFont="1" applyBorder="1" applyAlignment="1">
      <alignment horizontal="center" vertical="center"/>
    </xf>
    <xf numFmtId="0" fontId="23" fillId="0" borderId="0" xfId="0" applyFont="1" applyAlignment="1">
      <alignment horizontal="left" wrapText="1"/>
    </xf>
    <xf numFmtId="0" fontId="44" fillId="24" borderId="0" xfId="56" applyFont="1" applyFill="1" applyBorder="1" applyAlignment="1">
      <alignment horizontal="left" vertical="center" wrapText="1"/>
    </xf>
    <xf numFmtId="1" fontId="103" fillId="29" borderId="189" xfId="52" applyNumberFormat="1" applyFont="1" applyFill="1" applyBorder="1" applyAlignment="1">
      <alignment horizontal="center" vertical="center"/>
    </xf>
    <xf numFmtId="0" fontId="103" fillId="29" borderId="189" xfId="52" applyFont="1" applyFill="1" applyBorder="1" applyAlignment="1">
      <alignment horizontal="center" vertical="center" wrapText="1"/>
    </xf>
    <xf numFmtId="0" fontId="103" fillId="29" borderId="189" xfId="52" applyFont="1" applyFill="1" applyBorder="1" applyAlignment="1">
      <alignment horizontal="center" vertical="center"/>
    </xf>
    <xf numFmtId="0" fontId="103" fillId="29" borderId="189" xfId="56" applyFont="1" applyFill="1" applyBorder="1" applyAlignment="1">
      <alignment horizontal="center" vertical="center"/>
    </xf>
    <xf numFmtId="0" fontId="40" fillId="24" borderId="16" xfId="56" applyFont="1" applyFill="1" applyBorder="1" applyAlignment="1">
      <alignment horizontal="center" vertical="top"/>
    </xf>
    <xf numFmtId="0" fontId="103" fillId="29" borderId="189" xfId="56" applyFont="1" applyFill="1" applyBorder="1" applyAlignment="1">
      <alignment horizontal="center" vertical="center" wrapText="1"/>
    </xf>
    <xf numFmtId="0" fontId="103" fillId="29" borderId="19" xfId="56" applyFont="1" applyFill="1" applyBorder="1" applyAlignment="1">
      <alignment horizontal="center" vertical="center" wrapText="1"/>
    </xf>
    <xf numFmtId="164" fontId="42" fillId="24" borderId="0" xfId="47" applyFont="1" applyFill="1" applyBorder="1" applyAlignment="1">
      <alignment horizontal="center" vertical="center"/>
    </xf>
    <xf numFmtId="0" fontId="37" fillId="24" borderId="0" xfId="56" applyFont="1" applyFill="1" applyBorder="1" applyAlignment="1">
      <alignment horizontal="center" vertical="center"/>
    </xf>
    <xf numFmtId="0" fontId="40" fillId="24" borderId="0" xfId="56" applyFont="1" applyFill="1" applyBorder="1" applyAlignment="1">
      <alignment horizontal="center" vertical="center"/>
    </xf>
    <xf numFmtId="0" fontId="23" fillId="0" borderId="0" xfId="864" applyBorder="1" applyAlignment="1">
      <alignment horizontal="left"/>
    </xf>
    <xf numFmtId="0" fontId="88" fillId="0" borderId="175" xfId="864" applyFont="1" applyBorder="1" applyAlignment="1">
      <alignment horizontal="center"/>
    </xf>
    <xf numFmtId="0" fontId="88" fillId="0" borderId="0" xfId="864" applyFont="1" applyBorder="1" applyAlignment="1">
      <alignment horizontal="center"/>
    </xf>
    <xf numFmtId="0" fontId="88" fillId="0" borderId="176" xfId="864" applyFont="1" applyBorder="1" applyAlignment="1">
      <alignment horizontal="center"/>
    </xf>
    <xf numFmtId="0" fontId="92" fillId="0" borderId="175" xfId="864" applyFont="1" applyBorder="1" applyAlignment="1">
      <alignment horizontal="center" vertical="center"/>
    </xf>
    <xf numFmtId="0" fontId="92" fillId="0" borderId="0" xfId="864" applyFont="1" applyBorder="1" applyAlignment="1">
      <alignment horizontal="center" vertical="center"/>
    </xf>
    <xf numFmtId="0" fontId="92" fillId="0" borderId="176" xfId="864" applyFont="1" applyBorder="1" applyAlignment="1">
      <alignment horizontal="center" vertical="center"/>
    </xf>
    <xf numFmtId="0" fontId="99" fillId="0" borderId="0" xfId="864" applyFont="1" applyBorder="1" applyAlignment="1">
      <alignment horizontal="left" vertical="center"/>
    </xf>
    <xf numFmtId="0" fontId="99" fillId="0" borderId="176" xfId="864" applyFont="1" applyBorder="1" applyAlignment="1">
      <alignment horizontal="left" vertical="center"/>
    </xf>
    <xf numFmtId="0" fontId="99" fillId="0" borderId="0" xfId="864" applyFont="1" applyBorder="1" applyAlignment="1">
      <alignment horizontal="left" vertical="center" wrapText="1"/>
    </xf>
    <xf numFmtId="0" fontId="99" fillId="0" borderId="176" xfId="864" applyFont="1" applyBorder="1" applyAlignment="1">
      <alignment horizontal="left" vertical="center" wrapText="1"/>
    </xf>
    <xf numFmtId="0" fontId="23" fillId="0" borderId="178" xfId="864" applyFont="1" applyBorder="1" applyAlignment="1">
      <alignment horizontal="left"/>
    </xf>
    <xf numFmtId="0" fontId="23" fillId="0" borderId="179" xfId="864" applyFont="1" applyBorder="1" applyAlignment="1">
      <alignment horizontal="left"/>
    </xf>
    <xf numFmtId="0" fontId="101" fillId="0" borderId="0" xfId="863" applyFont="1" applyBorder="1" applyAlignment="1">
      <alignment horizontal="center" vertical="center"/>
    </xf>
    <xf numFmtId="0" fontId="96" fillId="0" borderId="81" xfId="863" applyFont="1" applyBorder="1" applyAlignment="1">
      <alignment horizontal="center" vertical="center"/>
    </xf>
    <xf numFmtId="0" fontId="96" fillId="0" borderId="0" xfId="863" applyFont="1" applyBorder="1" applyAlignment="1">
      <alignment horizontal="center" vertical="center"/>
    </xf>
    <xf numFmtId="0" fontId="96" fillId="0" borderId="97" xfId="863" applyFont="1" applyBorder="1" applyAlignment="1">
      <alignment horizontal="center" vertical="center"/>
    </xf>
    <xf numFmtId="0" fontId="98" fillId="0" borderId="81" xfId="863" applyFont="1" applyBorder="1" applyAlignment="1">
      <alignment horizontal="center"/>
    </xf>
    <xf numFmtId="0" fontId="98" fillId="0" borderId="0" xfId="863" applyFont="1" applyBorder="1" applyAlignment="1">
      <alignment horizontal="center"/>
    </xf>
    <xf numFmtId="0" fontId="98" fillId="0" borderId="97" xfId="863" applyFont="1" applyBorder="1" applyAlignment="1">
      <alignment horizontal="center"/>
    </xf>
    <xf numFmtId="0" fontId="97" fillId="0" borderId="81" xfId="863" applyFont="1" applyBorder="1" applyAlignment="1">
      <alignment horizontal="center"/>
    </xf>
    <xf numFmtId="0" fontId="97" fillId="0" borderId="0" xfId="863" applyFont="1" applyBorder="1" applyAlignment="1">
      <alignment horizontal="center"/>
    </xf>
    <xf numFmtId="0" fontId="97" fillId="0" borderId="97" xfId="863" applyFont="1" applyBorder="1" applyAlignment="1">
      <alignment horizontal="center"/>
    </xf>
    <xf numFmtId="0" fontId="93" fillId="0" borderId="0" xfId="863" applyFont="1" applyBorder="1" applyAlignment="1">
      <alignment horizontal="center"/>
    </xf>
    <xf numFmtId="0" fontId="87" fillId="0" borderId="0" xfId="863" applyFont="1" applyBorder="1" applyAlignment="1">
      <alignment horizontal="left" vertical="center" wrapText="1"/>
    </xf>
    <xf numFmtId="0" fontId="87" fillId="0" borderId="97" xfId="863" applyFont="1" applyBorder="1" applyAlignment="1">
      <alignment horizontal="left" vertical="center" wrapText="1"/>
    </xf>
    <xf numFmtId="0" fontId="132" fillId="0" borderId="81" xfId="863" applyFont="1" applyBorder="1" applyAlignment="1">
      <alignment horizontal="center" vertical="center" wrapText="1"/>
    </xf>
    <xf numFmtId="0" fontId="132" fillId="0" borderId="0" xfId="863" applyFont="1" applyBorder="1" applyAlignment="1">
      <alignment horizontal="center" vertical="center" wrapText="1"/>
    </xf>
    <xf numFmtId="0" fontId="132" fillId="0" borderId="97" xfId="863" applyFont="1" applyBorder="1" applyAlignment="1">
      <alignment horizontal="center" vertical="center" wrapText="1"/>
    </xf>
    <xf numFmtId="0" fontId="90" fillId="0" borderId="0" xfId="863" applyFont="1" applyFill="1" applyBorder="1" applyAlignment="1">
      <alignment horizontal="center" vertical="center"/>
    </xf>
    <xf numFmtId="17" fontId="87" fillId="0" borderId="0" xfId="863" applyNumberFormat="1" applyFont="1" applyFill="1" applyBorder="1" applyAlignment="1">
      <alignment horizontal="left" vertical="center" wrapText="1"/>
    </xf>
    <xf numFmtId="0" fontId="108" fillId="0" borderId="0" xfId="863" applyFont="1" applyBorder="1" applyAlignment="1">
      <alignment horizontal="center" vertical="center"/>
    </xf>
    <xf numFmtId="0" fontId="109" fillId="0" borderId="0" xfId="863" applyFont="1" applyBorder="1" applyAlignment="1">
      <alignment horizontal="left" vertical="center" wrapText="1"/>
    </xf>
    <xf numFmtId="0" fontId="107" fillId="0" borderId="0" xfId="863" applyFont="1" applyBorder="1" applyAlignment="1">
      <alignment horizontal="center" vertical="center"/>
    </xf>
    <xf numFmtId="0" fontId="124" fillId="0" borderId="0" xfId="863" applyFont="1" applyBorder="1" applyAlignment="1">
      <alignment horizontal="center" vertical="center" wrapText="1"/>
    </xf>
    <xf numFmtId="0" fontId="106" fillId="0" borderId="0" xfId="863" applyFont="1" applyBorder="1" applyAlignment="1">
      <alignment horizontal="center" vertical="center"/>
    </xf>
    <xf numFmtId="0" fontId="123" fillId="0" borderId="0" xfId="863" applyFont="1" applyBorder="1" applyAlignment="1">
      <alignment horizontal="center" vertical="center" wrapText="1"/>
    </xf>
    <xf numFmtId="0" fontId="134" fillId="0" borderId="0" xfId="863" applyFont="1" applyBorder="1" applyAlignment="1">
      <alignment horizontal="center" vertical="center" wrapText="1"/>
    </xf>
    <xf numFmtId="0" fontId="125" fillId="0" borderId="0" xfId="863" applyFont="1" applyBorder="1" applyAlignment="1">
      <alignment horizontal="left" vertical="center" wrapText="1"/>
    </xf>
    <xf numFmtId="0" fontId="23" fillId="0" borderId="191" xfId="864" applyFont="1" applyBorder="1" applyAlignment="1">
      <alignment horizontal="left" vertical="center"/>
    </xf>
    <xf numFmtId="0" fontId="23" fillId="0" borderId="188" xfId="864" applyFont="1" applyBorder="1" applyAlignment="1">
      <alignment horizontal="left" vertical="center"/>
    </xf>
    <xf numFmtId="0" fontId="88" fillId="0" borderId="79" xfId="864" applyFont="1" applyBorder="1" applyAlignment="1">
      <alignment horizontal="center"/>
    </xf>
    <xf numFmtId="0" fontId="88" fillId="0" borderId="80" xfId="864" applyFont="1" applyBorder="1" applyAlignment="1">
      <alignment horizontal="center"/>
    </xf>
    <xf numFmtId="0" fontId="88" fillId="0" borderId="96" xfId="864" applyFont="1" applyBorder="1" applyAlignment="1">
      <alignment horizontal="center"/>
    </xf>
    <xf numFmtId="0" fontId="23" fillId="0" borderId="81" xfId="864" applyFont="1" applyBorder="1" applyAlignment="1">
      <alignment horizontal="center"/>
    </xf>
    <xf numFmtId="0" fontId="23" fillId="0" borderId="0" xfId="864" applyFont="1" applyBorder="1" applyAlignment="1">
      <alignment horizontal="center"/>
    </xf>
    <xf numFmtId="0" fontId="23" fillId="0" borderId="97" xfId="864" applyFont="1" applyBorder="1" applyAlignment="1">
      <alignment horizontal="center"/>
    </xf>
    <xf numFmtId="0" fontId="23" fillId="0" borderId="0" xfId="864" applyFont="1" applyBorder="1" applyAlignment="1">
      <alignment horizontal="left" indent="7"/>
    </xf>
    <xf numFmtId="0" fontId="69" fillId="0" borderId="81" xfId="864" applyFont="1" applyBorder="1" applyAlignment="1">
      <alignment horizontal="left" vertical="center" wrapText="1"/>
    </xf>
    <xf numFmtId="0" fontId="69" fillId="0" borderId="0" xfId="864" applyFont="1" applyBorder="1" applyAlignment="1">
      <alignment horizontal="left" vertical="center" wrapText="1"/>
    </xf>
    <xf numFmtId="0" fontId="129" fillId="0" borderId="0" xfId="864" applyFont="1" applyBorder="1" applyAlignment="1">
      <alignment vertical="center" wrapText="1"/>
    </xf>
    <xf numFmtId="0" fontId="129" fillId="0" borderId="97" xfId="864" applyFont="1" applyBorder="1" applyAlignment="1">
      <alignment vertical="center" wrapText="1"/>
    </xf>
    <xf numFmtId="201" fontId="69" fillId="0" borderId="81" xfId="864" applyNumberFormat="1" applyFont="1" applyBorder="1" applyAlignment="1">
      <alignment horizontal="left" vertical="center"/>
    </xf>
    <xf numFmtId="201" fontId="69" fillId="0" borderId="0" xfId="864" applyNumberFormat="1" applyFont="1" applyBorder="1" applyAlignment="1">
      <alignment horizontal="left" vertical="center"/>
    </xf>
    <xf numFmtId="49" fontId="47" fillId="0" borderId="0" xfId="864" applyNumberFormat="1" applyFont="1" applyBorder="1" applyAlignment="1">
      <alignment horizontal="left" vertical="center"/>
    </xf>
    <xf numFmtId="0" fontId="47" fillId="0" borderId="0" xfId="864" applyNumberFormat="1" applyFont="1" applyBorder="1" applyAlignment="1">
      <alignment horizontal="left" vertical="center"/>
    </xf>
    <xf numFmtId="0" fontId="47" fillId="0" borderId="97" xfId="864" applyNumberFormat="1" applyFont="1" applyBorder="1" applyAlignment="1">
      <alignment horizontal="left" vertical="center"/>
    </xf>
    <xf numFmtId="0" fontId="87" fillId="0" borderId="20" xfId="864" applyFont="1" applyBorder="1" applyAlignment="1">
      <alignment horizontal="center" vertical="center"/>
    </xf>
    <xf numFmtId="0" fontId="87" fillId="0" borderId="24" xfId="864" applyFont="1" applyBorder="1" applyAlignment="1">
      <alignment horizontal="center" vertical="center"/>
    </xf>
    <xf numFmtId="0" fontId="87" fillId="0" borderId="22" xfId="864" applyFont="1" applyBorder="1" applyAlignment="1">
      <alignment horizontal="center" vertical="center"/>
    </xf>
    <xf numFmtId="0" fontId="23" fillId="0" borderId="131" xfId="864" applyFont="1" applyBorder="1" applyAlignment="1">
      <alignment horizontal="left" vertical="center" wrapText="1"/>
    </xf>
    <xf numFmtId="0" fontId="23" fillId="0" borderId="195" xfId="864" applyFont="1" applyBorder="1" applyAlignment="1">
      <alignment horizontal="left" vertical="center" wrapText="1"/>
    </xf>
    <xf numFmtId="0" fontId="94" fillId="0" borderId="104" xfId="864" applyFont="1" applyBorder="1" applyAlignment="1">
      <alignment horizontal="center" vertical="center"/>
    </xf>
    <xf numFmtId="0" fontId="94" fillId="0" borderId="136" xfId="864" applyFont="1" applyBorder="1" applyAlignment="1">
      <alignment horizontal="center" vertical="center"/>
    </xf>
    <xf numFmtId="0" fontId="94" fillId="0" borderId="105" xfId="864" applyFont="1" applyBorder="1" applyAlignment="1">
      <alignment horizontal="center" vertical="center"/>
    </xf>
    <xf numFmtId="0" fontId="94" fillId="0" borderId="18" xfId="864" applyFont="1" applyBorder="1" applyAlignment="1">
      <alignment horizontal="center" vertical="center"/>
    </xf>
    <xf numFmtId="0" fontId="94" fillId="0" borderId="105" xfId="864" applyFont="1" applyBorder="1" applyAlignment="1">
      <alignment horizontal="center"/>
    </xf>
    <xf numFmtId="0" fontId="87" fillId="0" borderId="182" xfId="864" applyFont="1" applyBorder="1" applyAlignment="1">
      <alignment horizontal="center" vertical="center"/>
    </xf>
    <xf numFmtId="0" fontId="87" fillId="0" borderId="87" xfId="864" applyFont="1" applyBorder="1" applyAlignment="1">
      <alignment horizontal="center" vertical="center"/>
    </xf>
    <xf numFmtId="0" fontId="87" fillId="0" borderId="95" xfId="864" applyFont="1" applyBorder="1" applyAlignment="1">
      <alignment horizontal="center" vertical="center"/>
    </xf>
    <xf numFmtId="0" fontId="34" fillId="0" borderId="20" xfId="864" applyFont="1" applyBorder="1" applyAlignment="1">
      <alignment horizontal="center" vertical="center" wrapText="1"/>
    </xf>
    <xf numFmtId="0" fontId="34" fillId="0" borderId="24" xfId="864" applyFont="1" applyBorder="1" applyAlignment="1">
      <alignment horizontal="center" vertical="center" wrapText="1"/>
    </xf>
    <xf numFmtId="0" fontId="34" fillId="0" borderId="22" xfId="864" applyFont="1" applyBorder="1" applyAlignment="1">
      <alignment horizontal="center" vertical="center" wrapText="1"/>
    </xf>
    <xf numFmtId="0" fontId="94" fillId="0" borderId="106" xfId="864" applyFont="1" applyBorder="1" applyAlignment="1">
      <alignment horizontal="center" vertical="center"/>
    </xf>
    <xf numFmtId="0" fontId="94" fillId="0" borderId="137" xfId="864" applyFont="1" applyBorder="1" applyAlignment="1">
      <alignment horizontal="center" vertical="center"/>
    </xf>
    <xf numFmtId="0" fontId="87" fillId="0" borderId="184" xfId="864" applyFont="1" applyBorder="1" applyAlignment="1">
      <alignment horizontal="center" vertical="center"/>
    </xf>
    <xf numFmtId="0" fontId="34" fillId="0" borderId="185" xfId="864" applyFont="1" applyBorder="1" applyAlignment="1">
      <alignment horizontal="center" vertical="center" wrapText="1"/>
    </xf>
    <xf numFmtId="0" fontId="87" fillId="0" borderId="185" xfId="864" applyFont="1" applyBorder="1" applyAlignment="1">
      <alignment horizontal="center" vertical="center"/>
    </xf>
    <xf numFmtId="204" fontId="37" fillId="0" borderId="60" xfId="0" applyNumberFormat="1" applyFont="1" applyFill="1" applyBorder="1" applyAlignment="1" applyProtection="1">
      <alignment horizontal="center" vertical="center"/>
    </xf>
    <xf numFmtId="204" fontId="37" fillId="0" borderId="65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/>
    </xf>
    <xf numFmtId="43" fontId="130" fillId="0" borderId="34" xfId="46" applyFont="1" applyFill="1" applyBorder="1" applyAlignment="1">
      <alignment horizontal="center" vertical="center"/>
    </xf>
    <xf numFmtId="43" fontId="130" fillId="0" borderId="45" xfId="46" applyFont="1" applyFill="1" applyBorder="1" applyAlignment="1">
      <alignment horizontal="center" vertical="center"/>
    </xf>
    <xf numFmtId="171" fontId="81" fillId="0" borderId="13" xfId="0" applyNumberFormat="1" applyFont="1" applyFill="1" applyBorder="1" applyAlignment="1" applyProtection="1">
      <alignment horizontal="center" vertical="center"/>
    </xf>
    <xf numFmtId="171" fontId="81" fillId="0" borderId="0" xfId="0" applyNumberFormat="1" applyFont="1" applyFill="1" applyBorder="1" applyAlignment="1" applyProtection="1">
      <alignment horizontal="center" vertical="center"/>
    </xf>
    <xf numFmtId="0" fontId="37" fillId="0" borderId="13" xfId="0" applyFont="1" applyFill="1" applyBorder="1" applyAlignment="1">
      <alignment horizontal="center" vertical="center"/>
    </xf>
    <xf numFmtId="0" fontId="70" fillId="0" borderId="0" xfId="0" applyFont="1" applyFill="1" applyAlignment="1">
      <alignment horizontal="center" vertical="center"/>
    </xf>
    <xf numFmtId="43" fontId="41" fillId="35" borderId="65" xfId="46" applyNumberFormat="1" applyFont="1" applyFill="1" applyBorder="1" applyAlignment="1">
      <alignment horizontal="center" vertical="center"/>
    </xf>
    <xf numFmtId="43" fontId="41" fillId="35" borderId="77" xfId="46" applyNumberFormat="1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left" vertical="center" indent="1"/>
    </xf>
    <xf numFmtId="0" fontId="37" fillId="0" borderId="27" xfId="0" applyFont="1" applyFill="1" applyBorder="1" applyAlignment="1">
      <alignment horizontal="left" vertical="center" indent="1"/>
    </xf>
    <xf numFmtId="0" fontId="37" fillId="0" borderId="44" xfId="0" applyFont="1" applyFill="1" applyBorder="1" applyAlignment="1">
      <alignment horizontal="left" vertical="center" indent="1"/>
    </xf>
    <xf numFmtId="0" fontId="47" fillId="0" borderId="16" xfId="0" applyFont="1" applyFill="1" applyBorder="1" applyAlignment="1">
      <alignment horizontal="left" vertical="center"/>
    </xf>
    <xf numFmtId="0" fontId="41" fillId="35" borderId="76" xfId="0" applyFont="1" applyFill="1" applyBorder="1" applyAlignment="1">
      <alignment horizontal="right" vertical="center"/>
    </xf>
    <xf numFmtId="0" fontId="41" fillId="35" borderId="53" xfId="0" applyFont="1" applyFill="1" applyBorder="1" applyAlignment="1">
      <alignment horizontal="right" vertical="center"/>
    </xf>
    <xf numFmtId="43" fontId="47" fillId="0" borderId="16" xfId="46" applyFont="1" applyFill="1" applyBorder="1" applyAlignment="1">
      <alignment horizontal="center" vertical="center"/>
    </xf>
    <xf numFmtId="43" fontId="47" fillId="0" borderId="17" xfId="46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left" vertical="center" wrapText="1" indent="5"/>
    </xf>
    <xf numFmtId="0" fontId="37" fillId="0" borderId="23" xfId="0" applyFont="1" applyFill="1" applyBorder="1" applyAlignment="1">
      <alignment horizontal="left" vertical="center" wrapText="1" indent="5"/>
    </xf>
    <xf numFmtId="0" fontId="41" fillId="0" borderId="38" xfId="0" applyFont="1" applyFill="1" applyBorder="1" applyAlignment="1">
      <alignment horizontal="right" vertical="center"/>
    </xf>
    <xf numFmtId="0" fontId="41" fillId="0" borderId="37" xfId="0" applyFont="1" applyFill="1" applyBorder="1" applyAlignment="1">
      <alignment horizontal="right" vertical="center"/>
    </xf>
    <xf numFmtId="205" fontId="81" fillId="0" borderId="44" xfId="0" applyNumberFormat="1" applyFont="1" applyFill="1" applyBorder="1" applyAlignment="1" applyProtection="1">
      <alignment horizontal="center" vertical="center"/>
    </xf>
    <xf numFmtId="205" fontId="81" fillId="0" borderId="34" xfId="0" applyNumberFormat="1" applyFont="1" applyFill="1" applyBorder="1" applyAlignment="1" applyProtection="1">
      <alignment horizontal="center" vertical="center"/>
    </xf>
    <xf numFmtId="0" fontId="37" fillId="0" borderId="50" xfId="0" applyFont="1" applyFill="1" applyBorder="1" applyAlignment="1">
      <alignment horizontal="left" vertical="center" indent="1"/>
    </xf>
    <xf numFmtId="0" fontId="37" fillId="0" borderId="30" xfId="0" applyFont="1" applyFill="1" applyBorder="1" applyAlignment="1">
      <alignment horizontal="left" vertical="center" indent="1"/>
    </xf>
    <xf numFmtId="0" fontId="37" fillId="0" borderId="40" xfId="0" applyFont="1" applyFill="1" applyBorder="1" applyAlignment="1">
      <alignment horizontal="left" vertical="center" indent="1"/>
    </xf>
    <xf numFmtId="0" fontId="47" fillId="0" borderId="44" xfId="0" applyFont="1" applyFill="1" applyBorder="1" applyAlignment="1">
      <alignment horizontal="center" vertical="center" wrapText="1"/>
    </xf>
    <xf numFmtId="0" fontId="47" fillId="0" borderId="23" xfId="0" applyFont="1" applyFill="1" applyBorder="1" applyAlignment="1">
      <alignment horizontal="center" vertical="center" wrapText="1"/>
    </xf>
    <xf numFmtId="175" fontId="41" fillId="0" borderId="10" xfId="0" applyNumberFormat="1" applyFont="1" applyFill="1" applyBorder="1" applyAlignment="1" applyProtection="1">
      <alignment horizontal="center" vertical="center"/>
    </xf>
    <xf numFmtId="175" fontId="41" fillId="0" borderId="93" xfId="0" applyNumberFormat="1" applyFont="1" applyFill="1" applyBorder="1" applyAlignment="1" applyProtection="1">
      <alignment horizontal="center" vertical="center"/>
    </xf>
    <xf numFmtId="175" fontId="41" fillId="0" borderId="94" xfId="0" applyNumberFormat="1" applyFont="1" applyFill="1" applyBorder="1" applyAlignment="1" applyProtection="1">
      <alignment horizontal="center" vertical="center"/>
    </xf>
    <xf numFmtId="0" fontId="41" fillId="0" borderId="10" xfId="0" applyFont="1" applyFill="1" applyBorder="1" applyAlignment="1">
      <alignment horizontal="center" vertical="center" wrapText="1"/>
    </xf>
    <xf numFmtId="0" fontId="41" fillId="0" borderId="93" xfId="0" applyFont="1" applyFill="1" applyBorder="1" applyAlignment="1">
      <alignment horizontal="center" vertical="center" wrapText="1"/>
    </xf>
    <xf numFmtId="0" fontId="41" fillId="0" borderId="94" xfId="0" applyFont="1" applyFill="1" applyBorder="1" applyAlignment="1">
      <alignment horizontal="center" vertical="center" wrapText="1"/>
    </xf>
    <xf numFmtId="204" fontId="37" fillId="0" borderId="30" xfId="0" applyNumberFormat="1" applyFont="1" applyFill="1" applyBorder="1" applyAlignment="1" applyProtection="1">
      <alignment horizontal="center" vertical="center"/>
    </xf>
    <xf numFmtId="204" fontId="37" fillId="0" borderId="31" xfId="0" applyNumberFormat="1" applyFont="1" applyFill="1" applyBorder="1" applyAlignment="1" applyProtection="1">
      <alignment horizontal="center" vertical="center"/>
    </xf>
    <xf numFmtId="181" fontId="126" fillId="35" borderId="93" xfId="0" applyNumberFormat="1" applyFont="1" applyFill="1" applyBorder="1" applyAlignment="1">
      <alignment horizontal="center" vertical="center"/>
    </xf>
    <xf numFmtId="181" fontId="126" fillId="35" borderId="94" xfId="0" applyNumberFormat="1" applyFont="1" applyFill="1" applyBorder="1" applyAlignment="1">
      <alignment horizontal="center" vertical="center"/>
    </xf>
    <xf numFmtId="181" fontId="126" fillId="35" borderId="16" xfId="0" applyNumberFormat="1" applyFont="1" applyFill="1" applyBorder="1" applyAlignment="1">
      <alignment horizontal="center" vertical="center"/>
    </xf>
    <xf numFmtId="181" fontId="126" fillId="35" borderId="17" xfId="0" applyNumberFormat="1" applyFont="1" applyFill="1" applyBorder="1" applyAlignment="1">
      <alignment horizontal="center" vertical="center"/>
    </xf>
    <xf numFmtId="181" fontId="74" fillId="35" borderId="10" xfId="0" applyNumberFormat="1" applyFont="1" applyFill="1" applyBorder="1" applyAlignment="1">
      <alignment horizontal="center" vertical="center"/>
    </xf>
    <xf numFmtId="181" fontId="74" fillId="35" borderId="15" xfId="0" applyNumberFormat="1" applyFont="1" applyFill="1" applyBorder="1" applyAlignment="1">
      <alignment horizontal="center" vertical="center"/>
    </xf>
    <xf numFmtId="43" fontId="41" fillId="0" borderId="40" xfId="46" applyFont="1" applyFill="1" applyBorder="1" applyAlignment="1">
      <alignment horizontal="right" vertical="center"/>
    </xf>
    <xf numFmtId="43" fontId="41" fillId="0" borderId="48" xfId="46" applyFont="1" applyFill="1" applyBorder="1" applyAlignment="1">
      <alignment horizontal="right" vertical="center"/>
    </xf>
    <xf numFmtId="0" fontId="130" fillId="0" borderId="34" xfId="0" applyFont="1" applyFill="1" applyBorder="1" applyAlignment="1">
      <alignment horizontal="right" vertical="center"/>
    </xf>
    <xf numFmtId="0" fontId="88" fillId="0" borderId="10" xfId="140" applyFont="1" applyFill="1" applyBorder="1" applyAlignment="1" applyProtection="1">
      <alignment horizontal="center"/>
      <protection locked="0"/>
    </xf>
    <xf numFmtId="0" fontId="88" fillId="0" borderId="93" xfId="140" applyFont="1" applyFill="1" applyBorder="1" applyAlignment="1" applyProtection="1">
      <alignment horizontal="center"/>
      <protection locked="0"/>
    </xf>
    <xf numFmtId="0" fontId="88" fillId="0" borderId="94" xfId="140" applyFont="1" applyFill="1" applyBorder="1" applyAlignment="1" applyProtection="1">
      <alignment horizontal="center"/>
      <protection locked="0"/>
    </xf>
    <xf numFmtId="0" fontId="88" fillId="0" borderId="13" xfId="140" applyFont="1" applyFill="1" applyBorder="1" applyAlignment="1" applyProtection="1">
      <alignment horizontal="center"/>
      <protection locked="0"/>
    </xf>
    <xf numFmtId="0" fontId="88" fillId="0" borderId="0" xfId="140" applyFont="1" applyFill="1" applyBorder="1" applyAlignment="1" applyProtection="1">
      <alignment horizontal="center"/>
      <protection locked="0"/>
    </xf>
    <xf numFmtId="0" fontId="88" fillId="0" borderId="14" xfId="140" applyFont="1" applyFill="1" applyBorder="1" applyAlignment="1" applyProtection="1">
      <alignment horizontal="center"/>
      <protection locked="0"/>
    </xf>
    <xf numFmtId="0" fontId="37" fillId="0" borderId="15" xfId="0" applyFont="1" applyFill="1" applyBorder="1" applyAlignment="1" applyProtection="1">
      <alignment horizontal="center" vertical="center"/>
    </xf>
    <xf numFmtId="0" fontId="37" fillId="0" borderId="17" xfId="0" applyFont="1" applyFill="1" applyBorder="1" applyAlignment="1" applyProtection="1">
      <alignment horizontal="center" vertical="center"/>
    </xf>
    <xf numFmtId="0" fontId="117" fillId="0" borderId="13" xfId="0" applyFont="1" applyFill="1" applyBorder="1" applyAlignment="1">
      <alignment horizontal="center" vertical="center" wrapText="1"/>
    </xf>
    <xf numFmtId="0" fontId="117" fillId="0" borderId="0" xfId="0" applyFont="1" applyFill="1" applyBorder="1" applyAlignment="1">
      <alignment horizontal="center" vertical="center" wrapText="1"/>
    </xf>
    <xf numFmtId="0" fontId="117" fillId="0" borderId="14" xfId="0" applyFont="1" applyFill="1" applyBorder="1" applyAlignment="1">
      <alignment horizontal="center" vertical="center" wrapText="1"/>
    </xf>
    <xf numFmtId="0" fontId="37" fillId="0" borderId="59" xfId="0" applyFont="1" applyFill="1" applyBorder="1" applyAlignment="1">
      <alignment horizontal="left" vertical="center" indent="1"/>
    </xf>
    <xf numFmtId="0" fontId="37" fillId="0" borderId="60" xfId="0" applyFont="1" applyFill="1" applyBorder="1" applyAlignment="1">
      <alignment horizontal="left" vertical="center" indent="1"/>
    </xf>
    <xf numFmtId="0" fontId="37" fillId="0" borderId="65" xfId="0" applyFont="1" applyFill="1" applyBorder="1" applyAlignment="1">
      <alignment horizontal="left" vertical="center" indent="1"/>
    </xf>
    <xf numFmtId="0" fontId="40" fillId="36" borderId="19" xfId="0" applyFont="1" applyFill="1" applyBorder="1" applyAlignment="1">
      <alignment horizontal="center" vertical="center"/>
    </xf>
    <xf numFmtId="0" fontId="40" fillId="36" borderId="191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left" vertical="center" indent="1"/>
    </xf>
    <xf numFmtId="0" fontId="37" fillId="0" borderId="34" xfId="0" applyFont="1" applyFill="1" applyBorder="1" applyAlignment="1">
      <alignment horizontal="left" vertical="center" indent="1"/>
    </xf>
    <xf numFmtId="0" fontId="37" fillId="0" borderId="23" xfId="0" applyFont="1" applyFill="1" applyBorder="1" applyAlignment="1">
      <alignment horizontal="left" vertical="center" indent="1"/>
    </xf>
    <xf numFmtId="0" fontId="38" fillId="24" borderId="13" xfId="0" applyFont="1" applyFill="1" applyBorder="1" applyAlignment="1">
      <alignment horizontal="center" vertical="center"/>
    </xf>
    <xf numFmtId="0" fontId="38" fillId="24" borderId="14" xfId="0" applyFont="1" applyFill="1" applyBorder="1" applyAlignment="1">
      <alignment horizontal="center" vertical="center"/>
    </xf>
    <xf numFmtId="0" fontId="72" fillId="0" borderId="13" xfId="0" applyFont="1" applyFill="1" applyBorder="1" applyAlignment="1">
      <alignment horizontal="center" vertical="center"/>
    </xf>
    <xf numFmtId="0" fontId="72" fillId="0" borderId="0" xfId="0" applyFont="1" applyFill="1" applyBorder="1" applyAlignment="1">
      <alignment horizontal="center" vertical="center"/>
    </xf>
    <xf numFmtId="0" fontId="37" fillId="0" borderId="35" xfId="0" applyFont="1" applyFill="1" applyBorder="1" applyAlignment="1">
      <alignment horizontal="left" vertical="center" indent="1"/>
    </xf>
    <xf numFmtId="0" fontId="37" fillId="0" borderId="39" xfId="0" applyFont="1" applyFill="1" applyBorder="1" applyAlignment="1">
      <alignment horizontal="left" vertical="center" indent="1"/>
    </xf>
    <xf numFmtId="0" fontId="37" fillId="0" borderId="33" xfId="0" applyFont="1" applyFill="1" applyBorder="1" applyAlignment="1">
      <alignment horizontal="left" vertical="center" indent="1"/>
    </xf>
    <xf numFmtId="204" fontId="37" fillId="0" borderId="25" xfId="0" applyNumberFormat="1" applyFont="1" applyFill="1" applyBorder="1" applyAlignment="1" applyProtection="1">
      <alignment horizontal="center" vertical="center"/>
    </xf>
    <xf numFmtId="204" fontId="37" fillId="0" borderId="46" xfId="0" applyNumberFormat="1" applyFont="1" applyFill="1" applyBorder="1" applyAlignment="1" applyProtection="1">
      <alignment horizontal="center" vertical="center"/>
    </xf>
    <xf numFmtId="0" fontId="85" fillId="24" borderId="15" xfId="0" applyFont="1" applyFill="1" applyBorder="1" applyAlignment="1">
      <alignment horizontal="center" vertical="center"/>
    </xf>
    <xf numFmtId="0" fontId="85" fillId="24" borderId="17" xfId="0" applyFont="1" applyFill="1" applyBorder="1" applyAlignment="1">
      <alignment horizontal="center" vertical="center"/>
    </xf>
    <xf numFmtId="0" fontId="37" fillId="0" borderId="16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7" fillId="0" borderId="44" xfId="0" applyFont="1" applyFill="1" applyBorder="1" applyAlignment="1">
      <alignment horizontal="center" vertical="center"/>
    </xf>
    <xf numFmtId="0" fontId="47" fillId="0" borderId="23" xfId="0" applyFont="1" applyFill="1" applyBorder="1" applyAlignment="1">
      <alignment horizontal="center" vertical="center"/>
    </xf>
    <xf numFmtId="1" fontId="47" fillId="0" borderId="44" xfId="0" applyNumberFormat="1" applyFont="1" applyFill="1" applyBorder="1" applyAlignment="1">
      <alignment horizontal="center" vertical="center" wrapText="1"/>
    </xf>
    <xf numFmtId="1" fontId="47" fillId="0" borderId="23" xfId="0" applyNumberFormat="1" applyFont="1" applyFill="1" applyBorder="1" applyAlignment="1">
      <alignment horizontal="center" vertical="center" wrapText="1"/>
    </xf>
    <xf numFmtId="0" fontId="56" fillId="0" borderId="0" xfId="631" applyFont="1" applyBorder="1" applyAlignment="1">
      <alignment horizontal="center"/>
    </xf>
    <xf numFmtId="0" fontId="58" fillId="0" borderId="0" xfId="631" applyFont="1" applyBorder="1" applyAlignment="1">
      <alignment horizontal="center"/>
    </xf>
    <xf numFmtId="0" fontId="58" fillId="0" borderId="16" xfId="631" applyFont="1" applyBorder="1" applyAlignment="1">
      <alignment horizontal="center" vertical="top" wrapText="1"/>
    </xf>
    <xf numFmtId="0" fontId="41" fillId="0" borderId="10" xfId="141" applyFont="1" applyBorder="1" applyAlignment="1">
      <alignment horizontal="center" vertical="center" wrapText="1"/>
    </xf>
    <xf numFmtId="0" fontId="41" fillId="0" borderId="93" xfId="141" applyFont="1" applyBorder="1" applyAlignment="1">
      <alignment horizontal="center" vertical="center" wrapText="1"/>
    </xf>
    <xf numFmtId="0" fontId="58" fillId="0" borderId="35" xfId="631" applyFont="1" applyBorder="1" applyAlignment="1">
      <alignment horizontal="center" vertical="center" wrapText="1"/>
    </xf>
    <xf numFmtId="0" fontId="58" fillId="0" borderId="39" xfId="631" applyFont="1" applyBorder="1" applyAlignment="1">
      <alignment horizontal="center" vertical="center" wrapText="1"/>
    </xf>
    <xf numFmtId="0" fontId="58" fillId="0" borderId="10" xfId="631" applyFont="1" applyBorder="1" applyAlignment="1">
      <alignment horizontal="center" vertical="center" wrapText="1"/>
    </xf>
    <xf numFmtId="0" fontId="58" fillId="0" borderId="94" xfId="631" applyFont="1" applyBorder="1" applyAlignment="1">
      <alignment horizontal="center" vertical="center" wrapText="1"/>
    </xf>
    <xf numFmtId="0" fontId="58" fillId="0" borderId="163" xfId="631" applyFont="1" applyBorder="1" applyAlignment="1">
      <alignment horizontal="center" vertical="center" wrapText="1"/>
    </xf>
    <xf numFmtId="0" fontId="58" fillId="0" borderId="77" xfId="631" applyFont="1" applyBorder="1" applyAlignment="1">
      <alignment horizontal="center" vertical="center" wrapText="1"/>
    </xf>
    <xf numFmtId="0" fontId="86" fillId="0" borderId="34" xfId="631" applyFont="1" applyBorder="1" applyAlignment="1">
      <alignment horizontal="center" vertical="center" wrapText="1"/>
    </xf>
    <xf numFmtId="0" fontId="47" fillId="0" borderId="15" xfId="141" applyFont="1" applyBorder="1" applyAlignment="1">
      <alignment horizontal="center" vertical="center"/>
    </xf>
    <xf numFmtId="0" fontId="47" fillId="0" borderId="16" xfId="141" applyFont="1" applyBorder="1" applyAlignment="1">
      <alignment horizontal="center" vertical="center"/>
    </xf>
    <xf numFmtId="0" fontId="47" fillId="0" borderId="17" xfId="141" applyFont="1" applyBorder="1" applyAlignment="1">
      <alignment horizontal="center" vertical="center"/>
    </xf>
    <xf numFmtId="0" fontId="39" fillId="0" borderId="13" xfId="141" applyFont="1" applyBorder="1" applyAlignment="1">
      <alignment horizontal="center" vertical="center" wrapText="1"/>
    </xf>
    <xf numFmtId="0" fontId="39" fillId="0" borderId="0" xfId="141" applyFont="1" applyBorder="1" applyAlignment="1">
      <alignment horizontal="center" vertical="center" wrapText="1"/>
    </xf>
    <xf numFmtId="0" fontId="39" fillId="0" borderId="14" xfId="141" applyFont="1" applyBorder="1" applyAlignment="1">
      <alignment horizontal="center" vertical="center" wrapText="1"/>
    </xf>
    <xf numFmtId="0" fontId="54" fillId="0" borderId="10" xfId="141" applyFont="1" applyBorder="1" applyAlignment="1">
      <alignment horizontal="center" vertical="center"/>
    </xf>
    <xf numFmtId="0" fontId="54" fillId="0" borderId="93" xfId="141" applyFont="1" applyBorder="1" applyAlignment="1">
      <alignment horizontal="center" vertical="center"/>
    </xf>
    <xf numFmtId="0" fontId="54" fillId="0" borderId="94" xfId="141" applyFont="1" applyBorder="1" applyAlignment="1">
      <alignment horizontal="center" vertical="center"/>
    </xf>
    <xf numFmtId="0" fontId="54" fillId="0" borderId="13" xfId="141" applyFont="1" applyBorder="1" applyAlignment="1">
      <alignment horizontal="center" vertical="center"/>
    </xf>
    <xf numFmtId="0" fontId="54" fillId="0" borderId="0" xfId="141" applyFont="1" applyBorder="1" applyAlignment="1">
      <alignment horizontal="center" vertical="center"/>
    </xf>
    <xf numFmtId="0" fontId="54" fillId="0" borderId="14" xfId="141" applyFont="1" applyBorder="1" applyAlignment="1">
      <alignment horizontal="center" vertical="center"/>
    </xf>
    <xf numFmtId="0" fontId="86" fillId="0" borderId="41" xfId="631" applyFont="1" applyBorder="1" applyAlignment="1">
      <alignment horizontal="center" vertical="center"/>
    </xf>
    <xf numFmtId="0" fontId="86" fillId="0" borderId="43" xfId="631" applyFont="1" applyBorder="1" applyAlignment="1">
      <alignment horizontal="center" vertical="center"/>
    </xf>
    <xf numFmtId="0" fontId="58" fillId="0" borderId="193" xfId="631" applyFont="1" applyBorder="1" applyAlignment="1">
      <alignment horizontal="center" vertical="center" wrapText="1"/>
    </xf>
    <xf numFmtId="0" fontId="58" fillId="0" borderId="59" xfId="631" applyFont="1" applyBorder="1" applyAlignment="1">
      <alignment horizontal="center" vertical="center" wrapText="1"/>
    </xf>
    <xf numFmtId="0" fontId="58" fillId="0" borderId="194" xfId="631" applyFont="1" applyBorder="1" applyAlignment="1">
      <alignment horizontal="center" vertical="center"/>
    </xf>
    <xf numFmtId="0" fontId="58" fillId="0" borderId="61" xfId="631" applyFont="1" applyBorder="1" applyAlignment="1">
      <alignment horizontal="center" vertical="center"/>
    </xf>
    <xf numFmtId="0" fontId="54" fillId="0" borderId="13" xfId="141" applyFont="1" applyBorder="1" applyAlignment="1">
      <alignment horizontal="center" vertical="center" wrapText="1"/>
    </xf>
    <xf numFmtId="0" fontId="54" fillId="0" borderId="0" xfId="141" applyFont="1" applyBorder="1" applyAlignment="1">
      <alignment horizontal="center" vertical="center" wrapText="1"/>
    </xf>
    <xf numFmtId="0" fontId="54" fillId="0" borderId="14" xfId="141" applyFont="1" applyBorder="1" applyAlignment="1">
      <alignment horizontal="center" vertical="center" wrapText="1"/>
    </xf>
    <xf numFmtId="0" fontId="54" fillId="0" borderId="15" xfId="141" applyFont="1" applyBorder="1" applyAlignment="1">
      <alignment horizontal="center" vertical="center" wrapText="1"/>
    </xf>
    <xf numFmtId="0" fontId="54" fillId="0" borderId="16" xfId="141" applyFont="1" applyBorder="1" applyAlignment="1">
      <alignment horizontal="center" vertical="center" wrapText="1"/>
    </xf>
    <xf numFmtId="0" fontId="54" fillId="0" borderId="17" xfId="141" applyFont="1" applyBorder="1" applyAlignment="1">
      <alignment horizontal="center" vertical="center" wrapText="1"/>
    </xf>
    <xf numFmtId="0" fontId="86" fillId="0" borderId="10" xfId="631" applyFont="1" applyBorder="1" applyAlignment="1">
      <alignment horizontal="center" vertical="center" wrapText="1"/>
    </xf>
    <xf numFmtId="0" fontId="86" fillId="0" borderId="94" xfId="631" applyFont="1" applyBorder="1" applyAlignment="1">
      <alignment horizontal="center" vertical="center" wrapText="1"/>
    </xf>
    <xf numFmtId="0" fontId="86" fillId="0" borderId="163" xfId="631" applyFont="1" applyBorder="1" applyAlignment="1">
      <alignment horizontal="center" vertical="center" wrapText="1"/>
    </xf>
    <xf numFmtId="0" fontId="86" fillId="0" borderId="77" xfId="631" applyFont="1" applyBorder="1" applyAlignment="1">
      <alignment horizontal="center" vertical="center" wrapText="1"/>
    </xf>
    <xf numFmtId="0" fontId="47" fillId="0" borderId="15" xfId="141" applyFont="1" applyBorder="1" applyAlignment="1">
      <alignment horizontal="center" wrapText="1"/>
    </xf>
    <xf numFmtId="0" fontId="47" fillId="0" borderId="16" xfId="141" applyFont="1" applyBorder="1" applyAlignment="1">
      <alignment horizontal="center" wrapText="1"/>
    </xf>
    <xf numFmtId="0" fontId="47" fillId="0" borderId="17" xfId="141" applyFont="1" applyBorder="1" applyAlignment="1">
      <alignment horizontal="center" wrapText="1"/>
    </xf>
    <xf numFmtId="0" fontId="86" fillId="0" borderId="13" xfId="631" applyFont="1" applyBorder="1" applyAlignment="1">
      <alignment horizontal="center" vertical="center" wrapText="1"/>
    </xf>
    <xf numFmtId="0" fontId="86" fillId="0" borderId="14" xfId="631" applyFont="1" applyBorder="1" applyAlignment="1">
      <alignment horizontal="center" vertical="center" wrapText="1"/>
    </xf>
    <xf numFmtId="0" fontId="86" fillId="0" borderId="0" xfId="631" applyFont="1" applyBorder="1" applyAlignment="1">
      <alignment horizontal="center" vertical="center" wrapText="1"/>
    </xf>
    <xf numFmtId="0" fontId="86" fillId="0" borderId="76" xfId="631" applyFont="1" applyBorder="1" applyAlignment="1">
      <alignment horizontal="center" vertical="center" wrapText="1"/>
    </xf>
    <xf numFmtId="0" fontId="86" fillId="0" borderId="93" xfId="631" applyFont="1" applyBorder="1" applyAlignment="1">
      <alignment horizontal="center" vertical="center" wrapText="1"/>
    </xf>
    <xf numFmtId="0" fontId="41" fillId="0" borderId="15" xfId="633" applyFont="1" applyFill="1" applyBorder="1" applyAlignment="1">
      <alignment horizontal="center" vertical="top" wrapText="1"/>
    </xf>
    <xf numFmtId="0" fontId="41" fillId="0" borderId="16" xfId="633" applyFont="1" applyFill="1" applyBorder="1" applyAlignment="1">
      <alignment horizontal="center" vertical="top" wrapText="1"/>
    </xf>
    <xf numFmtId="0" fontId="41" fillId="0" borderId="13" xfId="633" applyFont="1" applyFill="1" applyBorder="1" applyAlignment="1">
      <alignment horizontal="center" vertical="center"/>
    </xf>
    <xf numFmtId="0" fontId="41" fillId="0" borderId="0" xfId="633" applyFont="1" applyFill="1" applyBorder="1" applyAlignment="1">
      <alignment horizontal="center" vertical="center"/>
    </xf>
    <xf numFmtId="0" fontId="47" fillId="0" borderId="13" xfId="633" applyFont="1" applyFill="1" applyBorder="1" applyAlignment="1">
      <alignment horizontal="center" vertical="center"/>
    </xf>
    <xf numFmtId="0" fontId="47" fillId="0" borderId="0" xfId="633" applyFont="1" applyFill="1" applyBorder="1" applyAlignment="1">
      <alignment horizontal="center" vertical="center"/>
    </xf>
    <xf numFmtId="0" fontId="41" fillId="0" borderId="19" xfId="141" applyFont="1" applyBorder="1" applyAlignment="1">
      <alignment horizontal="right" vertical="center" wrapText="1"/>
    </xf>
    <xf numFmtId="0" fontId="41" fillId="0" borderId="191" xfId="141" applyFont="1" applyBorder="1" applyAlignment="1">
      <alignment horizontal="right" vertical="center" wrapText="1"/>
    </xf>
    <xf numFmtId="0" fontId="40" fillId="31" borderId="189" xfId="633" applyFont="1" applyFill="1" applyBorder="1" applyAlignment="1">
      <alignment horizontal="center" vertical="center"/>
    </xf>
    <xf numFmtId="0" fontId="41" fillId="0" borderId="32" xfId="633" applyFont="1" applyBorder="1" applyAlignment="1">
      <alignment horizontal="right" vertical="center"/>
    </xf>
    <xf numFmtId="0" fontId="40" fillId="31" borderId="189" xfId="633" applyFont="1" applyFill="1" applyBorder="1" applyAlignment="1">
      <alignment horizontal="center" vertical="center" wrapText="1"/>
    </xf>
    <xf numFmtId="0" fontId="40" fillId="0" borderId="10" xfId="633" applyFont="1" applyBorder="1" applyAlignment="1">
      <alignment horizontal="center"/>
    </xf>
    <xf numFmtId="0" fontId="40" fillId="0" borderId="93" xfId="633" applyFont="1" applyBorder="1" applyAlignment="1">
      <alignment horizontal="center"/>
    </xf>
    <xf numFmtId="0" fontId="40" fillId="0" borderId="94" xfId="633" applyFont="1" applyBorder="1" applyAlignment="1">
      <alignment horizontal="center"/>
    </xf>
    <xf numFmtId="0" fontId="46" fillId="0" borderId="13" xfId="633" applyFont="1" applyBorder="1" applyAlignment="1">
      <alignment horizontal="center" vertical="center"/>
    </xf>
    <xf numFmtId="0" fontId="46" fillId="0" borderId="0" xfId="633" applyFont="1" applyBorder="1" applyAlignment="1">
      <alignment horizontal="center" vertical="center"/>
    </xf>
    <xf numFmtId="0" fontId="46" fillId="0" borderId="14" xfId="633" applyFont="1" applyBorder="1" applyAlignment="1">
      <alignment horizontal="center" vertical="center"/>
    </xf>
    <xf numFmtId="0" fontId="41" fillId="0" borderId="13" xfId="633" applyFont="1" applyBorder="1" applyAlignment="1">
      <alignment horizontal="center" vertical="center" wrapText="1"/>
    </xf>
    <xf numFmtId="0" fontId="41" fillId="0" borderId="0" xfId="633" applyFont="1" applyBorder="1" applyAlignment="1">
      <alignment horizontal="center" vertical="center" wrapText="1"/>
    </xf>
    <xf numFmtId="0" fontId="41" fillId="0" borderId="14" xfId="633" applyFont="1" applyBorder="1" applyAlignment="1">
      <alignment horizontal="center" vertical="center" wrapText="1"/>
    </xf>
    <xf numFmtId="0" fontId="54" fillId="0" borderId="13" xfId="633" applyFont="1" applyBorder="1" applyAlignment="1">
      <alignment horizontal="center" vertical="center" wrapText="1"/>
    </xf>
    <xf numFmtId="0" fontId="54" fillId="0" borderId="0" xfId="633" applyFont="1" applyBorder="1" applyAlignment="1">
      <alignment horizontal="center" vertical="center" wrapText="1"/>
    </xf>
    <xf numFmtId="0" fontId="54" fillId="0" borderId="14" xfId="633" applyFont="1" applyBorder="1" applyAlignment="1">
      <alignment horizontal="center" vertical="center" wrapText="1"/>
    </xf>
    <xf numFmtId="0" fontId="54" fillId="0" borderId="15" xfId="633" applyFont="1" applyBorder="1" applyAlignment="1">
      <alignment horizontal="center" vertical="center" wrapText="1"/>
    </xf>
    <xf numFmtId="0" fontId="54" fillId="0" borderId="16" xfId="633" applyFont="1" applyBorder="1" applyAlignment="1">
      <alignment horizontal="center" vertical="center" wrapText="1"/>
    </xf>
    <xf numFmtId="0" fontId="54" fillId="0" borderId="17" xfId="633" applyFont="1" applyBorder="1" applyAlignment="1">
      <alignment horizontal="center" vertical="center" wrapText="1"/>
    </xf>
    <xf numFmtId="0" fontId="115" fillId="0" borderId="15" xfId="633" applyFont="1" applyBorder="1" applyAlignment="1">
      <alignment horizontal="center"/>
    </xf>
    <xf numFmtId="0" fontId="115" fillId="0" borderId="16" xfId="633" applyFont="1" applyBorder="1" applyAlignment="1">
      <alignment horizontal="center"/>
    </xf>
    <xf numFmtId="0" fontId="115" fillId="0" borderId="17" xfId="633" applyFont="1" applyBorder="1" applyAlignment="1">
      <alignment horizontal="center"/>
    </xf>
    <xf numFmtId="0" fontId="44" fillId="0" borderId="15" xfId="633" applyFont="1" applyFill="1" applyBorder="1" applyAlignment="1">
      <alignment horizontal="center" vertical="center" wrapText="1"/>
    </xf>
    <xf numFmtId="0" fontId="44" fillId="0" borderId="16" xfId="633" applyFont="1" applyFill="1" applyBorder="1" applyAlignment="1">
      <alignment horizontal="center" vertical="center" wrapText="1"/>
    </xf>
    <xf numFmtId="0" fontId="41" fillId="0" borderId="32" xfId="141" applyFont="1" applyBorder="1" applyAlignment="1">
      <alignment horizontal="right" vertical="center" wrapText="1"/>
    </xf>
    <xf numFmtId="0" fontId="40" fillId="0" borderId="11" xfId="633" applyFont="1" applyBorder="1" applyAlignment="1">
      <alignment horizontal="center"/>
    </xf>
    <xf numFmtId="0" fontId="40" fillId="0" borderId="12" xfId="633" applyFont="1" applyBorder="1" applyAlignment="1">
      <alignment horizontal="center"/>
    </xf>
    <xf numFmtId="0" fontId="41" fillId="0" borderId="13" xfId="633" applyFont="1" applyBorder="1" applyAlignment="1">
      <alignment horizontal="left" vertical="center"/>
    </xf>
    <xf numFmtId="0" fontId="41" fillId="0" borderId="0" xfId="633" applyFont="1" applyBorder="1" applyAlignment="1">
      <alignment horizontal="left" vertical="center"/>
    </xf>
    <xf numFmtId="0" fontId="41" fillId="0" borderId="14" xfId="633" applyFont="1" applyBorder="1" applyAlignment="1">
      <alignment horizontal="left" vertical="center"/>
    </xf>
    <xf numFmtId="0" fontId="44" fillId="0" borderId="15" xfId="633" applyFont="1" applyBorder="1" applyAlignment="1">
      <alignment horizontal="center" vertical="center"/>
    </xf>
    <xf numFmtId="0" fontId="44" fillId="0" borderId="16" xfId="633" applyFont="1" applyBorder="1" applyAlignment="1">
      <alignment horizontal="center" vertical="center"/>
    </xf>
    <xf numFmtId="0" fontId="44" fillId="0" borderId="17" xfId="633" applyFont="1" applyBorder="1" applyAlignment="1">
      <alignment horizontal="center" vertical="center"/>
    </xf>
    <xf numFmtId="0" fontId="46" fillId="0" borderId="201" xfId="633" applyFont="1" applyBorder="1" applyAlignment="1">
      <alignment horizontal="center" vertical="center"/>
    </xf>
    <xf numFmtId="0" fontId="46" fillId="0" borderId="80" xfId="633" applyFont="1" applyBorder="1" applyAlignment="1">
      <alignment horizontal="center" vertical="center"/>
    </xf>
    <xf numFmtId="0" fontId="46" fillId="0" borderId="164" xfId="633" applyFont="1" applyBorder="1" applyAlignment="1">
      <alignment horizontal="center" vertical="center"/>
    </xf>
    <xf numFmtId="0" fontId="39" fillId="0" borderId="191" xfId="633" applyFont="1" applyBorder="1" applyAlignment="1">
      <alignment horizontal="center" vertical="center"/>
    </xf>
    <xf numFmtId="0" fontId="39" fillId="0" borderId="188" xfId="633" applyFont="1" applyBorder="1" applyAlignment="1">
      <alignment horizontal="center" vertical="center"/>
    </xf>
    <xf numFmtId="0" fontId="41" fillId="0" borderId="82" xfId="633" applyFont="1" applyBorder="1" applyAlignment="1">
      <alignment horizontal="center" vertical="center"/>
    </xf>
    <xf numFmtId="0" fontId="41" fillId="0" borderId="17" xfId="633" applyFont="1" applyBorder="1" applyAlignment="1">
      <alignment horizontal="center" vertical="center"/>
    </xf>
    <xf numFmtId="17" fontId="3" fillId="0" borderId="35" xfId="631" applyNumberFormat="1" applyFont="1" applyBorder="1" applyAlignment="1">
      <alignment horizontal="center" vertical="center"/>
    </xf>
    <xf numFmtId="17" fontId="3" fillId="0" borderId="39" xfId="631" applyNumberFormat="1" applyFont="1" applyBorder="1" applyAlignment="1">
      <alignment horizontal="center" vertical="center"/>
    </xf>
    <xf numFmtId="17" fontId="3" fillId="0" borderId="47" xfId="631" applyNumberFormat="1" applyFont="1" applyBorder="1" applyAlignment="1">
      <alignment horizontal="center" vertical="center"/>
    </xf>
    <xf numFmtId="0" fontId="41" fillId="0" borderId="100" xfId="633" applyFont="1" applyBorder="1" applyAlignment="1">
      <alignment horizontal="center" vertical="center" wrapText="1"/>
    </xf>
    <xf numFmtId="0" fontId="39" fillId="0" borderId="0" xfId="633" applyFont="1" applyFill="1" applyBorder="1" applyAlignment="1">
      <alignment horizontal="center" vertical="center"/>
    </xf>
    <xf numFmtId="0" fontId="71" fillId="0" borderId="0" xfId="633" applyFont="1" applyFill="1" applyBorder="1" applyAlignment="1">
      <alignment horizontal="center" vertical="center"/>
    </xf>
    <xf numFmtId="0" fontId="39" fillId="0" borderId="13" xfId="633" applyFont="1" applyBorder="1" applyAlignment="1">
      <alignment horizontal="center" vertical="center" wrapText="1"/>
    </xf>
    <xf numFmtId="0" fontId="39" fillId="0" borderId="0" xfId="633" applyFont="1" applyBorder="1" applyAlignment="1">
      <alignment horizontal="center" vertical="center" wrapText="1"/>
    </xf>
    <xf numFmtId="0" fontId="39" fillId="0" borderId="14" xfId="633" applyFont="1" applyBorder="1" applyAlignment="1">
      <alignment horizontal="center" vertical="center" wrapText="1"/>
    </xf>
    <xf numFmtId="17" fontId="5" fillId="0" borderId="28" xfId="631" applyNumberFormat="1" applyFont="1" applyBorder="1" applyAlignment="1">
      <alignment horizontal="center" vertical="center"/>
    </xf>
    <xf numFmtId="17" fontId="5" fillId="0" borderId="34" xfId="631" applyNumberFormat="1" applyFont="1" applyBorder="1" applyAlignment="1">
      <alignment horizontal="center" vertical="center"/>
    </xf>
    <xf numFmtId="17" fontId="5" fillId="0" borderId="45" xfId="631" applyNumberFormat="1" applyFont="1" applyBorder="1" applyAlignment="1">
      <alignment horizontal="center" vertical="center"/>
    </xf>
    <xf numFmtId="0" fontId="54" fillId="0" borderId="13" xfId="633" applyFont="1" applyBorder="1" applyAlignment="1">
      <alignment horizontal="center" vertical="center"/>
    </xf>
    <xf numFmtId="0" fontId="54" fillId="0" borderId="0" xfId="633" applyFont="1" applyBorder="1" applyAlignment="1">
      <alignment horizontal="center" vertical="center"/>
    </xf>
    <xf numFmtId="0" fontId="54" fillId="0" borderId="14" xfId="633" applyFont="1" applyBorder="1" applyAlignment="1">
      <alignment horizontal="center" vertical="center"/>
    </xf>
    <xf numFmtId="0" fontId="54" fillId="0" borderId="15" xfId="633" applyFont="1" applyBorder="1" applyAlignment="1">
      <alignment horizontal="center" vertical="center"/>
    </xf>
    <xf numFmtId="0" fontId="54" fillId="0" borderId="16" xfId="633" applyFont="1" applyBorder="1" applyAlignment="1">
      <alignment horizontal="center" vertical="center"/>
    </xf>
    <xf numFmtId="0" fontId="54" fillId="0" borderId="17" xfId="633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 wrapText="1"/>
    </xf>
    <xf numFmtId="0" fontId="42" fillId="0" borderId="17" xfId="0" applyFont="1" applyBorder="1" applyAlignment="1">
      <alignment horizontal="center" vertical="center" wrapText="1"/>
    </xf>
    <xf numFmtId="0" fontId="40" fillId="24" borderId="16" xfId="56" applyFont="1" applyFill="1" applyBorder="1" applyAlignment="1">
      <alignment horizontal="center" vertical="top" wrapText="1"/>
    </xf>
    <xf numFmtId="0" fontId="54" fillId="0" borderId="13" xfId="0" applyFont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 wrapText="1"/>
    </xf>
    <xf numFmtId="0" fontId="54" fillId="0" borderId="14" xfId="0" applyFont="1" applyBorder="1" applyAlignment="1">
      <alignment horizontal="center" vertical="center" wrapText="1"/>
    </xf>
    <xf numFmtId="0" fontId="37" fillId="24" borderId="14" xfId="56" applyFont="1" applyFill="1" applyBorder="1" applyAlignment="1">
      <alignment horizontal="center" vertical="center"/>
    </xf>
    <xf numFmtId="0" fontId="40" fillId="24" borderId="14" xfId="56" applyFont="1" applyFill="1" applyBorder="1" applyAlignment="1">
      <alignment horizontal="center" vertical="center"/>
    </xf>
    <xf numFmtId="0" fontId="40" fillId="24" borderId="17" xfId="56" applyFont="1" applyFill="1" applyBorder="1" applyAlignment="1">
      <alignment horizontal="center" vertical="top"/>
    </xf>
    <xf numFmtId="0" fontId="41" fillId="0" borderId="13" xfId="0" applyFont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 wrapText="1"/>
    </xf>
    <xf numFmtId="0" fontId="41" fillId="0" borderId="14" xfId="0" applyFont="1" applyBorder="1" applyAlignment="1">
      <alignment horizontal="center" vertical="center" wrapText="1"/>
    </xf>
    <xf numFmtId="0" fontId="40" fillId="24" borderId="0" xfId="56" applyFont="1" applyFill="1" applyBorder="1" applyAlignment="1">
      <alignment horizontal="center" vertical="top"/>
    </xf>
    <xf numFmtId="0" fontId="39" fillId="0" borderId="15" xfId="0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58" fillId="0" borderId="10" xfId="140" applyFont="1" applyFill="1" applyBorder="1" applyAlignment="1">
      <alignment horizontal="center" vertical="center" wrapText="1"/>
    </xf>
    <xf numFmtId="0" fontId="58" fillId="0" borderId="93" xfId="140" applyFont="1" applyFill="1" applyBorder="1" applyAlignment="1">
      <alignment horizontal="center" vertical="center" wrapText="1"/>
    </xf>
    <xf numFmtId="0" fontId="58" fillId="0" borderId="94" xfId="140" applyFont="1" applyFill="1" applyBorder="1" applyAlignment="1">
      <alignment horizontal="center" vertical="center" wrapText="1"/>
    </xf>
    <xf numFmtId="0" fontId="44" fillId="0" borderId="10" xfId="52" applyFont="1" applyFill="1" applyBorder="1" applyAlignment="1">
      <alignment horizontal="center" vertical="center" wrapText="1"/>
    </xf>
    <xf numFmtId="0" fontId="44" fillId="0" borderId="93" xfId="52" applyFont="1" applyFill="1" applyBorder="1" applyAlignment="1">
      <alignment horizontal="center" vertical="center" wrapText="1"/>
    </xf>
    <xf numFmtId="0" fontId="44" fillId="0" borderId="94" xfId="52" applyFont="1" applyFill="1" applyBorder="1" applyAlignment="1">
      <alignment horizontal="center" vertical="center" wrapText="1"/>
    </xf>
    <xf numFmtId="49" fontId="58" fillId="0" borderId="13" xfId="140" applyNumberFormat="1" applyFont="1" applyFill="1" applyBorder="1" applyAlignment="1">
      <alignment horizontal="center" vertical="center" wrapText="1"/>
    </xf>
    <xf numFmtId="0" fontId="58" fillId="0" borderId="0" xfId="140" applyFont="1" applyFill="1" applyBorder="1" applyAlignment="1">
      <alignment horizontal="center" vertical="center" wrapText="1"/>
    </xf>
    <xf numFmtId="0" fontId="58" fillId="0" borderId="14" xfId="140" applyFont="1" applyFill="1" applyBorder="1" applyAlignment="1">
      <alignment horizontal="center" vertical="center" wrapText="1"/>
    </xf>
    <xf numFmtId="0" fontId="40" fillId="35" borderId="189" xfId="56" applyFont="1" applyFill="1" applyBorder="1" applyAlignment="1">
      <alignment horizontal="center" vertical="center" wrapText="1"/>
    </xf>
    <xf numFmtId="0" fontId="40" fillId="35" borderId="189" xfId="56" applyFont="1" applyFill="1" applyBorder="1" applyAlignment="1">
      <alignment horizontal="center" vertical="center"/>
    </xf>
    <xf numFmtId="1" fontId="41" fillId="35" borderId="189" xfId="52" applyNumberFormat="1" applyFont="1" applyFill="1" applyBorder="1" applyAlignment="1">
      <alignment horizontal="center" vertical="center" textRotation="90"/>
    </xf>
    <xf numFmtId="0" fontId="39" fillId="35" borderId="189" xfId="52" applyFont="1" applyFill="1" applyBorder="1" applyAlignment="1">
      <alignment horizontal="center" vertical="center" wrapText="1"/>
    </xf>
    <xf numFmtId="0" fontId="40" fillId="35" borderId="19" xfId="52" applyFont="1" applyFill="1" applyBorder="1" applyAlignment="1">
      <alignment horizontal="center" vertical="center"/>
    </xf>
    <xf numFmtId="0" fontId="40" fillId="35" borderId="191" xfId="52" applyFont="1" applyFill="1" applyBorder="1" applyAlignment="1">
      <alignment horizontal="center" vertical="center"/>
    </xf>
    <xf numFmtId="0" fontId="40" fillId="35" borderId="188" xfId="52" applyFont="1" applyFill="1" applyBorder="1" applyAlignment="1">
      <alignment horizontal="center" vertical="center"/>
    </xf>
    <xf numFmtId="0" fontId="44" fillId="35" borderId="20" xfId="52" applyFont="1" applyFill="1" applyBorder="1" applyAlignment="1">
      <alignment horizontal="center" vertical="center"/>
    </xf>
    <xf numFmtId="0" fontId="44" fillId="35" borderId="22" xfId="52" applyFont="1" applyFill="1" applyBorder="1" applyAlignment="1">
      <alignment horizontal="center" vertical="center"/>
    </xf>
    <xf numFmtId="0" fontId="41" fillId="0" borderId="19" xfId="141" applyFont="1" applyBorder="1" applyAlignment="1">
      <alignment horizontal="center" vertical="center"/>
    </xf>
    <xf numFmtId="0" fontId="41" fillId="0" borderId="21" xfId="141" applyFont="1" applyBorder="1" applyAlignment="1">
      <alignment horizontal="center" vertical="center"/>
    </xf>
    <xf numFmtId="0" fontId="127" fillId="0" borderId="14" xfId="141" applyFont="1" applyFill="1" applyBorder="1" applyAlignment="1">
      <alignment horizontal="center" vertical="center"/>
    </xf>
    <xf numFmtId="0" fontId="44" fillId="0" borderId="16" xfId="141" applyFont="1" applyBorder="1" applyAlignment="1">
      <alignment horizontal="center" vertical="center" wrapText="1"/>
    </xf>
    <xf numFmtId="0" fontId="41" fillId="0" borderId="10" xfId="141" applyFont="1" applyBorder="1" applyAlignment="1">
      <alignment horizontal="center"/>
    </xf>
    <xf numFmtId="0" fontId="41" fillId="0" borderId="93" xfId="141" applyFont="1" applyBorder="1" applyAlignment="1">
      <alignment horizontal="center"/>
    </xf>
    <xf numFmtId="0" fontId="41" fillId="0" borderId="20" xfId="141" applyFont="1" applyFill="1" applyBorder="1" applyAlignment="1">
      <alignment horizontal="center" vertical="center"/>
    </xf>
    <xf numFmtId="0" fontId="41" fillId="0" borderId="24" xfId="141" applyFont="1" applyFill="1" applyBorder="1" applyAlignment="1">
      <alignment horizontal="center" vertical="center"/>
    </xf>
    <xf numFmtId="0" fontId="41" fillId="0" borderId="22" xfId="141" applyFont="1" applyFill="1" applyBorder="1" applyAlignment="1">
      <alignment horizontal="center" vertical="center"/>
    </xf>
    <xf numFmtId="0" fontId="41" fillId="0" borderId="57" xfId="141" applyFont="1" applyBorder="1" applyAlignment="1">
      <alignment horizontal="center" vertical="center"/>
    </xf>
    <xf numFmtId="0" fontId="41" fillId="0" borderId="26" xfId="141" applyFont="1" applyBorder="1" applyAlignment="1">
      <alignment horizontal="center" vertical="center"/>
    </xf>
    <xf numFmtId="177" fontId="41" fillId="24" borderId="32" xfId="142" applyNumberFormat="1" applyFont="1" applyFill="1" applyBorder="1" applyAlignment="1">
      <alignment horizontal="left" vertical="center"/>
    </xf>
    <xf numFmtId="0" fontId="41" fillId="0" borderId="13" xfId="141" applyFont="1" applyBorder="1" applyAlignment="1">
      <alignment horizontal="center" vertical="center" wrapText="1"/>
    </xf>
    <xf numFmtId="0" fontId="41" fillId="0" borderId="0" xfId="141" applyFont="1" applyBorder="1" applyAlignment="1">
      <alignment horizontal="center" vertical="center" wrapText="1"/>
    </xf>
    <xf numFmtId="0" fontId="41" fillId="0" borderId="14" xfId="141" applyFont="1" applyBorder="1" applyAlignment="1">
      <alignment horizontal="center" vertical="center" wrapText="1"/>
    </xf>
    <xf numFmtId="0" fontId="40" fillId="0" borderId="15" xfId="141" applyFont="1" applyBorder="1" applyAlignment="1">
      <alignment horizontal="center" vertical="center"/>
    </xf>
    <xf numFmtId="0" fontId="40" fillId="0" borderId="16" xfId="141" applyFont="1" applyBorder="1" applyAlignment="1">
      <alignment horizontal="center" vertical="center"/>
    </xf>
    <xf numFmtId="0" fontId="40" fillId="0" borderId="17" xfId="141" applyFont="1" applyBorder="1" applyAlignment="1">
      <alignment horizontal="center" vertical="center"/>
    </xf>
    <xf numFmtId="0" fontId="41" fillId="0" borderId="32" xfId="141" applyFont="1" applyBorder="1" applyAlignment="1">
      <alignment horizontal="center" vertical="center"/>
    </xf>
    <xf numFmtId="0" fontId="41" fillId="0" borderId="46" xfId="141" applyFont="1" applyBorder="1" applyAlignment="1">
      <alignment horizontal="center" vertical="center"/>
    </xf>
    <xf numFmtId="0" fontId="54" fillId="0" borderId="15" xfId="141" applyFont="1" applyBorder="1" applyAlignment="1">
      <alignment horizontal="center" vertical="center"/>
    </xf>
    <xf numFmtId="0" fontId="54" fillId="0" borderId="16" xfId="141" applyFont="1" applyBorder="1" applyAlignment="1">
      <alignment horizontal="center" vertical="center"/>
    </xf>
    <xf numFmtId="0" fontId="54" fillId="0" borderId="17" xfId="141" applyFont="1" applyBorder="1" applyAlignment="1">
      <alignment horizontal="center" vertical="center"/>
    </xf>
    <xf numFmtId="0" fontId="54" fillId="0" borderId="13" xfId="140" applyFont="1" applyBorder="1" applyAlignment="1">
      <alignment horizontal="center" vertical="center"/>
    </xf>
    <xf numFmtId="0" fontId="54" fillId="0" borderId="0" xfId="140" applyFont="1" applyBorder="1" applyAlignment="1">
      <alignment horizontal="center" vertical="center"/>
    </xf>
    <xf numFmtId="0" fontId="54" fillId="0" borderId="14" xfId="140" applyFont="1" applyBorder="1" applyAlignment="1">
      <alignment horizontal="center" vertical="center"/>
    </xf>
    <xf numFmtId="0" fontId="39" fillId="0" borderId="13" xfId="140" applyFont="1" applyBorder="1" applyAlignment="1" applyProtection="1">
      <alignment horizontal="center" vertical="center"/>
      <protection locked="0"/>
    </xf>
    <xf numFmtId="0" fontId="39" fillId="0" borderId="0" xfId="140" applyFont="1" applyBorder="1" applyAlignment="1" applyProtection="1">
      <alignment horizontal="center" vertical="center"/>
      <protection locked="0"/>
    </xf>
    <xf numFmtId="0" fontId="39" fillId="0" borderId="14" xfId="140" applyFont="1" applyBorder="1" applyAlignment="1" applyProtection="1">
      <alignment horizontal="center" vertical="center"/>
      <protection locked="0"/>
    </xf>
    <xf numFmtId="0" fontId="47" fillId="24" borderId="13" xfId="858" applyFont="1" applyFill="1" applyBorder="1" applyAlignment="1">
      <alignment horizontal="center" vertical="center"/>
    </xf>
    <xf numFmtId="0" fontId="47" fillId="24" borderId="0" xfId="858" applyFont="1" applyFill="1" applyBorder="1" applyAlignment="1">
      <alignment horizontal="center" vertical="center"/>
    </xf>
    <xf numFmtId="0" fontId="41" fillId="24" borderId="13" xfId="858" applyFont="1" applyFill="1" applyBorder="1" applyAlignment="1">
      <alignment horizontal="center" vertical="center"/>
    </xf>
    <xf numFmtId="0" fontId="41" fillId="24" borderId="0" xfId="858" applyFont="1" applyFill="1" applyBorder="1" applyAlignment="1">
      <alignment horizontal="center" vertical="center"/>
    </xf>
    <xf numFmtId="0" fontId="41" fillId="24" borderId="13" xfId="858" applyFont="1" applyFill="1" applyBorder="1" applyAlignment="1">
      <alignment horizontal="center" vertical="center" wrapText="1"/>
    </xf>
    <xf numFmtId="0" fontId="41" fillId="24" borderId="0" xfId="858" applyFont="1" applyFill="1" applyBorder="1" applyAlignment="1">
      <alignment horizontal="center" vertical="center" wrapText="1"/>
    </xf>
    <xf numFmtId="0" fontId="41" fillId="30" borderId="20" xfId="857" applyFont="1" applyFill="1" applyBorder="1" applyAlignment="1">
      <alignment horizontal="center" vertical="center" wrapText="1"/>
    </xf>
    <xf numFmtId="0" fontId="41" fillId="30" borderId="22" xfId="857" applyFont="1" applyFill="1" applyBorder="1" applyAlignment="1">
      <alignment horizontal="center" vertical="center" wrapText="1"/>
    </xf>
    <xf numFmtId="0" fontId="40" fillId="0" borderId="16" xfId="140" applyFont="1" applyBorder="1" applyAlignment="1">
      <alignment horizontal="center" vertical="center"/>
    </xf>
    <xf numFmtId="0" fontId="40" fillId="0" borderId="17" xfId="140" applyFont="1" applyBorder="1" applyAlignment="1">
      <alignment horizontal="center" vertical="center"/>
    </xf>
    <xf numFmtId="0" fontId="39" fillId="0" borderId="15" xfId="140" applyFont="1" applyBorder="1" applyAlignment="1">
      <alignment horizontal="center" vertical="center"/>
    </xf>
    <xf numFmtId="0" fontId="39" fillId="0" borderId="16" xfId="140" applyFont="1" applyBorder="1" applyAlignment="1">
      <alignment horizontal="center" vertical="center"/>
    </xf>
    <xf numFmtId="0" fontId="39" fillId="0" borderId="17" xfId="140" applyFont="1" applyBorder="1" applyAlignment="1">
      <alignment horizontal="center" vertical="center"/>
    </xf>
    <xf numFmtId="0" fontId="41" fillId="30" borderId="191" xfId="857" applyFont="1" applyFill="1" applyBorder="1" applyAlignment="1">
      <alignment horizontal="center" vertical="center"/>
    </xf>
    <xf numFmtId="0" fontId="41" fillId="30" borderId="188" xfId="857" applyFont="1" applyFill="1" applyBorder="1" applyAlignment="1">
      <alignment horizontal="center" vertical="center"/>
    </xf>
    <xf numFmtId="0" fontId="41" fillId="30" borderId="94" xfId="857" applyFont="1" applyFill="1" applyBorder="1" applyAlignment="1">
      <alignment horizontal="center" vertical="center"/>
    </xf>
    <xf numFmtId="0" fontId="41" fillId="30" borderId="17" xfId="857" applyFont="1" applyFill="1" applyBorder="1" applyAlignment="1">
      <alignment horizontal="center" vertical="center"/>
    </xf>
    <xf numFmtId="0" fontId="42" fillId="0" borderId="114" xfId="52" applyFont="1" applyFill="1" applyBorder="1" applyAlignment="1">
      <alignment horizontal="left" vertical="center" wrapText="1" indent="1"/>
    </xf>
    <xf numFmtId="0" fontId="42" fillId="0" borderId="92" xfId="52" applyFont="1" applyFill="1" applyBorder="1" applyAlignment="1">
      <alignment horizontal="left" vertical="center" wrapText="1" indent="1"/>
    </xf>
    <xf numFmtId="0" fontId="44" fillId="0" borderId="79" xfId="52" applyFont="1" applyFill="1" applyBorder="1" applyAlignment="1">
      <alignment horizontal="center" vertical="center" wrapText="1"/>
    </xf>
    <xf numFmtId="0" fontId="44" fillId="0" borderId="80" xfId="52" applyFont="1" applyFill="1" applyBorder="1" applyAlignment="1">
      <alignment horizontal="center" vertical="center" wrapText="1"/>
    </xf>
    <xf numFmtId="0" fontId="44" fillId="0" borderId="82" xfId="52" applyFont="1" applyFill="1" applyBorder="1" applyAlignment="1">
      <alignment horizontal="center" vertical="center" wrapText="1"/>
    </xf>
    <xf numFmtId="0" fontId="44" fillId="0" borderId="16" xfId="52" applyFont="1" applyFill="1" applyBorder="1" applyAlignment="1">
      <alignment horizontal="center" vertical="center" wrapText="1"/>
    </xf>
    <xf numFmtId="0" fontId="42" fillId="0" borderId="119" xfId="52" applyFont="1" applyFill="1" applyBorder="1" applyAlignment="1">
      <alignment horizontal="left" vertical="center" wrapText="1" indent="1"/>
    </xf>
    <xf numFmtId="0" fontId="42" fillId="0" borderId="76" xfId="52" applyFont="1" applyFill="1" applyBorder="1" applyAlignment="1">
      <alignment horizontal="left" vertical="center" wrapText="1" indent="1"/>
    </xf>
    <xf numFmtId="0" fontId="42" fillId="0" borderId="123" xfId="52" applyFont="1" applyFill="1" applyBorder="1" applyAlignment="1">
      <alignment horizontal="left" vertical="center" wrapText="1" indent="1"/>
    </xf>
    <xf numFmtId="0" fontId="42" fillId="0" borderId="34" xfId="52" applyFont="1" applyFill="1" applyBorder="1" applyAlignment="1">
      <alignment horizontal="left" vertical="center" wrapText="1" indent="1"/>
    </xf>
    <xf numFmtId="0" fontId="43" fillId="0" borderId="81" xfId="52" applyFont="1" applyFill="1" applyBorder="1" applyAlignment="1">
      <alignment horizontal="left" vertical="center" wrapText="1"/>
    </xf>
    <xf numFmtId="0" fontId="43" fillId="0" borderId="0" xfId="52" applyFont="1" applyFill="1" applyBorder="1" applyAlignment="1">
      <alignment horizontal="left" vertical="center" wrapText="1"/>
    </xf>
    <xf numFmtId="0" fontId="44" fillId="0" borderId="85" xfId="52" applyFont="1" applyFill="1" applyBorder="1" applyAlignment="1">
      <alignment horizontal="left" vertical="center" wrapText="1"/>
    </xf>
    <xf numFmtId="0" fontId="44" fillId="0" borderId="32" xfId="52" applyFont="1" applyFill="1" applyBorder="1" applyAlignment="1">
      <alignment horizontal="left" vertical="center" wrapText="1"/>
    </xf>
    <xf numFmtId="0" fontId="42" fillId="0" borderId="110" xfId="52" applyFont="1" applyFill="1" applyBorder="1" applyAlignment="1">
      <alignment horizontal="left" vertical="center" wrapText="1" indent="1"/>
    </xf>
    <xf numFmtId="0" fontId="42" fillId="0" borderId="39" xfId="52" applyFont="1" applyFill="1" applyBorder="1" applyAlignment="1">
      <alignment horizontal="left" vertical="center" wrapText="1" indent="1"/>
    </xf>
    <xf numFmtId="0" fontId="42" fillId="0" borderId="123" xfId="52" applyFont="1" applyFill="1" applyBorder="1" applyAlignment="1">
      <alignment horizontal="left" vertical="center" wrapText="1"/>
    </xf>
    <xf numFmtId="0" fontId="42" fillId="0" borderId="150" xfId="52" applyFont="1" applyFill="1" applyBorder="1" applyAlignment="1">
      <alignment horizontal="left" vertical="center" wrapText="1"/>
    </xf>
    <xf numFmtId="0" fontId="44" fillId="25" borderId="11" xfId="52" applyFont="1" applyFill="1" applyBorder="1" applyAlignment="1">
      <alignment horizontal="center" vertical="center"/>
    </xf>
    <xf numFmtId="0" fontId="44" fillId="25" borderId="12" xfId="52" applyFont="1" applyFill="1" applyBorder="1" applyAlignment="1">
      <alignment horizontal="center" vertical="center"/>
    </xf>
    <xf numFmtId="0" fontId="69" fillId="0" borderId="10" xfId="140" applyFont="1" applyFill="1" applyBorder="1" applyAlignment="1">
      <alignment horizontal="center" vertical="center" wrapText="1"/>
    </xf>
    <xf numFmtId="0" fontId="69" fillId="0" borderId="11" xfId="140" applyFont="1" applyFill="1" applyBorder="1" applyAlignment="1">
      <alignment horizontal="center" vertical="center" wrapText="1"/>
    </xf>
    <xf numFmtId="0" fontId="69" fillId="0" borderId="12" xfId="140" applyFont="1" applyFill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6" xfId="0" applyFont="1" applyBorder="1" applyAlignment="1">
      <alignment horizontal="center" vertical="center"/>
    </xf>
    <xf numFmtId="0" fontId="44" fillId="0" borderId="17" xfId="0" applyFont="1" applyBorder="1" applyAlignment="1">
      <alignment horizontal="center" vertical="center"/>
    </xf>
    <xf numFmtId="0" fontId="44" fillId="0" borderId="19" xfId="52" applyNumberFormat="1" applyFont="1" applyFill="1" applyBorder="1" applyAlignment="1" applyProtection="1">
      <alignment horizontal="center" vertical="center"/>
    </xf>
    <xf numFmtId="0" fontId="44" fillId="0" borderId="32" xfId="52" applyNumberFormat="1" applyFont="1" applyFill="1" applyBorder="1" applyAlignment="1" applyProtection="1">
      <alignment horizontal="center" vertical="center"/>
    </xf>
    <xf numFmtId="0" fontId="44" fillId="0" borderId="21" xfId="52" applyNumberFormat="1" applyFont="1" applyFill="1" applyBorder="1" applyAlignment="1" applyProtection="1">
      <alignment horizontal="center" vertical="center"/>
    </xf>
    <xf numFmtId="165" fontId="44" fillId="0" borderId="19" xfId="47" applyNumberFormat="1" applyFont="1" applyFill="1" applyBorder="1" applyAlignment="1">
      <alignment horizontal="center" vertical="center" wrapText="1"/>
    </xf>
    <xf numFmtId="165" fontId="44" fillId="0" borderId="21" xfId="47" applyNumberFormat="1" applyFont="1" applyFill="1" applyBorder="1" applyAlignment="1">
      <alignment horizontal="center" vertical="center" wrapText="1"/>
    </xf>
    <xf numFmtId="1" fontId="44" fillId="25" borderId="18" xfId="52" applyNumberFormat="1" applyFont="1" applyFill="1" applyBorder="1" applyAlignment="1">
      <alignment horizontal="center" vertical="center"/>
    </xf>
    <xf numFmtId="0" fontId="44" fillId="25" borderId="18" xfId="52" applyFont="1" applyFill="1" applyBorder="1" applyAlignment="1">
      <alignment horizontal="center" vertical="center" wrapText="1"/>
    </xf>
    <xf numFmtId="0" fontId="44" fillId="25" borderId="19" xfId="52" applyFont="1" applyFill="1" applyBorder="1" applyAlignment="1">
      <alignment horizontal="center" vertical="center"/>
    </xf>
    <xf numFmtId="0" fontId="44" fillId="25" borderId="54" xfId="56" applyFont="1" applyFill="1" applyBorder="1" applyAlignment="1">
      <alignment horizontal="center" vertical="center"/>
    </xf>
    <xf numFmtId="165" fontId="44" fillId="24" borderId="101" xfId="47" applyNumberFormat="1" applyFont="1" applyFill="1" applyBorder="1" applyAlignment="1">
      <alignment horizontal="center" vertical="center"/>
    </xf>
    <xf numFmtId="165" fontId="44" fillId="24" borderId="109" xfId="47" applyNumberFormat="1" applyFont="1" applyFill="1" applyBorder="1" applyAlignment="1">
      <alignment horizontal="center" vertical="center"/>
    </xf>
    <xf numFmtId="165" fontId="44" fillId="24" borderId="81" xfId="47" applyNumberFormat="1" applyFont="1" applyFill="1" applyBorder="1" applyAlignment="1">
      <alignment horizontal="center" vertical="center"/>
    </xf>
    <xf numFmtId="0" fontId="44" fillId="0" borderId="130" xfId="52" applyFont="1" applyFill="1" applyBorder="1" applyAlignment="1">
      <alignment horizontal="left" vertical="center"/>
    </xf>
    <xf numFmtId="0" fontId="44" fillId="0" borderId="131" xfId="52" applyFont="1" applyFill="1" applyBorder="1" applyAlignment="1">
      <alignment horizontal="left" vertical="center"/>
    </xf>
    <xf numFmtId="0" fontId="42" fillId="0" borderId="85" xfId="52" applyFont="1" applyFill="1" applyBorder="1" applyAlignment="1">
      <alignment horizontal="left" vertical="center" wrapText="1" indent="1"/>
    </xf>
    <xf numFmtId="0" fontId="42" fillId="0" borderId="32" xfId="52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165" fontId="44" fillId="0" borderId="32" xfId="47" applyNumberFormat="1" applyFont="1" applyFill="1" applyBorder="1" applyAlignment="1">
      <alignment horizontal="center" vertical="center" wrapText="1"/>
    </xf>
    <xf numFmtId="165" fontId="44" fillId="0" borderId="104" xfId="47" applyNumberFormat="1" applyFont="1" applyFill="1" applyBorder="1" applyAlignment="1">
      <alignment horizontal="center" vertical="center" wrapText="1"/>
    </xf>
    <xf numFmtId="165" fontId="44" fillId="0" borderId="105" xfId="47" applyNumberFormat="1" applyFont="1" applyFill="1" applyBorder="1" applyAlignment="1">
      <alignment horizontal="center" vertical="center" wrapText="1"/>
    </xf>
    <xf numFmtId="165" fontId="44" fillId="0" borderId="106" xfId="47" applyNumberFormat="1" applyFont="1" applyFill="1" applyBorder="1" applyAlignment="1">
      <alignment horizontal="center" vertical="center" wrapText="1"/>
    </xf>
    <xf numFmtId="192" fontId="44" fillId="24" borderId="101" xfId="47" applyNumberFormat="1" applyFont="1" applyFill="1" applyBorder="1" applyAlignment="1">
      <alignment horizontal="center" vertical="center"/>
    </xf>
    <xf numFmtId="192" fontId="44" fillId="24" borderId="109" xfId="47" applyNumberFormat="1" applyFont="1" applyFill="1" applyBorder="1" applyAlignment="1">
      <alignment horizontal="center" vertical="center"/>
    </xf>
    <xf numFmtId="192" fontId="44" fillId="24" borderId="104" xfId="47" applyNumberFormat="1" applyFont="1" applyFill="1" applyBorder="1" applyAlignment="1">
      <alignment horizontal="center" vertical="center"/>
    </xf>
    <xf numFmtId="192" fontId="44" fillId="24" borderId="105" xfId="47" applyNumberFormat="1" applyFont="1" applyFill="1" applyBorder="1" applyAlignment="1">
      <alignment horizontal="center" vertical="center"/>
    </xf>
    <xf numFmtId="192" fontId="44" fillId="24" borderId="106" xfId="47" applyNumberFormat="1" applyFont="1" applyFill="1" applyBorder="1" applyAlignment="1">
      <alignment horizontal="center" vertical="center"/>
    </xf>
    <xf numFmtId="165" fontId="44" fillId="24" borderId="104" xfId="47" applyNumberFormat="1" applyFont="1" applyFill="1" applyBorder="1" applyAlignment="1">
      <alignment horizontal="center" vertical="center"/>
    </xf>
    <xf numFmtId="165" fontId="44" fillId="24" borderId="105" xfId="47" applyNumberFormat="1" applyFont="1" applyFill="1" applyBorder="1" applyAlignment="1">
      <alignment horizontal="center" vertical="center"/>
    </xf>
    <xf numFmtId="165" fontId="44" fillId="24" borderId="106" xfId="47" applyNumberFormat="1" applyFont="1" applyFill="1" applyBorder="1" applyAlignment="1">
      <alignment horizontal="center" vertical="center"/>
    </xf>
    <xf numFmtId="0" fontId="41" fillId="0" borderId="10" xfId="0" applyFont="1" applyBorder="1" applyAlignment="1">
      <alignment horizontal="center"/>
    </xf>
    <xf numFmtId="0" fontId="41" fillId="0" borderId="94" xfId="0" applyFont="1" applyBorder="1" applyAlignment="1">
      <alignment horizontal="center"/>
    </xf>
    <xf numFmtId="0" fontId="41" fillId="0" borderId="13" xfId="0" applyFont="1" applyBorder="1" applyAlignment="1">
      <alignment horizontal="center"/>
    </xf>
    <xf numFmtId="0" fontId="41" fillId="0" borderId="14" xfId="0" applyFont="1" applyBorder="1" applyAlignment="1">
      <alignment horizontal="center"/>
    </xf>
    <xf numFmtId="0" fontId="40" fillId="0" borderId="20" xfId="139" applyFont="1" applyBorder="1" applyAlignment="1">
      <alignment horizontal="center" vertical="center" wrapText="1" shrinkToFit="1"/>
    </xf>
    <xf numFmtId="0" fontId="40" fillId="0" borderId="22" xfId="139" applyFont="1" applyBorder="1" applyAlignment="1">
      <alignment horizontal="center" vertical="center" wrapText="1" shrinkToFit="1"/>
    </xf>
    <xf numFmtId="0" fontId="69" fillId="0" borderId="10" xfId="0" applyFont="1" applyBorder="1" applyAlignment="1">
      <alignment horizontal="center" wrapText="1"/>
    </xf>
    <xf numFmtId="0" fontId="69" fillId="0" borderId="93" xfId="0" applyFont="1" applyBorder="1" applyAlignment="1">
      <alignment horizontal="center" wrapText="1"/>
    </xf>
    <xf numFmtId="0" fontId="69" fillId="0" borderId="94" xfId="0" applyFont="1" applyBorder="1" applyAlignment="1">
      <alignment horizontal="center" wrapText="1"/>
    </xf>
    <xf numFmtId="0" fontId="69" fillId="0" borderId="13" xfId="0" applyFont="1" applyBorder="1" applyAlignment="1">
      <alignment horizontal="center" wrapText="1"/>
    </xf>
    <xf numFmtId="0" fontId="69" fillId="0" borderId="0" xfId="0" applyFont="1" applyBorder="1" applyAlignment="1">
      <alignment horizontal="center" wrapText="1"/>
    </xf>
    <xf numFmtId="0" fontId="69" fillId="0" borderId="14" xfId="0" applyFont="1" applyBorder="1" applyAlignment="1">
      <alignment horizontal="center" wrapText="1"/>
    </xf>
    <xf numFmtId="0" fontId="41" fillId="0" borderId="15" xfId="0" applyFont="1" applyBorder="1" applyAlignment="1">
      <alignment horizontal="center"/>
    </xf>
    <xf numFmtId="0" fontId="41" fillId="0" borderId="16" xfId="0" applyFont="1" applyBorder="1" applyAlignment="1">
      <alignment horizontal="center"/>
    </xf>
    <xf numFmtId="0" fontId="41" fillId="0" borderId="17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41" fillId="0" borderId="35" xfId="0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0" fontId="41" fillId="0" borderId="4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8" xfId="0" applyFont="1" applyBorder="1" applyAlignment="1">
      <alignment horizontal="center"/>
    </xf>
    <xf numFmtId="0" fontId="41" fillId="0" borderId="48" xfId="0" applyFont="1" applyBorder="1" applyAlignment="1">
      <alignment horizontal="center"/>
    </xf>
    <xf numFmtId="0" fontId="40" fillId="0" borderId="35" xfId="139" applyFont="1" applyBorder="1" applyAlignment="1">
      <alignment horizontal="center" vertical="center"/>
    </xf>
    <xf numFmtId="0" fontId="40" fillId="0" borderId="39" xfId="139" applyFont="1" applyBorder="1" applyAlignment="1">
      <alignment horizontal="center" vertical="center"/>
    </xf>
    <xf numFmtId="0" fontId="40" fillId="0" borderId="47" xfId="139" applyFont="1" applyBorder="1" applyAlignment="1">
      <alignment horizontal="center" vertical="center"/>
    </xf>
    <xf numFmtId="0" fontId="40" fillId="0" borderId="20" xfId="139" applyFont="1" applyBorder="1" applyAlignment="1">
      <alignment horizontal="center" vertical="center"/>
    </xf>
    <xf numFmtId="0" fontId="40" fillId="0" borderId="22" xfId="139" applyFont="1" applyBorder="1" applyAlignment="1">
      <alignment horizontal="center" vertical="center"/>
    </xf>
    <xf numFmtId="0" fontId="40" fillId="0" borderId="35" xfId="139" applyFont="1" applyBorder="1" applyAlignment="1">
      <alignment horizontal="center" vertical="center" wrapText="1" shrinkToFit="1"/>
    </xf>
    <xf numFmtId="0" fontId="40" fillId="0" borderId="47" xfId="139" applyFont="1" applyBorder="1" applyAlignment="1">
      <alignment horizontal="center" vertical="center" wrapText="1" shrinkToFit="1"/>
    </xf>
  </cellXfs>
  <cellStyles count="867">
    <cellStyle name="20% - Accent1" xfId="71"/>
    <cellStyle name="20% - Accent2" xfId="72"/>
    <cellStyle name="20% - Accent3" xfId="73"/>
    <cellStyle name="20% - Accent4" xfId="74"/>
    <cellStyle name="20% - Accent5" xfId="75"/>
    <cellStyle name="20% - Accent6" xfId="76"/>
    <cellStyle name="20% - Énfasis1" xfId="1" builtinId="30" customBuiltin="1"/>
    <cellStyle name="20% - Énfasis1 10" xfId="147"/>
    <cellStyle name="20% - Énfasis1 11" xfId="148"/>
    <cellStyle name="20% - Énfasis1 12" xfId="149"/>
    <cellStyle name="20% - Énfasis1 13" xfId="150"/>
    <cellStyle name="20% - Énfasis1 2" xfId="151"/>
    <cellStyle name="20% - Énfasis1 3" xfId="152"/>
    <cellStyle name="20% - Énfasis1 4" xfId="153"/>
    <cellStyle name="20% - Énfasis1 5" xfId="154"/>
    <cellStyle name="20% - Énfasis1 6" xfId="155"/>
    <cellStyle name="20% - Énfasis1 7" xfId="156"/>
    <cellStyle name="20% - Énfasis1 8" xfId="157"/>
    <cellStyle name="20% - Énfasis1 9" xfId="158"/>
    <cellStyle name="20% - Énfasis2" xfId="2" builtinId="34" customBuiltin="1"/>
    <cellStyle name="20% - Énfasis2 10" xfId="159"/>
    <cellStyle name="20% - Énfasis2 11" xfId="160"/>
    <cellStyle name="20% - Énfasis2 12" xfId="161"/>
    <cellStyle name="20% - Énfasis2 13" xfId="162"/>
    <cellStyle name="20% - Énfasis2 2" xfId="163"/>
    <cellStyle name="20% - Énfasis2 3" xfId="164"/>
    <cellStyle name="20% - Énfasis2 4" xfId="165"/>
    <cellStyle name="20% - Énfasis2 5" xfId="166"/>
    <cellStyle name="20% - Énfasis2 6" xfId="167"/>
    <cellStyle name="20% - Énfasis2 7" xfId="168"/>
    <cellStyle name="20% - Énfasis2 8" xfId="169"/>
    <cellStyle name="20% - Énfasis2 9" xfId="170"/>
    <cellStyle name="20% - Énfasis3" xfId="3" builtinId="38" customBuiltin="1"/>
    <cellStyle name="20% - Énfasis3 10" xfId="171"/>
    <cellStyle name="20% - Énfasis3 11" xfId="172"/>
    <cellStyle name="20% - Énfasis3 12" xfId="173"/>
    <cellStyle name="20% - Énfasis3 13" xfId="174"/>
    <cellStyle name="20% - Énfasis3 2" xfId="175"/>
    <cellStyle name="20% - Énfasis3 3" xfId="176"/>
    <cellStyle name="20% - Énfasis3 4" xfId="177"/>
    <cellStyle name="20% - Énfasis3 5" xfId="178"/>
    <cellStyle name="20% - Énfasis3 6" xfId="179"/>
    <cellStyle name="20% - Énfasis3 7" xfId="180"/>
    <cellStyle name="20% - Énfasis3 8" xfId="181"/>
    <cellStyle name="20% - Énfasis3 9" xfId="182"/>
    <cellStyle name="20% - Énfasis4" xfId="4" builtinId="42" customBuiltin="1"/>
    <cellStyle name="20% - Énfasis4 10" xfId="183"/>
    <cellStyle name="20% - Énfasis4 11" xfId="184"/>
    <cellStyle name="20% - Énfasis4 12" xfId="185"/>
    <cellStyle name="20% - Énfasis4 13" xfId="186"/>
    <cellStyle name="20% - Énfasis4 2" xfId="187"/>
    <cellStyle name="20% - Énfasis4 3" xfId="188"/>
    <cellStyle name="20% - Énfasis4 4" xfId="189"/>
    <cellStyle name="20% - Énfasis4 5" xfId="190"/>
    <cellStyle name="20% - Énfasis4 6" xfId="191"/>
    <cellStyle name="20% - Énfasis4 7" xfId="192"/>
    <cellStyle name="20% - Énfasis4 8" xfId="193"/>
    <cellStyle name="20% - Énfasis4 9" xfId="194"/>
    <cellStyle name="20% - Énfasis5" xfId="5" builtinId="46" customBuiltin="1"/>
    <cellStyle name="20% - Énfasis5 10" xfId="195"/>
    <cellStyle name="20% - Énfasis5 11" xfId="196"/>
    <cellStyle name="20% - Énfasis5 12" xfId="197"/>
    <cellStyle name="20% - Énfasis5 13" xfId="198"/>
    <cellStyle name="20% - Énfasis5 2" xfId="199"/>
    <cellStyle name="20% - Énfasis5 3" xfId="200"/>
    <cellStyle name="20% - Énfasis5 4" xfId="201"/>
    <cellStyle name="20% - Énfasis5 5" xfId="202"/>
    <cellStyle name="20% - Énfasis5 6" xfId="203"/>
    <cellStyle name="20% - Énfasis5 7" xfId="204"/>
    <cellStyle name="20% - Énfasis5 8" xfId="205"/>
    <cellStyle name="20% - Énfasis5 9" xfId="206"/>
    <cellStyle name="20% - Énfasis6" xfId="6" builtinId="50" customBuiltin="1"/>
    <cellStyle name="20% - Énfasis6 10" xfId="207"/>
    <cellStyle name="20% - Énfasis6 11" xfId="208"/>
    <cellStyle name="20% - Énfasis6 12" xfId="209"/>
    <cellStyle name="20% - Énfasis6 13" xfId="210"/>
    <cellStyle name="20% - Énfasis6 2" xfId="211"/>
    <cellStyle name="20% - Énfasis6 3" xfId="212"/>
    <cellStyle name="20% - Énfasis6 4" xfId="213"/>
    <cellStyle name="20% - Énfasis6 5" xfId="214"/>
    <cellStyle name="20% - Énfasis6 6" xfId="215"/>
    <cellStyle name="20% - Énfasis6 7" xfId="216"/>
    <cellStyle name="20% - Énfasis6 8" xfId="217"/>
    <cellStyle name="20% - Énfasis6 9" xfId="218"/>
    <cellStyle name="40% - Accent1" xfId="77"/>
    <cellStyle name="40% - Accent2" xfId="78"/>
    <cellStyle name="40% - Accent3" xfId="79"/>
    <cellStyle name="40% - Accent4" xfId="80"/>
    <cellStyle name="40% - Accent5" xfId="81"/>
    <cellStyle name="40% - Accent6" xfId="82"/>
    <cellStyle name="40% - Énfasis1" xfId="7" builtinId="31" customBuiltin="1"/>
    <cellStyle name="40% - Énfasis1 10" xfId="219"/>
    <cellStyle name="40% - Énfasis1 11" xfId="220"/>
    <cellStyle name="40% - Énfasis1 12" xfId="221"/>
    <cellStyle name="40% - Énfasis1 13" xfId="222"/>
    <cellStyle name="40% - Énfasis1 2" xfId="223"/>
    <cellStyle name="40% - Énfasis1 3" xfId="224"/>
    <cellStyle name="40% - Énfasis1 4" xfId="225"/>
    <cellStyle name="40% - Énfasis1 5" xfId="226"/>
    <cellStyle name="40% - Énfasis1 6" xfId="227"/>
    <cellStyle name="40% - Énfasis1 7" xfId="228"/>
    <cellStyle name="40% - Énfasis1 8" xfId="229"/>
    <cellStyle name="40% - Énfasis1 9" xfId="230"/>
    <cellStyle name="40% - Énfasis2" xfId="8" builtinId="35" customBuiltin="1"/>
    <cellStyle name="40% - Énfasis2 10" xfId="231"/>
    <cellStyle name="40% - Énfasis2 11" xfId="232"/>
    <cellStyle name="40% - Énfasis2 12" xfId="233"/>
    <cellStyle name="40% - Énfasis2 13" xfId="234"/>
    <cellStyle name="40% - Énfasis2 2" xfId="235"/>
    <cellStyle name="40% - Énfasis2 3" xfId="236"/>
    <cellStyle name="40% - Énfasis2 4" xfId="237"/>
    <cellStyle name="40% - Énfasis2 5" xfId="238"/>
    <cellStyle name="40% - Énfasis2 6" xfId="239"/>
    <cellStyle name="40% - Énfasis2 7" xfId="240"/>
    <cellStyle name="40% - Énfasis2 8" xfId="241"/>
    <cellStyle name="40% - Énfasis2 9" xfId="242"/>
    <cellStyle name="40% - Énfasis3" xfId="9" builtinId="39" customBuiltin="1"/>
    <cellStyle name="40% - Énfasis3 10" xfId="243"/>
    <cellStyle name="40% - Énfasis3 11" xfId="244"/>
    <cellStyle name="40% - Énfasis3 12" xfId="245"/>
    <cellStyle name="40% - Énfasis3 13" xfId="246"/>
    <cellStyle name="40% - Énfasis3 2" xfId="247"/>
    <cellStyle name="40% - Énfasis3 3" xfId="248"/>
    <cellStyle name="40% - Énfasis3 4" xfId="249"/>
    <cellStyle name="40% - Énfasis3 5" xfId="250"/>
    <cellStyle name="40% - Énfasis3 6" xfId="251"/>
    <cellStyle name="40% - Énfasis3 7" xfId="252"/>
    <cellStyle name="40% - Énfasis3 8" xfId="253"/>
    <cellStyle name="40% - Énfasis3 9" xfId="254"/>
    <cellStyle name="40% - Énfasis4" xfId="10" builtinId="43" customBuiltin="1"/>
    <cellStyle name="40% - Énfasis4 10" xfId="255"/>
    <cellStyle name="40% - Énfasis4 11" xfId="256"/>
    <cellStyle name="40% - Énfasis4 12" xfId="257"/>
    <cellStyle name="40% - Énfasis4 13" xfId="258"/>
    <cellStyle name="40% - Énfasis4 2" xfId="259"/>
    <cellStyle name="40% - Énfasis4 3" xfId="260"/>
    <cellStyle name="40% - Énfasis4 4" xfId="261"/>
    <cellStyle name="40% - Énfasis4 5" xfId="262"/>
    <cellStyle name="40% - Énfasis4 6" xfId="263"/>
    <cellStyle name="40% - Énfasis4 7" xfId="264"/>
    <cellStyle name="40% - Énfasis4 8" xfId="265"/>
    <cellStyle name="40% - Énfasis4 9" xfId="266"/>
    <cellStyle name="40% - Énfasis5" xfId="11" builtinId="47" customBuiltin="1"/>
    <cellStyle name="40% - Énfasis5 10" xfId="267"/>
    <cellStyle name="40% - Énfasis5 11" xfId="268"/>
    <cellStyle name="40% - Énfasis5 12" xfId="269"/>
    <cellStyle name="40% - Énfasis5 13" xfId="270"/>
    <cellStyle name="40% - Énfasis5 2" xfId="271"/>
    <cellStyle name="40% - Énfasis5 3" xfId="272"/>
    <cellStyle name="40% - Énfasis5 4" xfId="273"/>
    <cellStyle name="40% - Énfasis5 5" xfId="274"/>
    <cellStyle name="40% - Énfasis5 6" xfId="275"/>
    <cellStyle name="40% - Énfasis5 7" xfId="276"/>
    <cellStyle name="40% - Énfasis5 8" xfId="277"/>
    <cellStyle name="40% - Énfasis5 9" xfId="278"/>
    <cellStyle name="40% - Énfasis6" xfId="12" builtinId="51" customBuiltin="1"/>
    <cellStyle name="40% - Énfasis6 10" xfId="279"/>
    <cellStyle name="40% - Énfasis6 11" xfId="280"/>
    <cellStyle name="40% - Énfasis6 12" xfId="281"/>
    <cellStyle name="40% - Énfasis6 13" xfId="282"/>
    <cellStyle name="40% - Énfasis6 2" xfId="283"/>
    <cellStyle name="40% - Énfasis6 3" xfId="284"/>
    <cellStyle name="40% - Énfasis6 4" xfId="285"/>
    <cellStyle name="40% - Énfasis6 5" xfId="286"/>
    <cellStyle name="40% - Énfasis6 6" xfId="287"/>
    <cellStyle name="40% - Énfasis6 7" xfId="288"/>
    <cellStyle name="40% - Énfasis6 8" xfId="289"/>
    <cellStyle name="40% - Énfasis6 9" xfId="290"/>
    <cellStyle name="60% - Accent1" xfId="83"/>
    <cellStyle name="60% - Accent2" xfId="84"/>
    <cellStyle name="60% - Accent3" xfId="85"/>
    <cellStyle name="60% - Accent4" xfId="86"/>
    <cellStyle name="60% - Accent5" xfId="87"/>
    <cellStyle name="60% - Accent6" xfId="88"/>
    <cellStyle name="60% - Énfasis1" xfId="13" builtinId="32" customBuiltin="1"/>
    <cellStyle name="60% - Énfasis1 10" xfId="291"/>
    <cellStyle name="60% - Énfasis1 11" xfId="292"/>
    <cellStyle name="60% - Énfasis1 12" xfId="293"/>
    <cellStyle name="60% - Énfasis1 13" xfId="294"/>
    <cellStyle name="60% - Énfasis1 2" xfId="295"/>
    <cellStyle name="60% - Énfasis1 3" xfId="296"/>
    <cellStyle name="60% - Énfasis1 4" xfId="297"/>
    <cellStyle name="60% - Énfasis1 5" xfId="298"/>
    <cellStyle name="60% - Énfasis1 6" xfId="299"/>
    <cellStyle name="60% - Énfasis1 7" xfId="300"/>
    <cellStyle name="60% - Énfasis1 8" xfId="301"/>
    <cellStyle name="60% - Énfasis1 9" xfId="302"/>
    <cellStyle name="60% - Énfasis2" xfId="14" builtinId="36" customBuiltin="1"/>
    <cellStyle name="60% - Énfasis2 10" xfId="303"/>
    <cellStyle name="60% - Énfasis2 11" xfId="304"/>
    <cellStyle name="60% - Énfasis2 12" xfId="305"/>
    <cellStyle name="60% - Énfasis2 13" xfId="306"/>
    <cellStyle name="60% - Énfasis2 2" xfId="307"/>
    <cellStyle name="60% - Énfasis2 3" xfId="308"/>
    <cellStyle name="60% - Énfasis2 4" xfId="309"/>
    <cellStyle name="60% - Énfasis2 5" xfId="310"/>
    <cellStyle name="60% - Énfasis2 6" xfId="311"/>
    <cellStyle name="60% - Énfasis2 7" xfId="312"/>
    <cellStyle name="60% - Énfasis2 8" xfId="313"/>
    <cellStyle name="60% - Énfasis2 9" xfId="314"/>
    <cellStyle name="60% - Énfasis3" xfId="15" builtinId="40" customBuiltin="1"/>
    <cellStyle name="60% - Énfasis3 10" xfId="315"/>
    <cellStyle name="60% - Énfasis3 11" xfId="316"/>
    <cellStyle name="60% - Énfasis3 12" xfId="317"/>
    <cellStyle name="60% - Énfasis3 13" xfId="318"/>
    <cellStyle name="60% - Énfasis3 2" xfId="319"/>
    <cellStyle name="60% - Énfasis3 3" xfId="320"/>
    <cellStyle name="60% - Énfasis3 4" xfId="321"/>
    <cellStyle name="60% - Énfasis3 5" xfId="322"/>
    <cellStyle name="60% - Énfasis3 6" xfId="323"/>
    <cellStyle name="60% - Énfasis3 7" xfId="324"/>
    <cellStyle name="60% - Énfasis3 8" xfId="325"/>
    <cellStyle name="60% - Énfasis3 9" xfId="326"/>
    <cellStyle name="60% - Énfasis4" xfId="16" builtinId="44" customBuiltin="1"/>
    <cellStyle name="60% - Énfasis4 10" xfId="327"/>
    <cellStyle name="60% - Énfasis4 11" xfId="328"/>
    <cellStyle name="60% - Énfasis4 12" xfId="329"/>
    <cellStyle name="60% - Énfasis4 13" xfId="330"/>
    <cellStyle name="60% - Énfasis4 2" xfId="331"/>
    <cellStyle name="60% - Énfasis4 3" xfId="332"/>
    <cellStyle name="60% - Énfasis4 4" xfId="333"/>
    <cellStyle name="60% - Énfasis4 5" xfId="334"/>
    <cellStyle name="60% - Énfasis4 6" xfId="335"/>
    <cellStyle name="60% - Énfasis4 7" xfId="336"/>
    <cellStyle name="60% - Énfasis4 8" xfId="337"/>
    <cellStyle name="60% - Énfasis4 9" xfId="338"/>
    <cellStyle name="60% - Énfasis5" xfId="17" builtinId="48" customBuiltin="1"/>
    <cellStyle name="60% - Énfasis5 10" xfId="339"/>
    <cellStyle name="60% - Énfasis5 11" xfId="340"/>
    <cellStyle name="60% - Énfasis5 12" xfId="341"/>
    <cellStyle name="60% - Énfasis5 13" xfId="342"/>
    <cellStyle name="60% - Énfasis5 2" xfId="343"/>
    <cellStyle name="60% - Énfasis5 3" xfId="344"/>
    <cellStyle name="60% - Énfasis5 4" xfId="345"/>
    <cellStyle name="60% - Énfasis5 5" xfId="346"/>
    <cellStyle name="60% - Énfasis5 6" xfId="347"/>
    <cellStyle name="60% - Énfasis5 7" xfId="348"/>
    <cellStyle name="60% - Énfasis5 8" xfId="349"/>
    <cellStyle name="60% - Énfasis5 9" xfId="350"/>
    <cellStyle name="60% - Énfasis6" xfId="18" builtinId="52" customBuiltin="1"/>
    <cellStyle name="60% - Énfasis6 10" xfId="351"/>
    <cellStyle name="60% - Énfasis6 11" xfId="352"/>
    <cellStyle name="60% - Énfasis6 12" xfId="353"/>
    <cellStyle name="60% - Énfasis6 13" xfId="354"/>
    <cellStyle name="60% - Énfasis6 2" xfId="355"/>
    <cellStyle name="60% - Énfasis6 3" xfId="356"/>
    <cellStyle name="60% - Énfasis6 4" xfId="357"/>
    <cellStyle name="60% - Énfasis6 5" xfId="358"/>
    <cellStyle name="60% - Énfasis6 6" xfId="359"/>
    <cellStyle name="60% - Énfasis6 7" xfId="360"/>
    <cellStyle name="60% - Énfasis6 8" xfId="361"/>
    <cellStyle name="60% - Énfasis6 9" xfId="362"/>
    <cellStyle name="Accent1" xfId="89"/>
    <cellStyle name="Accent2" xfId="90"/>
    <cellStyle name="Accent3" xfId="91"/>
    <cellStyle name="Accent4" xfId="92"/>
    <cellStyle name="Accent5" xfId="93"/>
    <cellStyle name="Accent6" xfId="94"/>
    <cellStyle name="Bad" xfId="95"/>
    <cellStyle name="Buena" xfId="19" builtinId="26" customBuiltin="1"/>
    <cellStyle name="Buena 10" xfId="363"/>
    <cellStyle name="Buena 11" xfId="364"/>
    <cellStyle name="Buena 12" xfId="365"/>
    <cellStyle name="Buena 13" xfId="366"/>
    <cellStyle name="Buena 2" xfId="367"/>
    <cellStyle name="Buena 3" xfId="368"/>
    <cellStyle name="Buena 4" xfId="369"/>
    <cellStyle name="Buena 5" xfId="370"/>
    <cellStyle name="Buena 6" xfId="371"/>
    <cellStyle name="Buena 7" xfId="372"/>
    <cellStyle name="Buena 8" xfId="373"/>
    <cellStyle name="Buena 9" xfId="374"/>
    <cellStyle name="Calculation" xfId="96"/>
    <cellStyle name="Cálculo" xfId="20" builtinId="22" customBuiltin="1"/>
    <cellStyle name="Cálculo 10" xfId="375"/>
    <cellStyle name="Cálculo 10 2" xfId="376"/>
    <cellStyle name="Cálculo 10 3" xfId="377"/>
    <cellStyle name="Cálculo 10 4" xfId="378"/>
    <cellStyle name="Cálculo 11" xfId="379"/>
    <cellStyle name="Cálculo 11 2" xfId="380"/>
    <cellStyle name="Cálculo 11 3" xfId="381"/>
    <cellStyle name="Cálculo 11 4" xfId="382"/>
    <cellStyle name="Cálculo 12" xfId="383"/>
    <cellStyle name="Cálculo 12 2" xfId="384"/>
    <cellStyle name="Cálculo 12 3" xfId="385"/>
    <cellStyle name="Cálculo 12 4" xfId="386"/>
    <cellStyle name="Cálculo 13" xfId="387"/>
    <cellStyle name="Cálculo 13 2" xfId="388"/>
    <cellStyle name="Cálculo 13 3" xfId="389"/>
    <cellStyle name="Cálculo 13 4" xfId="390"/>
    <cellStyle name="Cálculo 2" xfId="391"/>
    <cellStyle name="Cálculo 2 2" xfId="392"/>
    <cellStyle name="Cálculo 2 3" xfId="393"/>
    <cellStyle name="Cálculo 2 4" xfId="394"/>
    <cellStyle name="Cálculo 3" xfId="395"/>
    <cellStyle name="Cálculo 3 2" xfId="396"/>
    <cellStyle name="Cálculo 3 3" xfId="397"/>
    <cellStyle name="Cálculo 3 4" xfId="398"/>
    <cellStyle name="Cálculo 4" xfId="399"/>
    <cellStyle name="Cálculo 4 2" xfId="400"/>
    <cellStyle name="Cálculo 4 3" xfId="401"/>
    <cellStyle name="Cálculo 4 4" xfId="402"/>
    <cellStyle name="Cálculo 5" xfId="403"/>
    <cellStyle name="Cálculo 5 2" xfId="404"/>
    <cellStyle name="Cálculo 5 3" xfId="405"/>
    <cellStyle name="Cálculo 5 4" xfId="406"/>
    <cellStyle name="Cálculo 6" xfId="407"/>
    <cellStyle name="Cálculo 6 2" xfId="408"/>
    <cellStyle name="Cálculo 6 3" xfId="409"/>
    <cellStyle name="Cálculo 6 4" xfId="410"/>
    <cellStyle name="Cálculo 7" xfId="411"/>
    <cellStyle name="Cálculo 7 2" xfId="412"/>
    <cellStyle name="Cálculo 7 3" xfId="413"/>
    <cellStyle name="Cálculo 7 4" xfId="414"/>
    <cellStyle name="Cálculo 8" xfId="415"/>
    <cellStyle name="Cálculo 8 2" xfId="416"/>
    <cellStyle name="Cálculo 8 3" xfId="417"/>
    <cellStyle name="Cálculo 8 4" xfId="418"/>
    <cellStyle name="Cálculo 9" xfId="419"/>
    <cellStyle name="Cálculo 9 2" xfId="420"/>
    <cellStyle name="Cálculo 9 3" xfId="421"/>
    <cellStyle name="Cálculo 9 4" xfId="422"/>
    <cellStyle name="Celda de comprobación" xfId="21" builtinId="23" customBuiltin="1"/>
    <cellStyle name="Celda de comprobación 10" xfId="423"/>
    <cellStyle name="Celda de comprobación 11" xfId="424"/>
    <cellStyle name="Celda de comprobación 12" xfId="425"/>
    <cellStyle name="Celda de comprobación 13" xfId="426"/>
    <cellStyle name="Celda de comprobación 2" xfId="427"/>
    <cellStyle name="Celda de comprobación 3" xfId="428"/>
    <cellStyle name="Celda de comprobación 4" xfId="429"/>
    <cellStyle name="Celda de comprobación 5" xfId="430"/>
    <cellStyle name="Celda de comprobación 6" xfId="431"/>
    <cellStyle name="Celda de comprobación 7" xfId="432"/>
    <cellStyle name="Celda de comprobación 8" xfId="433"/>
    <cellStyle name="Celda de comprobación 9" xfId="434"/>
    <cellStyle name="Celda vinculada" xfId="22" builtinId="24" customBuiltin="1"/>
    <cellStyle name="Celda vinculada 10" xfId="435"/>
    <cellStyle name="Celda vinculada 11" xfId="436"/>
    <cellStyle name="Celda vinculada 12" xfId="437"/>
    <cellStyle name="Celda vinculada 13" xfId="438"/>
    <cellStyle name="Celda vinculada 2" xfId="439"/>
    <cellStyle name="Celda vinculada 3" xfId="440"/>
    <cellStyle name="Celda vinculada 4" xfId="441"/>
    <cellStyle name="Celda vinculada 5" xfId="442"/>
    <cellStyle name="Celda vinculada 6" xfId="443"/>
    <cellStyle name="Celda vinculada 7" xfId="444"/>
    <cellStyle name="Celda vinculada 8" xfId="445"/>
    <cellStyle name="Celda vinculada 9" xfId="446"/>
    <cellStyle name="Check Cell" xfId="97"/>
    <cellStyle name="Comma 2" xfId="23"/>
    <cellStyle name="Dia" xfId="24"/>
    <cellStyle name="Encabez1" xfId="25"/>
    <cellStyle name="Encabez2" xfId="26"/>
    <cellStyle name="Encabezado 1" xfId="65" builtinId="16" customBuiltin="1"/>
    <cellStyle name="Encabezado 4" xfId="27" builtinId="19" customBuiltin="1"/>
    <cellStyle name="Encabezado 4 10" xfId="447"/>
    <cellStyle name="Encabezado 4 11" xfId="448"/>
    <cellStyle name="Encabezado 4 12" xfId="449"/>
    <cellStyle name="Encabezado 4 13" xfId="450"/>
    <cellStyle name="Encabezado 4 2" xfId="451"/>
    <cellStyle name="Encabezado 4 3" xfId="452"/>
    <cellStyle name="Encabezado 4 4" xfId="453"/>
    <cellStyle name="Encabezado 4 5" xfId="454"/>
    <cellStyle name="Encabezado 4 6" xfId="455"/>
    <cellStyle name="Encabezado 4 7" xfId="456"/>
    <cellStyle name="Encabezado 4 8" xfId="457"/>
    <cellStyle name="Encabezado 4 9" xfId="458"/>
    <cellStyle name="Énfasis1" xfId="28" builtinId="29" customBuiltin="1"/>
    <cellStyle name="Énfasis1 10" xfId="459"/>
    <cellStyle name="Énfasis1 11" xfId="460"/>
    <cellStyle name="Énfasis1 12" xfId="461"/>
    <cellStyle name="Énfasis1 13" xfId="462"/>
    <cellStyle name="Énfasis1 2" xfId="463"/>
    <cellStyle name="Énfasis1 3" xfId="464"/>
    <cellStyle name="Énfasis1 4" xfId="465"/>
    <cellStyle name="Énfasis1 5" xfId="466"/>
    <cellStyle name="Énfasis1 6" xfId="467"/>
    <cellStyle name="Énfasis1 7" xfId="468"/>
    <cellStyle name="Énfasis1 8" xfId="469"/>
    <cellStyle name="Énfasis1 9" xfId="470"/>
    <cellStyle name="Énfasis2" xfId="29" builtinId="33" customBuiltin="1"/>
    <cellStyle name="Énfasis2 10" xfId="471"/>
    <cellStyle name="Énfasis2 11" xfId="472"/>
    <cellStyle name="Énfasis2 12" xfId="473"/>
    <cellStyle name="Énfasis2 13" xfId="474"/>
    <cellStyle name="Énfasis2 2" xfId="475"/>
    <cellStyle name="Énfasis2 3" xfId="476"/>
    <cellStyle name="Énfasis2 4" xfId="477"/>
    <cellStyle name="Énfasis2 5" xfId="478"/>
    <cellStyle name="Énfasis2 6" xfId="479"/>
    <cellStyle name="Énfasis2 7" xfId="480"/>
    <cellStyle name="Énfasis2 8" xfId="481"/>
    <cellStyle name="Énfasis2 9" xfId="482"/>
    <cellStyle name="Énfasis3" xfId="30" builtinId="37" customBuiltin="1"/>
    <cellStyle name="Énfasis3 10" xfId="483"/>
    <cellStyle name="Énfasis3 11" xfId="484"/>
    <cellStyle name="Énfasis3 12" xfId="485"/>
    <cellStyle name="Énfasis3 13" xfId="486"/>
    <cellStyle name="Énfasis3 2" xfId="487"/>
    <cellStyle name="Énfasis3 3" xfId="488"/>
    <cellStyle name="Énfasis3 4" xfId="489"/>
    <cellStyle name="Énfasis3 5" xfId="490"/>
    <cellStyle name="Énfasis3 6" xfId="491"/>
    <cellStyle name="Énfasis3 7" xfId="492"/>
    <cellStyle name="Énfasis3 8" xfId="493"/>
    <cellStyle name="Énfasis3 9" xfId="494"/>
    <cellStyle name="Énfasis4" xfId="31" builtinId="41" customBuiltin="1"/>
    <cellStyle name="Énfasis4 10" xfId="495"/>
    <cellStyle name="Énfasis4 11" xfId="496"/>
    <cellStyle name="Énfasis4 12" xfId="497"/>
    <cellStyle name="Énfasis4 13" xfId="498"/>
    <cellStyle name="Énfasis4 2" xfId="499"/>
    <cellStyle name="Énfasis4 3" xfId="500"/>
    <cellStyle name="Énfasis4 4" xfId="501"/>
    <cellStyle name="Énfasis4 5" xfId="502"/>
    <cellStyle name="Énfasis4 6" xfId="503"/>
    <cellStyle name="Énfasis4 7" xfId="504"/>
    <cellStyle name="Énfasis4 8" xfId="505"/>
    <cellStyle name="Énfasis4 9" xfId="506"/>
    <cellStyle name="Énfasis5" xfId="32" builtinId="45" customBuiltin="1"/>
    <cellStyle name="Énfasis5 10" xfId="507"/>
    <cellStyle name="Énfasis5 11" xfId="508"/>
    <cellStyle name="Énfasis5 12" xfId="509"/>
    <cellStyle name="Énfasis5 13" xfId="510"/>
    <cellStyle name="Énfasis5 2" xfId="511"/>
    <cellStyle name="Énfasis5 3" xfId="512"/>
    <cellStyle name="Énfasis5 4" xfId="513"/>
    <cellStyle name="Énfasis5 5" xfId="514"/>
    <cellStyle name="Énfasis5 6" xfId="515"/>
    <cellStyle name="Énfasis5 7" xfId="516"/>
    <cellStyle name="Énfasis5 8" xfId="517"/>
    <cellStyle name="Énfasis5 9" xfId="518"/>
    <cellStyle name="Énfasis6" xfId="33" builtinId="49" customBuiltin="1"/>
    <cellStyle name="Énfasis6 10" xfId="519"/>
    <cellStyle name="Énfasis6 11" xfId="520"/>
    <cellStyle name="Énfasis6 12" xfId="521"/>
    <cellStyle name="Énfasis6 13" xfId="522"/>
    <cellStyle name="Énfasis6 2" xfId="523"/>
    <cellStyle name="Énfasis6 3" xfId="524"/>
    <cellStyle name="Énfasis6 4" xfId="525"/>
    <cellStyle name="Énfasis6 5" xfId="526"/>
    <cellStyle name="Énfasis6 6" xfId="527"/>
    <cellStyle name="Énfasis6 7" xfId="528"/>
    <cellStyle name="Énfasis6 8" xfId="529"/>
    <cellStyle name="Énfasis6 9" xfId="530"/>
    <cellStyle name="Entrada" xfId="34" builtinId="20" customBuiltin="1"/>
    <cellStyle name="Entrada 10" xfId="531"/>
    <cellStyle name="Entrada 10 2" xfId="532"/>
    <cellStyle name="Entrada 10 3" xfId="533"/>
    <cellStyle name="Entrada 10 4" xfId="534"/>
    <cellStyle name="Entrada 11" xfId="535"/>
    <cellStyle name="Entrada 11 2" xfId="536"/>
    <cellStyle name="Entrada 11 3" xfId="537"/>
    <cellStyle name="Entrada 11 4" xfId="538"/>
    <cellStyle name="Entrada 12" xfId="539"/>
    <cellStyle name="Entrada 12 2" xfId="540"/>
    <cellStyle name="Entrada 12 3" xfId="541"/>
    <cellStyle name="Entrada 12 4" xfId="542"/>
    <cellStyle name="Entrada 13" xfId="543"/>
    <cellStyle name="Entrada 13 2" xfId="544"/>
    <cellStyle name="Entrada 13 3" xfId="545"/>
    <cellStyle name="Entrada 13 4" xfId="546"/>
    <cellStyle name="Entrada 2" xfId="547"/>
    <cellStyle name="Entrada 2 2" xfId="548"/>
    <cellStyle name="Entrada 2 3" xfId="549"/>
    <cellStyle name="Entrada 2 4" xfId="550"/>
    <cellStyle name="Entrada 3" xfId="551"/>
    <cellStyle name="Entrada 3 2" xfId="552"/>
    <cellStyle name="Entrada 3 3" xfId="553"/>
    <cellStyle name="Entrada 3 4" xfId="554"/>
    <cellStyle name="Entrada 4" xfId="555"/>
    <cellStyle name="Entrada 4 2" xfId="556"/>
    <cellStyle name="Entrada 4 3" xfId="557"/>
    <cellStyle name="Entrada 4 4" xfId="558"/>
    <cellStyle name="Entrada 5" xfId="559"/>
    <cellStyle name="Entrada 5 2" xfId="560"/>
    <cellStyle name="Entrada 5 3" xfId="561"/>
    <cellStyle name="Entrada 5 4" xfId="562"/>
    <cellStyle name="Entrada 6" xfId="563"/>
    <cellStyle name="Entrada 6 2" xfId="564"/>
    <cellStyle name="Entrada 6 3" xfId="565"/>
    <cellStyle name="Entrada 6 4" xfId="566"/>
    <cellStyle name="Entrada 7" xfId="567"/>
    <cellStyle name="Entrada 7 2" xfId="568"/>
    <cellStyle name="Entrada 7 3" xfId="569"/>
    <cellStyle name="Entrada 7 4" xfId="570"/>
    <cellStyle name="Entrada 8" xfId="571"/>
    <cellStyle name="Entrada 8 2" xfId="572"/>
    <cellStyle name="Entrada 8 3" xfId="573"/>
    <cellStyle name="Entrada 8 4" xfId="574"/>
    <cellStyle name="Entrada 9" xfId="575"/>
    <cellStyle name="Entrada 9 2" xfId="576"/>
    <cellStyle name="Entrada 9 3" xfId="577"/>
    <cellStyle name="Entrada 9 4" xfId="578"/>
    <cellStyle name="Euro" xfId="35"/>
    <cellStyle name="Explanatory Text" xfId="98"/>
    <cellStyle name="F2" xfId="36"/>
    <cellStyle name="F3" xfId="37"/>
    <cellStyle name="F4" xfId="38"/>
    <cellStyle name="F5" xfId="39"/>
    <cellStyle name="F6" xfId="40"/>
    <cellStyle name="F7" xfId="41"/>
    <cellStyle name="F8" xfId="42"/>
    <cellStyle name="Fijo" xfId="43"/>
    <cellStyle name="Financiero" xfId="44"/>
    <cellStyle name="Good" xfId="99"/>
    <cellStyle name="Heading 1" xfId="100"/>
    <cellStyle name="Heading 2" xfId="101"/>
    <cellStyle name="Heading 3" xfId="102"/>
    <cellStyle name="Heading 4" xfId="103"/>
    <cellStyle name="Hipervínculo" xfId="140" builtinId="8"/>
    <cellStyle name="Hipervínculo 2" xfId="861"/>
    <cellStyle name="Incorrecto" xfId="45" builtinId="27" customBuiltin="1"/>
    <cellStyle name="Incorrecto 10" xfId="579"/>
    <cellStyle name="Incorrecto 11" xfId="580"/>
    <cellStyle name="Incorrecto 12" xfId="581"/>
    <cellStyle name="Incorrecto 13" xfId="582"/>
    <cellStyle name="Incorrecto 2" xfId="583"/>
    <cellStyle name="Incorrecto 3" xfId="584"/>
    <cellStyle name="Incorrecto 4" xfId="585"/>
    <cellStyle name="Incorrecto 5" xfId="586"/>
    <cellStyle name="Incorrecto 6" xfId="587"/>
    <cellStyle name="Incorrecto 7" xfId="588"/>
    <cellStyle name="Incorrecto 8" xfId="589"/>
    <cellStyle name="Incorrecto 9" xfId="590"/>
    <cellStyle name="Input" xfId="104"/>
    <cellStyle name="Linked Cell" xfId="105"/>
    <cellStyle name="Millares" xfId="46" builtinId="3"/>
    <cellStyle name="Millares 2" xfId="47"/>
    <cellStyle name="Millares 2 2" xfId="106"/>
    <cellStyle name="Millares 2 3" xfId="107"/>
    <cellStyle name="Millares 2 4" xfId="108"/>
    <cellStyle name="Millares 2 5" xfId="109"/>
    <cellStyle name="Millares 2 6" xfId="110"/>
    <cellStyle name="Millares 3" xfId="48"/>
    <cellStyle name="Millares 3 2" xfId="111"/>
    <cellStyle name="Millares 3 2 2" xfId="112"/>
    <cellStyle name="Millares 3 2 2 2" xfId="113"/>
    <cellStyle name="Millares 4" xfId="114"/>
    <cellStyle name="Millares 5" xfId="115"/>
    <cellStyle name="Millares 6" xfId="116"/>
    <cellStyle name="Millares 7" xfId="143"/>
    <cellStyle name="Monetario" xfId="49"/>
    <cellStyle name="Neutral" xfId="50" builtinId="28" customBuiltin="1"/>
    <cellStyle name="Neutral 10" xfId="591"/>
    <cellStyle name="Neutral 11" xfId="592"/>
    <cellStyle name="Neutral 12" xfId="593"/>
    <cellStyle name="Neutral 13" xfId="594"/>
    <cellStyle name="Neutral 2" xfId="595"/>
    <cellStyle name="Neutral 3" xfId="596"/>
    <cellStyle name="Neutral 4" xfId="597"/>
    <cellStyle name="Neutral 5" xfId="598"/>
    <cellStyle name="Neutral 6" xfId="599"/>
    <cellStyle name="Neutral 7" xfId="600"/>
    <cellStyle name="Neutral 8" xfId="601"/>
    <cellStyle name="Neutral 9" xfId="602"/>
    <cellStyle name="Normal" xfId="0" builtinId="0"/>
    <cellStyle name="Normal 10" xfId="603"/>
    <cellStyle name="Normal 11" xfId="604"/>
    <cellStyle name="Normal 11 2" xfId="605"/>
    <cellStyle name="Normal 12" xfId="606"/>
    <cellStyle name="Normal 12 2" xfId="863"/>
    <cellStyle name="Normal 13" xfId="607"/>
    <cellStyle name="Normal 13 2" xfId="608"/>
    <cellStyle name="Normal 14" xfId="609"/>
    <cellStyle name="Normal 14 2" xfId="610"/>
    <cellStyle name="Normal 15" xfId="611"/>
    <cellStyle name="Normal 15 2" xfId="612"/>
    <cellStyle name="Normal 16" xfId="613"/>
    <cellStyle name="Normal 16 2" xfId="860"/>
    <cellStyle name="Normal 17" xfId="614"/>
    <cellStyle name="Normal 17 2" xfId="615"/>
    <cellStyle name="Normal 18" xfId="616"/>
    <cellStyle name="Normal 19" xfId="617"/>
    <cellStyle name="Normal 2" xfId="51"/>
    <cellStyle name="Normal 2 2" xfId="117"/>
    <cellStyle name="Normal 2 2 2" xfId="69"/>
    <cellStyle name="Normal 2 2 3" xfId="618"/>
    <cellStyle name="Normal 2 2 4" xfId="619"/>
    <cellStyle name="Normal 2 2 5" xfId="620"/>
    <cellStyle name="Normal 2 2_4.14C" xfId="118"/>
    <cellStyle name="Normal 2 3" xfId="70"/>
    <cellStyle name="Normal 2 3 2" xfId="146"/>
    <cellStyle name="Normal 2 4" xfId="119"/>
    <cellStyle name="Normal 2 5" xfId="120"/>
    <cellStyle name="Normal 2 6" xfId="121"/>
    <cellStyle name="Normal 2 7" xfId="122"/>
    <cellStyle name="Normal 2 8" xfId="123"/>
    <cellStyle name="Normal 2 9" xfId="864"/>
    <cellStyle name="Normal 2_3.5 Alc Noviembre 09" xfId="621"/>
    <cellStyle name="Normal 20" xfId="622"/>
    <cellStyle name="Normal 21" xfId="623"/>
    <cellStyle name="Normal 22" xfId="624"/>
    <cellStyle name="Normal 23" xfId="625"/>
    <cellStyle name="Normal 24" xfId="626"/>
    <cellStyle name="Normal 25" xfId="627"/>
    <cellStyle name="Normal 26" xfId="628"/>
    <cellStyle name="Normal 27" xfId="629"/>
    <cellStyle name="Normal 27 2" xfId="142"/>
    <cellStyle name="Normal 28" xfId="630"/>
    <cellStyle name="Normal 29" xfId="631"/>
    <cellStyle name="Normal 29 2" xfId="862"/>
    <cellStyle name="Normal 3" xfId="52"/>
    <cellStyle name="Normal 3 2" xfId="124"/>
    <cellStyle name="Normal 3 3" xfId="125"/>
    <cellStyle name="Normal 3 4" xfId="126"/>
    <cellStyle name="Normal 3 5" xfId="127"/>
    <cellStyle name="Normal 3 6" xfId="128"/>
    <cellStyle name="Normal 3_ModeloCertificadook" xfId="53"/>
    <cellStyle name="Normal 30" xfId="859"/>
    <cellStyle name="Normal 31" xfId="865"/>
    <cellStyle name="Normal 31 2" xfId="866"/>
    <cellStyle name="Normal 4" xfId="54"/>
    <cellStyle name="Normal 5" xfId="55"/>
    <cellStyle name="Normal 5 2" xfId="129"/>
    <cellStyle name="Normal 5 2 2" xfId="130"/>
    <cellStyle name="Normal 5 2 3" xfId="131"/>
    <cellStyle name="Normal 6" xfId="132"/>
    <cellStyle name="Normal 7" xfId="133"/>
    <cellStyle name="Normal 8" xfId="134"/>
    <cellStyle name="Normal 9" xfId="632"/>
    <cellStyle name="Normal_CERT-CONTRATISTA 01" xfId="145"/>
    <cellStyle name="Normal_Certificado 13 - Junio 2000" xfId="633"/>
    <cellStyle name="Normal_Certificado 13 - Junio 2000 2" xfId="141"/>
    <cellStyle name="Normal_Certificado 13 - Junio 2000 2 2" xfId="857"/>
    <cellStyle name="Normal_Certificado Pago no. 2" xfId="56"/>
    <cellStyle name="Normal_Certificado Pago no. 2 2" xfId="858"/>
    <cellStyle name="Normal_Respaldo C-Diciembre 2000" xfId="139"/>
    <cellStyle name="Notas" xfId="57" builtinId="10" customBuiltin="1"/>
    <cellStyle name="Notas 10" xfId="634"/>
    <cellStyle name="Notas 10 2" xfId="635"/>
    <cellStyle name="Notas 10 3" xfId="636"/>
    <cellStyle name="Notas 10 4" xfId="637"/>
    <cellStyle name="Notas 11" xfId="638"/>
    <cellStyle name="Notas 11 2" xfId="639"/>
    <cellStyle name="Notas 11 3" xfId="640"/>
    <cellStyle name="Notas 11 4" xfId="641"/>
    <cellStyle name="Notas 12" xfId="642"/>
    <cellStyle name="Notas 12 2" xfId="643"/>
    <cellStyle name="Notas 12 3" xfId="644"/>
    <cellStyle name="Notas 12 4" xfId="645"/>
    <cellStyle name="Notas 13" xfId="646"/>
    <cellStyle name="Notas 13 2" xfId="647"/>
    <cellStyle name="Notas 13 3" xfId="648"/>
    <cellStyle name="Notas 13 4" xfId="649"/>
    <cellStyle name="Notas 2" xfId="650"/>
    <cellStyle name="Notas 2 2" xfId="651"/>
    <cellStyle name="Notas 2 3" xfId="652"/>
    <cellStyle name="Notas 2 4" xfId="653"/>
    <cellStyle name="Notas 3" xfId="654"/>
    <cellStyle name="Notas 3 2" xfId="655"/>
    <cellStyle name="Notas 3 3" xfId="656"/>
    <cellStyle name="Notas 3 4" xfId="657"/>
    <cellStyle name="Notas 4" xfId="658"/>
    <cellStyle name="Notas 4 2" xfId="659"/>
    <cellStyle name="Notas 4 3" xfId="660"/>
    <cellStyle name="Notas 4 4" xfId="661"/>
    <cellStyle name="Notas 5" xfId="662"/>
    <cellStyle name="Notas 5 2" xfId="663"/>
    <cellStyle name="Notas 5 3" xfId="664"/>
    <cellStyle name="Notas 5 4" xfId="665"/>
    <cellStyle name="Notas 6" xfId="666"/>
    <cellStyle name="Notas 6 2" xfId="667"/>
    <cellStyle name="Notas 6 3" xfId="668"/>
    <cellStyle name="Notas 6 4" xfId="669"/>
    <cellStyle name="Notas 7" xfId="670"/>
    <cellStyle name="Notas 7 2" xfId="671"/>
    <cellStyle name="Notas 7 3" xfId="672"/>
    <cellStyle name="Notas 7 4" xfId="673"/>
    <cellStyle name="Notas 8" xfId="674"/>
    <cellStyle name="Notas 8 2" xfId="675"/>
    <cellStyle name="Notas 8 3" xfId="676"/>
    <cellStyle name="Notas 8 4" xfId="677"/>
    <cellStyle name="Notas 9" xfId="678"/>
    <cellStyle name="Notas 9 2" xfId="679"/>
    <cellStyle name="Notas 9 3" xfId="680"/>
    <cellStyle name="Notas 9 4" xfId="681"/>
    <cellStyle name="Note" xfId="135"/>
    <cellStyle name="Output" xfId="136"/>
    <cellStyle name="Percent 2" xfId="58"/>
    <cellStyle name="Porcentaje" xfId="59"/>
    <cellStyle name="Porcentaje 2" xfId="682"/>
    <cellStyle name="Porcentual 2" xfId="60"/>
    <cellStyle name="Porcentual 2 2" xfId="683"/>
    <cellStyle name="Porcentual 2 3" xfId="684"/>
    <cellStyle name="Porcentual 2 4" xfId="685"/>
    <cellStyle name="Porcentual 2 5" xfId="686"/>
    <cellStyle name="Porcentual 3" xfId="687"/>
    <cellStyle name="Porcentual 4" xfId="144"/>
    <cellStyle name="Porcentual 5" xfId="688"/>
    <cellStyle name="Salida" xfId="61" builtinId="21" customBuiltin="1"/>
    <cellStyle name="Salida 10" xfId="689"/>
    <cellStyle name="Salida 10 2" xfId="690"/>
    <cellStyle name="Salida 10 3" xfId="691"/>
    <cellStyle name="Salida 10 4" xfId="692"/>
    <cellStyle name="Salida 11" xfId="693"/>
    <cellStyle name="Salida 11 2" xfId="694"/>
    <cellStyle name="Salida 11 3" xfId="695"/>
    <cellStyle name="Salida 11 4" xfId="696"/>
    <cellStyle name="Salida 12" xfId="697"/>
    <cellStyle name="Salida 12 2" xfId="698"/>
    <cellStyle name="Salida 12 3" xfId="699"/>
    <cellStyle name="Salida 12 4" xfId="700"/>
    <cellStyle name="Salida 13" xfId="701"/>
    <cellStyle name="Salida 13 2" xfId="702"/>
    <cellStyle name="Salida 13 3" xfId="703"/>
    <cellStyle name="Salida 13 4" xfId="704"/>
    <cellStyle name="Salida 2" xfId="705"/>
    <cellStyle name="Salida 2 2" xfId="706"/>
    <cellStyle name="Salida 2 3" xfId="707"/>
    <cellStyle name="Salida 2 4" xfId="708"/>
    <cellStyle name="Salida 3" xfId="709"/>
    <cellStyle name="Salida 3 2" xfId="710"/>
    <cellStyle name="Salida 3 3" xfId="711"/>
    <cellStyle name="Salida 3 4" xfId="712"/>
    <cellStyle name="Salida 4" xfId="713"/>
    <cellStyle name="Salida 4 2" xfId="714"/>
    <cellStyle name="Salida 4 3" xfId="715"/>
    <cellStyle name="Salida 4 4" xfId="716"/>
    <cellStyle name="Salida 5" xfId="717"/>
    <cellStyle name="Salida 5 2" xfId="718"/>
    <cellStyle name="Salida 5 3" xfId="719"/>
    <cellStyle name="Salida 5 4" xfId="720"/>
    <cellStyle name="Salida 6" xfId="721"/>
    <cellStyle name="Salida 6 2" xfId="722"/>
    <cellStyle name="Salida 6 3" xfId="723"/>
    <cellStyle name="Salida 6 4" xfId="724"/>
    <cellStyle name="Salida 7" xfId="725"/>
    <cellStyle name="Salida 7 2" xfId="726"/>
    <cellStyle name="Salida 7 3" xfId="727"/>
    <cellStyle name="Salida 7 4" xfId="728"/>
    <cellStyle name="Salida 8" xfId="729"/>
    <cellStyle name="Salida 8 2" xfId="730"/>
    <cellStyle name="Salida 8 3" xfId="731"/>
    <cellStyle name="Salida 8 4" xfId="732"/>
    <cellStyle name="Salida 9" xfId="733"/>
    <cellStyle name="Salida 9 2" xfId="734"/>
    <cellStyle name="Salida 9 3" xfId="735"/>
    <cellStyle name="Salida 9 4" xfId="736"/>
    <cellStyle name="Texto de advertencia" xfId="62" builtinId="11" customBuiltin="1"/>
    <cellStyle name="Texto de advertencia 10" xfId="737"/>
    <cellStyle name="Texto de advertencia 11" xfId="738"/>
    <cellStyle name="Texto de advertencia 12" xfId="739"/>
    <cellStyle name="Texto de advertencia 13" xfId="740"/>
    <cellStyle name="Texto de advertencia 2" xfId="741"/>
    <cellStyle name="Texto de advertencia 3" xfId="742"/>
    <cellStyle name="Texto de advertencia 4" xfId="743"/>
    <cellStyle name="Texto de advertencia 5" xfId="744"/>
    <cellStyle name="Texto de advertencia 6" xfId="745"/>
    <cellStyle name="Texto de advertencia 7" xfId="746"/>
    <cellStyle name="Texto de advertencia 8" xfId="747"/>
    <cellStyle name="Texto de advertencia 9" xfId="748"/>
    <cellStyle name="Texto explicativo" xfId="63" builtinId="53" customBuiltin="1"/>
    <cellStyle name="Texto explicativo 10" xfId="749"/>
    <cellStyle name="Texto explicativo 11" xfId="750"/>
    <cellStyle name="Texto explicativo 12" xfId="751"/>
    <cellStyle name="Texto explicativo 13" xfId="752"/>
    <cellStyle name="Texto explicativo 2" xfId="753"/>
    <cellStyle name="Texto explicativo 3" xfId="754"/>
    <cellStyle name="Texto explicativo 4" xfId="755"/>
    <cellStyle name="Texto explicativo 5" xfId="756"/>
    <cellStyle name="Texto explicativo 6" xfId="757"/>
    <cellStyle name="Texto explicativo 7" xfId="758"/>
    <cellStyle name="Texto explicativo 8" xfId="759"/>
    <cellStyle name="Texto explicativo 9" xfId="760"/>
    <cellStyle name="Title" xfId="137"/>
    <cellStyle name="Título" xfId="64" builtinId="15" customBuiltin="1"/>
    <cellStyle name="Título 1 10" xfId="761"/>
    <cellStyle name="Título 1 11" xfId="762"/>
    <cellStyle name="Título 1 12" xfId="763"/>
    <cellStyle name="Título 1 13" xfId="764"/>
    <cellStyle name="Título 1 2" xfId="765"/>
    <cellStyle name="Título 1 3" xfId="766"/>
    <cellStyle name="Título 1 4" xfId="767"/>
    <cellStyle name="Título 1 5" xfId="768"/>
    <cellStyle name="Título 1 6" xfId="769"/>
    <cellStyle name="Título 1 7" xfId="770"/>
    <cellStyle name="Título 1 8" xfId="771"/>
    <cellStyle name="Título 1 9" xfId="772"/>
    <cellStyle name="Título 10" xfId="773"/>
    <cellStyle name="Título 11" xfId="774"/>
    <cellStyle name="Título 12" xfId="775"/>
    <cellStyle name="Título 13" xfId="776"/>
    <cellStyle name="Título 14" xfId="777"/>
    <cellStyle name="Título 15" xfId="778"/>
    <cellStyle name="Título 2" xfId="66" builtinId="17" customBuiltin="1"/>
    <cellStyle name="Título 2 10" xfId="779"/>
    <cellStyle name="Título 2 11" xfId="780"/>
    <cellStyle name="Título 2 12" xfId="781"/>
    <cellStyle name="Título 2 13" xfId="782"/>
    <cellStyle name="Título 2 2" xfId="783"/>
    <cellStyle name="Título 2 3" xfId="784"/>
    <cellStyle name="Título 2 4" xfId="785"/>
    <cellStyle name="Título 2 5" xfId="786"/>
    <cellStyle name="Título 2 6" xfId="787"/>
    <cellStyle name="Título 2 7" xfId="788"/>
    <cellStyle name="Título 2 8" xfId="789"/>
    <cellStyle name="Título 2 9" xfId="790"/>
    <cellStyle name="Título 3" xfId="67" builtinId="18" customBuiltin="1"/>
    <cellStyle name="Título 3 10" xfId="791"/>
    <cellStyle name="Título 3 11" xfId="792"/>
    <cellStyle name="Título 3 12" xfId="793"/>
    <cellStyle name="Título 3 13" xfId="794"/>
    <cellStyle name="Título 3 2" xfId="795"/>
    <cellStyle name="Título 3 3" xfId="796"/>
    <cellStyle name="Título 3 4" xfId="797"/>
    <cellStyle name="Título 3 5" xfId="798"/>
    <cellStyle name="Título 3 6" xfId="799"/>
    <cellStyle name="Título 3 7" xfId="800"/>
    <cellStyle name="Título 3 8" xfId="801"/>
    <cellStyle name="Título 3 9" xfId="802"/>
    <cellStyle name="Título 4" xfId="803"/>
    <cellStyle name="Título 5" xfId="804"/>
    <cellStyle name="Título 6" xfId="805"/>
    <cellStyle name="Título 7" xfId="806"/>
    <cellStyle name="Título 8" xfId="807"/>
    <cellStyle name="Título 9" xfId="808"/>
    <cellStyle name="Total" xfId="68" builtinId="25" customBuiltin="1"/>
    <cellStyle name="Total 10" xfId="809"/>
    <cellStyle name="Total 10 2" xfId="810"/>
    <cellStyle name="Total 10 3" xfId="811"/>
    <cellStyle name="Total 10 4" xfId="812"/>
    <cellStyle name="Total 11" xfId="813"/>
    <cellStyle name="Total 11 2" xfId="814"/>
    <cellStyle name="Total 11 3" xfId="815"/>
    <cellStyle name="Total 11 4" xfId="816"/>
    <cellStyle name="Total 12" xfId="817"/>
    <cellStyle name="Total 12 2" xfId="818"/>
    <cellStyle name="Total 12 3" xfId="819"/>
    <cellStyle name="Total 12 4" xfId="820"/>
    <cellStyle name="Total 13" xfId="821"/>
    <cellStyle name="Total 13 2" xfId="822"/>
    <cellStyle name="Total 13 3" xfId="823"/>
    <cellStyle name="Total 13 4" xfId="824"/>
    <cellStyle name="Total 2" xfId="825"/>
    <cellStyle name="Total 2 2" xfId="826"/>
    <cellStyle name="Total 2 3" xfId="827"/>
    <cellStyle name="Total 2 4" xfId="828"/>
    <cellStyle name="Total 3" xfId="829"/>
    <cellStyle name="Total 3 2" xfId="830"/>
    <cellStyle name="Total 3 3" xfId="831"/>
    <cellStyle name="Total 3 4" xfId="832"/>
    <cellStyle name="Total 4" xfId="833"/>
    <cellStyle name="Total 4 2" xfId="834"/>
    <cellStyle name="Total 4 3" xfId="835"/>
    <cellStyle name="Total 4 4" xfId="836"/>
    <cellStyle name="Total 5" xfId="837"/>
    <cellStyle name="Total 5 2" xfId="838"/>
    <cellStyle name="Total 5 3" xfId="839"/>
    <cellStyle name="Total 5 4" xfId="840"/>
    <cellStyle name="Total 6" xfId="841"/>
    <cellStyle name="Total 6 2" xfId="842"/>
    <cellStyle name="Total 6 3" xfId="843"/>
    <cellStyle name="Total 6 4" xfId="844"/>
    <cellStyle name="Total 7" xfId="845"/>
    <cellStyle name="Total 7 2" xfId="846"/>
    <cellStyle name="Total 7 3" xfId="847"/>
    <cellStyle name="Total 7 4" xfId="848"/>
    <cellStyle name="Total 8" xfId="849"/>
    <cellStyle name="Total 8 2" xfId="850"/>
    <cellStyle name="Total 8 3" xfId="851"/>
    <cellStyle name="Total 8 4" xfId="852"/>
    <cellStyle name="Total 9" xfId="853"/>
    <cellStyle name="Total 9 2" xfId="854"/>
    <cellStyle name="Total 9 3" xfId="855"/>
    <cellStyle name="Total 9 4" xfId="856"/>
    <cellStyle name="Warning Text" xfId="138"/>
  </cellStyles>
  <dxfs count="98"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9" Type="http://schemas.openxmlformats.org/officeDocument/2006/relationships/externalLink" Target="externalLinks/externalLink18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21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8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externalLink" Target="externalLinks/externalLink11.xml"/><Relationship Id="rId37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19.xml"/><Relationship Id="rId45" Type="http://schemas.openxmlformats.org/officeDocument/2006/relationships/externalLink" Target="externalLinks/externalLink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36" Type="http://schemas.openxmlformats.org/officeDocument/2006/relationships/externalLink" Target="externalLinks/externalLink15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0.xml"/><Relationship Id="rId44" Type="http://schemas.openxmlformats.org/officeDocument/2006/relationships/externalLink" Target="externalLinks/externalLink2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externalLink" Target="externalLinks/externalLink9.xml"/><Relationship Id="rId35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22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17.xml"/><Relationship Id="rId46" Type="http://schemas.openxmlformats.org/officeDocument/2006/relationships/externalLink" Target="externalLinks/externalLink25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CRONOGRAMA GRAFICO DE DESEMBOLSO</a:t>
            </a:r>
          </a:p>
        </c:rich>
      </c:tx>
      <c:layout>
        <c:manualLayout>
          <c:xMode val="edge"/>
          <c:yMode val="edge"/>
          <c:x val="0.34710396002198302"/>
          <c:y val="2.5942365926263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4842330421202701E-2"/>
          <c:y val="0.10111992814343998"/>
          <c:w val="0.90539318354457132"/>
          <c:h val="0.742609854538907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'CRON.DESEMBOLSOS'!$J$8:$K$8</c:f>
              <c:strCache>
                <c:ptCount val="1"/>
                <c:pt idx="0">
                  <c:v>PROGRAMADO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'CRON.DESEMBOLSOS'!$B$11:$B$24</c:f>
              <c:numCache>
                <c:formatCode>mmm\-yy</c:formatCode>
                <c:ptCount val="14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</c:numCache>
            </c:numRef>
          </c:xVal>
          <c:yVal>
            <c:numRef>
              <c:f>'CRON.DESEMBOLSOS'!$K$11:$K$24</c:f>
              <c:numCache>
                <c:formatCode>0.00%</c:formatCode>
                <c:ptCount val="14"/>
                <c:pt idx="0">
                  <c:v>0</c:v>
                </c:pt>
                <c:pt idx="1">
                  <c:v>2.1271200677593135E-3</c:v>
                </c:pt>
                <c:pt idx="2">
                  <c:v>6.8868293176253198E-3</c:v>
                </c:pt>
                <c:pt idx="3">
                  <c:v>1.4067108764013739E-2</c:v>
                </c:pt>
                <c:pt idx="4">
                  <c:v>1.4067108764013739E-2</c:v>
                </c:pt>
                <c:pt idx="5">
                  <c:v>1.7351114341820843E-2</c:v>
                </c:pt>
                <c:pt idx="6">
                  <c:v>5.2247197442393603E-2</c:v>
                </c:pt>
                <c:pt idx="7">
                  <c:v>0.18161207119422623</c:v>
                </c:pt>
                <c:pt idx="8">
                  <c:v>0.44105280657602591</c:v>
                </c:pt>
                <c:pt idx="9">
                  <c:v>0.70523201803544722</c:v>
                </c:pt>
                <c:pt idx="10">
                  <c:v>0.87651361471358558</c:v>
                </c:pt>
                <c:pt idx="11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71D-4726-A17C-E98DE91FD854}"/>
            </c:ext>
          </c:extLst>
        </c:ser>
        <c:ser>
          <c:idx val="1"/>
          <c:order val="1"/>
          <c:tx>
            <c:strRef>
              <c:f>'CRON.DESEMBOLSOS'!$L$8:$M$8</c:f>
              <c:strCache>
                <c:ptCount val="1"/>
                <c:pt idx="0">
                  <c:v>EJECUTADO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7.0538459463703934E-2"/>
                  <c:y val="-5.1815717571969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D71D-4726-A17C-E98DE91FD854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6.2287560832515729E-2"/>
                  <c:y val="-7.0594167724253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71D-4726-A17C-E98DE91FD854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8654483553198525E-2"/>
                  <c:y val="-6.7621592802904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4892050440033262E-2"/>
                  <c:y val="-7.5645195978670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9750808820674133E-2"/>
                  <c:y val="-7.3792169841080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460956720131509E-2"/>
                  <c:y val="-6.45270391531291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'CRON.DESEMBOLSOS'!$B$11:$B$24</c:f>
              <c:numCache>
                <c:formatCode>mmm\-yy</c:formatCode>
                <c:ptCount val="14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</c:numCache>
            </c:numRef>
          </c:xVal>
          <c:yVal>
            <c:numRef>
              <c:f>'CRON.DESEMBOLSOS'!$M$11:$M$24</c:f>
              <c:numCache>
                <c:formatCode>0.00%</c:formatCode>
                <c:ptCount val="14"/>
                <c:pt idx="0">
                  <c:v>0</c:v>
                </c:pt>
                <c:pt idx="1">
                  <c:v>2.1271200677593135E-3</c:v>
                </c:pt>
                <c:pt idx="2">
                  <c:v>6.8868293176253198E-3</c:v>
                </c:pt>
                <c:pt idx="3">
                  <c:v>1.4067108764013739E-2</c:v>
                </c:pt>
                <c:pt idx="4">
                  <c:v>1.4868886551178502E-2</c:v>
                </c:pt>
                <c:pt idx="5">
                  <c:v>1.522032325994057E-2</c:v>
                </c:pt>
                <c:pt idx="6">
                  <c:v>1.5973401921573573E-2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D71D-4726-A17C-E98DE91FD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583968"/>
        <c:axId val="1910571456"/>
      </c:scatterChart>
      <c:valAx>
        <c:axId val="19105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BO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MES</a:t>
                </a:r>
              </a:p>
            </c:rich>
          </c:tx>
          <c:layout>
            <c:manualLayout>
              <c:xMode val="edge"/>
              <c:yMode val="edge"/>
              <c:x val="0.48737677422795467"/>
              <c:y val="0.92138830423686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S"/>
          </a:p>
        </c:txPr>
        <c:crossAx val="1910571456"/>
        <c:crosses val="autoZero"/>
        <c:crossBetween val="midCat"/>
        <c:majorUnit val="30"/>
        <c:minorUnit val="30"/>
      </c:valAx>
      <c:valAx>
        <c:axId val="191057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>
                    <a:solidFill>
                      <a:sysClr val="windowText" lastClr="000000"/>
                    </a:solidFill>
                  </a:rPr>
                  <a:t>PORCENTAJE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S"/>
          </a:p>
        </c:txPr>
        <c:crossAx val="19105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BO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CRONOGRAMA GRAFICO DE AVANCE FINANCIERO</a:t>
            </a:r>
          </a:p>
        </c:rich>
      </c:tx>
      <c:layout>
        <c:manualLayout>
          <c:xMode val="edge"/>
          <c:yMode val="edge"/>
          <c:x val="0.3369757981195502"/>
          <c:y val="1.691671986133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6679040176282373E-2"/>
          <c:y val="7.6989572258859745E-2"/>
          <c:w val="0.91996942048298169"/>
          <c:h val="0.7685521941037621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'CRON.DESEMBOLSOS'!$J$8:$K$8</c:f>
              <c:strCache>
                <c:ptCount val="1"/>
                <c:pt idx="0">
                  <c:v>PROGRAMADO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124824563433864E-2"/>
                  <c:y val="-8.324756400016827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'CRON.DESEMBOLSOS'!$B$11:$B$24</c:f>
              <c:numCache>
                <c:formatCode>mmm\-yy</c:formatCode>
                <c:ptCount val="14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</c:numCache>
            </c:numRef>
          </c:xVal>
          <c:yVal>
            <c:numRef>
              <c:f>'CRON.DESEMBOLSOS'!$K$11:$K$24</c:f>
              <c:numCache>
                <c:formatCode>0.00%</c:formatCode>
                <c:ptCount val="14"/>
                <c:pt idx="0">
                  <c:v>0</c:v>
                </c:pt>
                <c:pt idx="1">
                  <c:v>2.1271200677593135E-3</c:v>
                </c:pt>
                <c:pt idx="2">
                  <c:v>6.8868293176253198E-3</c:v>
                </c:pt>
                <c:pt idx="3">
                  <c:v>1.4067108764013739E-2</c:v>
                </c:pt>
                <c:pt idx="4">
                  <c:v>1.4067108764013739E-2</c:v>
                </c:pt>
                <c:pt idx="5">
                  <c:v>1.7351114341820843E-2</c:v>
                </c:pt>
                <c:pt idx="6">
                  <c:v>5.2247197442393603E-2</c:v>
                </c:pt>
                <c:pt idx="7">
                  <c:v>0.18161207119422623</c:v>
                </c:pt>
                <c:pt idx="8">
                  <c:v>0.44105280657602591</c:v>
                </c:pt>
                <c:pt idx="9">
                  <c:v>0.70523201803544722</c:v>
                </c:pt>
                <c:pt idx="10">
                  <c:v>0.87651361471358558</c:v>
                </c:pt>
                <c:pt idx="11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268-42A0-81A3-B5B635FF01A5}"/>
            </c:ext>
          </c:extLst>
        </c:ser>
        <c:ser>
          <c:idx val="0"/>
          <c:order val="1"/>
          <c:tx>
            <c:strRef>
              <c:f>'CRON.DESEMBOLSOS'!$N$8:$O$8</c:f>
              <c:strCache>
                <c:ptCount val="1"/>
                <c:pt idx="0">
                  <c:v>AVANCE FINANCIERO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'CRON.DESEMBOLSOS'!$B$11:$B$24</c:f>
              <c:numCache>
                <c:formatCode>mmm\-yy</c:formatCode>
                <c:ptCount val="14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</c:numCache>
            </c:numRef>
          </c:xVal>
          <c:yVal>
            <c:numRef>
              <c:f>'CRON.DESEMBOLSOS'!$O$11:$O$24</c:f>
              <c:numCache>
                <c:formatCode>0.00%</c:formatCode>
                <c:ptCount val="14"/>
                <c:pt idx="0">
                  <c:v>0.20000000001845056</c:v>
                </c:pt>
                <c:pt idx="1">
                  <c:v>0.20155279766237968</c:v>
                </c:pt>
                <c:pt idx="2">
                  <c:v>0.20502738545168298</c:v>
                </c:pt>
                <c:pt idx="3">
                  <c:v>0.2102689894530817</c:v>
                </c:pt>
                <c:pt idx="4">
                  <c:v>0.21085428718789548</c:v>
                </c:pt>
                <c:pt idx="5">
                  <c:v>0.21111083593547531</c:v>
                </c:pt>
                <c:pt idx="6">
                  <c:v>0.21166058333079157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268-42A0-81A3-B5B635FF0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61152"/>
        <c:axId val="415351904"/>
      </c:scatterChart>
      <c:valAx>
        <c:axId val="4153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BO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MES</a:t>
                </a:r>
              </a:p>
            </c:rich>
          </c:tx>
          <c:layout>
            <c:manualLayout>
              <c:xMode val="edge"/>
              <c:yMode val="edge"/>
              <c:x val="0.48737677422795467"/>
              <c:y val="0.92138830423686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415351904"/>
        <c:crosses val="autoZero"/>
        <c:crossBetween val="midCat"/>
        <c:majorUnit val="30"/>
        <c:minorUnit val="30"/>
      </c:valAx>
      <c:valAx>
        <c:axId val="415351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BO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PORCENTAJE</a:t>
                </a:r>
                <a:r>
                  <a:rPr lang="es-BO" sz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</a:t>
                </a:r>
                <a:endParaRPr lang="es-BO" sz="12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S"/>
          </a:p>
        </c:txPr>
        <c:crossAx val="41536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S"/>
          </a:p>
        </c:txPr>
      </c:legendEntry>
      <c:layout>
        <c:manualLayout>
          <c:xMode val="edge"/>
          <c:yMode val="edge"/>
          <c:x val="0.145581413634327"/>
          <c:y val="0.96248903122593588"/>
          <c:w val="0.80920991360066519"/>
          <c:h val="3.6871049002811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9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0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8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579901</xdr:colOff>
      <xdr:row>14</xdr:row>
      <xdr:rowOff>9525</xdr:rowOff>
    </xdr:from>
    <xdr:to>
      <xdr:col>1</xdr:col>
      <xdr:colOff>2379901</xdr:colOff>
      <xdr:row>14</xdr:row>
      <xdr:rowOff>9525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1284751" y="18154650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1010678</xdr:colOff>
      <xdr:row>24</xdr:row>
      <xdr:rowOff>897</xdr:rowOff>
    </xdr:from>
    <xdr:to>
      <xdr:col>2</xdr:col>
      <xdr:colOff>1668004</xdr:colOff>
      <xdr:row>24</xdr:row>
      <xdr:rowOff>897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SpPr>
          <a:spLocks noChangeShapeType="1"/>
        </xdr:cNvSpPr>
      </xdr:nvSpPr>
      <xdr:spPr bwMode="auto">
        <a:xfrm>
          <a:off x="1607026" y="6088614"/>
          <a:ext cx="21730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481410</xdr:colOff>
      <xdr:row>24</xdr:row>
      <xdr:rowOff>9128</xdr:rowOff>
    </xdr:from>
    <xdr:to>
      <xdr:col>6</xdr:col>
      <xdr:colOff>1269379</xdr:colOff>
      <xdr:row>24</xdr:row>
      <xdr:rowOff>9128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>
          <a:spLocks noChangeShapeType="1"/>
        </xdr:cNvSpPr>
      </xdr:nvSpPr>
      <xdr:spPr bwMode="auto">
        <a:xfrm flipV="1">
          <a:off x="6722269" y="4454128"/>
          <a:ext cx="189921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608011</xdr:colOff>
      <xdr:row>24</xdr:row>
      <xdr:rowOff>898</xdr:rowOff>
    </xdr:from>
    <xdr:to>
      <xdr:col>4</xdr:col>
      <xdr:colOff>602728</xdr:colOff>
      <xdr:row>24</xdr:row>
      <xdr:rowOff>898</xdr:rowOff>
    </xdr:to>
    <xdr:sp macro="" textlink="">
      <xdr:nvSpPr>
        <xdr:cNvPr id="4" name="Line 6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SpPr>
          <a:spLocks noChangeShapeType="1"/>
        </xdr:cNvSpPr>
      </xdr:nvSpPr>
      <xdr:spPr bwMode="auto">
        <a:xfrm flipV="1">
          <a:off x="3821663" y="5053289"/>
          <a:ext cx="1908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356155</xdr:colOff>
      <xdr:row>0</xdr:row>
      <xdr:rowOff>124236</xdr:rowOff>
    </xdr:from>
    <xdr:to>
      <xdr:col>6</xdr:col>
      <xdr:colOff>1417056</xdr:colOff>
      <xdr:row>3</xdr:row>
      <xdr:rowOff>245456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981" y="124236"/>
          <a:ext cx="1060901" cy="91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447261</xdr:colOff>
      <xdr:row>0</xdr:row>
      <xdr:rowOff>107674</xdr:rowOff>
    </xdr:from>
    <xdr:to>
      <xdr:col>1</xdr:col>
      <xdr:colOff>882899</xdr:colOff>
      <xdr:row>3</xdr:row>
      <xdr:rowOff>212544</xdr:rowOff>
    </xdr:to>
    <xdr:pic>
      <xdr:nvPicPr>
        <xdr:cNvPr id="8" name="Imagen 7" descr="S.A.C.">
          <a:extLst>
            <a:ext uri="{FF2B5EF4-FFF2-40B4-BE49-F238E27FC236}">
              <a16:creationId xmlns="" xmlns:a16="http://schemas.microsoft.com/office/drawing/2014/main" id="{76FC1D84-A7C0-49E4-8FAD-D4A2195A16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447261" y="107674"/>
          <a:ext cx="998855" cy="90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844943</xdr:colOff>
      <xdr:row>112</xdr:row>
      <xdr:rowOff>9525</xdr:rowOff>
    </xdr:from>
    <xdr:to>
      <xdr:col>5</xdr:col>
      <xdr:colOff>2644943</xdr:colOff>
      <xdr:row>112</xdr:row>
      <xdr:rowOff>9525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xmlns="" id="{00000000-0008-0000-0B00-0000030C0000}"/>
            </a:ext>
          </a:extLst>
        </xdr:cNvPr>
        <xdr:cNvSpPr>
          <a:spLocks noChangeShapeType="1"/>
        </xdr:cNvSpPr>
      </xdr:nvSpPr>
      <xdr:spPr bwMode="auto">
        <a:xfrm>
          <a:off x="1101704" y="18380351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213696</xdr:colOff>
      <xdr:row>112</xdr:row>
      <xdr:rowOff>11723</xdr:rowOff>
    </xdr:from>
    <xdr:to>
      <xdr:col>17</xdr:col>
      <xdr:colOff>584946</xdr:colOff>
      <xdr:row>112</xdr:row>
      <xdr:rowOff>11723</xdr:rowOff>
    </xdr:to>
    <xdr:sp macro="" textlink="">
      <xdr:nvSpPr>
        <xdr:cNvPr id="3078" name="Line 6">
          <a:extLst>
            <a:ext uri="{FF2B5EF4-FFF2-40B4-BE49-F238E27FC236}">
              <a16:creationId xmlns:a16="http://schemas.microsoft.com/office/drawing/2014/main" xmlns="" id="{00000000-0008-0000-0B00-0000060C0000}"/>
            </a:ext>
          </a:extLst>
        </xdr:cNvPr>
        <xdr:cNvSpPr>
          <a:spLocks noChangeShapeType="1"/>
        </xdr:cNvSpPr>
      </xdr:nvSpPr>
      <xdr:spPr bwMode="auto">
        <a:xfrm flipV="1">
          <a:off x="10742484" y="19164300"/>
          <a:ext cx="195386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16</xdr:col>
      <xdr:colOff>488322</xdr:colOff>
      <xdr:row>1</xdr:row>
      <xdr:rowOff>82874</xdr:rowOff>
    </xdr:from>
    <xdr:to>
      <xdr:col>17</xdr:col>
      <xdr:colOff>469526</xdr:colOff>
      <xdr:row>4</xdr:row>
      <xdr:rowOff>123374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2061" y="248526"/>
          <a:ext cx="718356" cy="61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912034</xdr:colOff>
      <xdr:row>244</xdr:row>
      <xdr:rowOff>139976</xdr:rowOff>
    </xdr:from>
    <xdr:to>
      <xdr:col>5</xdr:col>
      <xdr:colOff>2712034</xdr:colOff>
      <xdr:row>244</xdr:row>
      <xdr:rowOff>139976</xdr:rowOff>
    </xdr:to>
    <xdr:sp macro="" textlink="">
      <xdr:nvSpPr>
        <xdr:cNvPr id="9" name="Line 3">
          <a:extLst>
            <a:ext uri="{FF2B5EF4-FFF2-40B4-BE49-F238E27FC236}">
              <a16:creationId xmlns:a16="http://schemas.microsoft.com/office/drawing/2014/main" xmlns="" id="{00000000-0008-0000-0B00-000009000000}"/>
            </a:ext>
          </a:extLst>
        </xdr:cNvPr>
        <xdr:cNvSpPr>
          <a:spLocks noChangeShapeType="1"/>
        </xdr:cNvSpPr>
      </xdr:nvSpPr>
      <xdr:spPr bwMode="auto">
        <a:xfrm>
          <a:off x="1293034" y="40824150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215342</xdr:colOff>
      <xdr:row>112</xdr:row>
      <xdr:rowOff>4556</xdr:rowOff>
    </xdr:from>
    <xdr:to>
      <xdr:col>11</xdr:col>
      <xdr:colOff>685364</xdr:colOff>
      <xdr:row>112</xdr:row>
      <xdr:rowOff>4556</xdr:rowOff>
    </xdr:to>
    <xdr:sp macro="" textlink="">
      <xdr:nvSpPr>
        <xdr:cNvPr id="11" name="Line 3">
          <a:extLst>
            <a:ext uri="{FF2B5EF4-FFF2-40B4-BE49-F238E27FC236}">
              <a16:creationId xmlns:a16="http://schemas.microsoft.com/office/drawing/2014/main" xmlns="" id="{00000000-0008-0000-0B00-00000B000000}"/>
            </a:ext>
          </a:extLst>
        </xdr:cNvPr>
        <xdr:cNvSpPr>
          <a:spLocks noChangeShapeType="1"/>
        </xdr:cNvSpPr>
      </xdr:nvSpPr>
      <xdr:spPr bwMode="auto">
        <a:xfrm>
          <a:off x="5565907" y="18375382"/>
          <a:ext cx="20520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 editAs="oneCell">
    <xdr:from>
      <xdr:col>4</xdr:col>
      <xdr:colOff>118242</xdr:colOff>
      <xdr:row>1</xdr:row>
      <xdr:rowOff>59121</xdr:rowOff>
    </xdr:from>
    <xdr:to>
      <xdr:col>5</xdr:col>
      <xdr:colOff>621183</xdr:colOff>
      <xdr:row>4</xdr:row>
      <xdr:rowOff>171621</xdr:rowOff>
    </xdr:to>
    <xdr:pic>
      <xdr:nvPicPr>
        <xdr:cNvPr id="12" name="Imagen 11" descr="S.A.C.">
          <a:extLst>
            <a:ext uri="{FF2B5EF4-FFF2-40B4-BE49-F238E27FC236}">
              <a16:creationId xmlns="" xmlns:a16="http://schemas.microsoft.com/office/drawing/2014/main" id="{76FC1D84-A7C0-49E4-8FAD-D4A2195A16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118242" y="223345"/>
          <a:ext cx="759131" cy="684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304388</xdr:colOff>
      <xdr:row>34</xdr:row>
      <xdr:rowOff>155575</xdr:rowOff>
    </xdr:from>
    <xdr:to>
      <xdr:col>5</xdr:col>
      <xdr:colOff>609084</xdr:colOff>
      <xdr:row>34</xdr:row>
      <xdr:rowOff>155576</xdr:rowOff>
    </xdr:to>
    <xdr:cxnSp macro="">
      <xdr:nvCxnSpPr>
        <xdr:cNvPr id="3" name="4 Conector recto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CxnSpPr/>
      </xdr:nvCxnSpPr>
      <xdr:spPr bwMode="auto">
        <a:xfrm flipV="1">
          <a:off x="1157497" y="6881053"/>
          <a:ext cx="2160000" cy="1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69364</xdr:colOff>
      <xdr:row>38</xdr:row>
      <xdr:rowOff>52386</xdr:rowOff>
    </xdr:from>
    <xdr:to>
      <xdr:col>14</xdr:col>
      <xdr:colOff>693253</xdr:colOff>
      <xdr:row>78</xdr:row>
      <xdr:rowOff>140804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00000000-0008-0000-0D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80756</xdr:colOff>
      <xdr:row>79</xdr:row>
      <xdr:rowOff>95250</xdr:rowOff>
    </xdr:from>
    <xdr:to>
      <xdr:col>14</xdr:col>
      <xdr:colOff>704645</xdr:colOff>
      <xdr:row>119</xdr:row>
      <xdr:rowOff>157165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00000000-0008-0000-0D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318052</xdr:colOff>
      <xdr:row>0</xdr:row>
      <xdr:rowOff>144426</xdr:rowOff>
    </xdr:from>
    <xdr:to>
      <xdr:col>14</xdr:col>
      <xdr:colOff>428877</xdr:colOff>
      <xdr:row>4</xdr:row>
      <xdr:rowOff>168966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xmlns="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7252" y="144426"/>
          <a:ext cx="905955" cy="793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24448</xdr:colOff>
      <xdr:row>34</xdr:row>
      <xdr:rowOff>142322</xdr:rowOff>
    </xdr:from>
    <xdr:to>
      <xdr:col>13</xdr:col>
      <xdr:colOff>708994</xdr:colOff>
      <xdr:row>34</xdr:row>
      <xdr:rowOff>142323</xdr:rowOff>
    </xdr:to>
    <xdr:cxnSp macro="">
      <xdr:nvCxnSpPr>
        <xdr:cNvPr id="12" name="4 Conector recto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CxnSpPr/>
      </xdr:nvCxnSpPr>
      <xdr:spPr bwMode="auto">
        <a:xfrm flipV="1">
          <a:off x="7339648" y="7205731"/>
          <a:ext cx="2208546" cy="1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3</xdr:col>
      <xdr:colOff>57980</xdr:colOff>
      <xdr:row>0</xdr:row>
      <xdr:rowOff>49695</xdr:rowOff>
    </xdr:from>
    <xdr:to>
      <xdr:col>4</xdr:col>
      <xdr:colOff>129183</xdr:colOff>
      <xdr:row>4</xdr:row>
      <xdr:rowOff>187695</xdr:rowOff>
    </xdr:to>
    <xdr:pic>
      <xdr:nvPicPr>
        <xdr:cNvPr id="13" name="Imagen 12" descr="S.A.C.">
          <a:extLst>
            <a:ext uri="{FF2B5EF4-FFF2-40B4-BE49-F238E27FC236}">
              <a16:creationId xmlns="" xmlns:a16="http://schemas.microsoft.com/office/drawing/2014/main" id="{76FC1D84-A7C0-49E4-8FAD-D4A2195A16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1350067" y="49695"/>
          <a:ext cx="998855" cy="90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1140644</xdr:colOff>
      <xdr:row>28</xdr:row>
      <xdr:rowOff>176388</xdr:rowOff>
    </xdr:from>
    <xdr:to>
      <xdr:col>2</xdr:col>
      <xdr:colOff>109769</xdr:colOff>
      <xdr:row>28</xdr:row>
      <xdr:rowOff>176388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xmlns="" id="{00000000-0008-0000-0E00-000005000000}"/>
            </a:ext>
          </a:extLst>
        </xdr:cNvPr>
        <xdr:cNvSpPr>
          <a:spLocks noChangeShapeType="1"/>
        </xdr:cNvSpPr>
      </xdr:nvSpPr>
      <xdr:spPr bwMode="auto">
        <a:xfrm>
          <a:off x="1216844" y="6243813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>
    <xdr:from>
      <xdr:col>8</xdr:col>
      <xdr:colOff>212489</xdr:colOff>
      <xdr:row>28</xdr:row>
      <xdr:rowOff>164019</xdr:rowOff>
    </xdr:from>
    <xdr:to>
      <xdr:col>10</xdr:col>
      <xdr:colOff>600839</xdr:colOff>
      <xdr:row>28</xdr:row>
      <xdr:rowOff>164019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xmlns="" id="{00000000-0008-0000-0E00-000006000000}"/>
            </a:ext>
          </a:extLst>
        </xdr:cNvPr>
        <xdr:cNvSpPr>
          <a:spLocks noChangeShapeType="1"/>
        </xdr:cNvSpPr>
      </xdr:nvSpPr>
      <xdr:spPr bwMode="auto">
        <a:xfrm flipV="1">
          <a:off x="10469009" y="7989759"/>
          <a:ext cx="2217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581258</xdr:colOff>
      <xdr:row>28</xdr:row>
      <xdr:rowOff>171779</xdr:rowOff>
    </xdr:from>
    <xdr:to>
      <xdr:col>6</xdr:col>
      <xdr:colOff>464783</xdr:colOff>
      <xdr:row>28</xdr:row>
      <xdr:rowOff>171779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xmlns="" id="{00000000-0008-0000-0E00-000007000000}"/>
            </a:ext>
          </a:extLst>
        </xdr:cNvPr>
        <xdr:cNvSpPr>
          <a:spLocks noChangeShapeType="1"/>
        </xdr:cNvSpPr>
      </xdr:nvSpPr>
      <xdr:spPr bwMode="auto">
        <a:xfrm flipV="1">
          <a:off x="6425798" y="7997519"/>
          <a:ext cx="210094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571593</xdr:colOff>
      <xdr:row>1</xdr:row>
      <xdr:rowOff>67285</xdr:rowOff>
    </xdr:from>
    <xdr:to>
      <xdr:col>10</xdr:col>
      <xdr:colOff>714249</xdr:colOff>
      <xdr:row>4</xdr:row>
      <xdr:rowOff>228600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943" y="457810"/>
          <a:ext cx="1028481" cy="932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990600</xdr:colOff>
      <xdr:row>1</xdr:row>
      <xdr:rowOff>114300</xdr:rowOff>
    </xdr:from>
    <xdr:to>
      <xdr:col>1</xdr:col>
      <xdr:colOff>1989455</xdr:colOff>
      <xdr:row>4</xdr:row>
      <xdr:rowOff>242775</xdr:rowOff>
    </xdr:to>
    <xdr:pic>
      <xdr:nvPicPr>
        <xdr:cNvPr id="8" name="Imagen 7" descr="S.A.C.">
          <a:extLst>
            <a:ext uri="{FF2B5EF4-FFF2-40B4-BE49-F238E27FC236}">
              <a16:creationId xmlns="" xmlns:a16="http://schemas.microsoft.com/office/drawing/2014/main" id="{76FC1D84-A7C0-49E4-8FAD-D4A2195A16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1066800" y="495300"/>
          <a:ext cx="998855" cy="90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628651</xdr:colOff>
      <xdr:row>0</xdr:row>
      <xdr:rowOff>41276</xdr:rowOff>
    </xdr:from>
    <xdr:to>
      <xdr:col>1</xdr:col>
      <xdr:colOff>1203795</xdr:colOff>
      <xdr:row>2</xdr:row>
      <xdr:rowOff>241300</xdr:rowOff>
    </xdr:to>
    <xdr:pic>
      <xdr:nvPicPr>
        <xdr:cNvPr id="3" name="Picture 9" descr="LOGOS-ABC-BLANCO-206X100.jpg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r="63979"/>
        <a:stretch/>
      </xdr:blipFill>
      <xdr:spPr bwMode="auto">
        <a:xfrm>
          <a:off x="1041401" y="41276"/>
          <a:ext cx="575144" cy="708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181842</xdr:colOff>
      <xdr:row>0</xdr:row>
      <xdr:rowOff>17318</xdr:rowOff>
    </xdr:from>
    <xdr:to>
      <xdr:col>14</xdr:col>
      <xdr:colOff>502227</xdr:colOff>
      <xdr:row>2</xdr:row>
      <xdr:rowOff>219992</xdr:rowOff>
    </xdr:to>
    <xdr:pic>
      <xdr:nvPicPr>
        <xdr:cNvPr id="4" name="3 Imagen" descr="logo.jpg">
          <a:extLst>
            <a:ext uri="{FF2B5EF4-FFF2-40B4-BE49-F238E27FC236}">
              <a16:creationId xmlns:a16="http://schemas.microsoft.com/office/drawing/2014/main" xmlns="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1387" y="17318"/>
          <a:ext cx="1186295" cy="70490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9525</xdr:rowOff>
    </xdr:from>
    <xdr:to>
      <xdr:col>2</xdr:col>
      <xdr:colOff>419099</xdr:colOff>
      <xdr:row>5</xdr:row>
      <xdr:rowOff>130701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9525</xdr:rowOff>
    </xdr:from>
    <xdr:to>
      <xdr:col>2</xdr:col>
      <xdr:colOff>419099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A29443D8-61D9-4D7A-9A83-B1234AE58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9525</xdr:rowOff>
    </xdr:from>
    <xdr:to>
      <xdr:col>2</xdr:col>
      <xdr:colOff>419099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36562EC1-7A17-4898-B4EC-BF2524584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9525</xdr:rowOff>
    </xdr:from>
    <xdr:to>
      <xdr:col>2</xdr:col>
      <xdr:colOff>419099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39B014D4-60DF-4B3D-9855-41015E1DD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912034</xdr:colOff>
      <xdr:row>231</xdr:row>
      <xdr:rowOff>139976</xdr:rowOff>
    </xdr:from>
    <xdr:to>
      <xdr:col>5</xdr:col>
      <xdr:colOff>2712034</xdr:colOff>
      <xdr:row>231</xdr:row>
      <xdr:rowOff>139976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xmlns="" id="{00000000-0008-0000-0B00-000009000000}"/>
            </a:ext>
          </a:extLst>
        </xdr:cNvPr>
        <xdr:cNvSpPr>
          <a:spLocks noChangeShapeType="1"/>
        </xdr:cNvSpPr>
      </xdr:nvSpPr>
      <xdr:spPr bwMode="auto">
        <a:xfrm>
          <a:off x="1169209" y="41078426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4</xdr:row>
      <xdr:rowOff>19050</xdr:rowOff>
    </xdr:from>
    <xdr:to>
      <xdr:col>9</xdr:col>
      <xdr:colOff>239367</xdr:colOff>
      <xdr:row>17</xdr:row>
      <xdr:rowOff>135433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7F2D85AF-9F01-4F88-B80A-080C8087C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781050"/>
          <a:ext cx="2163417" cy="2221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197826</xdr:colOff>
      <xdr:row>11</xdr:row>
      <xdr:rowOff>43960</xdr:rowOff>
    </xdr:from>
    <xdr:to>
      <xdr:col>6</xdr:col>
      <xdr:colOff>610398</xdr:colOff>
      <xdr:row>11</xdr:row>
      <xdr:rowOff>408015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6788" y="2688979"/>
          <a:ext cx="412572" cy="364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117231</xdr:colOff>
      <xdr:row>8</xdr:row>
      <xdr:rowOff>14654</xdr:rowOff>
    </xdr:from>
    <xdr:to>
      <xdr:col>6</xdr:col>
      <xdr:colOff>636638</xdr:colOff>
      <xdr:row>8</xdr:row>
      <xdr:rowOff>482654</xdr:rowOff>
    </xdr:to>
    <xdr:pic>
      <xdr:nvPicPr>
        <xdr:cNvPr id="4" name="Imagen 3" descr="S.A.C.">
          <a:extLst>
            <a:ext uri="{FF2B5EF4-FFF2-40B4-BE49-F238E27FC236}">
              <a16:creationId xmlns="" xmlns:a16="http://schemas.microsoft.com/office/drawing/2014/main" id="{76FC1D84-A7C0-49E4-8FAD-D4A2195A16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5876193" y="1487366"/>
          <a:ext cx="519407" cy="468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302247</xdr:colOff>
      <xdr:row>48</xdr:row>
      <xdr:rowOff>3115</xdr:rowOff>
    </xdr:from>
    <xdr:to>
      <xdr:col>9</xdr:col>
      <xdr:colOff>988046</xdr:colOff>
      <xdr:row>48</xdr:row>
      <xdr:rowOff>3115</xdr:rowOff>
    </xdr:to>
    <xdr:sp macro="" textlink="">
      <xdr:nvSpPr>
        <xdr:cNvPr id="4097" name="Line 1">
          <a:extLst>
            <a:ext uri="{FF2B5EF4-FFF2-40B4-BE49-F238E27FC236}">
              <a16:creationId xmlns:a16="http://schemas.microsoft.com/office/drawing/2014/main" xmlns="" id="{00000000-0008-0000-0600-000001100000}"/>
            </a:ext>
          </a:extLst>
        </xdr:cNvPr>
        <xdr:cNvSpPr>
          <a:spLocks noChangeShapeType="1"/>
        </xdr:cNvSpPr>
      </xdr:nvSpPr>
      <xdr:spPr bwMode="auto">
        <a:xfrm>
          <a:off x="8011894" y="7208497"/>
          <a:ext cx="199688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188073</xdr:colOff>
      <xdr:row>48</xdr:row>
      <xdr:rowOff>0</xdr:rowOff>
    </xdr:from>
    <xdr:to>
      <xdr:col>7</xdr:col>
      <xdr:colOff>178323</xdr:colOff>
      <xdr:row>48</xdr:row>
      <xdr:rowOff>0</xdr:rowOff>
    </xdr:to>
    <xdr:sp macro="" textlink="">
      <xdr:nvSpPr>
        <xdr:cNvPr id="4099" name="Line 3">
          <a:extLst>
            <a:ext uri="{FF2B5EF4-FFF2-40B4-BE49-F238E27FC236}">
              <a16:creationId xmlns:a16="http://schemas.microsoft.com/office/drawing/2014/main" xmlns="" id="{00000000-0008-0000-0600-000003100000}"/>
            </a:ext>
          </a:extLst>
        </xdr:cNvPr>
        <xdr:cNvSpPr>
          <a:spLocks noChangeShapeType="1"/>
        </xdr:cNvSpPr>
      </xdr:nvSpPr>
      <xdr:spPr bwMode="auto">
        <a:xfrm>
          <a:off x="4782485" y="7676029"/>
          <a:ext cx="17943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5</xdr:col>
      <xdr:colOff>52182</xdr:colOff>
      <xdr:row>38</xdr:row>
      <xdr:rowOff>31890</xdr:rowOff>
    </xdr:from>
    <xdr:to>
      <xdr:col>7</xdr:col>
      <xdr:colOff>1298990</xdr:colOff>
      <xdr:row>42</xdr:row>
      <xdr:rowOff>145678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SpPr txBox="1"/>
      </xdr:nvSpPr>
      <xdr:spPr>
        <a:xfrm>
          <a:off x="4646594" y="6139096"/>
          <a:ext cx="3094804" cy="74131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 calidad de trabajo ejecutado, los servicios equipos y materiales han sido provistos de acuerdo con los requerimientos y especificaciones del contrato y las cantidades certificadas son correctas.</a:t>
          </a:r>
        </a:p>
      </xdr:txBody>
    </xdr:sp>
    <xdr:clientData/>
  </xdr:twoCellAnchor>
  <xdr:twoCellAnchor editAs="oneCell">
    <xdr:from>
      <xdr:col>0</xdr:col>
      <xdr:colOff>0</xdr:colOff>
      <xdr:row>49</xdr:row>
      <xdr:rowOff>86549</xdr:rowOff>
    </xdr:from>
    <xdr:to>
      <xdr:col>5</xdr:col>
      <xdr:colOff>8283</xdr:colOff>
      <xdr:row>53</xdr:row>
      <xdr:rowOff>105598</xdr:rowOff>
    </xdr:to>
    <xdr:sp macro="" textlink="">
      <xdr:nvSpPr>
        <xdr:cNvPr id="4103" name="TextBox 7">
          <a:extLst>
            <a:ext uri="{FF2B5EF4-FFF2-40B4-BE49-F238E27FC236}">
              <a16:creationId xmlns:a16="http://schemas.microsoft.com/office/drawing/2014/main" xmlns="" id="{00000000-0008-0000-0600-000007100000}"/>
            </a:ext>
          </a:extLst>
        </xdr:cNvPr>
        <xdr:cNvSpPr txBox="1">
          <a:spLocks noChangeArrowheads="1"/>
        </xdr:cNvSpPr>
      </xdr:nvSpPr>
      <xdr:spPr bwMode="auto">
        <a:xfrm>
          <a:off x="0" y="8120679"/>
          <a:ext cx="4953000" cy="681658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 fiscalización, garantiza que la ejecución de las actividades planificadas  por la Constructora y Supervisión se llevan a termino exitosamente y acorde a los términos establecidos en los Contratos respectivo y/o Pliego de Especificaciones Técnicas, por lo que prosidimentalmente corresponde procesar su pago.</a:t>
          </a:r>
        </a:p>
      </xdr:txBody>
    </xdr:sp>
    <xdr:clientData/>
  </xdr:twoCellAnchor>
  <xdr:twoCellAnchor editAs="oneCell">
    <xdr:from>
      <xdr:col>6</xdr:col>
      <xdr:colOff>24848</xdr:colOff>
      <xdr:row>50</xdr:row>
      <xdr:rowOff>33175</xdr:rowOff>
    </xdr:from>
    <xdr:to>
      <xdr:col>10</xdr:col>
      <xdr:colOff>1200978</xdr:colOff>
      <xdr:row>52</xdr:row>
      <xdr:rowOff>126307</xdr:rowOff>
    </xdr:to>
    <xdr:sp macro="" textlink="">
      <xdr:nvSpPr>
        <xdr:cNvPr id="4104" name="TextBox 8">
          <a:extLst>
            <a:ext uri="{FF2B5EF4-FFF2-40B4-BE49-F238E27FC236}">
              <a16:creationId xmlns:a16="http://schemas.microsoft.com/office/drawing/2014/main" xmlns="" id="{00000000-0008-0000-0600-000008100000}"/>
            </a:ext>
          </a:extLst>
        </xdr:cNvPr>
        <xdr:cNvSpPr txBox="1">
          <a:spLocks noChangeArrowheads="1"/>
        </xdr:cNvSpPr>
      </xdr:nvSpPr>
      <xdr:spPr bwMode="auto">
        <a:xfrm>
          <a:off x="5010978" y="8232958"/>
          <a:ext cx="6510130" cy="424436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Las autoridades de la ABC, han tomado conocimiento de la presente planilla de pago y ha establecido que en la emisión, revisión y aprobación, se ha aplicado la normativa prevista en los contratos de obra y de la supervisión, por lo que procedimentalmente corresponde el tramite de su pago.</a:t>
          </a:r>
        </a:p>
      </xdr:txBody>
    </xdr:sp>
    <xdr:clientData/>
  </xdr:twoCellAnchor>
  <xdr:twoCellAnchor editAs="oneCell">
    <xdr:from>
      <xdr:col>8</xdr:col>
      <xdr:colOff>59267</xdr:colOff>
      <xdr:row>38</xdr:row>
      <xdr:rowOff>6350</xdr:rowOff>
    </xdr:from>
    <xdr:to>
      <xdr:col>10</xdr:col>
      <xdr:colOff>1275523</xdr:colOff>
      <xdr:row>41</xdr:row>
      <xdr:rowOff>149088</xdr:rowOff>
    </xdr:to>
    <xdr:sp macro="" textlink="">
      <xdr:nvSpPr>
        <xdr:cNvPr id="15" name="TextBox 6">
          <a:extLst>
            <a:ext uri="{FF2B5EF4-FFF2-40B4-BE49-F238E27FC236}">
              <a16:creationId xmlns:a16="http://schemas.microsoft.com/office/drawing/2014/main" xmlns="" id="{00000000-0008-0000-0600-00000F000000}"/>
            </a:ext>
          </a:extLst>
        </xdr:cNvPr>
        <xdr:cNvSpPr txBox="1">
          <a:spLocks noChangeArrowheads="1"/>
        </xdr:cNvSpPr>
      </xdr:nvSpPr>
      <xdr:spPr bwMode="auto">
        <a:xfrm>
          <a:off x="7869767" y="6218307"/>
          <a:ext cx="3676190" cy="639694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El presente certificado de pago ha sido revisado y aprobado por el Supervisor</a:t>
          </a: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  <a:ea typeface="+mn-ea"/>
              <a:cs typeface="+mn-cs"/>
            </a:rPr>
            <a:t>, las cantidades certificadas en el presente certificado realizados de acuerdo al contrato y especificaciones tecnicas,</a:t>
          </a: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 por lo tanto la supervisión aprueba el presente certificado y recomienda a la ABC su pago.</a:t>
          </a:r>
        </a:p>
      </xdr:txBody>
    </xdr:sp>
    <xdr:clientData/>
  </xdr:twoCellAnchor>
  <xdr:twoCellAnchor>
    <xdr:from>
      <xdr:col>1</xdr:col>
      <xdr:colOff>166765</xdr:colOff>
      <xdr:row>57</xdr:row>
      <xdr:rowOff>149288</xdr:rowOff>
    </xdr:from>
    <xdr:to>
      <xdr:col>2</xdr:col>
      <xdr:colOff>875159</xdr:colOff>
      <xdr:row>57</xdr:row>
      <xdr:rowOff>149288</xdr:rowOff>
    </xdr:to>
    <xdr:sp macro="" textlink="">
      <xdr:nvSpPr>
        <xdr:cNvPr id="14" name="Line 2">
          <a:extLst>
            <a:ext uri="{FF2B5EF4-FFF2-40B4-BE49-F238E27FC236}">
              <a16:creationId xmlns:a16="http://schemas.microsoft.com/office/drawing/2014/main" xmlns="" id="{00000000-0008-0000-0600-00000E000000}"/>
            </a:ext>
          </a:extLst>
        </xdr:cNvPr>
        <xdr:cNvSpPr>
          <a:spLocks noChangeShapeType="1"/>
        </xdr:cNvSpPr>
      </xdr:nvSpPr>
      <xdr:spPr bwMode="auto">
        <a:xfrm>
          <a:off x="1293200" y="9574897"/>
          <a:ext cx="185139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481553</xdr:colOff>
      <xdr:row>57</xdr:row>
      <xdr:rowOff>160742</xdr:rowOff>
    </xdr:from>
    <xdr:to>
      <xdr:col>8</xdr:col>
      <xdr:colOff>791220</xdr:colOff>
      <xdr:row>57</xdr:row>
      <xdr:rowOff>160742</xdr:rowOff>
    </xdr:to>
    <xdr:sp macro="" textlink="">
      <xdr:nvSpPr>
        <xdr:cNvPr id="20" name="Line 4">
          <a:extLst>
            <a:ext uri="{FF2B5EF4-FFF2-40B4-BE49-F238E27FC236}">
              <a16:creationId xmlns:a16="http://schemas.microsoft.com/office/drawing/2014/main" xmlns="" id="{00000000-0008-0000-0600-000014000000}"/>
            </a:ext>
          </a:extLst>
        </xdr:cNvPr>
        <xdr:cNvSpPr>
          <a:spLocks noChangeShapeType="1"/>
        </xdr:cNvSpPr>
      </xdr:nvSpPr>
      <xdr:spPr bwMode="auto">
        <a:xfrm>
          <a:off x="6884010" y="9520090"/>
          <a:ext cx="17177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831690</xdr:colOff>
      <xdr:row>0</xdr:row>
      <xdr:rowOff>17575</xdr:rowOff>
    </xdr:from>
    <xdr:to>
      <xdr:col>10</xdr:col>
      <xdr:colOff>550081</xdr:colOff>
      <xdr:row>4</xdr:row>
      <xdr:rowOff>150288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9125" y="17575"/>
          <a:ext cx="861391" cy="7953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646043</xdr:colOff>
      <xdr:row>0</xdr:row>
      <xdr:rowOff>41411</xdr:rowOff>
    </xdr:from>
    <xdr:to>
      <xdr:col>1</xdr:col>
      <xdr:colOff>398601</xdr:colOff>
      <xdr:row>5</xdr:row>
      <xdr:rowOff>5150</xdr:rowOff>
    </xdr:to>
    <xdr:pic>
      <xdr:nvPicPr>
        <xdr:cNvPr id="13" name="Imagen 12" descr="S.A.C.">
          <a:extLst>
            <a:ext uri="{FF2B5EF4-FFF2-40B4-BE49-F238E27FC236}">
              <a16:creationId xmlns="" xmlns:a16="http://schemas.microsoft.com/office/drawing/2014/main" id="{76FC1D84-A7C0-49E4-8FAD-D4A2195A16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646043" y="41411"/>
          <a:ext cx="878993" cy="792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44</xdr:row>
      <xdr:rowOff>0</xdr:rowOff>
    </xdr:from>
    <xdr:to>
      <xdr:col>16</xdr:col>
      <xdr:colOff>0</xdr:colOff>
      <xdr:row>48</xdr:row>
      <xdr:rowOff>37783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23476" y="18316575"/>
          <a:ext cx="3362" cy="799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242608</xdr:colOff>
      <xdr:row>39</xdr:row>
      <xdr:rowOff>201706</xdr:rowOff>
    </xdr:from>
    <xdr:to>
      <xdr:col>5</xdr:col>
      <xdr:colOff>88033</xdr:colOff>
      <xdr:row>39</xdr:row>
      <xdr:rowOff>201706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CxnSpPr/>
      </xdr:nvCxnSpPr>
      <xdr:spPr>
        <a:xfrm flipV="1">
          <a:off x="1538008" y="8355106"/>
          <a:ext cx="2160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378198</xdr:colOff>
      <xdr:row>40</xdr:row>
      <xdr:rowOff>1</xdr:rowOff>
    </xdr:from>
    <xdr:to>
      <xdr:col>14</xdr:col>
      <xdr:colOff>795123</xdr:colOff>
      <xdr:row>40</xdr:row>
      <xdr:rowOff>1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CxnSpPr/>
      </xdr:nvCxnSpPr>
      <xdr:spPr>
        <a:xfrm flipV="1">
          <a:off x="7683873" y="8362951"/>
          <a:ext cx="2160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843239</xdr:colOff>
      <xdr:row>0</xdr:row>
      <xdr:rowOff>68917</xdr:rowOff>
    </xdr:from>
    <xdr:to>
      <xdr:col>16</xdr:col>
      <xdr:colOff>507066</xdr:colOff>
      <xdr:row>4</xdr:row>
      <xdr:rowOff>144336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4399" y="68917"/>
          <a:ext cx="989707" cy="845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0</xdr:row>
      <xdr:rowOff>66675</xdr:rowOff>
    </xdr:from>
    <xdr:to>
      <xdr:col>2</xdr:col>
      <xdr:colOff>435026</xdr:colOff>
      <xdr:row>4</xdr:row>
      <xdr:rowOff>159150</xdr:rowOff>
    </xdr:to>
    <xdr:pic>
      <xdr:nvPicPr>
        <xdr:cNvPr id="11" name="Imagen 10" descr="S.A.C.">
          <a:extLst>
            <a:ext uri="{FF2B5EF4-FFF2-40B4-BE49-F238E27FC236}">
              <a16:creationId xmlns="" xmlns:a16="http://schemas.microsoft.com/office/drawing/2014/main" id="{76FC1D84-A7C0-49E4-8FAD-D4A2195A16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771525" y="66675"/>
          <a:ext cx="958901" cy="864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475295</xdr:colOff>
      <xdr:row>50</xdr:row>
      <xdr:rowOff>140805</xdr:rowOff>
    </xdr:from>
    <xdr:to>
      <xdr:col>4</xdr:col>
      <xdr:colOff>679185</xdr:colOff>
      <xdr:row>50</xdr:row>
      <xdr:rowOff>140805</xdr:rowOff>
    </xdr:to>
    <xdr:sp macro="" textlink="">
      <xdr:nvSpPr>
        <xdr:cNvPr id="2" name="Line 9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>
          <a:spLocks noChangeShapeType="1"/>
        </xdr:cNvSpPr>
      </xdr:nvSpPr>
      <xdr:spPr bwMode="auto">
        <a:xfrm flipV="1">
          <a:off x="1154469" y="10610022"/>
          <a:ext cx="193495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619125</xdr:colOff>
      <xdr:row>112</xdr:row>
      <xdr:rowOff>85725</xdr:rowOff>
    </xdr:from>
    <xdr:to>
      <xdr:col>21</xdr:col>
      <xdr:colOff>476250</xdr:colOff>
      <xdr:row>112</xdr:row>
      <xdr:rowOff>85725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>
          <a:spLocks noChangeShapeType="1"/>
        </xdr:cNvSpPr>
      </xdr:nvSpPr>
      <xdr:spPr bwMode="auto">
        <a:xfrm flipV="1">
          <a:off x="17887950" y="26460450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130</xdr:row>
      <xdr:rowOff>85725</xdr:rowOff>
    </xdr:from>
    <xdr:to>
      <xdr:col>14</xdr:col>
      <xdr:colOff>161925</xdr:colOff>
      <xdr:row>130</xdr:row>
      <xdr:rowOff>85725</xdr:rowOff>
    </xdr:to>
    <xdr:sp macro="" textlink="">
      <xdr:nvSpPr>
        <xdr:cNvPr id="4" name="Line 11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SpPr>
          <a:spLocks noChangeShapeType="1"/>
        </xdr:cNvSpPr>
      </xdr:nvSpPr>
      <xdr:spPr bwMode="auto">
        <a:xfrm flipV="1">
          <a:off x="11106150" y="29546550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130</xdr:row>
      <xdr:rowOff>85725</xdr:rowOff>
    </xdr:from>
    <xdr:to>
      <xdr:col>14</xdr:col>
      <xdr:colOff>161925</xdr:colOff>
      <xdr:row>130</xdr:row>
      <xdr:rowOff>85725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SpPr>
          <a:spLocks noChangeShapeType="1"/>
        </xdr:cNvSpPr>
      </xdr:nvSpPr>
      <xdr:spPr bwMode="auto">
        <a:xfrm flipV="1">
          <a:off x="11106150" y="29546550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231924</xdr:colOff>
      <xdr:row>50</xdr:row>
      <xdr:rowOff>142875</xdr:rowOff>
    </xdr:from>
    <xdr:to>
      <xdr:col>9</xdr:col>
      <xdr:colOff>588533</xdr:colOff>
      <xdr:row>50</xdr:row>
      <xdr:rowOff>142875</xdr:rowOff>
    </xdr:to>
    <xdr:sp macro="" textlink="">
      <xdr:nvSpPr>
        <xdr:cNvPr id="6" name="Line 9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SpPr>
          <a:spLocks noChangeShapeType="1"/>
        </xdr:cNvSpPr>
      </xdr:nvSpPr>
      <xdr:spPr bwMode="auto">
        <a:xfrm flipV="1">
          <a:off x="5234620" y="10612092"/>
          <a:ext cx="227817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184634</xdr:colOff>
      <xdr:row>1</xdr:row>
      <xdr:rowOff>111672</xdr:rowOff>
    </xdr:from>
    <xdr:to>
      <xdr:col>9</xdr:col>
      <xdr:colOff>1187532</xdr:colOff>
      <xdr:row>6</xdr:row>
      <xdr:rowOff>13386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xmlns="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1525" y="277324"/>
          <a:ext cx="1002898" cy="877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</xdr:row>
      <xdr:rowOff>104775</xdr:rowOff>
    </xdr:from>
    <xdr:to>
      <xdr:col>3</xdr:col>
      <xdr:colOff>265430</xdr:colOff>
      <xdr:row>6</xdr:row>
      <xdr:rowOff>23700</xdr:rowOff>
    </xdr:to>
    <xdr:pic>
      <xdr:nvPicPr>
        <xdr:cNvPr id="10" name="Imagen 9" descr="S.A.C.">
          <a:extLst>
            <a:ext uri="{FF2B5EF4-FFF2-40B4-BE49-F238E27FC236}">
              <a16:creationId xmlns="" xmlns:a16="http://schemas.microsoft.com/office/drawing/2014/main" id="{76FC1D84-A7C0-49E4-8FAD-D4A2195A16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704850" y="266700"/>
          <a:ext cx="998855" cy="90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168825</xdr:colOff>
      <xdr:row>46</xdr:row>
      <xdr:rowOff>152400</xdr:rowOff>
    </xdr:from>
    <xdr:to>
      <xdr:col>4</xdr:col>
      <xdr:colOff>707827</xdr:colOff>
      <xdr:row>46</xdr:row>
      <xdr:rowOff>152400</xdr:rowOff>
    </xdr:to>
    <xdr:sp macro="" textlink="">
      <xdr:nvSpPr>
        <xdr:cNvPr id="2" name="Line 9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>
          <a:spLocks noChangeShapeType="1"/>
        </xdr:cNvSpPr>
      </xdr:nvSpPr>
      <xdr:spPr bwMode="auto">
        <a:xfrm flipV="1">
          <a:off x="978450" y="11010900"/>
          <a:ext cx="250115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619125</xdr:colOff>
      <xdr:row>108</xdr:row>
      <xdr:rowOff>85725</xdr:rowOff>
    </xdr:from>
    <xdr:to>
      <xdr:col>21</xdr:col>
      <xdr:colOff>476250</xdr:colOff>
      <xdr:row>108</xdr:row>
      <xdr:rowOff>85725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>
          <a:spLocks noChangeShapeType="1"/>
        </xdr:cNvSpPr>
      </xdr:nvSpPr>
      <xdr:spPr bwMode="auto">
        <a:xfrm flipV="1">
          <a:off x="16668750" y="214407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126</xdr:row>
      <xdr:rowOff>85725</xdr:rowOff>
    </xdr:from>
    <xdr:to>
      <xdr:col>14</xdr:col>
      <xdr:colOff>161925</xdr:colOff>
      <xdr:row>126</xdr:row>
      <xdr:rowOff>85725</xdr:rowOff>
    </xdr:to>
    <xdr:sp macro="" textlink="">
      <xdr:nvSpPr>
        <xdr:cNvPr id="4" name="Line 11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SpPr>
          <a:spLocks noChangeShapeType="1"/>
        </xdr:cNvSpPr>
      </xdr:nvSpPr>
      <xdr:spPr bwMode="auto">
        <a:xfrm flipV="1">
          <a:off x="9886950" y="2435542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126</xdr:row>
      <xdr:rowOff>85725</xdr:rowOff>
    </xdr:from>
    <xdr:to>
      <xdr:col>14</xdr:col>
      <xdr:colOff>161925</xdr:colOff>
      <xdr:row>126</xdr:row>
      <xdr:rowOff>85725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SpPr>
          <a:spLocks noChangeShapeType="1"/>
        </xdr:cNvSpPr>
      </xdr:nvSpPr>
      <xdr:spPr bwMode="auto">
        <a:xfrm flipV="1">
          <a:off x="9886950" y="2435542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224302</xdr:colOff>
      <xdr:row>46</xdr:row>
      <xdr:rowOff>152400</xdr:rowOff>
    </xdr:from>
    <xdr:to>
      <xdr:col>9</xdr:col>
      <xdr:colOff>688852</xdr:colOff>
      <xdr:row>46</xdr:row>
      <xdr:rowOff>152400</xdr:rowOff>
    </xdr:to>
    <xdr:sp macro="" textlink="">
      <xdr:nvSpPr>
        <xdr:cNvPr id="6" name="Line 9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SpPr>
          <a:spLocks noChangeShapeType="1"/>
        </xdr:cNvSpPr>
      </xdr:nvSpPr>
      <xdr:spPr bwMode="auto">
        <a:xfrm flipV="1">
          <a:off x="4996327" y="10915650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212910</xdr:colOff>
      <xdr:row>1</xdr:row>
      <xdr:rowOff>157439</xdr:rowOff>
    </xdr:from>
    <xdr:to>
      <xdr:col>9</xdr:col>
      <xdr:colOff>1320033</xdr:colOff>
      <xdr:row>5</xdr:row>
      <xdr:rowOff>215711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8460" y="319364"/>
          <a:ext cx="1107123" cy="9726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180975</xdr:rowOff>
    </xdr:from>
    <xdr:to>
      <xdr:col>3</xdr:col>
      <xdr:colOff>132080</xdr:colOff>
      <xdr:row>5</xdr:row>
      <xdr:rowOff>166575</xdr:rowOff>
    </xdr:to>
    <xdr:pic>
      <xdr:nvPicPr>
        <xdr:cNvPr id="9" name="Imagen 8" descr="S.A.C.">
          <a:extLst>
            <a:ext uri="{FF2B5EF4-FFF2-40B4-BE49-F238E27FC236}">
              <a16:creationId xmlns="" xmlns:a16="http://schemas.microsoft.com/office/drawing/2014/main" id="{76FC1D84-A7C0-49E4-8FAD-D4A2195A16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685800" y="342900"/>
          <a:ext cx="998855" cy="90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454581</xdr:colOff>
      <xdr:row>34</xdr:row>
      <xdr:rowOff>189379</xdr:rowOff>
    </xdr:from>
    <xdr:to>
      <xdr:col>4</xdr:col>
      <xdr:colOff>855257</xdr:colOff>
      <xdr:row>34</xdr:row>
      <xdr:rowOff>189379</xdr:rowOff>
    </xdr:to>
    <xdr:sp macro="" textlink="">
      <xdr:nvSpPr>
        <xdr:cNvPr id="2" name="Line 9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>
          <a:spLocks noChangeShapeType="1"/>
        </xdr:cNvSpPr>
      </xdr:nvSpPr>
      <xdr:spPr bwMode="auto">
        <a:xfrm flipV="1">
          <a:off x="1933757" y="7551644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619125</xdr:colOff>
      <xdr:row>95</xdr:row>
      <xdr:rowOff>85725</xdr:rowOff>
    </xdr:from>
    <xdr:to>
      <xdr:col>19</xdr:col>
      <xdr:colOff>476250</xdr:colOff>
      <xdr:row>95</xdr:row>
      <xdr:rowOff>85725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SpPr>
          <a:spLocks noChangeShapeType="1"/>
        </xdr:cNvSpPr>
      </xdr:nvSpPr>
      <xdr:spPr bwMode="auto">
        <a:xfrm flipV="1">
          <a:off x="17745075" y="2256472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542925</xdr:colOff>
      <xdr:row>113</xdr:row>
      <xdr:rowOff>85725</xdr:rowOff>
    </xdr:from>
    <xdr:to>
      <xdr:col>12</xdr:col>
      <xdr:colOff>161925</xdr:colOff>
      <xdr:row>113</xdr:row>
      <xdr:rowOff>85725</xdr:rowOff>
    </xdr:to>
    <xdr:sp macro="" textlink="">
      <xdr:nvSpPr>
        <xdr:cNvPr id="4" name="Line 11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SpPr>
          <a:spLocks noChangeShapeType="1"/>
        </xdr:cNvSpPr>
      </xdr:nvSpPr>
      <xdr:spPr bwMode="auto">
        <a:xfrm flipV="1">
          <a:off x="10963275" y="2547937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542925</xdr:colOff>
      <xdr:row>113</xdr:row>
      <xdr:rowOff>85725</xdr:rowOff>
    </xdr:from>
    <xdr:to>
      <xdr:col>12</xdr:col>
      <xdr:colOff>161925</xdr:colOff>
      <xdr:row>113</xdr:row>
      <xdr:rowOff>85725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SpPr>
          <a:spLocks noChangeShapeType="1"/>
        </xdr:cNvSpPr>
      </xdr:nvSpPr>
      <xdr:spPr bwMode="auto">
        <a:xfrm flipV="1">
          <a:off x="10963275" y="2547937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1525854</xdr:colOff>
      <xdr:row>35</xdr:row>
      <xdr:rowOff>2241</xdr:rowOff>
    </xdr:from>
    <xdr:to>
      <xdr:col>7</xdr:col>
      <xdr:colOff>256854</xdr:colOff>
      <xdr:row>35</xdr:row>
      <xdr:rowOff>2241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xmlns="" id="{00000000-0008-0000-0A00-00000A000000}"/>
            </a:ext>
          </a:extLst>
        </xdr:cNvPr>
        <xdr:cNvSpPr>
          <a:spLocks noChangeShapeType="1"/>
        </xdr:cNvSpPr>
      </xdr:nvSpPr>
      <xdr:spPr bwMode="auto">
        <a:xfrm flipV="1">
          <a:off x="6142678" y="7555006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7</xdr:col>
      <xdr:colOff>832892</xdr:colOff>
      <xdr:row>1</xdr:row>
      <xdr:rowOff>94908</xdr:rowOff>
    </xdr:from>
    <xdr:to>
      <xdr:col>7</xdr:col>
      <xdr:colOff>1893793</xdr:colOff>
      <xdr:row>5</xdr:row>
      <xdr:rowOff>159611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xmlns="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8716" y="319026"/>
          <a:ext cx="1060901" cy="91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829235</xdr:colOff>
      <xdr:row>1</xdr:row>
      <xdr:rowOff>112059</xdr:rowOff>
    </xdr:from>
    <xdr:to>
      <xdr:col>2</xdr:col>
      <xdr:colOff>449767</xdr:colOff>
      <xdr:row>5</xdr:row>
      <xdr:rowOff>160412</xdr:rowOff>
    </xdr:to>
    <xdr:pic>
      <xdr:nvPicPr>
        <xdr:cNvPr id="9" name="Imagen 8" descr="S.A.C.">
          <a:extLst>
            <a:ext uri="{FF2B5EF4-FFF2-40B4-BE49-F238E27FC236}">
              <a16:creationId xmlns="" xmlns:a16="http://schemas.microsoft.com/office/drawing/2014/main" id="{76FC1D84-A7C0-49E4-8FAD-D4A2195A16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930088" y="336177"/>
          <a:ext cx="998855" cy="90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enry/Configuraci&#243;n%20local/Archivos%20temporales%20de%20Internet/Content.IE5/FUQVST0H/Ancaravi_Huachacalla/MarcoAldunate/Programa%20de%20Obra/Gantt%20-%20Oficial/DIMENSIONAMIENTO%20(BASE_PROPUESTA)%20OFICI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Ancaravi_Huachacalla/MarcoAldunate/Programa%20de%20Obra/Gantt%20-%20Oficial/DIMENSIONAMIENTO%20(BASE_PROPUESTA)%20OFICI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ncaravi_Huachacalla\MarcoAldunate\Programa%20de%20Obra\Gantt%20-%20Oficial\DIMENSIONAMIENTO%20(BASE_PROPUESTA)%20OFICI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thian\My%20docs%20Alfa\Mis%20documentos\Proyecto%20Sucre\Generales%20de%20Proyecto\Varios%20Proyecto%20Sucre\Presup.%20David%20Melgar%20y%20Correcciones%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s%20Alfa/Mis%20documentos/Proyecto%20Sucre/Generales%20de%20Proyecto/Varios%20Proyecto%20Sucre/Presup.%20David%20Melgar%20y%20Correcciones%2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lvaro\tarija%202005\0%20SANTA%20BARBARA\CERTIFICADOS\CERTIFICADOS%20MODIFICADOS\Certificado%2005%20enero%20ok\SERGUT\OBRAS\YAPACANI\PLAN%20OCTUBRE%20ULTIMA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Alvaro/tarija%202005/0%20SANTA%20BARBARA/CERTIFICADOS/CERTIFICADOS%20MODIFICADOS/Certificado%2005%20enero%20ok/SERGUT/OBRAS/YAPACANI/PLAN%20OCTUBRE%20ULTIMA20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PROPUESTA\PERSUP_Oferta%20Econom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4.%20CERTIFICADO%20DE%20PAGO/8.%20CERT.DIC%202014/1.%20CONSORCIO%20DEL%20VALLE/4.%20CERTIFICADOS%20DE%20PAGO/6.%20CERT.%20OCTUBRE%202013/Ancaravi_Huachacalla/MarcoAldunate/Programa%20de%20Obra/Gantt%20-%20Oficial/DIMENSIONAMIENTO%20(BASE_PROPUESTA)%20OFICIA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ilmar/0%20CERTIFICACIONES%20CONTRATOS/VOLUMENTES%20CAPAS%20PAQUETE%20ESTRUCTURAL/EDED%2017-05-20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TAGAITA_TUPIZA/CERTIF.%20PAGO_SUP/Certif._N&#186;2%20Marzo%20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antaFe4\Desktop\Planilla%20Septiembre\Certificado%20Septiembre%202010\Planilla%20Septiembre\Oficial\Certificado%20de%20Pago%20No%201%20Santa%20Fe%20apoyo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CERTIF.%20PAGO_SUP\Certif._N&#186;2%20Marzo%20200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enesis\Configuraci&#243;n%20local\Archivos%20temporales%20de%20Internet\Content.IE5\8LI7CD23\SERGUT\OBRAS\YAPACANI\planilla%20septiembr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enesis/Configuraci&#243;n%20local/Archivos%20temporales%20de%20Internet/Content.IE5/8LI7CD23/SERGUT/OBRAS/YAPACANI/planilla%20septiembr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s10\trg-supervision\Wfiles-JVPC\Vla-NET\Cert%20de%20Pago\certicado%20de%20pago%20no18_enero2006_CSB%20CONCORDI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%20Aguaices/Certs%20of%20payment/CPN&#186;66_Agosto_SUP/CONCORDIA/CERTIFICADOS%20EN%20DIGITAL/CPN&#186;21%20AGO-11/CONCORDIA%20ACP/&#193;REA%20T&#201;CNICA/JMG%20VARIOS/025%20%20agosto%202006/certicado%20de%20pago%20no24_AGOSTO%202006%20VER3%2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4.%20CERTIFICADO%20DE%20PAGO/8.%20CERT.DIC%202014/Consorcio%20Aiquile/PROGRAMACION/PRESUPUESTO%20GENERAL%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amie%20Rivera/My%20Documents/Documentos%20Proyectos/Documentos%20Santa%20Cruz_El%20Cristo/06_Presupuestos%20de%20obra/PRESUPUESTO%20%202_4ANILL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mar\37)%20Marzo\certificado%2037\ESTACADO%20DEL%20EJE%20(22-12-09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emy\LICITACIONES\Lic%20Sunchu%20Tambo%20-%20Sucre%20-%20Yamparaez\preciosTRAMO%20YAMPARAEZ-SUNCHU%20TAMBOPRESENTAC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emy/LICITACIONES/Lic%20Sunchu%20Tambo%20-%20Sucre%20-%20Yamparaez/preciosTRAMO%20YAMPARAEZ-SUNCHU%20TAMBOPRESENTAC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abriel/Escritorio/ESTACADO%20DEL%20EJE%20(22-12-09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caravi_Huachacalla\MarcoAldunate\Programa%20de%20Obra\Gantt%20-%20Oficial\DIMENSIONAMIENTO%20(BASE_PROPUESTA)%20OFI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  <sheetName val="DEFINICION"/>
    </sheetNames>
    <sheetDataSet>
      <sheetData sheetId="0" refreshError="1"/>
      <sheetData sheetId="1">
        <row r="3">
          <cell r="B3">
            <v>0.1</v>
          </cell>
        </row>
        <row r="4">
          <cell r="B4">
            <v>0.05</v>
          </cell>
        </row>
        <row r="16">
          <cell r="B16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</sheetNames>
    <sheetDataSet>
      <sheetData sheetId="0" refreshError="1"/>
      <sheetData sheetId="1">
        <row r="3">
          <cell r="B3">
            <v>0.1</v>
          </cell>
        </row>
        <row r="5">
          <cell r="B5">
            <v>7.0000000000000007E-2</v>
          </cell>
        </row>
        <row r="6">
          <cell r="B6">
            <v>7.1</v>
          </cell>
        </row>
        <row r="14">
          <cell r="B14" t="str">
            <v>TRAMO: PUENTE SACRAMENTO - PUENTE ARCE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PARAMETROS GENERALES"/>
      <sheetName val="B-1"/>
      <sheetName val="B-2"/>
      <sheetName val="M"/>
      <sheetName val="E"/>
      <sheetName val="O"/>
      <sheetName val="ANEXO"/>
      <sheetName val="FORM. B3"/>
      <sheetName val="Módulo2"/>
      <sheetName val="Módulo3"/>
    </sheetNames>
    <sheetDataSet>
      <sheetData sheetId="0"/>
      <sheetData sheetId="1" refreshError="1">
        <row r="1">
          <cell r="C1" t="str">
            <v>Dolares de los Estados Unidos de Norte America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ESTACADO DEL EJE CADA 10 M"/>
      <sheetName val="EDED CADA 10 M 17-05-2010"/>
      <sheetName val="DELTA"/>
      <sheetName val="TRANSICIONES"/>
      <sheetName val="TALUDES"/>
      <sheetName val="EDED SOLO ENTERAS"/>
      <sheetName val="CON COORDENADAS"/>
      <sheetName val="Hoja1"/>
      <sheetName val="ESTACADO EJE c10 SE"/>
      <sheetName val="EDEDCADA 10M VARAS 136 7-10-10"/>
      <sheetName val="CON COORDENADAS (2)"/>
      <sheetName val="Hoja3"/>
      <sheetName val="EDED CADA VAR RAS 136"/>
      <sheetName val="EDED C 10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s"/>
      <sheetName val="Crt"/>
      <sheetName val="Cant"/>
      <sheetName val="Dev"/>
      <sheetName val="Res"/>
      <sheetName val="CDM"/>
      <sheetName val="SUBBASE"/>
      <sheetName val="BASE"/>
      <sheetName val="IMP."/>
      <sheetName val="TRATAMIENTO"/>
      <sheetName val="HºCº"/>
      <sheetName val="Cunetas"/>
      <sheetName val="Sub Dren"/>
      <sheetName val="Cor. Cun."/>
      <sheetName val="Item 9.1. vía existen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do_enero_06"/>
      <sheetName val="valorizaciones ene06"/>
      <sheetName val="cantidades_enero_2006"/>
      <sheetName val="catidades"/>
      <sheetName val="resumen drenaje"/>
      <sheetName val="resumen items-movtierras"/>
      <sheetName val="ITEM1"/>
      <sheetName val="ITEM2"/>
      <sheetName val="ITEM4"/>
      <sheetName val="ITEM5"/>
      <sheetName val="ITEM6"/>
      <sheetName val="ITEM7"/>
      <sheetName val="ITEM8"/>
      <sheetName val="ITEM9"/>
      <sheetName val="ITEM10"/>
      <sheetName val="ITEM11"/>
      <sheetName val="ITEM12"/>
      <sheetName val="ITEM14"/>
      <sheetName val="ITEM15"/>
      <sheetName val="ITEM16"/>
      <sheetName val="ITEM17"/>
      <sheetName val="ITEM20"/>
      <sheetName val="ITEM22"/>
      <sheetName val="ITEM23"/>
      <sheetName val="ITEM24"/>
      <sheetName val="ITEM25"/>
      <sheetName val="ITEM26"/>
      <sheetName val="ITEM27"/>
      <sheetName val="ITEM31"/>
      <sheetName val="ITEM32"/>
      <sheetName val="item1-detalle"/>
      <sheetName val="item2-detalle"/>
      <sheetName val="item4-detalle"/>
      <sheetName val="item5-detalle"/>
      <sheetName val="item6-detalle"/>
      <sheetName val="item7-detalle"/>
      <sheetName val="item8-detalle"/>
      <sheetName val="item9-detalle"/>
      <sheetName val="item10-detalle"/>
      <sheetName val="item11-detalle"/>
      <sheetName val="item12-detalle"/>
      <sheetName val="item14-detalle"/>
      <sheetName val="item15-detalle"/>
      <sheetName val="item16-detalle"/>
      <sheetName val="item17-detalle"/>
      <sheetName val="item20-detalle"/>
      <sheetName val="item22-detalle"/>
      <sheetName val="item23-detalle"/>
      <sheetName val="item24-detalle"/>
      <sheetName val="item25-detalle"/>
      <sheetName val="item26-detalle"/>
      <sheetName val="item27-detalle"/>
      <sheetName val="item31-detalle"/>
      <sheetName val="item32-detalle"/>
      <sheetName val="item32-recuper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RANTÍAS"/>
      <sheetName val="certificado_AGOSTO_06"/>
      <sheetName val="valorizaciones AGOSTO_06"/>
      <sheetName val="cantidades_AGOSTO_2006"/>
      <sheetName val="ITEM1"/>
      <sheetName val="item1-detalle"/>
      <sheetName val="ITEM2"/>
      <sheetName val="item2-detalle"/>
      <sheetName val="ITEM4"/>
      <sheetName val="item4-detalle"/>
      <sheetName val="ITEM5"/>
      <sheetName val="item5-detalle"/>
      <sheetName val="ITEM6"/>
      <sheetName val="item6-detalle"/>
      <sheetName val="ITEM7"/>
      <sheetName val="item7-detalle"/>
      <sheetName val="ITEM8"/>
      <sheetName val="item8-detalle"/>
      <sheetName val="ITEM9"/>
      <sheetName val="item9-detalle"/>
      <sheetName val="ITEM10"/>
      <sheetName val="item10-detalle"/>
      <sheetName val="ITEM11"/>
      <sheetName val="item11-detalle"/>
      <sheetName val="ITEM12"/>
      <sheetName val="item12-detalle"/>
      <sheetName val="ITEM13"/>
      <sheetName val="item13-detalle"/>
      <sheetName val="ITEM14"/>
      <sheetName val="item14-detalle"/>
      <sheetName val="ITEM15"/>
      <sheetName val="item15-detalle"/>
      <sheetName val="ITEM17"/>
      <sheetName val="item17-detalle"/>
      <sheetName val="item 18"/>
      <sheetName val="item18-detalle"/>
      <sheetName val="ITEM20"/>
      <sheetName val="item20-detalle"/>
      <sheetName val="ITEM22"/>
      <sheetName val="item22-detalle"/>
      <sheetName val="ITEM23"/>
      <sheetName val="item23-detalle"/>
      <sheetName val="ITEM24"/>
      <sheetName val="item24-detalle"/>
      <sheetName val="ITEM25"/>
      <sheetName val="item25-detalle"/>
      <sheetName val="ITEM26"/>
      <sheetName val="item26-detalle"/>
      <sheetName val="ITEM31"/>
      <sheetName val="item31-detalle"/>
      <sheetName val="ITEM32"/>
      <sheetName val="item32-detalle"/>
      <sheetName val="ITEM35"/>
      <sheetName val="item35-detalle"/>
      <sheetName val="ITEM27"/>
      <sheetName val="item27-detalle"/>
      <sheetName val="resumen items-movtierras"/>
      <sheetName val="item32-recuperado"/>
      <sheetName val="catidades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teral"/>
      <sheetName val="BASE"/>
      <sheetName val="INFORME"/>
      <sheetName val="INFORME GENERAL"/>
      <sheetName val="Formulario"/>
      <sheetName val="Presupuesto"/>
      <sheetName val="A"/>
      <sheetName val="B"/>
      <sheetName val="C"/>
      <sheetName val="D"/>
      <sheetName val="E"/>
      <sheetName val="G"/>
      <sheetName val="F"/>
      <sheetName val="H"/>
      <sheetName val="I"/>
      <sheetName val="J"/>
      <sheetName val="K"/>
      <sheetName val="L"/>
      <sheetName val="M"/>
      <sheetName val="N"/>
      <sheetName val="Ñ"/>
      <sheetName val="V"/>
      <sheetName val="W"/>
      <sheetName val="S"/>
      <sheetName val="T"/>
      <sheetName val="U"/>
      <sheetName val="O"/>
      <sheetName val="P"/>
      <sheetName val="R"/>
      <sheetName val="Q"/>
      <sheetName val="X"/>
      <sheetName val="Y"/>
      <sheetName val="Z"/>
      <sheetName val="AA"/>
      <sheetName val="AB"/>
      <sheetName val="AC"/>
      <sheetName val="AE"/>
      <sheetName val="AD"/>
      <sheetName val="AF"/>
      <sheetName val="AG"/>
      <sheetName val="AH"/>
      <sheetName val="AI"/>
      <sheetName val="AJ"/>
      <sheetName val="AK"/>
      <sheetName val="AL"/>
      <sheetName val="AM"/>
      <sheetName val="AN"/>
      <sheetName val="AÑ"/>
      <sheetName val="AO"/>
      <sheetName val="AP"/>
      <sheetName val="AQ"/>
      <sheetName val="AR"/>
      <sheetName val="AS"/>
      <sheetName val="AT"/>
      <sheetName val="AU"/>
      <sheetName val="AV"/>
      <sheetName val="AW"/>
      <sheetName val="AX"/>
      <sheetName val="AY"/>
      <sheetName val="AZ"/>
      <sheetName val="BA"/>
      <sheetName val="BB"/>
      <sheetName val="BC"/>
      <sheetName val="BD"/>
      <sheetName val="BE"/>
      <sheetName val="BF"/>
      <sheetName val="BG"/>
      <sheetName val="BH"/>
      <sheetName val="BI"/>
      <sheetName val="BJ"/>
      <sheetName val="BK"/>
      <sheetName val="BL"/>
      <sheetName val="BM"/>
      <sheetName val="BN"/>
      <sheetName val="BÑ"/>
      <sheetName val="BO"/>
      <sheetName val="BP"/>
      <sheetName val="BQ"/>
      <sheetName val="BR"/>
      <sheetName val="BS"/>
      <sheetName val="BT"/>
      <sheetName val="BU"/>
      <sheetName val="BV"/>
      <sheetName val="BW"/>
      <sheetName val="BX"/>
      <sheetName val="BY"/>
      <sheetName val="BZ"/>
      <sheetName val="CA"/>
      <sheetName val="CB"/>
      <sheetName val="CC"/>
      <sheetName val="CD"/>
      <sheetName val="CE"/>
      <sheetName val="CF"/>
      <sheetName val="CG"/>
      <sheetName val="CH"/>
      <sheetName val="CI"/>
      <sheetName val="CK"/>
      <sheetName val="CL"/>
      <sheetName val="CM"/>
      <sheetName val="CN"/>
      <sheetName val="CÑ"/>
      <sheetName val="CO"/>
      <sheetName val="CP"/>
      <sheetName val="CQ"/>
      <sheetName val="CR"/>
      <sheetName val="CS"/>
      <sheetName val="CT"/>
      <sheetName val="CU"/>
      <sheetName val="CV"/>
      <sheetName val="CW"/>
      <sheetName val="CX"/>
      <sheetName val="CY"/>
      <sheetName val="CZ"/>
      <sheetName val="DA"/>
      <sheetName val="DB"/>
      <sheetName val="DC"/>
      <sheetName val="DD"/>
      <sheetName val="DE"/>
      <sheetName val="DF"/>
    </sheetNames>
    <sheetDataSet>
      <sheetData sheetId="0"/>
      <sheetData sheetId="1"/>
      <sheetData sheetId="2"/>
      <sheetData sheetId="3"/>
      <sheetData sheetId="4"/>
      <sheetData sheetId="5">
        <row r="10">
          <cell r="F10">
            <v>1295.82</v>
          </cell>
        </row>
        <row r="11">
          <cell r="F11">
            <v>24.939999999999998</v>
          </cell>
        </row>
        <row r="12">
          <cell r="F12">
            <v>3.6399999999999997</v>
          </cell>
        </row>
        <row r="13">
          <cell r="F13">
            <v>30.370000000000005</v>
          </cell>
        </row>
        <row r="14">
          <cell r="F14">
            <v>8.32</v>
          </cell>
        </row>
        <row r="16">
          <cell r="F16">
            <v>34.549999999999997</v>
          </cell>
        </row>
        <row r="17">
          <cell r="F17">
            <v>89.43</v>
          </cell>
        </row>
        <row r="18">
          <cell r="F18">
            <v>109.22999999999998</v>
          </cell>
        </row>
        <row r="19">
          <cell r="F19">
            <v>3.8</v>
          </cell>
        </row>
        <row r="20">
          <cell r="F20">
            <v>3.3100000000000005</v>
          </cell>
        </row>
        <row r="21">
          <cell r="F21">
            <v>6.37</v>
          </cell>
        </row>
        <row r="22">
          <cell r="F22">
            <v>13.23</v>
          </cell>
        </row>
        <row r="24">
          <cell r="F24">
            <v>20.96</v>
          </cell>
        </row>
        <row r="25">
          <cell r="F25">
            <v>40.150000000000006</v>
          </cell>
        </row>
        <row r="26">
          <cell r="F26">
            <v>57.059999999999995</v>
          </cell>
        </row>
        <row r="27">
          <cell r="F27">
            <v>104.86</v>
          </cell>
        </row>
        <row r="28">
          <cell r="F28">
            <v>1404.88</v>
          </cell>
        </row>
        <row r="29">
          <cell r="F29">
            <v>30.76</v>
          </cell>
        </row>
        <row r="30">
          <cell r="F30">
            <v>895.16</v>
          </cell>
        </row>
        <row r="31">
          <cell r="F31">
            <v>698.35</v>
          </cell>
        </row>
        <row r="32">
          <cell r="F32">
            <v>1247.1400000000001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D (2)"/>
      <sheetName val="INDIRECTOS"/>
      <sheetName val="DEFINICION"/>
      <sheetName val="Hoja2"/>
      <sheetName val="RESUMEN"/>
      <sheetName val="FORM A1"/>
      <sheetName val="FORM A10"/>
      <sheetName val="FORM A11"/>
      <sheetName val="resumen dimen"/>
      <sheetName val="dimensionamiento"/>
      <sheetName val="desembolso"/>
      <sheetName val="RESUMEN B1"/>
      <sheetName val="PRESUPUESTO PRESENTACION"/>
      <sheetName val="PRESUPUESTO"/>
      <sheetName val="INSUMOS"/>
      <sheetName val="PUNIT"/>
      <sheetName val="LAPUORDENADO"/>
      <sheetName val="LAPU"/>
      <sheetName val="COST-EQU"/>
      <sheetName val="cro_eq"/>
      <sheetName val="UTILIZACION"/>
      <sheetName val="Hoja4"/>
      <sheetName val="Hoja3"/>
      <sheetName val="Hoja5"/>
      <sheetName val="Hoja1"/>
      <sheetName val="imp_apu"/>
      <sheetName val="imp_apu2"/>
      <sheetName val="Movilizacion"/>
    </sheetNames>
    <sheetDataSet>
      <sheetData sheetId="0" refreshError="1"/>
      <sheetData sheetId="1" refreshError="1"/>
      <sheetData sheetId="2" refreshError="1"/>
      <sheetData sheetId="3">
        <row r="12">
          <cell r="B12" t="str">
            <v>LICITACION PUBLICA NACIONAL N° ___/2006</v>
          </cell>
        </row>
        <row r="13">
          <cell r="B13" t="str">
            <v>AMPLIACION DE VIAS DE LA AV. CRISTO REDENDOR DESDE 2° AL 4° ANILLO</v>
          </cell>
        </row>
        <row r="15">
          <cell r="B15" t="str">
            <v>$us</v>
          </cell>
          <cell r="C15" t="str">
            <v>Dólar Americano</v>
          </cell>
        </row>
        <row r="16">
          <cell r="B16">
            <v>1</v>
          </cell>
        </row>
        <row r="17">
          <cell r="B17" t="str">
            <v>____________________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6"/>
  <sheetViews>
    <sheetView showGridLines="0" topLeftCell="C1" zoomScale="130" zoomScaleNormal="130" workbookViewId="0">
      <selection activeCell="D21" sqref="D20:D21"/>
    </sheetView>
  </sheetViews>
  <sheetFormatPr baseColWidth="10" defaultRowHeight="13.2"/>
  <cols>
    <col min="1" max="6" width="11.44140625" style="547"/>
    <col min="7" max="7" width="15.44140625" style="547" customWidth="1"/>
    <col min="8" max="262" width="11.44140625" style="547"/>
    <col min="263" max="263" width="15.44140625" style="547" customWidth="1"/>
    <col min="264" max="518" width="11.44140625" style="547"/>
    <col min="519" max="519" width="15.44140625" style="547" customWidth="1"/>
    <col min="520" max="774" width="11.44140625" style="547"/>
    <col min="775" max="775" width="15.44140625" style="547" customWidth="1"/>
    <col min="776" max="1030" width="11.44140625" style="547"/>
    <col min="1031" max="1031" width="15.44140625" style="547" customWidth="1"/>
    <col min="1032" max="1286" width="11.44140625" style="547"/>
    <col min="1287" max="1287" width="15.44140625" style="547" customWidth="1"/>
    <col min="1288" max="1542" width="11.44140625" style="547"/>
    <col min="1543" max="1543" width="15.44140625" style="547" customWidth="1"/>
    <col min="1544" max="1798" width="11.44140625" style="547"/>
    <col min="1799" max="1799" width="15.44140625" style="547" customWidth="1"/>
    <col min="1800" max="2054" width="11.44140625" style="547"/>
    <col min="2055" max="2055" width="15.44140625" style="547" customWidth="1"/>
    <col min="2056" max="2310" width="11.44140625" style="547"/>
    <col min="2311" max="2311" width="15.44140625" style="547" customWidth="1"/>
    <col min="2312" max="2566" width="11.44140625" style="547"/>
    <col min="2567" max="2567" width="15.44140625" style="547" customWidth="1"/>
    <col min="2568" max="2822" width="11.44140625" style="547"/>
    <col min="2823" max="2823" width="15.44140625" style="547" customWidth="1"/>
    <col min="2824" max="3078" width="11.44140625" style="547"/>
    <col min="3079" max="3079" width="15.44140625" style="547" customWidth="1"/>
    <col min="3080" max="3334" width="11.44140625" style="547"/>
    <col min="3335" max="3335" width="15.44140625" style="547" customWidth="1"/>
    <col min="3336" max="3590" width="11.44140625" style="547"/>
    <col min="3591" max="3591" width="15.44140625" style="547" customWidth="1"/>
    <col min="3592" max="3846" width="11.44140625" style="547"/>
    <col min="3847" max="3847" width="15.44140625" style="547" customWidth="1"/>
    <col min="3848" max="4102" width="11.44140625" style="547"/>
    <col min="4103" max="4103" width="15.44140625" style="547" customWidth="1"/>
    <col min="4104" max="4358" width="11.44140625" style="547"/>
    <col min="4359" max="4359" width="15.44140625" style="547" customWidth="1"/>
    <col min="4360" max="4614" width="11.44140625" style="547"/>
    <col min="4615" max="4615" width="15.44140625" style="547" customWidth="1"/>
    <col min="4616" max="4870" width="11.44140625" style="547"/>
    <col min="4871" max="4871" width="15.44140625" style="547" customWidth="1"/>
    <col min="4872" max="5126" width="11.44140625" style="547"/>
    <col min="5127" max="5127" width="15.44140625" style="547" customWidth="1"/>
    <col min="5128" max="5382" width="11.44140625" style="547"/>
    <col min="5383" max="5383" width="15.44140625" style="547" customWidth="1"/>
    <col min="5384" max="5638" width="11.44140625" style="547"/>
    <col min="5639" max="5639" width="15.44140625" style="547" customWidth="1"/>
    <col min="5640" max="5894" width="11.44140625" style="547"/>
    <col min="5895" max="5895" width="15.44140625" style="547" customWidth="1"/>
    <col min="5896" max="6150" width="11.44140625" style="547"/>
    <col min="6151" max="6151" width="15.44140625" style="547" customWidth="1"/>
    <col min="6152" max="6406" width="11.44140625" style="547"/>
    <col min="6407" max="6407" width="15.44140625" style="547" customWidth="1"/>
    <col min="6408" max="6662" width="11.44140625" style="547"/>
    <col min="6663" max="6663" width="15.44140625" style="547" customWidth="1"/>
    <col min="6664" max="6918" width="11.44140625" style="547"/>
    <col min="6919" max="6919" width="15.44140625" style="547" customWidth="1"/>
    <col min="6920" max="7174" width="11.44140625" style="547"/>
    <col min="7175" max="7175" width="15.44140625" style="547" customWidth="1"/>
    <col min="7176" max="7430" width="11.44140625" style="547"/>
    <col min="7431" max="7431" width="15.44140625" style="547" customWidth="1"/>
    <col min="7432" max="7686" width="11.44140625" style="547"/>
    <col min="7687" max="7687" width="15.44140625" style="547" customWidth="1"/>
    <col min="7688" max="7942" width="11.44140625" style="547"/>
    <col min="7943" max="7943" width="15.44140625" style="547" customWidth="1"/>
    <col min="7944" max="8198" width="11.44140625" style="547"/>
    <col min="8199" max="8199" width="15.44140625" style="547" customWidth="1"/>
    <col min="8200" max="8454" width="11.44140625" style="547"/>
    <col min="8455" max="8455" width="15.44140625" style="547" customWidth="1"/>
    <col min="8456" max="8710" width="11.44140625" style="547"/>
    <col min="8711" max="8711" width="15.44140625" style="547" customWidth="1"/>
    <col min="8712" max="8966" width="11.44140625" style="547"/>
    <col min="8967" max="8967" width="15.44140625" style="547" customWidth="1"/>
    <col min="8968" max="9222" width="11.44140625" style="547"/>
    <col min="9223" max="9223" width="15.44140625" style="547" customWidth="1"/>
    <col min="9224" max="9478" width="11.44140625" style="547"/>
    <col min="9479" max="9479" width="15.44140625" style="547" customWidth="1"/>
    <col min="9480" max="9734" width="11.44140625" style="547"/>
    <col min="9735" max="9735" width="15.44140625" style="547" customWidth="1"/>
    <col min="9736" max="9990" width="11.44140625" style="547"/>
    <col min="9991" max="9991" width="15.44140625" style="547" customWidth="1"/>
    <col min="9992" max="10246" width="11.44140625" style="547"/>
    <col min="10247" max="10247" width="15.44140625" style="547" customWidth="1"/>
    <col min="10248" max="10502" width="11.44140625" style="547"/>
    <col min="10503" max="10503" width="15.44140625" style="547" customWidth="1"/>
    <col min="10504" max="10758" width="11.44140625" style="547"/>
    <col min="10759" max="10759" width="15.44140625" style="547" customWidth="1"/>
    <col min="10760" max="11014" width="11.44140625" style="547"/>
    <col min="11015" max="11015" width="15.44140625" style="547" customWidth="1"/>
    <col min="11016" max="11270" width="11.44140625" style="547"/>
    <col min="11271" max="11271" width="15.44140625" style="547" customWidth="1"/>
    <col min="11272" max="11526" width="11.44140625" style="547"/>
    <col min="11527" max="11527" width="15.44140625" style="547" customWidth="1"/>
    <col min="11528" max="11782" width="11.44140625" style="547"/>
    <col min="11783" max="11783" width="15.44140625" style="547" customWidth="1"/>
    <col min="11784" max="12038" width="11.44140625" style="547"/>
    <col min="12039" max="12039" width="15.44140625" style="547" customWidth="1"/>
    <col min="12040" max="12294" width="11.44140625" style="547"/>
    <col min="12295" max="12295" width="15.44140625" style="547" customWidth="1"/>
    <col min="12296" max="12550" width="11.44140625" style="547"/>
    <col min="12551" max="12551" width="15.44140625" style="547" customWidth="1"/>
    <col min="12552" max="12806" width="11.44140625" style="547"/>
    <col min="12807" max="12807" width="15.44140625" style="547" customWidth="1"/>
    <col min="12808" max="13062" width="11.44140625" style="547"/>
    <col min="13063" max="13063" width="15.44140625" style="547" customWidth="1"/>
    <col min="13064" max="13318" width="11.44140625" style="547"/>
    <col min="13319" max="13319" width="15.44140625" style="547" customWidth="1"/>
    <col min="13320" max="13574" width="11.44140625" style="547"/>
    <col min="13575" max="13575" width="15.44140625" style="547" customWidth="1"/>
    <col min="13576" max="13830" width="11.44140625" style="547"/>
    <col min="13831" max="13831" width="15.44140625" style="547" customWidth="1"/>
    <col min="13832" max="14086" width="11.44140625" style="547"/>
    <col min="14087" max="14087" width="15.44140625" style="547" customWidth="1"/>
    <col min="14088" max="14342" width="11.44140625" style="547"/>
    <col min="14343" max="14343" width="15.44140625" style="547" customWidth="1"/>
    <col min="14344" max="14598" width="11.44140625" style="547"/>
    <col min="14599" max="14599" width="15.44140625" style="547" customWidth="1"/>
    <col min="14600" max="14854" width="11.44140625" style="547"/>
    <col min="14855" max="14855" width="15.44140625" style="547" customWidth="1"/>
    <col min="14856" max="15110" width="11.44140625" style="547"/>
    <col min="15111" max="15111" width="15.44140625" style="547" customWidth="1"/>
    <col min="15112" max="15366" width="11.44140625" style="547"/>
    <col min="15367" max="15367" width="15.44140625" style="547" customWidth="1"/>
    <col min="15368" max="15622" width="11.44140625" style="547"/>
    <col min="15623" max="15623" width="15.44140625" style="547" customWidth="1"/>
    <col min="15624" max="15878" width="11.44140625" style="547"/>
    <col min="15879" max="15879" width="15.44140625" style="547" customWidth="1"/>
    <col min="15880" max="16134" width="11.44140625" style="547"/>
    <col min="16135" max="16135" width="15.44140625" style="547" customWidth="1"/>
    <col min="16136" max="16384" width="11.44140625" style="547"/>
  </cols>
  <sheetData>
    <row r="1" spans="1:8" ht="13.8">
      <c r="A1" s="545">
        <f>[25]Presupuesto!$F10</f>
        <v>1295.82</v>
      </c>
      <c r="B1" s="546" t="str">
        <f ca="1">TRIM(CONCATENATE(U54,U53,U52,U51,U50))</f>
        <v>MIL DOSCIENTOS NOVENTA Y CINCO 82/100 BOLIVIANOS</v>
      </c>
      <c r="G1" s="545">
        <f>ROUND(Certificado!J36,2)</f>
        <v>59591.43</v>
      </c>
      <c r="H1" s="546" t="str">
        <f ca="1">TRIM(CONCATENATE(U295,U294,U293,U292))</f>
        <v>CINCUENTA Y NUEVE MIL QUINIENTOS NOVENTA Y UNO 43/100 BOLIVIANOS</v>
      </c>
    </row>
    <row r="2" spans="1:8" ht="13.8">
      <c r="A2" s="545">
        <f>[25]Presupuesto!$F11</f>
        <v>24.939999999999998</v>
      </c>
      <c r="B2" s="546" t="str">
        <f ca="1">TRIM(CONCATENATE(U65,U64,U63,U62,U61))</f>
        <v>VEINTICUATRO 94/100 BOLIVIANOS</v>
      </c>
    </row>
    <row r="3" spans="1:8" ht="13.8">
      <c r="A3" s="545">
        <f>[25]Presupuesto!$F12</f>
        <v>3.6399999999999997</v>
      </c>
      <c r="B3" s="546" t="str">
        <f ca="1">TRIM(CONCATENATE(U76,U75,U74,U73,U72))</f>
        <v>TRES 64/100 BOLIVIANOS</v>
      </c>
    </row>
    <row r="4" spans="1:8" ht="13.8">
      <c r="A4" s="545">
        <f>[25]Presupuesto!$F13</f>
        <v>30.370000000000005</v>
      </c>
      <c r="B4" s="546" t="str">
        <f ca="1">TRIM(CONCATENATE(U87,U86,U85,U84,U83))</f>
        <v>TREINTA 37/100 BOLIVIANOS</v>
      </c>
    </row>
    <row r="5" spans="1:8" ht="13.8">
      <c r="A5" s="545">
        <f>[25]Presupuesto!$F14</f>
        <v>8.32</v>
      </c>
      <c r="B5" s="546" t="str">
        <f ca="1">TRIM(CONCATENATE(U98,U97,U96,U95,U94))</f>
        <v>OCHO 32/100 BOLIVIANOS</v>
      </c>
    </row>
    <row r="6" spans="1:8" ht="13.8">
      <c r="A6" s="545">
        <f>[25]Presupuesto!$F16</f>
        <v>34.549999999999997</v>
      </c>
      <c r="B6" s="546" t="str">
        <f ca="1">TRIM(CONCATENATE(U109,U108,U107,U106,U105))</f>
        <v>TREINTA Y CUATRO 55/100 BOLIVIANOS</v>
      </c>
    </row>
    <row r="7" spans="1:8" ht="13.8">
      <c r="A7" s="545">
        <f>[25]Presupuesto!$F17</f>
        <v>89.43</v>
      </c>
      <c r="B7" s="546" t="str">
        <f ca="1">TRIM(CONCATENATE(U120,U119,U118,U117,U116))</f>
        <v>OCHENTA Y NUEVE 43/100 BOLIVIANOS</v>
      </c>
    </row>
    <row r="8" spans="1:8" ht="13.8">
      <c r="A8" s="545">
        <f>[25]Presupuesto!$F18</f>
        <v>109.22999999999998</v>
      </c>
      <c r="B8" s="546" t="str">
        <f ca="1">TRIM(CONCATENATE(U131,U130,U129,U128,U127))</f>
        <v>CIENTO NUEVE 23/100 BOLIVIANOS</v>
      </c>
    </row>
    <row r="9" spans="1:8" ht="13.8">
      <c r="A9" s="545">
        <f>[25]Presupuesto!$F19</f>
        <v>3.8</v>
      </c>
      <c r="B9" s="546" t="str">
        <f ca="1">TRIM(CONCATENATE(U142,U141,U140,U139,U138))</f>
        <v>TRES 80/100 BOLIVIANOS</v>
      </c>
    </row>
    <row r="10" spans="1:8" ht="13.8">
      <c r="A10" s="545">
        <f>[25]Presupuesto!$F20</f>
        <v>3.3100000000000005</v>
      </c>
      <c r="B10" s="546" t="str">
        <f ca="1">TRIM(CONCATENATE(U153,U152,U151,U150,U149))</f>
        <v>TRES 31/100 BOLIVIANOS</v>
      </c>
    </row>
    <row r="11" spans="1:8" ht="13.8">
      <c r="A11" s="545">
        <f>[25]Presupuesto!$F21</f>
        <v>6.37</v>
      </c>
      <c r="B11" s="546" t="str">
        <f ca="1">TRIM(CONCATENATE(U164,U163,U162,U161,U160))</f>
        <v>SEIS 37/100 BOLIVIANOS</v>
      </c>
    </row>
    <row r="12" spans="1:8" ht="13.8">
      <c r="A12" s="545">
        <f>[25]Presupuesto!$F22</f>
        <v>13.23</v>
      </c>
      <c r="B12" s="546" t="str">
        <f ca="1">TRIM(CONCATENATE(U175,U174,U173,U172,U171))</f>
        <v>TRECE 23/100 BOLIVIANOS</v>
      </c>
    </row>
    <row r="13" spans="1:8" ht="13.8">
      <c r="A13" s="545">
        <f>[25]Presupuesto!$F24</f>
        <v>20.96</v>
      </c>
      <c r="B13" s="546" t="str">
        <f ca="1">TRIM(CONCATENATE(U186,U185,U184,U183,U182))</f>
        <v>VEINTE 96/100 BOLIVIANOS</v>
      </c>
    </row>
    <row r="14" spans="1:8" ht="13.8">
      <c r="A14" s="545">
        <f>[25]Presupuesto!$F25</f>
        <v>40.150000000000006</v>
      </c>
      <c r="B14" s="546" t="str">
        <f ca="1">TRIM(CONCATENATE(U197,U196,U195,U194,U193))</f>
        <v>CUARENTA 15/100 BOLIVIANOS</v>
      </c>
    </row>
    <row r="15" spans="1:8" ht="13.8">
      <c r="A15" s="545">
        <f>[25]Presupuesto!$F26</f>
        <v>57.059999999999995</v>
      </c>
      <c r="B15" s="546" t="str">
        <f ca="1">TRIM(CONCATENATE(U208,U207,U206,U205,U204))</f>
        <v>CINCUENTA Y SIETE 06/100 BOLIVIANOS</v>
      </c>
    </row>
    <row r="16" spans="1:8" ht="13.8">
      <c r="A16" s="545">
        <f>[25]Presupuesto!$F27</f>
        <v>104.86</v>
      </c>
      <c r="B16" s="546" t="str">
        <f ca="1">TRIM(CONCATENATE(U219,U218,U217,U216,U215))</f>
        <v>CIENTO CUATRO 86/100 BOLIVIANOS</v>
      </c>
    </row>
    <row r="17" spans="1:19" ht="13.8">
      <c r="A17" s="545">
        <f>[25]Presupuesto!$F28</f>
        <v>1404.88</v>
      </c>
      <c r="B17" s="546" t="str">
        <f ca="1">TRIM(CONCATENATE(U230,U229,U228,U227,U226))</f>
        <v>MIL CUATROCIENTOS CUATRO 88/100 BOLIVIANOS</v>
      </c>
    </row>
    <row r="18" spans="1:19" ht="13.8">
      <c r="A18" s="545">
        <f>[25]Presupuesto!$F29</f>
        <v>30.76</v>
      </c>
      <c r="B18" s="546" t="str">
        <f ca="1">TRIM(CONCATENATE(U241,U240,U239,U238,U237))</f>
        <v>TREINTA 76/100 BOLIVIANOS</v>
      </c>
    </row>
    <row r="19" spans="1:19" ht="13.8">
      <c r="A19" s="545">
        <f>[25]Presupuesto!$F30</f>
        <v>895.16</v>
      </c>
      <c r="B19" s="546" t="str">
        <f ca="1">TRIM(CONCATENATE(U252,U251,U250,U249,U248))</f>
        <v>OCHOCIENTOS NOVENTA Y CINCO 16/100 BOLIVIANOS</v>
      </c>
    </row>
    <row r="20" spans="1:19" ht="13.8">
      <c r="A20" s="545">
        <f>[25]Presupuesto!$F31</f>
        <v>698.35</v>
      </c>
      <c r="B20" s="546" t="str">
        <f ca="1">TRIM(CONCATENATE(U263,U262,U261,U260,U259))</f>
        <v>SEISCIENTOS NOVENTA Y OCHO 35/100 BOLIVIANOS</v>
      </c>
    </row>
    <row r="21" spans="1:19" s="548" customFormat="1" ht="13.8">
      <c r="A21" s="545">
        <f>[25]Presupuesto!$F32</f>
        <v>1247.1400000000001</v>
      </c>
      <c r="B21" s="546" t="str">
        <f ca="1">TRIM(CONCATENATE(U274,U273,U272,U271,U270))</f>
        <v>MIL DOSCIENTOS CUARENTA Y SIETE 14/100 BOLIVIANOS</v>
      </c>
    </row>
    <row r="22" spans="1:19" s="548" customFormat="1" ht="13.8">
      <c r="A22" s="545" t="e">
        <f>[25]Presupuesto!#REF!</f>
        <v>#REF!</v>
      </c>
      <c r="B22" s="546" t="e">
        <f ca="1">TRIM(CONCATENATE(U285,U284,U283,U282,U281))</f>
        <v>#REF!</v>
      </c>
    </row>
    <row r="23" spans="1:19" s="548" customFormat="1" ht="13.8">
      <c r="A23" s="545">
        <f>[25]Presupuesto!$F121</f>
        <v>0</v>
      </c>
      <c r="B23" s="546"/>
    </row>
    <row r="24" spans="1:19" s="548" customFormat="1" ht="13.8">
      <c r="A24" s="545" t="e">
        <f>[25]Presupuesto!#REF!</f>
        <v>#REF!</v>
      </c>
      <c r="B24" s="546"/>
    </row>
    <row r="25" spans="1:19" s="548" customFormat="1" ht="13.8">
      <c r="A25" s="545" t="e">
        <f>[25]Presupuesto!#REF!</f>
        <v>#REF!</v>
      </c>
      <c r="B25" s="546"/>
    </row>
    <row r="26" spans="1:19" ht="13.8">
      <c r="A26" s="549">
        <v>0</v>
      </c>
      <c r="B26" s="549" t="s">
        <v>295</v>
      </c>
      <c r="C26" s="549">
        <v>10</v>
      </c>
      <c r="D26" s="549" t="s">
        <v>296</v>
      </c>
      <c r="E26" s="549">
        <v>100</v>
      </c>
      <c r="F26" s="549" t="s">
        <v>297</v>
      </c>
      <c r="G26" s="549"/>
      <c r="I26" s="549"/>
      <c r="J26" s="549"/>
      <c r="K26" s="549"/>
      <c r="L26" s="549"/>
      <c r="M26" s="549"/>
      <c r="N26" s="549"/>
      <c r="O26" s="549"/>
      <c r="P26" s="549"/>
      <c r="Q26" s="549"/>
      <c r="R26" s="549"/>
      <c r="S26" s="549"/>
    </row>
    <row r="27" spans="1:19" ht="13.8">
      <c r="A27" s="549">
        <v>1</v>
      </c>
      <c r="B27" s="549" t="s">
        <v>298</v>
      </c>
      <c r="C27" s="549">
        <v>20</v>
      </c>
      <c r="D27" s="549" t="s">
        <v>299</v>
      </c>
      <c r="E27" s="549">
        <v>200</v>
      </c>
      <c r="F27" s="549" t="s">
        <v>300</v>
      </c>
      <c r="G27" s="549"/>
      <c r="I27" s="549"/>
      <c r="J27" s="549"/>
      <c r="K27" s="549"/>
      <c r="L27" s="549"/>
      <c r="M27" s="549"/>
      <c r="N27" s="549"/>
      <c r="O27" s="549"/>
      <c r="P27" s="549"/>
      <c r="Q27" s="549"/>
      <c r="R27" s="549"/>
      <c r="S27" s="549"/>
    </row>
    <row r="28" spans="1:19" ht="13.8">
      <c r="A28" s="549">
        <f t="shared" ref="A28:A55" si="0">+A27+1</f>
        <v>2</v>
      </c>
      <c r="B28" s="549" t="s">
        <v>301</v>
      </c>
      <c r="C28" s="549">
        <v>30</v>
      </c>
      <c r="D28" s="549" t="s">
        <v>302</v>
      </c>
      <c r="E28" s="549">
        <v>300</v>
      </c>
      <c r="F28" s="549" t="s">
        <v>303</v>
      </c>
      <c r="G28" s="549"/>
      <c r="I28" s="549"/>
      <c r="J28" s="549"/>
      <c r="K28" s="549"/>
      <c r="L28" s="549"/>
      <c r="M28" s="549"/>
      <c r="N28" s="549"/>
      <c r="O28" s="549"/>
      <c r="P28" s="549"/>
      <c r="Q28" s="549"/>
      <c r="R28" s="549"/>
      <c r="S28" s="549"/>
    </row>
    <row r="29" spans="1:19" ht="13.8">
      <c r="A29" s="549">
        <f t="shared" si="0"/>
        <v>3</v>
      </c>
      <c r="B29" s="549" t="s">
        <v>304</v>
      </c>
      <c r="C29" s="549">
        <v>40</v>
      </c>
      <c r="D29" s="549" t="s">
        <v>305</v>
      </c>
      <c r="E29" s="549">
        <v>400</v>
      </c>
      <c r="F29" s="549" t="s">
        <v>306</v>
      </c>
      <c r="G29" s="549"/>
      <c r="I29" s="549"/>
      <c r="J29" s="549"/>
      <c r="K29" s="549"/>
      <c r="L29" s="549"/>
      <c r="M29" s="549"/>
      <c r="N29" s="549"/>
      <c r="O29" s="549"/>
      <c r="P29" s="549"/>
      <c r="Q29" s="549"/>
      <c r="R29" s="549"/>
      <c r="S29" s="549"/>
    </row>
    <row r="30" spans="1:19" ht="13.8">
      <c r="A30" s="549">
        <f t="shared" si="0"/>
        <v>4</v>
      </c>
      <c r="B30" s="549" t="s">
        <v>307</v>
      </c>
      <c r="C30" s="549">
        <v>50</v>
      </c>
      <c r="D30" s="549" t="s">
        <v>308</v>
      </c>
      <c r="E30" s="549">
        <v>500</v>
      </c>
      <c r="F30" s="549" t="s">
        <v>309</v>
      </c>
      <c r="G30" s="549"/>
      <c r="I30" s="549"/>
      <c r="J30" s="549"/>
      <c r="K30" s="549"/>
      <c r="L30" s="549"/>
      <c r="M30" s="549"/>
      <c r="N30" s="549"/>
      <c r="O30" s="549"/>
      <c r="P30" s="549"/>
      <c r="Q30" s="549"/>
      <c r="R30" s="549"/>
      <c r="S30" s="549"/>
    </row>
    <row r="31" spans="1:19" ht="13.8">
      <c r="A31" s="549">
        <f t="shared" si="0"/>
        <v>5</v>
      </c>
      <c r="B31" s="549" t="s">
        <v>310</v>
      </c>
      <c r="C31" s="549">
        <v>60</v>
      </c>
      <c r="D31" s="549" t="s">
        <v>311</v>
      </c>
      <c r="E31" s="549">
        <v>600</v>
      </c>
      <c r="F31" s="549" t="s">
        <v>312</v>
      </c>
      <c r="G31" s="549"/>
      <c r="I31" s="549"/>
      <c r="J31" s="549"/>
      <c r="K31" s="549"/>
      <c r="L31" s="549"/>
      <c r="M31" s="549"/>
      <c r="N31" s="549"/>
      <c r="O31" s="549"/>
      <c r="P31" s="549"/>
      <c r="Q31" s="549"/>
      <c r="R31" s="549"/>
      <c r="S31" s="549"/>
    </row>
    <row r="32" spans="1:19" ht="13.8">
      <c r="A32" s="549">
        <f t="shared" si="0"/>
        <v>6</v>
      </c>
      <c r="B32" s="549" t="s">
        <v>313</v>
      </c>
      <c r="C32" s="549">
        <v>70</v>
      </c>
      <c r="D32" s="549" t="s">
        <v>314</v>
      </c>
      <c r="E32" s="549">
        <v>700</v>
      </c>
      <c r="F32" s="549" t="s">
        <v>315</v>
      </c>
      <c r="G32" s="549"/>
      <c r="I32" s="549"/>
      <c r="J32" s="549"/>
      <c r="K32" s="549"/>
      <c r="L32" s="549"/>
      <c r="M32" s="549"/>
      <c r="N32" s="549"/>
      <c r="O32" s="549"/>
      <c r="P32" s="549"/>
      <c r="Q32" s="549"/>
      <c r="R32" s="549"/>
      <c r="S32" s="549"/>
    </row>
    <row r="33" spans="1:21" ht="13.8">
      <c r="A33" s="549">
        <f t="shared" si="0"/>
        <v>7</v>
      </c>
      <c r="B33" s="549" t="s">
        <v>316</v>
      </c>
      <c r="C33" s="549">
        <v>80</v>
      </c>
      <c r="D33" s="549" t="s">
        <v>317</v>
      </c>
      <c r="E33" s="549">
        <v>800</v>
      </c>
      <c r="F33" s="549" t="s">
        <v>318</v>
      </c>
      <c r="G33" s="549"/>
      <c r="H33" s="549"/>
      <c r="I33" s="549"/>
      <c r="J33" s="549"/>
      <c r="K33" s="549"/>
      <c r="L33" s="549"/>
      <c r="M33" s="549"/>
      <c r="N33" s="549"/>
      <c r="O33" s="549"/>
      <c r="P33" s="549"/>
      <c r="Q33" s="549"/>
      <c r="R33" s="549"/>
      <c r="S33" s="549"/>
    </row>
    <row r="34" spans="1:21" ht="13.8">
      <c r="A34" s="549">
        <f t="shared" si="0"/>
        <v>8</v>
      </c>
      <c r="B34" s="549" t="s">
        <v>319</v>
      </c>
      <c r="C34" s="549">
        <v>90</v>
      </c>
      <c r="D34" s="549" t="s">
        <v>320</v>
      </c>
      <c r="E34" s="549">
        <v>900</v>
      </c>
      <c r="F34" s="549" t="s">
        <v>321</v>
      </c>
      <c r="G34" s="549"/>
      <c r="H34" s="549"/>
      <c r="I34" s="549"/>
      <c r="J34" s="549"/>
      <c r="K34" s="549"/>
      <c r="L34" s="549"/>
      <c r="M34" s="549"/>
      <c r="N34" s="549"/>
      <c r="O34" s="549"/>
      <c r="P34" s="549"/>
      <c r="Q34" s="549"/>
      <c r="R34" s="549"/>
      <c r="S34" s="549"/>
    </row>
    <row r="35" spans="1:21" ht="13.8">
      <c r="A35" s="549">
        <f t="shared" si="0"/>
        <v>9</v>
      </c>
      <c r="B35" s="549" t="s">
        <v>322</v>
      </c>
      <c r="C35" s="549">
        <v>100</v>
      </c>
      <c r="D35" s="549" t="s">
        <v>297</v>
      </c>
      <c r="E35" s="549">
        <v>1000</v>
      </c>
      <c r="F35" s="549" t="s">
        <v>323</v>
      </c>
      <c r="G35" s="549"/>
      <c r="H35" s="549"/>
      <c r="I35" s="549"/>
      <c r="J35" s="549"/>
      <c r="K35" s="549"/>
      <c r="L35" s="549"/>
      <c r="M35" s="549"/>
      <c r="N35" s="549"/>
      <c r="O35" s="549"/>
      <c r="P35" s="549"/>
      <c r="Q35" s="549"/>
      <c r="R35" s="549"/>
      <c r="S35" s="549"/>
    </row>
    <row r="36" spans="1:21" ht="13.8">
      <c r="A36" s="549">
        <f t="shared" si="0"/>
        <v>10</v>
      </c>
      <c r="B36" s="549" t="s">
        <v>296</v>
      </c>
      <c r="C36" s="550"/>
      <c r="D36" s="550"/>
      <c r="E36" s="549"/>
      <c r="F36" s="549"/>
      <c r="G36" s="549"/>
      <c r="H36" s="549"/>
      <c r="I36" s="549"/>
      <c r="J36" s="549"/>
      <c r="K36" s="549"/>
      <c r="L36" s="549"/>
      <c r="M36" s="549"/>
      <c r="N36" s="549"/>
      <c r="O36" s="549"/>
      <c r="P36" s="549"/>
      <c r="Q36" s="549"/>
      <c r="R36" s="549"/>
      <c r="S36" s="549"/>
    </row>
    <row r="37" spans="1:21" ht="13.8">
      <c r="A37" s="550">
        <f t="shared" si="0"/>
        <v>11</v>
      </c>
      <c r="B37" s="550" t="s">
        <v>324</v>
      </c>
      <c r="C37" s="550"/>
      <c r="D37" s="550"/>
      <c r="E37" s="549"/>
      <c r="F37" s="549"/>
      <c r="G37" s="549"/>
      <c r="H37" s="549"/>
      <c r="I37" s="549"/>
      <c r="J37" s="549"/>
      <c r="K37" s="549"/>
      <c r="L37" s="549"/>
      <c r="M37" s="549"/>
      <c r="N37" s="549"/>
      <c r="O37" s="549"/>
      <c r="P37" s="549"/>
      <c r="Q37" s="549"/>
      <c r="R37" s="549"/>
      <c r="S37" s="549"/>
    </row>
    <row r="38" spans="1:21" ht="13.8">
      <c r="A38" s="550">
        <f t="shared" si="0"/>
        <v>12</v>
      </c>
      <c r="B38" s="550" t="s">
        <v>325</v>
      </c>
      <c r="C38" s="550"/>
      <c r="D38" s="550"/>
      <c r="E38" s="549"/>
      <c r="F38" s="549"/>
      <c r="G38" s="549"/>
      <c r="H38" s="549"/>
      <c r="I38" s="549"/>
      <c r="J38" s="549"/>
      <c r="K38" s="549"/>
      <c r="L38" s="549"/>
      <c r="M38" s="549"/>
      <c r="N38" s="549"/>
      <c r="O38" s="549"/>
      <c r="P38" s="549"/>
      <c r="Q38" s="549"/>
      <c r="R38" s="549"/>
      <c r="S38" s="549"/>
    </row>
    <row r="39" spans="1:21" ht="13.8">
      <c r="A39" s="550">
        <f t="shared" si="0"/>
        <v>13</v>
      </c>
      <c r="B39" s="550" t="s">
        <v>326</v>
      </c>
      <c r="C39" s="550"/>
      <c r="D39" s="550"/>
      <c r="G39" s="551"/>
      <c r="H39" s="549"/>
      <c r="I39" s="549"/>
      <c r="J39" s="549"/>
      <c r="K39" s="549"/>
      <c r="L39" s="549"/>
      <c r="M39" s="549"/>
      <c r="N39" s="549"/>
      <c r="O39" s="549"/>
      <c r="P39" s="549"/>
      <c r="Q39" s="549"/>
      <c r="R39" s="549"/>
      <c r="S39" s="549"/>
    </row>
    <row r="40" spans="1:21" ht="13.8">
      <c r="A40" s="550">
        <f t="shared" si="0"/>
        <v>14</v>
      </c>
      <c r="B40" s="550" t="s">
        <v>327</v>
      </c>
      <c r="C40" s="550"/>
      <c r="D40" s="550"/>
      <c r="E40" s="549"/>
      <c r="F40" s="549"/>
      <c r="G40" s="549"/>
      <c r="H40" s="551"/>
      <c r="I40" s="549"/>
      <c r="J40" s="549"/>
      <c r="K40" s="549"/>
      <c r="L40" s="549"/>
      <c r="M40" s="549"/>
      <c r="N40" s="549"/>
      <c r="O40" s="549"/>
      <c r="P40" s="549"/>
      <c r="Q40" s="549"/>
      <c r="R40" s="549"/>
      <c r="S40" s="549"/>
    </row>
    <row r="41" spans="1:21" ht="13.8">
      <c r="A41" s="550">
        <f t="shared" si="0"/>
        <v>15</v>
      </c>
      <c r="B41" s="550" t="s">
        <v>328</v>
      </c>
      <c r="C41" s="550"/>
      <c r="D41" s="550"/>
      <c r="E41" s="549"/>
      <c r="F41" s="549"/>
      <c r="G41" s="549"/>
      <c r="H41" s="549"/>
      <c r="I41" s="549"/>
      <c r="J41" s="549"/>
      <c r="K41" s="549"/>
      <c r="L41" s="549"/>
      <c r="M41" s="549"/>
      <c r="N41" s="549"/>
      <c r="O41" s="549"/>
      <c r="P41" s="549"/>
      <c r="Q41" s="549"/>
      <c r="R41" s="549"/>
      <c r="S41" s="549"/>
    </row>
    <row r="42" spans="1:21" ht="13.8">
      <c r="A42" s="550">
        <f t="shared" si="0"/>
        <v>16</v>
      </c>
      <c r="B42" s="550" t="s">
        <v>329</v>
      </c>
      <c r="C42" s="550"/>
      <c r="D42" s="550"/>
      <c r="G42" s="549"/>
      <c r="H42" s="549"/>
      <c r="I42" s="549"/>
      <c r="J42" s="549"/>
      <c r="K42" s="549"/>
      <c r="L42" s="549"/>
      <c r="M42" s="549"/>
      <c r="N42" s="549"/>
      <c r="O42" s="549"/>
      <c r="P42" s="549"/>
      <c r="Q42" s="549"/>
      <c r="R42" s="549"/>
      <c r="S42" s="549"/>
    </row>
    <row r="43" spans="1:21" ht="13.8">
      <c r="A43" s="550">
        <f t="shared" si="0"/>
        <v>17</v>
      </c>
      <c r="B43" s="550" t="s">
        <v>330</v>
      </c>
      <c r="C43" s="550"/>
      <c r="D43" s="550"/>
      <c r="G43" s="549"/>
      <c r="H43" s="549"/>
      <c r="I43" s="549"/>
      <c r="J43" s="549"/>
      <c r="K43" s="549"/>
      <c r="L43" s="549"/>
      <c r="M43" s="549"/>
      <c r="N43" s="549"/>
      <c r="O43" s="549"/>
      <c r="P43" s="549"/>
      <c r="Q43" s="549"/>
      <c r="R43" s="549"/>
      <c r="S43" s="549"/>
    </row>
    <row r="44" spans="1:21" ht="13.8">
      <c r="A44" s="550">
        <f t="shared" si="0"/>
        <v>18</v>
      </c>
      <c r="B44" s="550" t="s">
        <v>331</v>
      </c>
      <c r="C44" s="550"/>
      <c r="D44" s="549" t="s">
        <v>332</v>
      </c>
      <c r="E44" s="549"/>
      <c r="F44" s="549"/>
      <c r="G44" s="549"/>
      <c r="H44" s="549"/>
      <c r="I44" s="549"/>
      <c r="J44" s="549"/>
      <c r="K44" s="549"/>
      <c r="L44" s="549"/>
      <c r="M44" s="549"/>
      <c r="N44" s="549"/>
      <c r="O44" s="549"/>
      <c r="P44" s="549"/>
      <c r="Q44" s="549"/>
      <c r="R44" s="549"/>
      <c r="S44" s="549"/>
    </row>
    <row r="45" spans="1:21" ht="13.8">
      <c r="A45" s="550">
        <f t="shared" si="0"/>
        <v>19</v>
      </c>
      <c r="B45" s="550" t="s">
        <v>333</v>
      </c>
      <c r="C45" s="552"/>
      <c r="D45" s="552"/>
      <c r="E45" s="553">
        <f>ROUND(100*(A1-INT(A1)),2)</f>
        <v>82</v>
      </c>
      <c r="F45" s="549" t="s">
        <v>334</v>
      </c>
      <c r="G45" s="549"/>
      <c r="H45" s="549"/>
      <c r="I45" s="549"/>
      <c r="J45" s="549"/>
      <c r="K45" s="549"/>
      <c r="L45" s="549"/>
      <c r="M45" s="549"/>
      <c r="N45" s="549"/>
      <c r="O45" s="549"/>
      <c r="P45" s="549"/>
      <c r="Q45" s="549"/>
      <c r="R45" s="549"/>
      <c r="S45" s="549"/>
    </row>
    <row r="46" spans="1:21" ht="13.8">
      <c r="A46" s="552">
        <f t="shared" si="0"/>
        <v>20</v>
      </c>
      <c r="B46" s="552" t="s">
        <v>299</v>
      </c>
      <c r="C46" s="552"/>
      <c r="D46" s="549"/>
      <c r="E46" s="549">
        <f>+LEN(E48)</f>
        <v>4</v>
      </c>
      <c r="F46" s="549" t="s">
        <v>335</v>
      </c>
      <c r="G46" s="549"/>
      <c r="H46" s="549"/>
      <c r="I46" s="549"/>
      <c r="J46" s="549"/>
      <c r="K46" s="549"/>
      <c r="L46" s="549"/>
      <c r="M46" s="549"/>
      <c r="N46" s="549"/>
      <c r="O46" s="549"/>
      <c r="P46" s="549"/>
      <c r="Q46" s="549"/>
      <c r="R46" s="549"/>
      <c r="S46" s="549"/>
    </row>
    <row r="47" spans="1:21" ht="14.4" thickBot="1">
      <c r="A47" s="552">
        <f t="shared" si="0"/>
        <v>21</v>
      </c>
      <c r="B47" s="552" t="s">
        <v>336</v>
      </c>
      <c r="C47" s="552"/>
      <c r="D47" s="552"/>
      <c r="E47" s="549"/>
      <c r="F47" s="549"/>
      <c r="G47" s="549"/>
      <c r="H47" s="549"/>
      <c r="I47" s="549"/>
      <c r="J47" s="549"/>
      <c r="K47" s="549"/>
      <c r="L47" s="549"/>
      <c r="M47" s="549"/>
      <c r="N47" s="549"/>
      <c r="O47" s="549"/>
      <c r="P47" s="549"/>
      <c r="Q47" s="549"/>
      <c r="R47" s="549"/>
      <c r="S47" s="549"/>
    </row>
    <row r="48" spans="1:21" ht="15" thickTop="1" thickBot="1">
      <c r="A48" s="552">
        <f t="shared" si="0"/>
        <v>22</v>
      </c>
      <c r="B48" s="552" t="s">
        <v>337</v>
      </c>
      <c r="C48" s="552"/>
      <c r="D48" s="549"/>
      <c r="E48" s="554">
        <f>+A1-E45/100</f>
        <v>1295</v>
      </c>
      <c r="F48" s="1443" t="s">
        <v>338</v>
      </c>
      <c r="G48" s="1444"/>
      <c r="H48" s="555">
        <f>+IF(E48&gt;1000,INT(E48/1000),0)</f>
        <v>1</v>
      </c>
      <c r="I48" s="1443" t="s">
        <v>339</v>
      </c>
      <c r="J48" s="1444"/>
      <c r="K48" s="555">
        <f>+INT(H48/1000)</f>
        <v>0</v>
      </c>
      <c r="L48" s="1443" t="s">
        <v>340</v>
      </c>
      <c r="M48" s="1444"/>
      <c r="N48" s="555">
        <f>+INT(K48/1000)</f>
        <v>0</v>
      </c>
      <c r="O48" s="1443" t="s">
        <v>341</v>
      </c>
      <c r="P48" s="1444"/>
      <c r="Q48" s="555">
        <f>+INT(N48)</f>
        <v>0</v>
      </c>
      <c r="R48" s="1443" t="s">
        <v>341</v>
      </c>
      <c r="S48" s="1444"/>
      <c r="U48" s="549" t="str">
        <f>+IF(E45=0,CONCATENATE("00",U49),IF(E45&lt;10,CONCATENATE(" 0",E45,U49),CONCATENATE(" ",E45,U49)))</f>
        <v xml:space="preserve"> 82/100 BOLIVIANOS</v>
      </c>
    </row>
    <row r="49" spans="1:21" ht="14.4" thickBot="1">
      <c r="A49" s="552">
        <f t="shared" si="0"/>
        <v>23</v>
      </c>
      <c r="B49" s="552" t="s">
        <v>342</v>
      </c>
      <c r="C49" s="552"/>
      <c r="D49" s="552"/>
      <c r="E49" s="556">
        <f>+RIGHT(E48)*1</f>
        <v>5</v>
      </c>
      <c r="F49" s="557" t="s">
        <v>343</v>
      </c>
      <c r="G49" s="558" t="str">
        <f ca="1">+IF(AND(E49&gt;0,E49&lt;10),LOOKUP(CELL("contenido",E49),$A$26:$B$35),"")</f>
        <v>CINCO</v>
      </c>
      <c r="H49" s="559">
        <f>+RIGHT(H48)*1</f>
        <v>1</v>
      </c>
      <c r="I49" s="560" t="s">
        <v>343</v>
      </c>
      <c r="J49" s="561" t="str">
        <f ca="1">IF(E48&lt;2000,"",IF(CELL("contenido",H49)=1,"UN",IF(AND(H49&gt;0,H49&lt;10),LOOKUP(CELL("contenido",H49),$A$26:$B$35),"")))</f>
        <v/>
      </c>
      <c r="K49" s="562">
        <f>+RIGHT(K48)*1</f>
        <v>0</v>
      </c>
      <c r="L49" s="563" t="s">
        <v>343</v>
      </c>
      <c r="M49" s="564" t="str">
        <f ca="1">+IF(CELL("contenido",K49)=1,"UN",IF(AND(K49&gt;0,K49&lt;10),LOOKUP(CELL("contenido",K49),$A$26:$B$35),""))</f>
        <v/>
      </c>
      <c r="N49" s="565">
        <f>+RIGHT(N48)*1</f>
        <v>0</v>
      </c>
      <c r="O49" s="566" t="s">
        <v>343</v>
      </c>
      <c r="P49" s="567" t="str">
        <f ca="1">+IF(CELL("contenido",N49)=1,"UN",IF(AND(N49&gt;0,N49&lt;10),LOOKUP(CELL("contenido",N49),$A$26:$B$35),""))</f>
        <v/>
      </c>
      <c r="Q49" s="568">
        <f>+RIGHT(Q48)*1</f>
        <v>0</v>
      </c>
      <c r="R49" s="569" t="s">
        <v>343</v>
      </c>
      <c r="S49" s="570" t="str">
        <f ca="1">+IF(CELL("contenido",Q49)=1,"UN",IF(AND(Q49&gt;0,Q49&lt;10),LOOKUP(CELL("contenido",Q49),$A$26:$B$35),""))</f>
        <v/>
      </c>
      <c r="U49" s="571" t="s">
        <v>344</v>
      </c>
    </row>
    <row r="50" spans="1:21" ht="14.4" thickBot="1">
      <c r="A50" s="552">
        <f t="shared" si="0"/>
        <v>24</v>
      </c>
      <c r="B50" s="552" t="s">
        <v>345</v>
      </c>
      <c r="C50" s="552"/>
      <c r="D50" s="552"/>
      <c r="E50" s="556">
        <f>+RIGHT(E48,2)*1</f>
        <v>95</v>
      </c>
      <c r="F50" s="557" t="s">
        <v>346</v>
      </c>
      <c r="G50" s="558" t="str">
        <f ca="1">IF(AND(E50&gt;0,E50&lt;30),LOOKUP(CELL("contenido",E50),$A$26:$B$55),"")</f>
        <v/>
      </c>
      <c r="H50" s="559">
        <f>+RIGHT(H48,2)*1</f>
        <v>1</v>
      </c>
      <c r="I50" s="560" t="s">
        <v>346</v>
      </c>
      <c r="J50" s="561" t="str">
        <f ca="1">IF(E48&lt;2000,"",IF(CELL("contenido",H50)=1,"UN",IF(AND(H50&gt;0,H50&lt;30),LOOKUP(CELL("contenido",H50),$A$26:$B$55),"")))</f>
        <v/>
      </c>
      <c r="K50" s="562">
        <f>+RIGHT(K48,2)*1</f>
        <v>0</v>
      </c>
      <c r="L50" s="563" t="s">
        <v>346</v>
      </c>
      <c r="M50" s="564" t="str">
        <f ca="1">IF(CELL("contenido",K50)=1,"UN",IF(AND(K50&gt;0,K50&lt;30),LOOKUP(CELL("contenido",K50),$A$26:$B$55),""))</f>
        <v/>
      </c>
      <c r="N50" s="565">
        <f>+RIGHT(N48,2)*1</f>
        <v>0</v>
      </c>
      <c r="O50" s="566" t="s">
        <v>346</v>
      </c>
      <c r="P50" s="567" t="str">
        <f ca="1">IF(CELL("contenido",N50)=1,"UN",IF(AND(N50&gt;0,N50&lt;30),LOOKUP(CELL("contenido",N50),$A$26:$B$55),""))</f>
        <v/>
      </c>
      <c r="Q50" s="568">
        <f>+RIGHT(Q48,2)*1</f>
        <v>0</v>
      </c>
      <c r="R50" s="569" t="s">
        <v>346</v>
      </c>
      <c r="S50" s="570" t="str">
        <f ca="1">IF(CELL("contenido",Q50)=1,"UN",IF(AND(Q50&gt;0,Q50&lt;30),LOOKUP(CELL("contenido",Q50),$A$26:$B$55),""))</f>
        <v/>
      </c>
      <c r="U50" s="549" t="str">
        <f ca="1">+IF(CELL("contenido",G50)&lt;&gt;"",CONCATENATE(G53," ",G52," ",G50," ",U48),IF(CELL("contenido",G49)="",CONCATENATE(G53," ",G52," ",G51," ",U48),CONCATENATE(G53," ",G52," ",G51," Y ",G49," ",U48)))</f>
        <v>MIL DOSCIENTOS NOVENTA Y CINCO  82/100 BOLIVIANOS</v>
      </c>
    </row>
    <row r="51" spans="1:21" ht="14.4" thickBot="1">
      <c r="A51" s="552">
        <f t="shared" si="0"/>
        <v>25</v>
      </c>
      <c r="B51" s="552" t="s">
        <v>347</v>
      </c>
      <c r="C51" s="552"/>
      <c r="D51" s="552"/>
      <c r="E51" s="556">
        <f>+RIGHT(E48,2)*1-E49</f>
        <v>90</v>
      </c>
      <c r="F51" s="557" t="s">
        <v>348</v>
      </c>
      <c r="G51" s="558" t="str">
        <f ca="1">+IF(AND(E51&gt;0,E48&gt;=30),LOOKUP(CELL("contenido",E51),$C$26:$D$35),"")</f>
        <v>NOVENTA</v>
      </c>
      <c r="H51" s="559">
        <f>+RIGHT(H48,2)*1-H49</f>
        <v>0</v>
      </c>
      <c r="I51" s="560" t="s">
        <v>348</v>
      </c>
      <c r="J51" s="561" t="str">
        <f ca="1">+IF(AND(H51&gt;0,H48&gt;=30),LOOKUP(CELL("contenido",H51),$C$26:$D$35),"")</f>
        <v/>
      </c>
      <c r="K51" s="562">
        <f>+RIGHT(K48,2)*1-K49</f>
        <v>0</v>
      </c>
      <c r="L51" s="563" t="s">
        <v>348</v>
      </c>
      <c r="M51" s="564" t="str">
        <f ca="1">+IF(AND(K51&gt;0,K48&gt;=30),LOOKUP(CELL("contenido",K51),$C$26:$D$35),"")</f>
        <v/>
      </c>
      <c r="N51" s="565">
        <f>+RIGHT(N48,2)*1-N49</f>
        <v>0</v>
      </c>
      <c r="O51" s="566" t="s">
        <v>348</v>
      </c>
      <c r="P51" s="567" t="str">
        <f ca="1">+IF(AND(N51&gt;0,K53&gt;=30),LOOKUP(CELL("contenido",N51),$C$26:$D$35),"")</f>
        <v/>
      </c>
      <c r="Q51" s="568">
        <f>+RIGHT(Q48,2)*1-Q49</f>
        <v>0</v>
      </c>
      <c r="R51" s="569" t="s">
        <v>348</v>
      </c>
      <c r="S51" s="570" t="str">
        <f ca="1">+IF(AND(Q51&gt;0,N53&gt;=30),LOOKUP(CELL("contenido",Q51),$C$26:$D$35),"")</f>
        <v/>
      </c>
      <c r="U51" s="549" t="str">
        <f ca="1">+IF(CELL("contenido",J50)&lt;&gt;"",CONCATENATE(J53," ",J52," ",J50," "),IF(CELL("contenido",J49)="",CONCATENATE(J53," ",J52," ",J51," "),CONCATENATE(J53," ",J52," ",J51," Y ",J49," ")))</f>
        <v xml:space="preserve">   </v>
      </c>
    </row>
    <row r="52" spans="1:21" ht="14.4" thickBot="1">
      <c r="A52" s="552">
        <f t="shared" si="0"/>
        <v>26</v>
      </c>
      <c r="B52" s="552" t="s">
        <v>349</v>
      </c>
      <c r="C52" s="552"/>
      <c r="D52" s="552"/>
      <c r="E52" s="556">
        <f>+RIGHT(E48,3)*1-E51-E49</f>
        <v>200</v>
      </c>
      <c r="F52" s="557" t="s">
        <v>350</v>
      </c>
      <c r="G52" s="558" t="str">
        <f ca="1">+IF((RIGHT(E48,3)*1)=100,"CIEN",IF(AND(E52&gt;0,E52&lt;1000),LOOKUP(CELL("contenido",E52),$E$26:$F$35),""))</f>
        <v>DOSCIENTOS</v>
      </c>
      <c r="H52" s="559">
        <f>+RIGHT(H48,3)*1-H51-H49</f>
        <v>0</v>
      </c>
      <c r="I52" s="560" t="s">
        <v>350</v>
      </c>
      <c r="J52" s="561" t="str">
        <f ca="1">+IF(H48=100,"CIEN",IF(AND(H52&gt;0,H52&lt;1000),LOOKUP(CELL("contenido",H52),$E$26:$F$35),""))</f>
        <v/>
      </c>
      <c r="K52" s="562">
        <f>+RIGHT(K48,3)*1-K51-K49</f>
        <v>0</v>
      </c>
      <c r="L52" s="563" t="s">
        <v>350</v>
      </c>
      <c r="M52" s="564" t="str">
        <f ca="1">+IF(K48=100,"CIEN",IF(AND(K52&gt;0,K52&lt;1000),LOOKUP(CELL("contenido",K52),$E$26:$F$35),""))</f>
        <v/>
      </c>
      <c r="N52" s="565">
        <f>+RIGHT(N48,3)*1-N51-N49</f>
        <v>0</v>
      </c>
      <c r="O52" s="566" t="s">
        <v>350</v>
      </c>
      <c r="P52" s="567" t="str">
        <f ca="1">+IF(N48=100,"CIEN",IF(AND(N52&gt;0,N52&lt;1000),LOOKUP(CELL("contenido",N52),$E$26:$F$35),""))</f>
        <v/>
      </c>
      <c r="Q52" s="568">
        <f>+RIGHT(Q48,3)*1-Q51-Q49</f>
        <v>0</v>
      </c>
      <c r="R52" s="569" t="s">
        <v>350</v>
      </c>
      <c r="S52" s="570" t="str">
        <f ca="1">+IF(Q48=100,"CIEN",IF(AND(Q52&gt;0,Q52&lt;1000),LOOKUP(CELL("contenido",Q52),$E$26:$F$35),""))</f>
        <v/>
      </c>
      <c r="U52" s="549" t="str">
        <f ca="1">+IF(CELL("contenido",M50)&lt;&gt;"",CONCATENATE(M53," ",M52," ",M50," "),IF(CELL("contenido",M49)="",CONCATENATE(M53," ",M52," ",M51," "),CONCATENATE(M53," ",M52," ",M51," Y ",M49," ")))</f>
        <v xml:space="preserve">   </v>
      </c>
    </row>
    <row r="53" spans="1:21" ht="14.4" thickBot="1">
      <c r="A53" s="552">
        <f t="shared" si="0"/>
        <v>27</v>
      </c>
      <c r="B53" s="552" t="s">
        <v>351</v>
      </c>
      <c r="C53" s="552"/>
      <c r="D53" s="552"/>
      <c r="E53" s="572">
        <f>+RIGHT(E48,4)*1-E52-E51-E49</f>
        <v>1000</v>
      </c>
      <c r="F53" s="573" t="s">
        <v>352</v>
      </c>
      <c r="G53" s="574" t="str">
        <f ca="1">+IF(E48&gt;999,"MIL",IF(AND(E53&gt;0,E53&lt;10000),LOOKUP(CELL("contenido",E53),$E$26:$F$35),""))</f>
        <v>MIL</v>
      </c>
      <c r="H53" s="575">
        <f>INT(E48/1000000)</f>
        <v>0</v>
      </c>
      <c r="I53" s="576" t="s">
        <v>353</v>
      </c>
      <c r="J53" s="577" t="str">
        <f ca="1">+IF(CELL("contenido",M50)=1,"MILLÓN",IF(H53=1,"MILLÓN",IF(H53&gt;1,"MILLONES","")))</f>
        <v/>
      </c>
      <c r="K53" s="578">
        <f>+RIGHT(K48,4)*1-K52-K51-K49</f>
        <v>0</v>
      </c>
      <c r="L53" s="579" t="s">
        <v>354</v>
      </c>
      <c r="M53" s="580" t="str">
        <f ca="1">+IF(AND(K53&gt;0,K53&lt;10000),LOOKUP(CELL("contenido",K53),$E$26:$F$35),"")</f>
        <v/>
      </c>
      <c r="N53" s="581">
        <f>+RIGHT(N48,4)*1-N52-N51-N49</f>
        <v>0</v>
      </c>
      <c r="O53" s="582" t="s">
        <v>355</v>
      </c>
      <c r="P53" s="583" t="str">
        <f>+IF(N53=1,"UN MILLARDO",IF(N48&gt;1,"MILLARDOS",""))</f>
        <v/>
      </c>
      <c r="Q53" s="584">
        <f>+RIGHT(Q48,4)*1-Q52-Q51-Q49</f>
        <v>0</v>
      </c>
      <c r="R53" s="585" t="s">
        <v>355</v>
      </c>
      <c r="S53" s="586" t="str">
        <f>+IF(Q53=1,"UN MILLARDO",IF(Q48&gt;1,"MILLARDOS",""))</f>
        <v/>
      </c>
      <c r="U53" s="549" t="str">
        <f ca="1">+IF(CELL("contenido",P50)&lt;&gt;"",CONCATENATE(P53," ",P52," ",P50," "),IF(CELL("contenido",P49)="",CONCATENATE(P53," ",P52," ",P51," "),CONCATENATE(P53," ",P52," ",P51," Y ",P49," ")))</f>
        <v xml:space="preserve">   </v>
      </c>
    </row>
    <row r="54" spans="1:21" ht="14.4" thickTop="1">
      <c r="A54" s="552">
        <f t="shared" si="0"/>
        <v>28</v>
      </c>
      <c r="B54" s="552" t="s">
        <v>356</v>
      </c>
      <c r="C54" s="552"/>
      <c r="D54" s="552"/>
      <c r="E54" s="549"/>
      <c r="F54" s="549"/>
      <c r="G54" s="549"/>
      <c r="H54" s="549"/>
      <c r="I54" s="549"/>
      <c r="J54" s="587"/>
      <c r="K54" s="587"/>
      <c r="L54" s="587"/>
      <c r="M54" s="550"/>
      <c r="N54" s="550"/>
      <c r="O54" s="550"/>
      <c r="P54" s="549"/>
      <c r="Q54" s="550"/>
      <c r="R54" s="550"/>
      <c r="S54" s="549"/>
      <c r="U54" s="549" t="str">
        <f ca="1">+IF(CELL("contenido",S50)&lt;&gt;"",CONCATENATE(S52," ",S50," "),IF(CELL("contenido",S49)="",CONCATENATE(S52," ",S51," "),CONCATENATE(S52," ",S51," Y ",S49," ")))</f>
        <v xml:space="preserve">  </v>
      </c>
    </row>
    <row r="55" spans="1:21" ht="13.8">
      <c r="A55" s="552">
        <f t="shared" si="0"/>
        <v>29</v>
      </c>
      <c r="B55" s="552" t="s">
        <v>357</v>
      </c>
      <c r="C55" s="549"/>
      <c r="D55" s="549" t="s">
        <v>358</v>
      </c>
      <c r="E55" s="549"/>
      <c r="F55" s="549"/>
      <c r="G55" s="549"/>
      <c r="H55" s="549"/>
      <c r="I55" s="549"/>
      <c r="J55" s="549"/>
      <c r="K55" s="549"/>
      <c r="L55" s="549"/>
      <c r="M55" s="549"/>
      <c r="N55" s="549"/>
      <c r="O55" s="549"/>
      <c r="P55" s="549"/>
      <c r="Q55" s="549"/>
      <c r="R55" s="549"/>
      <c r="S55" s="549"/>
      <c r="U55" s="546"/>
    </row>
    <row r="56" spans="1:21" ht="13.8">
      <c r="D56" s="552"/>
      <c r="E56" s="553">
        <f>ROUND(100*(A2-INT(A2)),2)</f>
        <v>94</v>
      </c>
      <c r="F56" s="549" t="s">
        <v>334</v>
      </c>
      <c r="G56" s="549"/>
      <c r="H56" s="549"/>
      <c r="I56" s="549"/>
      <c r="J56" s="549"/>
      <c r="K56" s="549"/>
      <c r="L56" s="549"/>
      <c r="M56" s="549"/>
      <c r="N56" s="549"/>
      <c r="O56" s="549"/>
      <c r="P56" s="549"/>
      <c r="Q56" s="549"/>
      <c r="R56" s="549"/>
      <c r="S56" s="549"/>
    </row>
    <row r="57" spans="1:21" ht="13.8">
      <c r="D57" s="549"/>
      <c r="E57" s="549">
        <f>+LEN(E59)</f>
        <v>2</v>
      </c>
      <c r="F57" s="549" t="s">
        <v>335</v>
      </c>
      <c r="G57" s="549"/>
      <c r="H57" s="549"/>
      <c r="I57" s="549"/>
      <c r="J57" s="549"/>
      <c r="K57" s="549"/>
      <c r="L57" s="549"/>
      <c r="M57" s="549"/>
      <c r="N57" s="549"/>
      <c r="O57" s="549"/>
      <c r="P57" s="549"/>
      <c r="Q57" s="549"/>
      <c r="R57" s="549"/>
      <c r="S57" s="549"/>
    </row>
    <row r="58" spans="1:21" ht="14.4" thickBot="1">
      <c r="D58" s="552"/>
      <c r="E58" s="549"/>
      <c r="F58" s="549"/>
      <c r="G58" s="549"/>
      <c r="H58" s="549"/>
      <c r="I58" s="549"/>
      <c r="J58" s="549"/>
      <c r="K58" s="549"/>
      <c r="L58" s="549"/>
      <c r="M58" s="549"/>
      <c r="N58" s="549"/>
      <c r="O58" s="549"/>
      <c r="P58" s="549"/>
      <c r="Q58" s="549"/>
      <c r="R58" s="549"/>
      <c r="S58" s="549"/>
    </row>
    <row r="59" spans="1:21" ht="15" thickTop="1" thickBot="1">
      <c r="D59" s="549"/>
      <c r="E59" s="554">
        <f>+A2-E56/100</f>
        <v>23.999999999999996</v>
      </c>
      <c r="F59" s="1443" t="s">
        <v>338</v>
      </c>
      <c r="G59" s="1444"/>
      <c r="H59" s="555">
        <f>+IF(E59&gt;1000,INT(E59/1000),0)</f>
        <v>0</v>
      </c>
      <c r="I59" s="1443" t="s">
        <v>339</v>
      </c>
      <c r="J59" s="1444"/>
      <c r="K59" s="555">
        <f>+INT(H59/1000)</f>
        <v>0</v>
      </c>
      <c r="L59" s="1443" t="s">
        <v>340</v>
      </c>
      <c r="M59" s="1444"/>
      <c r="N59" s="555">
        <f>+INT(K59/1000)</f>
        <v>0</v>
      </c>
      <c r="O59" s="1443" t="s">
        <v>341</v>
      </c>
      <c r="P59" s="1444"/>
      <c r="Q59" s="555">
        <f>+INT(N59)</f>
        <v>0</v>
      </c>
      <c r="R59" s="1443" t="s">
        <v>341</v>
      </c>
      <c r="S59" s="1444"/>
      <c r="U59" s="549" t="str">
        <f>+IF(E56=0,CONCATENATE("00",U60),IF(E56&lt;10,CONCATENATE(" 0",E56,U60),CONCATENATE(" ",E56,U60)))</f>
        <v xml:space="preserve"> 94/100 BOLIVIANOS</v>
      </c>
    </row>
    <row r="60" spans="1:21" ht="14.4" thickBot="1">
      <c r="D60" s="552"/>
      <c r="E60" s="556">
        <f>+RIGHT(E59)*1</f>
        <v>4</v>
      </c>
      <c r="F60" s="557" t="s">
        <v>343</v>
      </c>
      <c r="G60" s="558" t="str">
        <f ca="1">+IF(AND(E60&gt;0,E60&lt;10),LOOKUP(CELL("contenido",E60),$A$26:$B$35),"")</f>
        <v>CUATRO</v>
      </c>
      <c r="H60" s="559">
        <f>+RIGHT(H59)*1</f>
        <v>0</v>
      </c>
      <c r="I60" s="560" t="s">
        <v>343</v>
      </c>
      <c r="J60" s="561" t="str">
        <f ca="1">IF(E59&lt;2000,"",IF(CELL("contenido",H60)=1,"UN",IF(AND(H60&gt;0,H60&lt;10),LOOKUP(CELL("contenido",H60),$A$26:$B$35),"")))</f>
        <v/>
      </c>
      <c r="K60" s="562">
        <f>+RIGHT(K59)*1</f>
        <v>0</v>
      </c>
      <c r="L60" s="563" t="s">
        <v>343</v>
      </c>
      <c r="M60" s="564" t="str">
        <f ca="1">+IF(CELL("contenido",K60)=1,"UN",IF(AND(K60&gt;0,K60&lt;10),LOOKUP(CELL("contenido",K60),$A$26:$B$35),""))</f>
        <v/>
      </c>
      <c r="N60" s="565">
        <f>+RIGHT(N59)*1</f>
        <v>0</v>
      </c>
      <c r="O60" s="566" t="s">
        <v>343</v>
      </c>
      <c r="P60" s="567" t="str">
        <f ca="1">+IF(CELL("contenido",N60)=1,"UN",IF(AND(N60&gt;0,N60&lt;10),LOOKUP(CELL("contenido",N60),$A$26:$B$35),""))</f>
        <v/>
      </c>
      <c r="Q60" s="568">
        <f>+RIGHT(Q59)*1</f>
        <v>0</v>
      </c>
      <c r="R60" s="569" t="s">
        <v>343</v>
      </c>
      <c r="S60" s="570" t="str">
        <f ca="1">+IF(CELL("contenido",Q60)=1,"UN",IF(AND(Q60&gt;0,Q60&lt;10),LOOKUP(CELL("contenido",Q60),$A$26:$B$35),""))</f>
        <v/>
      </c>
      <c r="U60" s="571" t="s">
        <v>344</v>
      </c>
    </row>
    <row r="61" spans="1:21" ht="14.4" thickBot="1">
      <c r="D61" s="552"/>
      <c r="E61" s="556">
        <f>+RIGHT(E59,2)*1</f>
        <v>24</v>
      </c>
      <c r="F61" s="557" t="s">
        <v>346</v>
      </c>
      <c r="G61" s="558" t="str">
        <f ca="1">IF(AND(E61&gt;0,E61&lt;30),LOOKUP(CELL("contenido",E61),$A$26:$B$55),"")</f>
        <v>VEINTICUATRO</v>
      </c>
      <c r="H61" s="559">
        <f>+RIGHT(H59,2)*1</f>
        <v>0</v>
      </c>
      <c r="I61" s="560" t="s">
        <v>346</v>
      </c>
      <c r="J61" s="561" t="str">
        <f ca="1">IF(E59&lt;2000,"",IF(CELL("contenido",H61)=1,"UN",IF(AND(H61&gt;0,H61&lt;30),LOOKUP(CELL("contenido",H61),$A$26:$B$55),"")))</f>
        <v/>
      </c>
      <c r="K61" s="562">
        <f>+RIGHT(K59,2)*1</f>
        <v>0</v>
      </c>
      <c r="L61" s="563" t="s">
        <v>346</v>
      </c>
      <c r="M61" s="564" t="str">
        <f ca="1">IF(CELL("contenido",K61)=1,"UN",IF(AND(K61&gt;0,K61&lt;30),LOOKUP(CELL("contenido",K61),$A$26:$B$55),""))</f>
        <v/>
      </c>
      <c r="N61" s="565">
        <f>+RIGHT(N59,2)*1</f>
        <v>0</v>
      </c>
      <c r="O61" s="566" t="s">
        <v>346</v>
      </c>
      <c r="P61" s="567" t="str">
        <f ca="1">IF(CELL("contenido",N61)=1,"UN",IF(AND(N61&gt;0,N61&lt;30),LOOKUP(CELL("contenido",N61),$A$26:$B$55),""))</f>
        <v/>
      </c>
      <c r="Q61" s="568">
        <f>+RIGHT(Q59,2)*1</f>
        <v>0</v>
      </c>
      <c r="R61" s="569" t="s">
        <v>346</v>
      </c>
      <c r="S61" s="570" t="str">
        <f ca="1">IF(CELL("contenido",Q61)=1,"UN",IF(AND(Q61&gt;0,Q61&lt;30),LOOKUP(CELL("contenido",Q61),$A$26:$B$55),""))</f>
        <v/>
      </c>
      <c r="U61" s="549" t="str">
        <f ca="1">+IF(CELL("contenido",G61)&lt;&gt;"",CONCATENATE(G64," ",G63," ",G61," ",U59),IF(CELL("contenido",G60)="",CONCATENATE(G64," ",G63," ",G62," ",U59),CONCATENATE(G64," ",G63," ",G62," Y ",G60," ",U59)))</f>
        <v xml:space="preserve">  VEINTICUATRO  94/100 BOLIVIANOS</v>
      </c>
    </row>
    <row r="62" spans="1:21" ht="14.4" thickBot="1">
      <c r="D62" s="552"/>
      <c r="E62" s="556">
        <f>+RIGHT(E59,2)*1-E60</f>
        <v>20</v>
      </c>
      <c r="F62" s="557" t="s">
        <v>348</v>
      </c>
      <c r="G62" s="558" t="str">
        <f ca="1">+IF(AND(E62&gt;0,E59&gt;=30),LOOKUP(CELL("contenido",E62),$C$26:$D$35),"")</f>
        <v/>
      </c>
      <c r="H62" s="559">
        <f>+RIGHT(H59,2)*1-H60</f>
        <v>0</v>
      </c>
      <c r="I62" s="560" t="s">
        <v>348</v>
      </c>
      <c r="J62" s="561" t="str">
        <f ca="1">+IF(AND(H62&gt;0,H59&gt;=30),LOOKUP(CELL("contenido",H62),$C$26:$D$35),"")</f>
        <v/>
      </c>
      <c r="K62" s="562">
        <f>+RIGHT(K59,2)*1-K60</f>
        <v>0</v>
      </c>
      <c r="L62" s="563" t="s">
        <v>348</v>
      </c>
      <c r="M62" s="564" t="str">
        <f ca="1">+IF(AND(K62&gt;0,K59&gt;=30),LOOKUP(CELL("contenido",K62),$C$26:$D$35),"")</f>
        <v/>
      </c>
      <c r="N62" s="565">
        <f>+RIGHT(N59,2)*1-N60</f>
        <v>0</v>
      </c>
      <c r="O62" s="566" t="s">
        <v>348</v>
      </c>
      <c r="P62" s="567" t="str">
        <f ca="1">+IF(AND(N62&gt;0,K64&gt;=30),LOOKUP(CELL("contenido",N62),$C$26:$D$35),"")</f>
        <v/>
      </c>
      <c r="Q62" s="568">
        <f>+RIGHT(Q59,2)*1-Q60</f>
        <v>0</v>
      </c>
      <c r="R62" s="569" t="s">
        <v>348</v>
      </c>
      <c r="S62" s="570" t="str">
        <f ca="1">+IF(AND(Q62&gt;0,N64&gt;=30),LOOKUP(CELL("contenido",Q62),$C$26:$D$35),"")</f>
        <v/>
      </c>
      <c r="U62" s="549" t="str">
        <f ca="1">+IF(CELL("contenido",J61)&lt;&gt;"",CONCATENATE(J64," ",J63," ",J61," "),IF(CELL("contenido",J60)="",CONCATENATE(J64," ",J63," ",J62," "),CONCATENATE(J64," ",J63," ",J62," Y ",J60," ")))</f>
        <v xml:space="preserve">   </v>
      </c>
    </row>
    <row r="63" spans="1:21" ht="14.4" thickBot="1">
      <c r="D63" s="552"/>
      <c r="E63" s="556">
        <f>+RIGHT(E59,3)*1-E62-E60</f>
        <v>0</v>
      </c>
      <c r="F63" s="557" t="s">
        <v>350</v>
      </c>
      <c r="G63" s="558" t="str">
        <f ca="1">+IF((RIGHT(E59,3)*1)=100,"CIEN",IF(AND(E63&gt;0,E63&lt;1000),LOOKUP(CELL("contenido",E63),$E$26:$F$35),""))</f>
        <v/>
      </c>
      <c r="H63" s="559">
        <f>+RIGHT(H59,3)*1-H62-H60</f>
        <v>0</v>
      </c>
      <c r="I63" s="560" t="s">
        <v>350</v>
      </c>
      <c r="J63" s="561" t="str">
        <f ca="1">+IF(H59=100,"CIEN",IF(AND(H63&gt;0,H63&lt;1000),LOOKUP(CELL("contenido",H63),$E$26:$F$35),""))</f>
        <v/>
      </c>
      <c r="K63" s="562">
        <f>+RIGHT(K59,3)*1-K62-K60</f>
        <v>0</v>
      </c>
      <c r="L63" s="563" t="s">
        <v>350</v>
      </c>
      <c r="M63" s="564" t="str">
        <f ca="1">+IF(K59=100,"CIEN",IF(AND(K63&gt;0,K63&lt;1000),LOOKUP(CELL("contenido",K63),$E$26:$F$35),""))</f>
        <v/>
      </c>
      <c r="N63" s="565">
        <f>+RIGHT(N59,3)*1-N62-N60</f>
        <v>0</v>
      </c>
      <c r="O63" s="566" t="s">
        <v>350</v>
      </c>
      <c r="P63" s="567" t="str">
        <f ca="1">+IF(N59=100,"CIEN",IF(AND(N63&gt;0,N63&lt;1000),LOOKUP(CELL("contenido",N63),$E$26:$F$35),""))</f>
        <v/>
      </c>
      <c r="Q63" s="568">
        <f>+RIGHT(Q59,3)*1-Q62-Q60</f>
        <v>0</v>
      </c>
      <c r="R63" s="569" t="s">
        <v>350</v>
      </c>
      <c r="S63" s="570" t="str">
        <f ca="1">+IF(Q59=100,"CIEN",IF(AND(Q63&gt;0,Q63&lt;1000),LOOKUP(CELL("contenido",Q63),$E$26:$F$35),""))</f>
        <v/>
      </c>
      <c r="U63" s="549" t="str">
        <f ca="1">+IF(CELL("contenido",M61)&lt;&gt;"",CONCATENATE(M64," ",M63," ",M61," "),IF(CELL("contenido",M60)="",CONCATENATE(M64," ",M63," ",M62," "),CONCATENATE(M64," ",M63," ",M62," Y ",M60," ")))</f>
        <v xml:space="preserve">   </v>
      </c>
    </row>
    <row r="64" spans="1:21" ht="14.4" thickBot="1">
      <c r="D64" s="552"/>
      <c r="E64" s="572">
        <f>+RIGHT(E59,4)*1-E63-E62-E60</f>
        <v>0</v>
      </c>
      <c r="F64" s="573" t="s">
        <v>352</v>
      </c>
      <c r="G64" s="574" t="str">
        <f ca="1">+IF(E59&gt;999,"MIL",IF(AND(E64&gt;0,E64&lt;10000),LOOKUP(CELL("contenido",E64),$E$26:$F$35),""))</f>
        <v/>
      </c>
      <c r="H64" s="575">
        <f>INT(E59/1000000)</f>
        <v>0</v>
      </c>
      <c r="I64" s="576" t="s">
        <v>353</v>
      </c>
      <c r="J64" s="577" t="str">
        <f ca="1">+IF(CELL("contenido",M61)=1,"MILLÓN",IF(H64=1,"MILLÓN",IF(H64&gt;1,"MILLONES","")))</f>
        <v/>
      </c>
      <c r="K64" s="578">
        <f>+RIGHT(K59,4)*1-K63-K62-K60</f>
        <v>0</v>
      </c>
      <c r="L64" s="579" t="s">
        <v>354</v>
      </c>
      <c r="M64" s="580" t="str">
        <f ca="1">+IF(AND(K64&gt;0,K64&lt;10000),LOOKUP(CELL("contenido",K64),$E$26:$F$35),"")</f>
        <v/>
      </c>
      <c r="N64" s="581">
        <f>+RIGHT(N59,4)*1-N63-N62-N60</f>
        <v>0</v>
      </c>
      <c r="O64" s="582" t="s">
        <v>355</v>
      </c>
      <c r="P64" s="583" t="str">
        <f>+IF(N64=1,"UN MILLARDO",IF(N59&gt;1,"MILLARDOS",""))</f>
        <v/>
      </c>
      <c r="Q64" s="584">
        <f>+RIGHT(Q59,4)*1-Q63-Q62-Q60</f>
        <v>0</v>
      </c>
      <c r="R64" s="585" t="s">
        <v>355</v>
      </c>
      <c r="S64" s="586" t="str">
        <f>+IF(Q64=1,"UN MILLARDO",IF(Q59&gt;1,"MILLARDOS",""))</f>
        <v/>
      </c>
      <c r="U64" s="549" t="str">
        <f ca="1">+IF(CELL("contenido",P61)&lt;&gt;"",CONCATENATE(P64," ",P63," ",P61," "),IF(CELL("contenido",P60)="",CONCATENATE(P64," ",P63," ",P62," "),CONCATENATE(P64," ",P63," ",P62," Y ",P60," ")))</f>
        <v xml:space="preserve">   </v>
      </c>
    </row>
    <row r="65" spans="4:21" ht="14.4" thickTop="1">
      <c r="D65" s="552"/>
      <c r="E65" s="549"/>
      <c r="F65" s="549"/>
      <c r="G65" s="549"/>
      <c r="H65" s="549"/>
      <c r="I65" s="549"/>
      <c r="J65" s="587"/>
      <c r="K65" s="587"/>
      <c r="L65" s="587"/>
      <c r="M65" s="550"/>
      <c r="N65" s="550"/>
      <c r="O65" s="550"/>
      <c r="P65" s="549"/>
      <c r="Q65" s="550"/>
      <c r="R65" s="550"/>
      <c r="S65" s="549"/>
      <c r="U65" s="549" t="str">
        <f ca="1">+IF(CELL("contenido",S61)&lt;&gt;"",CONCATENATE(S63," ",S61," "),IF(CELL("contenido",S60)="",CONCATENATE(S63," ",S62," "),CONCATENATE(S63," ",S62," Y ",S60," ")))</f>
        <v xml:space="preserve">  </v>
      </c>
    </row>
    <row r="66" spans="4:21" ht="13.8">
      <c r="D66" s="549" t="s">
        <v>359</v>
      </c>
      <c r="E66" s="549"/>
      <c r="F66" s="549"/>
      <c r="G66" s="549"/>
      <c r="H66" s="549"/>
      <c r="I66" s="549"/>
      <c r="J66" s="549"/>
      <c r="K66" s="549"/>
      <c r="L66" s="549"/>
      <c r="M66" s="549"/>
      <c r="N66" s="549"/>
      <c r="O66" s="549"/>
      <c r="P66" s="549"/>
      <c r="Q66" s="549"/>
      <c r="R66" s="549"/>
      <c r="S66" s="549"/>
      <c r="U66" s="546"/>
    </row>
    <row r="67" spans="4:21" ht="13.8">
      <c r="D67" s="552"/>
      <c r="E67" s="553">
        <f>ROUND(100*(A3-INT(A3)),2)</f>
        <v>64</v>
      </c>
      <c r="F67" s="549" t="s">
        <v>334</v>
      </c>
      <c r="G67" s="549"/>
      <c r="H67" s="549"/>
      <c r="I67" s="549"/>
      <c r="J67" s="549"/>
      <c r="K67" s="549"/>
      <c r="L67" s="549"/>
      <c r="M67" s="549"/>
      <c r="N67" s="549"/>
      <c r="O67" s="549"/>
      <c r="P67" s="549"/>
      <c r="Q67" s="549"/>
      <c r="R67" s="549"/>
      <c r="S67" s="549"/>
    </row>
    <row r="68" spans="4:21" ht="13.8">
      <c r="D68" s="549"/>
      <c r="E68" s="549">
        <f>+LEN(E70)</f>
        <v>1</v>
      </c>
      <c r="F68" s="549" t="s">
        <v>335</v>
      </c>
      <c r="G68" s="549"/>
      <c r="H68" s="549"/>
      <c r="I68" s="549"/>
      <c r="J68" s="549"/>
      <c r="K68" s="549"/>
      <c r="L68" s="549"/>
      <c r="M68" s="549"/>
      <c r="N68" s="549"/>
      <c r="O68" s="549"/>
      <c r="P68" s="549"/>
      <c r="Q68" s="549"/>
      <c r="R68" s="549"/>
      <c r="S68" s="549"/>
    </row>
    <row r="69" spans="4:21" ht="14.4" thickBot="1">
      <c r="D69" s="552"/>
      <c r="E69" s="549"/>
      <c r="F69" s="549"/>
      <c r="G69" s="549"/>
      <c r="H69" s="549"/>
      <c r="I69" s="549"/>
      <c r="J69" s="549"/>
      <c r="K69" s="549"/>
      <c r="L69" s="549"/>
      <c r="M69" s="549"/>
      <c r="N69" s="549"/>
      <c r="O69" s="549"/>
      <c r="P69" s="549"/>
      <c r="Q69" s="549"/>
      <c r="R69" s="549"/>
      <c r="S69" s="549"/>
    </row>
    <row r="70" spans="4:21" ht="15" thickTop="1" thickBot="1">
      <c r="D70" s="549"/>
      <c r="E70" s="554">
        <f>+A3-E67/100</f>
        <v>2.9999999999999996</v>
      </c>
      <c r="F70" s="1443" t="s">
        <v>338</v>
      </c>
      <c r="G70" s="1444"/>
      <c r="H70" s="555">
        <f>+IF(E70&gt;1000,INT(E70/1000),0)</f>
        <v>0</v>
      </c>
      <c r="I70" s="1443" t="s">
        <v>339</v>
      </c>
      <c r="J70" s="1444"/>
      <c r="K70" s="555">
        <f>+INT(H70/1000)</f>
        <v>0</v>
      </c>
      <c r="L70" s="1443" t="s">
        <v>340</v>
      </c>
      <c r="M70" s="1444"/>
      <c r="N70" s="555">
        <f>+INT(K70/1000)</f>
        <v>0</v>
      </c>
      <c r="O70" s="1443" t="s">
        <v>341</v>
      </c>
      <c r="P70" s="1444"/>
      <c r="Q70" s="555">
        <f>+INT(N70)</f>
        <v>0</v>
      </c>
      <c r="R70" s="1443" t="s">
        <v>341</v>
      </c>
      <c r="S70" s="1444"/>
      <c r="U70" s="549" t="str">
        <f>+IF(E67=0,CONCATENATE("00",U71),IF(E67&lt;10,CONCATENATE(" 0",E67,U71),CONCATENATE(" ",E67,U71)))</f>
        <v xml:space="preserve"> 64/100 BOLIVIANOS</v>
      </c>
    </row>
    <row r="71" spans="4:21" ht="14.4" thickBot="1">
      <c r="D71" s="552"/>
      <c r="E71" s="556">
        <f>+RIGHT(E70)*1</f>
        <v>3</v>
      </c>
      <c r="F71" s="557" t="s">
        <v>343</v>
      </c>
      <c r="G71" s="558" t="str">
        <f ca="1">+IF(AND(E71&gt;0,E71&lt;10),LOOKUP(CELL("contenido",E71),$A$26:$B$35),"")</f>
        <v>TRES</v>
      </c>
      <c r="H71" s="559">
        <f>+RIGHT(H70)*1</f>
        <v>0</v>
      </c>
      <c r="I71" s="560" t="s">
        <v>343</v>
      </c>
      <c r="J71" s="561" t="str">
        <f ca="1">IF(E70&lt;2000,"",IF(CELL("contenido",H71)=1,"UN",IF(AND(H71&gt;0,H71&lt;10),LOOKUP(CELL("contenido",H71),$A$26:$B$35),"")))</f>
        <v/>
      </c>
      <c r="K71" s="562">
        <f>+RIGHT(K70)*1</f>
        <v>0</v>
      </c>
      <c r="L71" s="563" t="s">
        <v>343</v>
      </c>
      <c r="M71" s="564" t="str">
        <f ca="1">+IF(CELL("contenido",K71)=1,"UN",IF(AND(K71&gt;0,K71&lt;10),LOOKUP(CELL("contenido",K71),$A$26:$B$35),""))</f>
        <v/>
      </c>
      <c r="N71" s="565">
        <f>+RIGHT(N70)*1</f>
        <v>0</v>
      </c>
      <c r="O71" s="566" t="s">
        <v>343</v>
      </c>
      <c r="P71" s="567" t="str">
        <f ca="1">+IF(CELL("contenido",N71)=1,"UN",IF(AND(N71&gt;0,N71&lt;10),LOOKUP(CELL("contenido",N71),$A$26:$B$35),""))</f>
        <v/>
      </c>
      <c r="Q71" s="568">
        <f>+RIGHT(Q70)*1</f>
        <v>0</v>
      </c>
      <c r="R71" s="569" t="s">
        <v>343</v>
      </c>
      <c r="S71" s="570" t="str">
        <f ca="1">+IF(CELL("contenido",Q71)=1,"UN",IF(AND(Q71&gt;0,Q71&lt;10),LOOKUP(CELL("contenido",Q71),$A$26:$B$35),""))</f>
        <v/>
      </c>
      <c r="U71" s="571" t="s">
        <v>344</v>
      </c>
    </row>
    <row r="72" spans="4:21" ht="14.4" thickBot="1">
      <c r="D72" s="552"/>
      <c r="E72" s="556">
        <f>+RIGHT(E70,2)*1</f>
        <v>3</v>
      </c>
      <c r="F72" s="557" t="s">
        <v>346</v>
      </c>
      <c r="G72" s="558" t="str">
        <f ca="1">IF(AND(E72&gt;0,E72&lt;30),LOOKUP(CELL("contenido",E72),$A$26:$B$55),"")</f>
        <v>TRES</v>
      </c>
      <c r="H72" s="559">
        <f>+RIGHT(H70,2)*1</f>
        <v>0</v>
      </c>
      <c r="I72" s="560" t="s">
        <v>346</v>
      </c>
      <c r="J72" s="561" t="str">
        <f ca="1">IF(E70&lt;2000,"",IF(CELL("contenido",H72)=1,"UN",IF(AND(H72&gt;0,H72&lt;30),LOOKUP(CELL("contenido",H72),$A$26:$B$55),"")))</f>
        <v/>
      </c>
      <c r="K72" s="562">
        <f>+RIGHT(K70,2)*1</f>
        <v>0</v>
      </c>
      <c r="L72" s="563" t="s">
        <v>346</v>
      </c>
      <c r="M72" s="564" t="str">
        <f ca="1">IF(CELL("contenido",K72)=1,"UN",IF(AND(K72&gt;0,K72&lt;30),LOOKUP(CELL("contenido",K72),$A$26:$B$55),""))</f>
        <v/>
      </c>
      <c r="N72" s="565">
        <f>+RIGHT(N70,2)*1</f>
        <v>0</v>
      </c>
      <c r="O72" s="566" t="s">
        <v>346</v>
      </c>
      <c r="P72" s="567" t="str">
        <f ca="1">IF(CELL("contenido",N72)=1,"UN",IF(AND(N72&gt;0,N72&lt;30),LOOKUP(CELL("contenido",N72),$A$26:$B$55),""))</f>
        <v/>
      </c>
      <c r="Q72" s="568">
        <f>+RIGHT(Q70,2)*1</f>
        <v>0</v>
      </c>
      <c r="R72" s="569" t="s">
        <v>346</v>
      </c>
      <c r="S72" s="570" t="str">
        <f ca="1">IF(CELL("contenido",Q72)=1,"UN",IF(AND(Q72&gt;0,Q72&lt;30),LOOKUP(CELL("contenido",Q72),$A$26:$B$55),""))</f>
        <v/>
      </c>
      <c r="U72" s="549" t="str">
        <f ca="1">+IF(CELL("contenido",G72)&lt;&gt;"",CONCATENATE(G75," ",G74," ",G72," ",U70),IF(CELL("contenido",G71)="",CONCATENATE(G75," ",G74," ",G73," ",U70),CONCATENATE(G75," ",G74," ",G73," Y ",G71," ",U70)))</f>
        <v xml:space="preserve">  TRES  64/100 BOLIVIANOS</v>
      </c>
    </row>
    <row r="73" spans="4:21" ht="14.4" thickBot="1">
      <c r="D73" s="552"/>
      <c r="E73" s="556">
        <f>+RIGHT(E70,2)*1-E71</f>
        <v>0</v>
      </c>
      <c r="F73" s="557" t="s">
        <v>348</v>
      </c>
      <c r="G73" s="558" t="str">
        <f ca="1">+IF(AND(E73&gt;0,E70&gt;=30),LOOKUP(CELL("contenido",E73),$C$26:$D$35),"")</f>
        <v/>
      </c>
      <c r="H73" s="559">
        <f>+RIGHT(H70,2)*1-H71</f>
        <v>0</v>
      </c>
      <c r="I73" s="560" t="s">
        <v>348</v>
      </c>
      <c r="J73" s="561" t="str">
        <f ca="1">+IF(AND(H73&gt;0,H70&gt;=30),LOOKUP(CELL("contenido",H73),$C$26:$D$35),"")</f>
        <v/>
      </c>
      <c r="K73" s="562">
        <f>+RIGHT(K70,2)*1-K71</f>
        <v>0</v>
      </c>
      <c r="L73" s="563" t="s">
        <v>348</v>
      </c>
      <c r="M73" s="564" t="str">
        <f ca="1">+IF(AND(K73&gt;0,K70&gt;=30),LOOKUP(CELL("contenido",K73),$C$26:$D$35),"")</f>
        <v/>
      </c>
      <c r="N73" s="565">
        <f>+RIGHT(N70,2)*1-N71</f>
        <v>0</v>
      </c>
      <c r="O73" s="566" t="s">
        <v>348</v>
      </c>
      <c r="P73" s="567" t="str">
        <f ca="1">+IF(AND(N73&gt;0,K75&gt;=30),LOOKUP(CELL("contenido",N73),$C$26:$D$35),"")</f>
        <v/>
      </c>
      <c r="Q73" s="568">
        <f>+RIGHT(Q70,2)*1-Q71</f>
        <v>0</v>
      </c>
      <c r="R73" s="569" t="s">
        <v>348</v>
      </c>
      <c r="S73" s="570" t="str">
        <f ca="1">+IF(AND(Q73&gt;0,N75&gt;=30),LOOKUP(CELL("contenido",Q73),$C$26:$D$35),"")</f>
        <v/>
      </c>
      <c r="U73" s="549" t="str">
        <f ca="1">+IF(CELL("contenido",J72)&lt;&gt;"",CONCATENATE(J75," ",J74," ",J72," "),IF(CELL("contenido",J71)="",CONCATENATE(J75," ",J74," ",J73," "),CONCATENATE(J75," ",J74," ",J73," Y ",J71," ")))</f>
        <v xml:space="preserve">   </v>
      </c>
    </row>
    <row r="74" spans="4:21" ht="14.4" thickBot="1">
      <c r="D74" s="552"/>
      <c r="E74" s="556">
        <f>+RIGHT(E70,3)*1-E73-E71</f>
        <v>0</v>
      </c>
      <c r="F74" s="557" t="s">
        <v>350</v>
      </c>
      <c r="G74" s="558" t="str">
        <f ca="1">+IF((RIGHT(E70,3)*1)=100,"CIEN",IF(AND(E74&gt;0,E74&lt;1000),LOOKUP(CELL("contenido",E74),$E$26:$F$35),""))</f>
        <v/>
      </c>
      <c r="H74" s="559">
        <f>+RIGHT(H70,3)*1-H73-H71</f>
        <v>0</v>
      </c>
      <c r="I74" s="560" t="s">
        <v>350</v>
      </c>
      <c r="J74" s="561" t="str">
        <f ca="1">+IF(H70=100,"CIEN",IF(AND(H74&gt;0,H74&lt;1000),LOOKUP(CELL("contenido",H74),$E$26:$F$35),""))</f>
        <v/>
      </c>
      <c r="K74" s="562">
        <f>+RIGHT(K70,3)*1-K73-K71</f>
        <v>0</v>
      </c>
      <c r="L74" s="563" t="s">
        <v>350</v>
      </c>
      <c r="M74" s="564" t="str">
        <f ca="1">+IF(K70=100,"CIEN",IF(AND(K74&gt;0,K74&lt;1000),LOOKUP(CELL("contenido",K74),$E$26:$F$35),""))</f>
        <v/>
      </c>
      <c r="N74" s="565">
        <f>+RIGHT(N70,3)*1-N73-N71</f>
        <v>0</v>
      </c>
      <c r="O74" s="566" t="s">
        <v>350</v>
      </c>
      <c r="P74" s="567" t="str">
        <f ca="1">+IF(N70=100,"CIEN",IF(AND(N74&gt;0,N74&lt;1000),LOOKUP(CELL("contenido",N74),$E$26:$F$35),""))</f>
        <v/>
      </c>
      <c r="Q74" s="568">
        <f>+RIGHT(Q70,3)*1-Q73-Q71</f>
        <v>0</v>
      </c>
      <c r="R74" s="569" t="s">
        <v>350</v>
      </c>
      <c r="S74" s="570" t="str">
        <f ca="1">+IF(Q70=100,"CIEN",IF(AND(Q74&gt;0,Q74&lt;1000),LOOKUP(CELL("contenido",Q74),$E$26:$F$35),""))</f>
        <v/>
      </c>
      <c r="U74" s="549" t="str">
        <f ca="1">+IF(CELL("contenido",M72)&lt;&gt;"",CONCATENATE(M75," ",M74," ",M72," "),IF(CELL("contenido",M71)="",CONCATENATE(M75," ",M74," ",M73," "),CONCATENATE(M75," ",M74," ",M73," Y ",M71," ")))</f>
        <v xml:space="preserve">   </v>
      </c>
    </row>
    <row r="75" spans="4:21" ht="14.4" thickBot="1">
      <c r="D75" s="552"/>
      <c r="E75" s="572">
        <f>+RIGHT(E70,4)*1-E74-E73-E71</f>
        <v>0</v>
      </c>
      <c r="F75" s="573" t="s">
        <v>352</v>
      </c>
      <c r="G75" s="574" t="str">
        <f ca="1">+IF(E70&gt;999,"MIL",IF(AND(E75&gt;0,E75&lt;10000),LOOKUP(CELL("contenido",E75),$E$26:$F$35),""))</f>
        <v/>
      </c>
      <c r="H75" s="575">
        <f>INT(E70/1000000)</f>
        <v>0</v>
      </c>
      <c r="I75" s="576" t="s">
        <v>353</v>
      </c>
      <c r="J75" s="577" t="str">
        <f ca="1">+IF(CELL("contenido",M72)=1,"MILLÓN",IF(H75=1,"MILLÓN",IF(H75&gt;1,"MILLONES","")))</f>
        <v/>
      </c>
      <c r="K75" s="578">
        <f>+RIGHT(K70,4)*1-K74-K73-K71</f>
        <v>0</v>
      </c>
      <c r="L75" s="579" t="s">
        <v>354</v>
      </c>
      <c r="M75" s="580" t="str">
        <f ca="1">+IF(AND(K75&gt;0,K75&lt;10000),LOOKUP(CELL("contenido",K75),$E$26:$F$35),"")</f>
        <v/>
      </c>
      <c r="N75" s="581">
        <f>+RIGHT(N70,4)*1-N74-N73-N71</f>
        <v>0</v>
      </c>
      <c r="O75" s="582" t="s">
        <v>355</v>
      </c>
      <c r="P75" s="583" t="str">
        <f>+IF(N75=1,"UN MILLARDO",IF(N70&gt;1,"MILLARDOS",""))</f>
        <v/>
      </c>
      <c r="Q75" s="584">
        <f>+RIGHT(Q70,4)*1-Q74-Q73-Q71</f>
        <v>0</v>
      </c>
      <c r="R75" s="585" t="s">
        <v>355</v>
      </c>
      <c r="S75" s="586" t="str">
        <f>+IF(Q75=1,"UN MILLARDO",IF(Q70&gt;1,"MILLARDOS",""))</f>
        <v/>
      </c>
      <c r="U75" s="549" t="str">
        <f ca="1">+IF(CELL("contenido",P72)&lt;&gt;"",CONCATENATE(P75," ",P74," ",P72," "),IF(CELL("contenido",P71)="",CONCATENATE(P75," ",P74," ",P73," "),CONCATENATE(P75," ",P74," ",P73," Y ",P71," ")))</f>
        <v xml:space="preserve">   </v>
      </c>
    </row>
    <row r="76" spans="4:21" ht="14.4" thickTop="1">
      <c r="D76" s="552"/>
      <c r="E76" s="549"/>
      <c r="F76" s="549"/>
      <c r="G76" s="549"/>
      <c r="H76" s="549"/>
      <c r="I76" s="549"/>
      <c r="J76" s="587"/>
      <c r="K76" s="587"/>
      <c r="L76" s="587"/>
      <c r="M76" s="550"/>
      <c r="N76" s="550"/>
      <c r="O76" s="550"/>
      <c r="P76" s="549"/>
      <c r="Q76" s="550"/>
      <c r="R76" s="550"/>
      <c r="S76" s="549"/>
      <c r="U76" s="549" t="str">
        <f ca="1">+IF(CELL("contenido",S72)&lt;&gt;"",CONCATENATE(S74," ",S72," "),IF(CELL("contenido",S71)="",CONCATENATE(S74," ",S73," "),CONCATENATE(S74," ",S73," Y ",S71," ")))</f>
        <v xml:space="preserve">  </v>
      </c>
    </row>
    <row r="77" spans="4:21" ht="13.8">
      <c r="D77" s="549" t="s">
        <v>360</v>
      </c>
      <c r="E77" s="549"/>
      <c r="F77" s="549"/>
      <c r="G77" s="549"/>
      <c r="H77" s="549"/>
      <c r="I77" s="549"/>
      <c r="J77" s="549"/>
      <c r="K77" s="549"/>
      <c r="L77" s="549"/>
      <c r="M77" s="549"/>
      <c r="N77" s="549"/>
      <c r="O77" s="549"/>
      <c r="P77" s="549"/>
      <c r="Q77" s="549"/>
      <c r="R77" s="549"/>
      <c r="S77" s="549"/>
      <c r="U77" s="546"/>
    </row>
    <row r="78" spans="4:21" ht="13.8">
      <c r="D78" s="552"/>
      <c r="E78" s="553">
        <f>ROUND(100*(A4-INT(A4)),2)</f>
        <v>37</v>
      </c>
      <c r="F78" s="549" t="s">
        <v>334</v>
      </c>
      <c r="G78" s="549"/>
      <c r="H78" s="549"/>
      <c r="I78" s="549"/>
      <c r="J78" s="549"/>
      <c r="K78" s="549"/>
      <c r="L78" s="549"/>
      <c r="M78" s="549"/>
      <c r="N78" s="549"/>
      <c r="O78" s="549"/>
      <c r="P78" s="549"/>
      <c r="Q78" s="549"/>
      <c r="R78" s="549"/>
      <c r="S78" s="549"/>
    </row>
    <row r="79" spans="4:21" ht="13.8">
      <c r="D79" s="549"/>
      <c r="E79" s="549">
        <f>+LEN(E81)</f>
        <v>2</v>
      </c>
      <c r="F79" s="549" t="s">
        <v>335</v>
      </c>
      <c r="G79" s="549"/>
      <c r="H79" s="549"/>
      <c r="I79" s="549"/>
      <c r="J79" s="549"/>
      <c r="K79" s="549"/>
      <c r="L79" s="549"/>
      <c r="M79" s="549"/>
      <c r="N79" s="549"/>
      <c r="O79" s="549"/>
      <c r="P79" s="549"/>
      <c r="Q79" s="549"/>
      <c r="R79" s="549"/>
      <c r="S79" s="549"/>
    </row>
    <row r="80" spans="4:21" ht="14.4" thickBot="1">
      <c r="D80" s="552"/>
      <c r="E80" s="549"/>
      <c r="F80" s="549"/>
      <c r="G80" s="549"/>
      <c r="H80" s="549"/>
      <c r="I80" s="549"/>
      <c r="J80" s="549"/>
      <c r="K80" s="549"/>
      <c r="L80" s="549"/>
      <c r="M80" s="549"/>
      <c r="N80" s="549"/>
      <c r="O80" s="549"/>
      <c r="P80" s="549"/>
      <c r="Q80" s="549"/>
      <c r="R80" s="549"/>
      <c r="S80" s="549"/>
    </row>
    <row r="81" spans="4:21" ht="15" thickTop="1" thickBot="1">
      <c r="D81" s="549"/>
      <c r="E81" s="554">
        <f>+A4-E78/100</f>
        <v>30.000000000000004</v>
      </c>
      <c r="F81" s="1443" t="s">
        <v>338</v>
      </c>
      <c r="G81" s="1444"/>
      <c r="H81" s="555">
        <f>+IF(E81&gt;1000,INT(E81/1000),0)</f>
        <v>0</v>
      </c>
      <c r="I81" s="1443" t="s">
        <v>339</v>
      </c>
      <c r="J81" s="1444"/>
      <c r="K81" s="555">
        <f>+INT(H81/1000)</f>
        <v>0</v>
      </c>
      <c r="L81" s="1443" t="s">
        <v>340</v>
      </c>
      <c r="M81" s="1444"/>
      <c r="N81" s="555">
        <f>+INT(K81/1000)</f>
        <v>0</v>
      </c>
      <c r="O81" s="1443" t="s">
        <v>341</v>
      </c>
      <c r="P81" s="1444"/>
      <c r="Q81" s="555">
        <f>+INT(N81)</f>
        <v>0</v>
      </c>
      <c r="R81" s="1443" t="s">
        <v>341</v>
      </c>
      <c r="S81" s="1444"/>
      <c r="U81" s="549" t="str">
        <f>+IF(E78=0,CONCATENATE("00",U82),IF(E78&lt;10,CONCATENATE(" 0",E78,U82),CONCATENATE(" ",E78,U82)))</f>
        <v xml:space="preserve"> 37/100 BOLIVIANOS</v>
      </c>
    </row>
    <row r="82" spans="4:21" ht="14.4" thickBot="1">
      <c r="D82" s="552"/>
      <c r="E82" s="556">
        <f>+RIGHT(E81)*1</f>
        <v>0</v>
      </c>
      <c r="F82" s="557" t="s">
        <v>343</v>
      </c>
      <c r="G82" s="558" t="str">
        <f ca="1">+IF(AND(E82&gt;0,E82&lt;10),LOOKUP(CELL("contenido",E82),$A$26:$B$35),"")</f>
        <v/>
      </c>
      <c r="H82" s="559">
        <f>+RIGHT(H81)*1</f>
        <v>0</v>
      </c>
      <c r="I82" s="560" t="s">
        <v>343</v>
      </c>
      <c r="J82" s="561" t="str">
        <f ca="1">IF(E81&lt;2000,"",IF(CELL("contenido",H82)=1,"UN",IF(AND(H82&gt;0,H82&lt;10),LOOKUP(CELL("contenido",H82),$A$26:$B$35),"")))</f>
        <v/>
      </c>
      <c r="K82" s="562">
        <f>+RIGHT(K81)*1</f>
        <v>0</v>
      </c>
      <c r="L82" s="563" t="s">
        <v>343</v>
      </c>
      <c r="M82" s="564" t="str">
        <f ca="1">+IF(CELL("contenido",K82)=1,"UN",IF(AND(K82&gt;0,K82&lt;10),LOOKUP(CELL("contenido",K82),$A$26:$B$35),""))</f>
        <v/>
      </c>
      <c r="N82" s="565">
        <f>+RIGHT(N81)*1</f>
        <v>0</v>
      </c>
      <c r="O82" s="566" t="s">
        <v>343</v>
      </c>
      <c r="P82" s="567" t="str">
        <f ca="1">+IF(CELL("contenido",N82)=1,"UN",IF(AND(N82&gt;0,N82&lt;10),LOOKUP(CELL("contenido",N82),$A$26:$B$35),""))</f>
        <v/>
      </c>
      <c r="Q82" s="568">
        <f>+RIGHT(Q81)*1</f>
        <v>0</v>
      </c>
      <c r="R82" s="569" t="s">
        <v>343</v>
      </c>
      <c r="S82" s="570" t="str">
        <f ca="1">+IF(CELL("contenido",Q82)=1,"UN",IF(AND(Q82&gt;0,Q82&lt;10),LOOKUP(CELL("contenido",Q82),$A$26:$B$35),""))</f>
        <v/>
      </c>
      <c r="U82" s="571" t="s">
        <v>344</v>
      </c>
    </row>
    <row r="83" spans="4:21" ht="14.4" thickBot="1">
      <c r="D83" s="552"/>
      <c r="E83" s="556">
        <f>+RIGHT(E81,2)*1</f>
        <v>30</v>
      </c>
      <c r="F83" s="557" t="s">
        <v>346</v>
      </c>
      <c r="G83" s="558" t="str">
        <f ca="1">IF(AND(E83&gt;0,E83&lt;30),LOOKUP(CELL("contenido",E83),$A$26:$B$55),"")</f>
        <v/>
      </c>
      <c r="H83" s="559">
        <f>+RIGHT(H81,2)*1</f>
        <v>0</v>
      </c>
      <c r="I83" s="560" t="s">
        <v>346</v>
      </c>
      <c r="J83" s="561" t="str">
        <f ca="1">IF(E81&lt;2000,"",IF(CELL("contenido",H83)=1,"UN",IF(AND(H83&gt;0,H83&lt;30),LOOKUP(CELL("contenido",H83),$A$26:$B$55),"")))</f>
        <v/>
      </c>
      <c r="K83" s="562">
        <f>+RIGHT(K81,2)*1</f>
        <v>0</v>
      </c>
      <c r="L83" s="563" t="s">
        <v>346</v>
      </c>
      <c r="M83" s="564" t="str">
        <f ca="1">IF(CELL("contenido",K83)=1,"UN",IF(AND(K83&gt;0,K83&lt;30),LOOKUP(CELL("contenido",K83),$A$26:$B$55),""))</f>
        <v/>
      </c>
      <c r="N83" s="565">
        <f>+RIGHT(N81,2)*1</f>
        <v>0</v>
      </c>
      <c r="O83" s="566" t="s">
        <v>346</v>
      </c>
      <c r="P83" s="567" t="str">
        <f ca="1">IF(CELL("contenido",N83)=1,"UN",IF(AND(N83&gt;0,N83&lt;30),LOOKUP(CELL("contenido",N83),$A$26:$B$55),""))</f>
        <v/>
      </c>
      <c r="Q83" s="568">
        <f>+RIGHT(Q81,2)*1</f>
        <v>0</v>
      </c>
      <c r="R83" s="569" t="s">
        <v>346</v>
      </c>
      <c r="S83" s="570" t="str">
        <f ca="1">IF(CELL("contenido",Q83)=1,"UN",IF(AND(Q83&gt;0,Q83&lt;30),LOOKUP(CELL("contenido",Q83),$A$26:$B$55),""))</f>
        <v/>
      </c>
      <c r="U83" s="549" t="str">
        <f ca="1">+IF(CELL("contenido",G83)&lt;&gt;"",CONCATENATE(G86," ",G85," ",G83," ",U81),IF(CELL("contenido",G82)="",CONCATENATE(G86," ",G85," ",G84," ",U81),CONCATENATE(G86," ",G85," ",G84," Y ",G82," ",U81)))</f>
        <v xml:space="preserve">  TREINTA  37/100 BOLIVIANOS</v>
      </c>
    </row>
    <row r="84" spans="4:21" ht="14.4" thickBot="1">
      <c r="D84" s="552"/>
      <c r="E84" s="556">
        <f>+RIGHT(E81,2)*1-E82</f>
        <v>30</v>
      </c>
      <c r="F84" s="557" t="s">
        <v>348</v>
      </c>
      <c r="G84" s="558" t="str">
        <f ca="1">+IF(AND(E84&gt;0,E81&gt;=30),LOOKUP(CELL("contenido",E84),$C$26:$D$35),"")</f>
        <v>TREINTA</v>
      </c>
      <c r="H84" s="559">
        <f>+RIGHT(H81,2)*1-H82</f>
        <v>0</v>
      </c>
      <c r="I84" s="560" t="s">
        <v>348</v>
      </c>
      <c r="J84" s="561" t="str">
        <f ca="1">+IF(AND(H84&gt;0,H81&gt;=30),LOOKUP(CELL("contenido",H84),$C$26:$D$35),"")</f>
        <v/>
      </c>
      <c r="K84" s="562">
        <f>+RIGHT(K81,2)*1-K82</f>
        <v>0</v>
      </c>
      <c r="L84" s="563" t="s">
        <v>348</v>
      </c>
      <c r="M84" s="564" t="str">
        <f ca="1">+IF(AND(K84&gt;0,K81&gt;=30),LOOKUP(CELL("contenido",K84),$C$26:$D$35),"")</f>
        <v/>
      </c>
      <c r="N84" s="565">
        <f>+RIGHT(N81,2)*1-N82</f>
        <v>0</v>
      </c>
      <c r="O84" s="566" t="s">
        <v>348</v>
      </c>
      <c r="P84" s="567" t="str">
        <f ca="1">+IF(AND(N84&gt;0,K86&gt;=30),LOOKUP(CELL("contenido",N84),$C$26:$D$35),"")</f>
        <v/>
      </c>
      <c r="Q84" s="568">
        <f>+RIGHT(Q81,2)*1-Q82</f>
        <v>0</v>
      </c>
      <c r="R84" s="569" t="s">
        <v>348</v>
      </c>
      <c r="S84" s="570" t="str">
        <f ca="1">+IF(AND(Q84&gt;0,N86&gt;=30),LOOKUP(CELL("contenido",Q84),$C$26:$D$35),"")</f>
        <v/>
      </c>
      <c r="U84" s="549" t="str">
        <f ca="1">+IF(CELL("contenido",J83)&lt;&gt;"",CONCATENATE(J86," ",J85," ",J83," "),IF(CELL("contenido",J82)="",CONCATENATE(J86," ",J85," ",J84," "),CONCATENATE(J86," ",J85," ",J84," Y ",J82," ")))</f>
        <v xml:space="preserve">   </v>
      </c>
    </row>
    <row r="85" spans="4:21" ht="14.4" thickBot="1">
      <c r="D85" s="552"/>
      <c r="E85" s="556">
        <f>+RIGHT(E81,3)*1-E84-E82</f>
        <v>0</v>
      </c>
      <c r="F85" s="557" t="s">
        <v>350</v>
      </c>
      <c r="G85" s="558" t="str">
        <f ca="1">+IF((RIGHT(E81,3)*1)=100,"CIEN",IF(AND(E85&gt;0,E85&lt;1000),LOOKUP(CELL("contenido",E85),$E$26:$F$35),""))</f>
        <v/>
      </c>
      <c r="H85" s="559">
        <f>+RIGHT(H81,3)*1-H84-H82</f>
        <v>0</v>
      </c>
      <c r="I85" s="560" t="s">
        <v>350</v>
      </c>
      <c r="J85" s="561" t="str">
        <f ca="1">+IF(H81=100,"CIEN",IF(AND(H85&gt;0,H85&lt;1000),LOOKUP(CELL("contenido",H85),$E$26:$F$35),""))</f>
        <v/>
      </c>
      <c r="K85" s="562">
        <f>+RIGHT(K81,3)*1-K84-K82</f>
        <v>0</v>
      </c>
      <c r="L85" s="563" t="s">
        <v>350</v>
      </c>
      <c r="M85" s="564" t="str">
        <f ca="1">+IF(K81=100,"CIEN",IF(AND(K85&gt;0,K85&lt;1000),LOOKUP(CELL("contenido",K85),$E$26:$F$35),""))</f>
        <v/>
      </c>
      <c r="N85" s="565">
        <f>+RIGHT(N81,3)*1-N84-N82</f>
        <v>0</v>
      </c>
      <c r="O85" s="566" t="s">
        <v>350</v>
      </c>
      <c r="P85" s="567" t="str">
        <f ca="1">+IF(N81=100,"CIEN",IF(AND(N85&gt;0,N85&lt;1000),LOOKUP(CELL("contenido",N85),$E$26:$F$35),""))</f>
        <v/>
      </c>
      <c r="Q85" s="568">
        <f>+RIGHT(Q81,3)*1-Q84-Q82</f>
        <v>0</v>
      </c>
      <c r="R85" s="569" t="s">
        <v>350</v>
      </c>
      <c r="S85" s="570" t="str">
        <f ca="1">+IF(Q81=100,"CIEN",IF(AND(Q85&gt;0,Q85&lt;1000),LOOKUP(CELL("contenido",Q85),$E$26:$F$35),""))</f>
        <v/>
      </c>
      <c r="U85" s="549" t="str">
        <f ca="1">+IF(CELL("contenido",M83)&lt;&gt;"",CONCATENATE(M86," ",M85," ",M83," "),IF(CELL("contenido",M82)="",CONCATENATE(M86," ",M85," ",M84," "),CONCATENATE(M86," ",M85," ",M84," Y ",M82," ")))</f>
        <v xml:space="preserve">   </v>
      </c>
    </row>
    <row r="86" spans="4:21" ht="14.4" thickBot="1">
      <c r="D86" s="552"/>
      <c r="E86" s="572">
        <f>+RIGHT(E81,4)*1-E85-E84-E82</f>
        <v>0</v>
      </c>
      <c r="F86" s="573" t="s">
        <v>352</v>
      </c>
      <c r="G86" s="574" t="str">
        <f ca="1">+IF(E81&gt;999,"MIL",IF(AND(E86&gt;0,E86&lt;10000),LOOKUP(CELL("contenido",E86),$E$26:$F$35),""))</f>
        <v/>
      </c>
      <c r="H86" s="575">
        <f>INT(E81/1000000)</f>
        <v>0</v>
      </c>
      <c r="I86" s="576" t="s">
        <v>353</v>
      </c>
      <c r="J86" s="577" t="str">
        <f ca="1">+IF(CELL("contenido",M83)=1,"MILLÓN",IF(H86=1,"MILLÓN",IF(H86&gt;1,"MILLONES","")))</f>
        <v/>
      </c>
      <c r="K86" s="578">
        <f>+RIGHT(K81,4)*1-K85-K84-K82</f>
        <v>0</v>
      </c>
      <c r="L86" s="579" t="s">
        <v>354</v>
      </c>
      <c r="M86" s="580" t="str">
        <f ca="1">+IF(AND(K86&gt;0,K86&lt;10000),LOOKUP(CELL("contenido",K86),$E$26:$F$35),"")</f>
        <v/>
      </c>
      <c r="N86" s="581">
        <f>+RIGHT(N81,4)*1-N85-N84-N82</f>
        <v>0</v>
      </c>
      <c r="O86" s="582" t="s">
        <v>355</v>
      </c>
      <c r="P86" s="583" t="str">
        <f>+IF(N86=1,"UN MILLARDO",IF(N81&gt;1,"MILLARDOS",""))</f>
        <v/>
      </c>
      <c r="Q86" s="584">
        <f>+RIGHT(Q81,4)*1-Q85-Q84-Q82</f>
        <v>0</v>
      </c>
      <c r="R86" s="585" t="s">
        <v>355</v>
      </c>
      <c r="S86" s="586" t="str">
        <f>+IF(Q86=1,"UN MILLARDO",IF(Q81&gt;1,"MILLARDOS",""))</f>
        <v/>
      </c>
      <c r="U86" s="549" t="str">
        <f ca="1">+IF(CELL("contenido",P83)&lt;&gt;"",CONCATENATE(P86," ",P85," ",P83," "),IF(CELL("contenido",P82)="",CONCATENATE(P86," ",P85," ",P84," "),CONCATENATE(P86," ",P85," ",P84," Y ",P82," ")))</f>
        <v xml:space="preserve">   </v>
      </c>
    </row>
    <row r="87" spans="4:21" ht="14.4" thickTop="1">
      <c r="D87" s="552"/>
      <c r="E87" s="549"/>
      <c r="F87" s="549"/>
      <c r="G87" s="549"/>
      <c r="H87" s="549"/>
      <c r="I87" s="549"/>
      <c r="J87" s="587"/>
      <c r="K87" s="587"/>
      <c r="L87" s="587"/>
      <c r="M87" s="550"/>
      <c r="N87" s="550"/>
      <c r="O87" s="550"/>
      <c r="P87" s="549"/>
      <c r="Q87" s="550"/>
      <c r="R87" s="550"/>
      <c r="S87" s="549"/>
      <c r="U87" s="549" t="str">
        <f ca="1">+IF(CELL("contenido",S83)&lt;&gt;"",CONCATENATE(S85," ",S83," "),IF(CELL("contenido",S82)="",CONCATENATE(S85," ",S84," "),CONCATENATE(S85," ",S84," Y ",S82," ")))</f>
        <v xml:space="preserve">  </v>
      </c>
    </row>
    <row r="88" spans="4:21" ht="13.8">
      <c r="D88" s="549" t="s">
        <v>361</v>
      </c>
      <c r="E88" s="549"/>
      <c r="F88" s="549"/>
      <c r="G88" s="549"/>
      <c r="H88" s="549"/>
      <c r="I88" s="549"/>
      <c r="J88" s="549"/>
      <c r="K88" s="549"/>
      <c r="L88" s="549"/>
      <c r="M88" s="549"/>
      <c r="N88" s="549"/>
      <c r="O88" s="549"/>
      <c r="P88" s="549"/>
      <c r="Q88" s="549"/>
      <c r="R88" s="549"/>
      <c r="S88" s="549"/>
      <c r="U88" s="546"/>
    </row>
    <row r="89" spans="4:21" ht="13.8">
      <c r="D89" s="552"/>
      <c r="E89" s="553">
        <f>ROUND(100*(A5-INT(A5)),2)</f>
        <v>32</v>
      </c>
      <c r="F89" s="549" t="s">
        <v>334</v>
      </c>
      <c r="G89" s="549"/>
      <c r="H89" s="549"/>
      <c r="I89" s="549"/>
      <c r="J89" s="549"/>
      <c r="K89" s="549"/>
      <c r="L89" s="549"/>
      <c r="M89" s="549"/>
      <c r="N89" s="549"/>
      <c r="O89" s="549"/>
      <c r="P89" s="549"/>
      <c r="Q89" s="549"/>
      <c r="R89" s="549"/>
      <c r="S89" s="549"/>
    </row>
    <row r="90" spans="4:21" ht="13.8">
      <c r="D90" s="549"/>
      <c r="E90" s="549">
        <f>+LEN(E92)</f>
        <v>1</v>
      </c>
      <c r="F90" s="549" t="s">
        <v>335</v>
      </c>
      <c r="G90" s="549"/>
      <c r="H90" s="549"/>
      <c r="I90" s="549"/>
      <c r="J90" s="549"/>
      <c r="K90" s="549"/>
      <c r="L90" s="549"/>
      <c r="M90" s="549"/>
      <c r="N90" s="549"/>
      <c r="O90" s="549"/>
      <c r="P90" s="549"/>
      <c r="Q90" s="549"/>
      <c r="R90" s="549"/>
      <c r="S90" s="549"/>
    </row>
    <row r="91" spans="4:21" ht="14.4" thickBot="1">
      <c r="D91" s="552"/>
      <c r="E91" s="549"/>
      <c r="F91" s="549"/>
      <c r="G91" s="549"/>
      <c r="H91" s="549"/>
      <c r="I91" s="549"/>
      <c r="J91" s="549"/>
      <c r="K91" s="549"/>
      <c r="L91" s="549"/>
      <c r="M91" s="549"/>
      <c r="N91" s="549"/>
      <c r="O91" s="549"/>
      <c r="P91" s="549"/>
      <c r="Q91" s="549"/>
      <c r="R91" s="549"/>
      <c r="S91" s="549"/>
    </row>
    <row r="92" spans="4:21" ht="15" thickTop="1" thickBot="1">
      <c r="D92" s="549"/>
      <c r="E92" s="554">
        <f>+A5-E89/100</f>
        <v>8</v>
      </c>
      <c r="F92" s="1443" t="s">
        <v>338</v>
      </c>
      <c r="G92" s="1444"/>
      <c r="H92" s="555">
        <f>+IF(E92&gt;1000,INT(E92/1000),0)</f>
        <v>0</v>
      </c>
      <c r="I92" s="1443" t="s">
        <v>339</v>
      </c>
      <c r="J92" s="1444"/>
      <c r="K92" s="555">
        <f>+INT(H92/1000)</f>
        <v>0</v>
      </c>
      <c r="L92" s="1443" t="s">
        <v>340</v>
      </c>
      <c r="M92" s="1444"/>
      <c r="N92" s="555">
        <f>+INT(K92/1000)</f>
        <v>0</v>
      </c>
      <c r="O92" s="1443" t="s">
        <v>341</v>
      </c>
      <c r="P92" s="1444"/>
      <c r="Q92" s="555">
        <f>+INT(N92)</f>
        <v>0</v>
      </c>
      <c r="R92" s="1443" t="s">
        <v>341</v>
      </c>
      <c r="S92" s="1444"/>
      <c r="U92" s="549" t="str">
        <f>+IF(E89=0,CONCATENATE("00",U93),IF(E89&lt;10,CONCATENATE(" 0",E89,U93),CONCATENATE(" ",E89,U93)))</f>
        <v xml:space="preserve"> 32/100 BOLIVIANOS</v>
      </c>
    </row>
    <row r="93" spans="4:21" ht="14.4" thickBot="1">
      <c r="D93" s="552"/>
      <c r="E93" s="556">
        <f>+RIGHT(E92)*1</f>
        <v>8</v>
      </c>
      <c r="F93" s="557" t="s">
        <v>343</v>
      </c>
      <c r="G93" s="558" t="str">
        <f ca="1">+IF(AND(E93&gt;0,E93&lt;10),LOOKUP(CELL("contenido",E93),$A$26:$B$35),"")</f>
        <v>OCHO</v>
      </c>
      <c r="H93" s="559">
        <f>+RIGHT(H92)*1</f>
        <v>0</v>
      </c>
      <c r="I93" s="560" t="s">
        <v>343</v>
      </c>
      <c r="J93" s="561" t="str">
        <f ca="1">IF(E92&lt;2000,"",IF(CELL("contenido",H93)=1,"UN",IF(AND(H93&gt;0,H93&lt;10),LOOKUP(CELL("contenido",H93),$A$26:$B$35),"")))</f>
        <v/>
      </c>
      <c r="K93" s="562">
        <f>+RIGHT(K92)*1</f>
        <v>0</v>
      </c>
      <c r="L93" s="563" t="s">
        <v>343</v>
      </c>
      <c r="M93" s="564" t="str">
        <f ca="1">+IF(CELL("contenido",K93)=1,"UN",IF(AND(K93&gt;0,K93&lt;10),LOOKUP(CELL("contenido",K93),$A$26:$B$35),""))</f>
        <v/>
      </c>
      <c r="N93" s="565">
        <f>+RIGHT(N92)*1</f>
        <v>0</v>
      </c>
      <c r="O93" s="566" t="s">
        <v>343</v>
      </c>
      <c r="P93" s="567" t="str">
        <f ca="1">+IF(CELL("contenido",N93)=1,"UN",IF(AND(N93&gt;0,N93&lt;10),LOOKUP(CELL("contenido",N93),$A$26:$B$35),""))</f>
        <v/>
      </c>
      <c r="Q93" s="568">
        <f>+RIGHT(Q92)*1</f>
        <v>0</v>
      </c>
      <c r="R93" s="569" t="s">
        <v>343</v>
      </c>
      <c r="S93" s="570" t="str">
        <f ca="1">+IF(CELL("contenido",Q93)=1,"UN",IF(AND(Q93&gt;0,Q93&lt;10),LOOKUP(CELL("contenido",Q93),$A$26:$B$35),""))</f>
        <v/>
      </c>
      <c r="U93" s="571" t="s">
        <v>344</v>
      </c>
    </row>
    <row r="94" spans="4:21" ht="14.4" thickBot="1">
      <c r="D94" s="552"/>
      <c r="E94" s="556">
        <f>+RIGHT(E92,2)*1</f>
        <v>8</v>
      </c>
      <c r="F94" s="557" t="s">
        <v>346</v>
      </c>
      <c r="G94" s="558" t="str">
        <f ca="1">IF(AND(E94&gt;0,E94&lt;30),LOOKUP(CELL("contenido",E94),$A$26:$B$55),"")</f>
        <v>OCHO</v>
      </c>
      <c r="H94" s="559">
        <f>+RIGHT(H92,2)*1</f>
        <v>0</v>
      </c>
      <c r="I94" s="560" t="s">
        <v>346</v>
      </c>
      <c r="J94" s="561" t="str">
        <f ca="1">IF(E92&lt;2000,"",IF(CELL("contenido",H94)=1,"UN",IF(AND(H94&gt;0,H94&lt;30),LOOKUP(CELL("contenido",H94),$A$26:$B$55),"")))</f>
        <v/>
      </c>
      <c r="K94" s="562">
        <f>+RIGHT(K92,2)*1</f>
        <v>0</v>
      </c>
      <c r="L94" s="563" t="s">
        <v>346</v>
      </c>
      <c r="M94" s="564" t="str">
        <f ca="1">IF(CELL("contenido",K94)=1,"UN",IF(AND(K94&gt;0,K94&lt;30),LOOKUP(CELL("contenido",K94),$A$26:$B$55),""))</f>
        <v/>
      </c>
      <c r="N94" s="565">
        <f>+RIGHT(N92,2)*1</f>
        <v>0</v>
      </c>
      <c r="O94" s="566" t="s">
        <v>346</v>
      </c>
      <c r="P94" s="567" t="str">
        <f ca="1">IF(CELL("contenido",N94)=1,"UN",IF(AND(N94&gt;0,N94&lt;30),LOOKUP(CELL("contenido",N94),$A$26:$B$55),""))</f>
        <v/>
      </c>
      <c r="Q94" s="568">
        <f>+RIGHT(Q92,2)*1</f>
        <v>0</v>
      </c>
      <c r="R94" s="569" t="s">
        <v>346</v>
      </c>
      <c r="S94" s="570" t="str">
        <f ca="1">IF(CELL("contenido",Q94)=1,"UN",IF(AND(Q94&gt;0,Q94&lt;30),LOOKUP(CELL("contenido",Q94),$A$26:$B$55),""))</f>
        <v/>
      </c>
      <c r="U94" s="549" t="str">
        <f ca="1">+IF(CELL("contenido",G94)&lt;&gt;"",CONCATENATE(G97," ",G96," ",G94," ",U92),IF(CELL("contenido",G93)="",CONCATENATE(G97," ",G96," ",G95," ",U92),CONCATENATE(G97," ",G96," ",G95," Y ",G93," ",U92)))</f>
        <v xml:space="preserve">  OCHO  32/100 BOLIVIANOS</v>
      </c>
    </row>
    <row r="95" spans="4:21" ht="14.4" thickBot="1">
      <c r="D95" s="552"/>
      <c r="E95" s="556">
        <f>+RIGHT(E92,2)*1-E93</f>
        <v>0</v>
      </c>
      <c r="F95" s="557" t="s">
        <v>348</v>
      </c>
      <c r="G95" s="558" t="str">
        <f ca="1">+IF(AND(E95&gt;0,E92&gt;=30),LOOKUP(CELL("contenido",E95),$C$26:$D$35),"")</f>
        <v/>
      </c>
      <c r="H95" s="559">
        <f>+RIGHT(H92,2)*1-H93</f>
        <v>0</v>
      </c>
      <c r="I95" s="560" t="s">
        <v>348</v>
      </c>
      <c r="J95" s="561" t="str">
        <f ca="1">+IF(AND(H95&gt;0,H92&gt;=30),LOOKUP(CELL("contenido",H95),$C$26:$D$35),"")</f>
        <v/>
      </c>
      <c r="K95" s="562">
        <f>+RIGHT(K92,2)*1-K93</f>
        <v>0</v>
      </c>
      <c r="L95" s="563" t="s">
        <v>348</v>
      </c>
      <c r="M95" s="564" t="str">
        <f ca="1">+IF(AND(K95&gt;0,K92&gt;=30),LOOKUP(CELL("contenido",K95),$C$26:$D$35),"")</f>
        <v/>
      </c>
      <c r="N95" s="565">
        <f>+RIGHT(N92,2)*1-N93</f>
        <v>0</v>
      </c>
      <c r="O95" s="566" t="s">
        <v>348</v>
      </c>
      <c r="P95" s="567" t="str">
        <f ca="1">+IF(AND(N95&gt;0,K97&gt;=30),LOOKUP(CELL("contenido",N95),$C$26:$D$35),"")</f>
        <v/>
      </c>
      <c r="Q95" s="568">
        <f>+RIGHT(Q92,2)*1-Q93</f>
        <v>0</v>
      </c>
      <c r="R95" s="569" t="s">
        <v>348</v>
      </c>
      <c r="S95" s="570" t="str">
        <f ca="1">+IF(AND(Q95&gt;0,N97&gt;=30),LOOKUP(CELL("contenido",Q95),$C$26:$D$35),"")</f>
        <v/>
      </c>
      <c r="U95" s="549" t="str">
        <f ca="1">+IF(CELL("contenido",J94)&lt;&gt;"",CONCATENATE(J97," ",J96," ",J94," "),IF(CELL("contenido",J93)="",CONCATENATE(J97," ",J96," ",J95," "),CONCATENATE(J97," ",J96," ",J95," Y ",J93," ")))</f>
        <v xml:space="preserve">   </v>
      </c>
    </row>
    <row r="96" spans="4:21" ht="14.4" thickBot="1">
      <c r="D96" s="552"/>
      <c r="E96" s="556">
        <f>+RIGHT(E92,3)*1-E95-E93</f>
        <v>0</v>
      </c>
      <c r="F96" s="557" t="s">
        <v>350</v>
      </c>
      <c r="G96" s="558" t="str">
        <f ca="1">+IF((RIGHT(E92,3)*1)=100,"CIEN",IF(AND(E96&gt;0,E96&lt;1000),LOOKUP(CELL("contenido",E96),$E$26:$F$35),""))</f>
        <v/>
      </c>
      <c r="H96" s="559">
        <f>+RIGHT(H92,3)*1-H95-H93</f>
        <v>0</v>
      </c>
      <c r="I96" s="560" t="s">
        <v>350</v>
      </c>
      <c r="J96" s="561" t="str">
        <f ca="1">+IF(H92=100,"CIEN",IF(AND(H96&gt;0,H96&lt;1000),LOOKUP(CELL("contenido",H96),$E$26:$F$35),""))</f>
        <v/>
      </c>
      <c r="K96" s="562">
        <f>+RIGHT(K92,3)*1-K95-K93</f>
        <v>0</v>
      </c>
      <c r="L96" s="563" t="s">
        <v>350</v>
      </c>
      <c r="M96" s="564" t="str">
        <f ca="1">+IF(K92=100,"CIEN",IF(AND(K96&gt;0,K96&lt;1000),LOOKUP(CELL("contenido",K96),$E$26:$F$35),""))</f>
        <v/>
      </c>
      <c r="N96" s="565">
        <f>+RIGHT(N92,3)*1-N95-N93</f>
        <v>0</v>
      </c>
      <c r="O96" s="566" t="s">
        <v>350</v>
      </c>
      <c r="P96" s="567" t="str">
        <f ca="1">+IF(N92=100,"CIEN",IF(AND(N96&gt;0,N96&lt;1000),LOOKUP(CELL("contenido",N96),$E$26:$F$35),""))</f>
        <v/>
      </c>
      <c r="Q96" s="568">
        <f>+RIGHT(Q92,3)*1-Q95-Q93</f>
        <v>0</v>
      </c>
      <c r="R96" s="569" t="s">
        <v>350</v>
      </c>
      <c r="S96" s="570" t="str">
        <f ca="1">+IF(Q92=100,"CIEN",IF(AND(Q96&gt;0,Q96&lt;1000),LOOKUP(CELL("contenido",Q96),$E$26:$F$35),""))</f>
        <v/>
      </c>
      <c r="U96" s="549" t="str">
        <f ca="1">+IF(CELL("contenido",M94)&lt;&gt;"",CONCATENATE(M97," ",M96," ",M94," "),IF(CELL("contenido",M93)="",CONCATENATE(M97," ",M96," ",M95," "),CONCATENATE(M97," ",M96," ",M95," Y ",M93," ")))</f>
        <v xml:space="preserve">   </v>
      </c>
    </row>
    <row r="97" spans="4:21" ht="14.4" thickBot="1">
      <c r="D97" s="552"/>
      <c r="E97" s="572">
        <f>+RIGHT(E92,4)*1-E96-E95-E93</f>
        <v>0</v>
      </c>
      <c r="F97" s="573" t="s">
        <v>352</v>
      </c>
      <c r="G97" s="574" t="str">
        <f ca="1">+IF(E92&gt;999,"MIL",IF(AND(E97&gt;0,E97&lt;10000),LOOKUP(CELL("contenido",E97),$E$26:$F$35),""))</f>
        <v/>
      </c>
      <c r="H97" s="575">
        <f>INT(E92/1000000)</f>
        <v>0</v>
      </c>
      <c r="I97" s="576" t="s">
        <v>353</v>
      </c>
      <c r="J97" s="577" t="str">
        <f ca="1">+IF(CELL("contenido",M94)=1,"MILLÓN",IF(H97=1,"MILLÓN",IF(H97&gt;1,"MILLONES","")))</f>
        <v/>
      </c>
      <c r="K97" s="578">
        <f>+RIGHT(K92,4)*1-K96-K95-K93</f>
        <v>0</v>
      </c>
      <c r="L97" s="579" t="s">
        <v>354</v>
      </c>
      <c r="M97" s="580" t="str">
        <f ca="1">+IF(AND(K97&gt;0,K97&lt;10000),LOOKUP(CELL("contenido",K97),$E$26:$F$35),"")</f>
        <v/>
      </c>
      <c r="N97" s="581">
        <f>+RIGHT(N92,4)*1-N96-N95-N93</f>
        <v>0</v>
      </c>
      <c r="O97" s="582" t="s">
        <v>355</v>
      </c>
      <c r="P97" s="583" t="str">
        <f>+IF(N97=1,"UN MILLARDO",IF(N92&gt;1,"MILLARDOS",""))</f>
        <v/>
      </c>
      <c r="Q97" s="584">
        <f>+RIGHT(Q92,4)*1-Q96-Q95-Q93</f>
        <v>0</v>
      </c>
      <c r="R97" s="585" t="s">
        <v>355</v>
      </c>
      <c r="S97" s="586" t="str">
        <f>+IF(Q97=1,"UN MILLARDO",IF(Q92&gt;1,"MILLARDOS",""))</f>
        <v/>
      </c>
      <c r="U97" s="549" t="str">
        <f ca="1">+IF(CELL("contenido",P94)&lt;&gt;"",CONCATENATE(P97," ",P96," ",P94," "),IF(CELL("contenido",P93)="",CONCATENATE(P97," ",P96," ",P95," "),CONCATENATE(P97," ",P96," ",P95," Y ",P93," ")))</f>
        <v xml:space="preserve">   </v>
      </c>
    </row>
    <row r="98" spans="4:21" ht="14.4" thickTop="1">
      <c r="D98" s="552"/>
      <c r="E98" s="549"/>
      <c r="F98" s="549"/>
      <c r="G98" s="549"/>
      <c r="H98" s="549"/>
      <c r="I98" s="549"/>
      <c r="J98" s="587"/>
      <c r="K98" s="587"/>
      <c r="L98" s="587"/>
      <c r="M98" s="550"/>
      <c r="N98" s="550"/>
      <c r="O98" s="550"/>
      <c r="P98" s="549"/>
      <c r="Q98" s="550"/>
      <c r="R98" s="550"/>
      <c r="S98" s="549"/>
      <c r="U98" s="549" t="str">
        <f ca="1">+IF(CELL("contenido",S94)&lt;&gt;"",CONCATENATE(S96," ",S94," "),IF(CELL("contenido",S93)="",CONCATENATE(S96," ",S95," "),CONCATENATE(S96," ",S95," Y ",S93," ")))</f>
        <v xml:space="preserve">  </v>
      </c>
    </row>
    <row r="99" spans="4:21" ht="13.8">
      <c r="D99" s="549" t="s">
        <v>362</v>
      </c>
      <c r="E99" s="549"/>
      <c r="F99" s="549"/>
      <c r="G99" s="549"/>
      <c r="H99" s="549"/>
      <c r="I99" s="549"/>
      <c r="J99" s="549"/>
      <c r="K99" s="549"/>
      <c r="L99" s="549"/>
      <c r="M99" s="549"/>
      <c r="N99" s="549"/>
      <c r="O99" s="549"/>
      <c r="P99" s="549"/>
      <c r="Q99" s="549"/>
      <c r="R99" s="549"/>
      <c r="S99" s="549"/>
      <c r="U99" s="546"/>
    </row>
    <row r="100" spans="4:21" ht="13.8">
      <c r="D100" s="552"/>
      <c r="E100" s="553">
        <f>ROUND(100*(A6-INT(A6)),2)</f>
        <v>55</v>
      </c>
      <c r="F100" s="549" t="s">
        <v>334</v>
      </c>
      <c r="G100" s="549"/>
      <c r="H100" s="549"/>
      <c r="I100" s="549"/>
      <c r="J100" s="549"/>
      <c r="K100" s="549"/>
      <c r="L100" s="549"/>
      <c r="M100" s="549"/>
      <c r="N100" s="549"/>
      <c r="O100" s="549"/>
      <c r="P100" s="549"/>
      <c r="Q100" s="549"/>
      <c r="R100" s="549"/>
      <c r="S100" s="549"/>
    </row>
    <row r="101" spans="4:21" ht="13.8">
      <c r="D101" s="549"/>
      <c r="E101" s="549">
        <f>+LEN(E103)</f>
        <v>2</v>
      </c>
      <c r="F101" s="549" t="s">
        <v>335</v>
      </c>
      <c r="G101" s="549"/>
      <c r="H101" s="549"/>
      <c r="I101" s="549"/>
      <c r="J101" s="549"/>
      <c r="K101" s="549"/>
      <c r="L101" s="549"/>
      <c r="M101" s="549"/>
      <c r="N101" s="549"/>
      <c r="O101" s="549"/>
      <c r="P101" s="549"/>
      <c r="Q101" s="549"/>
      <c r="R101" s="549"/>
      <c r="S101" s="549"/>
    </row>
    <row r="102" spans="4:21" ht="14.4" thickBot="1">
      <c r="D102" s="552"/>
      <c r="E102" s="549"/>
      <c r="F102" s="549"/>
      <c r="G102" s="549"/>
      <c r="H102" s="549"/>
      <c r="I102" s="549"/>
      <c r="J102" s="549"/>
      <c r="K102" s="549"/>
      <c r="L102" s="549"/>
      <c r="M102" s="549"/>
      <c r="N102" s="549"/>
      <c r="O102" s="549"/>
      <c r="P102" s="549"/>
      <c r="Q102" s="549"/>
      <c r="R102" s="549"/>
      <c r="S102" s="549"/>
    </row>
    <row r="103" spans="4:21" ht="15" thickTop="1" thickBot="1">
      <c r="D103" s="549"/>
      <c r="E103" s="554">
        <f>+A6-E100/100</f>
        <v>34</v>
      </c>
      <c r="F103" s="1443" t="s">
        <v>338</v>
      </c>
      <c r="G103" s="1444"/>
      <c r="H103" s="555">
        <f>+IF(E103&gt;1000,INT(E103/1000),0)</f>
        <v>0</v>
      </c>
      <c r="I103" s="1443" t="s">
        <v>339</v>
      </c>
      <c r="J103" s="1444"/>
      <c r="K103" s="555">
        <f>+INT(H103/1000)</f>
        <v>0</v>
      </c>
      <c r="L103" s="1443" t="s">
        <v>340</v>
      </c>
      <c r="M103" s="1444"/>
      <c r="N103" s="555">
        <f>+INT(K103/1000)</f>
        <v>0</v>
      </c>
      <c r="O103" s="1443" t="s">
        <v>341</v>
      </c>
      <c r="P103" s="1444"/>
      <c r="Q103" s="555">
        <f>+INT(N103)</f>
        <v>0</v>
      </c>
      <c r="R103" s="1443" t="s">
        <v>341</v>
      </c>
      <c r="S103" s="1444"/>
      <c r="U103" s="549" t="str">
        <f>+IF(E100=0,CONCATENATE("00",U104),IF(E100&lt;10,CONCATENATE(" 0",E100,U104),CONCATENATE(" ",E100,U104)))</f>
        <v xml:space="preserve"> 55/100 BOLIVIANOS</v>
      </c>
    </row>
    <row r="104" spans="4:21" ht="14.4" thickBot="1">
      <c r="D104" s="552"/>
      <c r="E104" s="556">
        <f>+RIGHT(E103)*1</f>
        <v>4</v>
      </c>
      <c r="F104" s="557" t="s">
        <v>343</v>
      </c>
      <c r="G104" s="558" t="str">
        <f ca="1">+IF(AND(E104&gt;0,E104&lt;10),LOOKUP(CELL("contenido",E104),$A$26:$B$35),"")</f>
        <v>CUATRO</v>
      </c>
      <c r="H104" s="559">
        <f>+RIGHT(H103)*1</f>
        <v>0</v>
      </c>
      <c r="I104" s="560" t="s">
        <v>343</v>
      </c>
      <c r="J104" s="561" t="str">
        <f ca="1">IF(E103&lt;2000,"",IF(CELL("contenido",H104)=1,"UN",IF(AND(H104&gt;0,H104&lt;10),LOOKUP(CELL("contenido",H104),$A$26:$B$35),"")))</f>
        <v/>
      </c>
      <c r="K104" s="562">
        <f>+RIGHT(K103)*1</f>
        <v>0</v>
      </c>
      <c r="L104" s="563" t="s">
        <v>343</v>
      </c>
      <c r="M104" s="564" t="str">
        <f ca="1">+IF(CELL("contenido",K104)=1,"UN",IF(AND(K104&gt;0,K104&lt;10),LOOKUP(CELL("contenido",K104),$A$26:$B$35),""))</f>
        <v/>
      </c>
      <c r="N104" s="565">
        <f>+RIGHT(N103)*1</f>
        <v>0</v>
      </c>
      <c r="O104" s="566" t="s">
        <v>343</v>
      </c>
      <c r="P104" s="567" t="str">
        <f ca="1">+IF(CELL("contenido",N104)=1,"UN",IF(AND(N104&gt;0,N104&lt;10),LOOKUP(CELL("contenido",N104),$A$26:$B$35),""))</f>
        <v/>
      </c>
      <c r="Q104" s="568">
        <f>+RIGHT(Q103)*1</f>
        <v>0</v>
      </c>
      <c r="R104" s="569" t="s">
        <v>343</v>
      </c>
      <c r="S104" s="570" t="str">
        <f ca="1">+IF(CELL("contenido",Q104)=1,"UN",IF(AND(Q104&gt;0,Q104&lt;10),LOOKUP(CELL("contenido",Q104),$A$26:$B$35),""))</f>
        <v/>
      </c>
      <c r="U104" s="571" t="s">
        <v>344</v>
      </c>
    </row>
    <row r="105" spans="4:21" ht="14.4" thickBot="1">
      <c r="D105" s="552"/>
      <c r="E105" s="556">
        <f>+RIGHT(E103,2)*1</f>
        <v>34</v>
      </c>
      <c r="F105" s="557" t="s">
        <v>346</v>
      </c>
      <c r="G105" s="558" t="str">
        <f ca="1">IF(AND(E105&gt;0,E105&lt;30),LOOKUP(CELL("contenido",E105),$A$26:$B$55),"")</f>
        <v/>
      </c>
      <c r="H105" s="559">
        <f>+RIGHT(H103,2)*1</f>
        <v>0</v>
      </c>
      <c r="I105" s="560" t="s">
        <v>346</v>
      </c>
      <c r="J105" s="561" t="str">
        <f ca="1">IF(E103&lt;2000,"",IF(CELL("contenido",H105)=1,"UN",IF(AND(H105&gt;0,H105&lt;30),LOOKUP(CELL("contenido",H105),$A$26:$B$55),"")))</f>
        <v/>
      </c>
      <c r="K105" s="562">
        <f>+RIGHT(K103,2)*1</f>
        <v>0</v>
      </c>
      <c r="L105" s="563" t="s">
        <v>346</v>
      </c>
      <c r="M105" s="564" t="str">
        <f ca="1">IF(CELL("contenido",K105)=1,"UN",IF(AND(K105&gt;0,K105&lt;30),LOOKUP(CELL("contenido",K105),$A$26:$B$55),""))</f>
        <v/>
      </c>
      <c r="N105" s="565">
        <f>+RIGHT(N103,2)*1</f>
        <v>0</v>
      </c>
      <c r="O105" s="566" t="s">
        <v>346</v>
      </c>
      <c r="P105" s="567" t="str">
        <f ca="1">IF(CELL("contenido",N105)=1,"UN",IF(AND(N105&gt;0,N105&lt;30),LOOKUP(CELL("contenido",N105),$A$26:$B$55),""))</f>
        <v/>
      </c>
      <c r="Q105" s="568">
        <f>+RIGHT(Q103,2)*1</f>
        <v>0</v>
      </c>
      <c r="R105" s="569" t="s">
        <v>346</v>
      </c>
      <c r="S105" s="570" t="str">
        <f ca="1">IF(CELL("contenido",Q105)=1,"UN",IF(AND(Q105&gt;0,Q105&lt;30),LOOKUP(CELL("contenido",Q105),$A$26:$B$55),""))</f>
        <v/>
      </c>
      <c r="U105" s="549" t="str">
        <f ca="1">+IF(CELL("contenido",G105)&lt;&gt;"",CONCATENATE(G108," ",G107," ",G105," ",U103),IF(CELL("contenido",G104)="",CONCATENATE(G108," ",G107," ",G106," ",U103),CONCATENATE(G108," ",G107," ",G106," Y ",G104," ",U103)))</f>
        <v xml:space="preserve">  TREINTA Y CUATRO  55/100 BOLIVIANOS</v>
      </c>
    </row>
    <row r="106" spans="4:21" ht="14.4" thickBot="1">
      <c r="D106" s="552"/>
      <c r="E106" s="556">
        <f>+RIGHT(E103,2)*1-E104</f>
        <v>30</v>
      </c>
      <c r="F106" s="557" t="s">
        <v>348</v>
      </c>
      <c r="G106" s="558" t="str">
        <f ca="1">+IF(AND(E106&gt;0,E103&gt;=30),LOOKUP(CELL("contenido",E106),$C$26:$D$35),"")</f>
        <v>TREINTA</v>
      </c>
      <c r="H106" s="559">
        <f>+RIGHT(H103,2)*1-H104</f>
        <v>0</v>
      </c>
      <c r="I106" s="560" t="s">
        <v>348</v>
      </c>
      <c r="J106" s="561" t="str">
        <f ca="1">+IF(AND(H106&gt;0,H103&gt;=30),LOOKUP(CELL("contenido",H106),$C$26:$D$35),"")</f>
        <v/>
      </c>
      <c r="K106" s="562">
        <f>+RIGHT(K103,2)*1-K104</f>
        <v>0</v>
      </c>
      <c r="L106" s="563" t="s">
        <v>348</v>
      </c>
      <c r="M106" s="564" t="str">
        <f ca="1">+IF(AND(K106&gt;0,K103&gt;=30),LOOKUP(CELL("contenido",K106),$C$26:$D$35),"")</f>
        <v/>
      </c>
      <c r="N106" s="565">
        <f>+RIGHT(N103,2)*1-N104</f>
        <v>0</v>
      </c>
      <c r="O106" s="566" t="s">
        <v>348</v>
      </c>
      <c r="P106" s="567" t="str">
        <f ca="1">+IF(AND(N106&gt;0,K108&gt;=30),LOOKUP(CELL("contenido",N106),$C$26:$D$35),"")</f>
        <v/>
      </c>
      <c r="Q106" s="568">
        <f>+RIGHT(Q103,2)*1-Q104</f>
        <v>0</v>
      </c>
      <c r="R106" s="569" t="s">
        <v>348</v>
      </c>
      <c r="S106" s="570" t="str">
        <f ca="1">+IF(AND(Q106&gt;0,N108&gt;=30),LOOKUP(CELL("contenido",Q106),$C$26:$D$35),"")</f>
        <v/>
      </c>
      <c r="U106" s="549" t="str">
        <f ca="1">+IF(CELL("contenido",J105)&lt;&gt;"",CONCATENATE(J108," ",J107," ",J105," "),IF(CELL("contenido",J104)="",CONCATENATE(J108," ",J107," ",J106," "),CONCATENATE(J108," ",J107," ",J106," Y ",J104," ")))</f>
        <v xml:space="preserve">   </v>
      </c>
    </row>
    <row r="107" spans="4:21" ht="14.4" thickBot="1">
      <c r="D107" s="552"/>
      <c r="E107" s="556">
        <f>+RIGHT(E103,3)*1-E106-E104</f>
        <v>0</v>
      </c>
      <c r="F107" s="557" t="s">
        <v>350</v>
      </c>
      <c r="G107" s="558" t="str">
        <f ca="1">+IF((RIGHT(E103,3)*1)=100,"CIEN",IF(AND(E107&gt;0,E107&lt;1000),LOOKUP(CELL("contenido",E107),$E$26:$F$35),""))</f>
        <v/>
      </c>
      <c r="H107" s="559">
        <f>+RIGHT(H103,3)*1-H106-H104</f>
        <v>0</v>
      </c>
      <c r="I107" s="560" t="s">
        <v>350</v>
      </c>
      <c r="J107" s="561" t="str">
        <f ca="1">+IF(H103=100,"CIEN",IF(AND(H107&gt;0,H107&lt;1000),LOOKUP(CELL("contenido",H107),$E$26:$F$35),""))</f>
        <v/>
      </c>
      <c r="K107" s="562">
        <f>+RIGHT(K103,3)*1-K106-K104</f>
        <v>0</v>
      </c>
      <c r="L107" s="563" t="s">
        <v>350</v>
      </c>
      <c r="M107" s="564" t="str">
        <f ca="1">+IF(K103=100,"CIEN",IF(AND(K107&gt;0,K107&lt;1000),LOOKUP(CELL("contenido",K107),$E$26:$F$35),""))</f>
        <v/>
      </c>
      <c r="N107" s="565">
        <f>+RIGHT(N103,3)*1-N106-N104</f>
        <v>0</v>
      </c>
      <c r="O107" s="566" t="s">
        <v>350</v>
      </c>
      <c r="P107" s="567" t="str">
        <f ca="1">+IF(N103=100,"CIEN",IF(AND(N107&gt;0,N107&lt;1000),LOOKUP(CELL("contenido",N107),$E$26:$F$35),""))</f>
        <v/>
      </c>
      <c r="Q107" s="568">
        <f>+RIGHT(Q103,3)*1-Q106-Q104</f>
        <v>0</v>
      </c>
      <c r="R107" s="569" t="s">
        <v>350</v>
      </c>
      <c r="S107" s="570" t="str">
        <f ca="1">+IF(Q103=100,"CIEN",IF(AND(Q107&gt;0,Q107&lt;1000),LOOKUP(CELL("contenido",Q107),$E$26:$F$35),""))</f>
        <v/>
      </c>
      <c r="U107" s="549" t="str">
        <f ca="1">+IF(CELL("contenido",M105)&lt;&gt;"",CONCATENATE(M108," ",M107," ",M105," "),IF(CELL("contenido",M104)="",CONCATENATE(M108," ",M107," ",M106," "),CONCATENATE(M108," ",M107," ",M106," Y ",M104," ")))</f>
        <v xml:space="preserve">   </v>
      </c>
    </row>
    <row r="108" spans="4:21" ht="14.4" thickBot="1">
      <c r="D108" s="552"/>
      <c r="E108" s="572">
        <f>+RIGHT(E103,4)*1-E107-E106-E104</f>
        <v>0</v>
      </c>
      <c r="F108" s="573" t="s">
        <v>352</v>
      </c>
      <c r="G108" s="574" t="str">
        <f ca="1">+IF(E103&gt;999,"MIL",IF(AND(E108&gt;0,E108&lt;10000),LOOKUP(CELL("contenido",E108),$E$26:$F$35),""))</f>
        <v/>
      </c>
      <c r="H108" s="575">
        <f>INT(E103/1000000)</f>
        <v>0</v>
      </c>
      <c r="I108" s="576" t="s">
        <v>353</v>
      </c>
      <c r="J108" s="577" t="str">
        <f ca="1">+IF(CELL("contenido",M105)=1,"MILLÓN",IF(H108=1,"MILLÓN",IF(H108&gt;1,"MILLONES","")))</f>
        <v/>
      </c>
      <c r="K108" s="578">
        <f>+RIGHT(K103,4)*1-K107-K106-K104</f>
        <v>0</v>
      </c>
      <c r="L108" s="579" t="s">
        <v>354</v>
      </c>
      <c r="M108" s="580" t="str">
        <f ca="1">+IF(AND(K108&gt;0,K108&lt;10000),LOOKUP(CELL("contenido",K108),$E$26:$F$35),"")</f>
        <v/>
      </c>
      <c r="N108" s="581">
        <f>+RIGHT(N103,4)*1-N107-N106-N104</f>
        <v>0</v>
      </c>
      <c r="O108" s="582" t="s">
        <v>355</v>
      </c>
      <c r="P108" s="583" t="str">
        <f>+IF(N108=1,"UN MILLARDO",IF(N103&gt;1,"MILLARDOS",""))</f>
        <v/>
      </c>
      <c r="Q108" s="584">
        <f>+RIGHT(Q103,4)*1-Q107-Q106-Q104</f>
        <v>0</v>
      </c>
      <c r="R108" s="585" t="s">
        <v>355</v>
      </c>
      <c r="S108" s="586" t="str">
        <f>+IF(Q108=1,"UN MILLARDO",IF(Q103&gt;1,"MILLARDOS",""))</f>
        <v/>
      </c>
      <c r="U108" s="549" t="str">
        <f ca="1">+IF(CELL("contenido",P105)&lt;&gt;"",CONCATENATE(P108," ",P107," ",P105," "),IF(CELL("contenido",P104)="",CONCATENATE(P108," ",P107," ",P106," "),CONCATENATE(P108," ",P107," ",P106," Y ",P104," ")))</f>
        <v xml:space="preserve">   </v>
      </c>
    </row>
    <row r="109" spans="4:21" ht="14.4" thickTop="1">
      <c r="D109" s="552"/>
      <c r="E109" s="549"/>
      <c r="F109" s="549"/>
      <c r="G109" s="549"/>
      <c r="H109" s="549"/>
      <c r="I109" s="549"/>
      <c r="J109" s="587"/>
      <c r="K109" s="587"/>
      <c r="L109" s="587"/>
      <c r="M109" s="550"/>
      <c r="N109" s="550"/>
      <c r="O109" s="550"/>
      <c r="P109" s="549"/>
      <c r="Q109" s="550"/>
      <c r="R109" s="550"/>
      <c r="S109" s="549"/>
      <c r="U109" s="549" t="str">
        <f ca="1">+IF(CELL("contenido",S105)&lt;&gt;"",CONCATENATE(S107," ",S105," "),IF(CELL("contenido",S104)="",CONCATENATE(S107," ",S106," "),CONCATENATE(S107," ",S106," Y ",S104," ")))</f>
        <v xml:space="preserve">  </v>
      </c>
    </row>
    <row r="110" spans="4:21" ht="13.8">
      <c r="D110" s="549" t="s">
        <v>363</v>
      </c>
      <c r="E110" s="549"/>
      <c r="F110" s="549"/>
      <c r="G110" s="549"/>
      <c r="H110" s="549"/>
      <c r="I110" s="549"/>
      <c r="J110" s="549"/>
      <c r="K110" s="549"/>
      <c r="L110" s="549"/>
      <c r="M110" s="549"/>
      <c r="N110" s="549"/>
      <c r="O110" s="549"/>
      <c r="P110" s="549"/>
      <c r="Q110" s="549"/>
      <c r="R110" s="549"/>
      <c r="S110" s="549"/>
      <c r="U110" s="546"/>
    </row>
    <row r="111" spans="4:21" ht="13.8">
      <c r="D111" s="552"/>
      <c r="E111" s="553">
        <f>ROUND(100*(A7-INT(A7)),2)</f>
        <v>43</v>
      </c>
      <c r="F111" s="549" t="s">
        <v>334</v>
      </c>
      <c r="G111" s="549"/>
      <c r="H111" s="549"/>
      <c r="I111" s="549"/>
      <c r="J111" s="549"/>
      <c r="K111" s="549"/>
      <c r="L111" s="549"/>
      <c r="M111" s="549"/>
      <c r="N111" s="549"/>
      <c r="O111" s="549"/>
      <c r="P111" s="549"/>
      <c r="Q111" s="549"/>
      <c r="R111" s="549"/>
      <c r="S111" s="549"/>
    </row>
    <row r="112" spans="4:21" ht="13.8">
      <c r="D112" s="549"/>
      <c r="E112" s="549">
        <f>+LEN(E114)</f>
        <v>2</v>
      </c>
      <c r="F112" s="549" t="s">
        <v>335</v>
      </c>
      <c r="G112" s="549"/>
      <c r="H112" s="549"/>
      <c r="I112" s="549"/>
      <c r="J112" s="549"/>
      <c r="K112" s="549"/>
      <c r="L112" s="549"/>
      <c r="M112" s="549"/>
      <c r="N112" s="549"/>
      <c r="O112" s="549"/>
      <c r="P112" s="549"/>
      <c r="Q112" s="549"/>
      <c r="R112" s="549"/>
      <c r="S112" s="549"/>
    </row>
    <row r="113" spans="4:21" ht="14.4" thickBot="1">
      <c r="D113" s="552"/>
      <c r="E113" s="549"/>
      <c r="F113" s="549"/>
      <c r="G113" s="549"/>
      <c r="H113" s="549"/>
      <c r="I113" s="549"/>
      <c r="J113" s="549"/>
      <c r="K113" s="549"/>
      <c r="L113" s="549"/>
      <c r="M113" s="549"/>
      <c r="N113" s="549"/>
      <c r="O113" s="549"/>
      <c r="P113" s="549"/>
      <c r="Q113" s="549"/>
      <c r="R113" s="549"/>
      <c r="S113" s="549"/>
    </row>
    <row r="114" spans="4:21" ht="15" thickTop="1" thickBot="1">
      <c r="D114" s="549"/>
      <c r="E114" s="554">
        <f>+A7-E111/100</f>
        <v>89</v>
      </c>
      <c r="F114" s="1443" t="s">
        <v>338</v>
      </c>
      <c r="G114" s="1444"/>
      <c r="H114" s="555">
        <f>+IF(E114&gt;1000,INT(E114/1000),0)</f>
        <v>0</v>
      </c>
      <c r="I114" s="1443" t="s">
        <v>339</v>
      </c>
      <c r="J114" s="1444"/>
      <c r="K114" s="555">
        <f>+INT(H114/1000)</f>
        <v>0</v>
      </c>
      <c r="L114" s="1443" t="s">
        <v>340</v>
      </c>
      <c r="M114" s="1444"/>
      <c r="N114" s="555">
        <f>+INT(K114/1000)</f>
        <v>0</v>
      </c>
      <c r="O114" s="1443" t="s">
        <v>341</v>
      </c>
      <c r="P114" s="1444"/>
      <c r="Q114" s="555">
        <f>+INT(N114)</f>
        <v>0</v>
      </c>
      <c r="R114" s="1443" t="s">
        <v>341</v>
      </c>
      <c r="S114" s="1444"/>
      <c r="U114" s="549" t="str">
        <f>+IF(E111=0,CONCATENATE("00",U115),IF(E111&lt;10,CONCATENATE(" 0",E111,U115),CONCATENATE(" ",E111,U115)))</f>
        <v xml:space="preserve"> 43/100 BOLIVIANOS</v>
      </c>
    </row>
    <row r="115" spans="4:21" ht="14.4" thickBot="1">
      <c r="D115" s="552"/>
      <c r="E115" s="556">
        <f>+RIGHT(E114)*1</f>
        <v>9</v>
      </c>
      <c r="F115" s="557" t="s">
        <v>343</v>
      </c>
      <c r="G115" s="558" t="str">
        <f ca="1">+IF(AND(E115&gt;0,E115&lt;10),LOOKUP(CELL("contenido",E115),$A$26:$B$35),"")</f>
        <v>NUEVE</v>
      </c>
      <c r="H115" s="559">
        <f>+RIGHT(H114)*1</f>
        <v>0</v>
      </c>
      <c r="I115" s="560" t="s">
        <v>343</v>
      </c>
      <c r="J115" s="561" t="str">
        <f ca="1">IF(E114&lt;2000,"",IF(CELL("contenido",H115)=1,"UN",IF(AND(H115&gt;0,H115&lt;10),LOOKUP(CELL("contenido",H115),$A$26:$B$35),"")))</f>
        <v/>
      </c>
      <c r="K115" s="562">
        <f>+RIGHT(K114)*1</f>
        <v>0</v>
      </c>
      <c r="L115" s="563" t="s">
        <v>343</v>
      </c>
      <c r="M115" s="564" t="str">
        <f ca="1">+IF(CELL("contenido",K115)=1,"UN",IF(AND(K115&gt;0,K115&lt;10),LOOKUP(CELL("contenido",K115),$A$26:$B$35),""))</f>
        <v/>
      </c>
      <c r="N115" s="565">
        <f>+RIGHT(N114)*1</f>
        <v>0</v>
      </c>
      <c r="O115" s="566" t="s">
        <v>343</v>
      </c>
      <c r="P115" s="567" t="str">
        <f ca="1">+IF(CELL("contenido",N115)=1,"UN",IF(AND(N115&gt;0,N115&lt;10),LOOKUP(CELL("contenido",N115),$A$26:$B$35),""))</f>
        <v/>
      </c>
      <c r="Q115" s="568">
        <f>+RIGHT(Q114)*1</f>
        <v>0</v>
      </c>
      <c r="R115" s="569" t="s">
        <v>343</v>
      </c>
      <c r="S115" s="570" t="str">
        <f ca="1">+IF(CELL("contenido",Q115)=1,"UN",IF(AND(Q115&gt;0,Q115&lt;10),LOOKUP(CELL("contenido",Q115),$A$26:$B$35),""))</f>
        <v/>
      </c>
      <c r="U115" s="571" t="s">
        <v>344</v>
      </c>
    </row>
    <row r="116" spans="4:21" ht="14.4" thickBot="1">
      <c r="D116" s="552"/>
      <c r="E116" s="556">
        <f>+RIGHT(E114,2)*1</f>
        <v>89</v>
      </c>
      <c r="F116" s="557" t="s">
        <v>346</v>
      </c>
      <c r="G116" s="558" t="str">
        <f ca="1">IF(AND(E116&gt;0,E116&lt;30),LOOKUP(CELL("contenido",E116),$A$26:$B$55),"")</f>
        <v/>
      </c>
      <c r="H116" s="559">
        <f>+RIGHT(H114,2)*1</f>
        <v>0</v>
      </c>
      <c r="I116" s="560" t="s">
        <v>346</v>
      </c>
      <c r="J116" s="561" t="str">
        <f ca="1">IF(E114&lt;2000,"",IF(CELL("contenido",H116)=1,"UN",IF(AND(H116&gt;0,H116&lt;30),LOOKUP(CELL("contenido",H116),$A$26:$B$55),"")))</f>
        <v/>
      </c>
      <c r="K116" s="562">
        <f>+RIGHT(K114,2)*1</f>
        <v>0</v>
      </c>
      <c r="L116" s="563" t="s">
        <v>346</v>
      </c>
      <c r="M116" s="564" t="str">
        <f ca="1">IF(CELL("contenido",K116)=1,"UN",IF(AND(K116&gt;0,K116&lt;30),LOOKUP(CELL("contenido",K116),$A$26:$B$55),""))</f>
        <v/>
      </c>
      <c r="N116" s="565">
        <f>+RIGHT(N114,2)*1</f>
        <v>0</v>
      </c>
      <c r="O116" s="566" t="s">
        <v>346</v>
      </c>
      <c r="P116" s="567" t="str">
        <f ca="1">IF(CELL("contenido",N116)=1,"UN",IF(AND(N116&gt;0,N116&lt;30),LOOKUP(CELL("contenido",N116),$A$26:$B$55),""))</f>
        <v/>
      </c>
      <c r="Q116" s="568">
        <f>+RIGHT(Q114,2)*1</f>
        <v>0</v>
      </c>
      <c r="R116" s="569" t="s">
        <v>346</v>
      </c>
      <c r="S116" s="570" t="str">
        <f ca="1">IF(CELL("contenido",Q116)=1,"UN",IF(AND(Q116&gt;0,Q116&lt;30),LOOKUP(CELL("contenido",Q116),$A$26:$B$55),""))</f>
        <v/>
      </c>
      <c r="U116" s="549" t="str">
        <f ca="1">+IF(CELL("contenido",G116)&lt;&gt;"",CONCATENATE(G119," ",G118," ",G116," ",U114),IF(CELL("contenido",G115)="",CONCATENATE(G119," ",G118," ",G117," ",U114),CONCATENATE(G119," ",G118," ",G117," Y ",G115," ",U114)))</f>
        <v xml:space="preserve">  OCHENTA Y NUEVE  43/100 BOLIVIANOS</v>
      </c>
    </row>
    <row r="117" spans="4:21" ht="14.4" thickBot="1">
      <c r="D117" s="552"/>
      <c r="E117" s="556">
        <f>+RIGHT(E114,2)*1-E115</f>
        <v>80</v>
      </c>
      <c r="F117" s="557" t="s">
        <v>348</v>
      </c>
      <c r="G117" s="558" t="str">
        <f ca="1">+IF(AND(E117&gt;0,E114&gt;=30),LOOKUP(CELL("contenido",E117),$C$26:$D$35),"")</f>
        <v>OCHENTA</v>
      </c>
      <c r="H117" s="559">
        <f>+RIGHT(H114,2)*1-H115</f>
        <v>0</v>
      </c>
      <c r="I117" s="560" t="s">
        <v>348</v>
      </c>
      <c r="J117" s="561" t="str">
        <f ca="1">+IF(AND(H117&gt;0,H114&gt;=30),LOOKUP(CELL("contenido",H117),$C$26:$D$35),"")</f>
        <v/>
      </c>
      <c r="K117" s="562">
        <f>+RIGHT(K114,2)*1-K115</f>
        <v>0</v>
      </c>
      <c r="L117" s="563" t="s">
        <v>348</v>
      </c>
      <c r="M117" s="564" t="str">
        <f ca="1">+IF(AND(K117&gt;0,K114&gt;=30),LOOKUP(CELL("contenido",K117),$C$26:$D$35),"")</f>
        <v/>
      </c>
      <c r="N117" s="565">
        <f>+RIGHT(N114,2)*1-N115</f>
        <v>0</v>
      </c>
      <c r="O117" s="566" t="s">
        <v>348</v>
      </c>
      <c r="P117" s="567" t="str">
        <f ca="1">+IF(AND(N117&gt;0,K119&gt;=30),LOOKUP(CELL("contenido",N117),$C$26:$D$35),"")</f>
        <v/>
      </c>
      <c r="Q117" s="568">
        <f>+RIGHT(Q114,2)*1-Q115</f>
        <v>0</v>
      </c>
      <c r="R117" s="569" t="s">
        <v>348</v>
      </c>
      <c r="S117" s="570" t="str">
        <f ca="1">+IF(AND(Q117&gt;0,N119&gt;=30),LOOKUP(CELL("contenido",Q117),$C$26:$D$35),"")</f>
        <v/>
      </c>
      <c r="U117" s="549" t="str">
        <f ca="1">+IF(CELL("contenido",J116)&lt;&gt;"",CONCATENATE(J119," ",J118," ",J116," "),IF(CELL("contenido",J115)="",CONCATENATE(J119," ",J118," ",J117," "),CONCATENATE(J119," ",J118," ",J117," Y ",J115," ")))</f>
        <v xml:space="preserve">   </v>
      </c>
    </row>
    <row r="118" spans="4:21" ht="14.4" thickBot="1">
      <c r="D118" s="552"/>
      <c r="E118" s="556">
        <f>+RIGHT(E114,3)*1-E117-E115</f>
        <v>0</v>
      </c>
      <c r="F118" s="557" t="s">
        <v>350</v>
      </c>
      <c r="G118" s="558" t="str">
        <f ca="1">+IF((RIGHT(E114,3)*1)=100,"CIEN",IF(AND(E118&gt;0,E118&lt;1000),LOOKUP(CELL("contenido",E118),$E$26:$F$35),""))</f>
        <v/>
      </c>
      <c r="H118" s="559">
        <f>+RIGHT(H114,3)*1-H117-H115</f>
        <v>0</v>
      </c>
      <c r="I118" s="560" t="s">
        <v>350</v>
      </c>
      <c r="J118" s="561" t="str">
        <f ca="1">+IF(H114=100,"CIEN",IF(AND(H118&gt;0,H118&lt;1000),LOOKUP(CELL("contenido",H118),$E$26:$F$35),""))</f>
        <v/>
      </c>
      <c r="K118" s="562">
        <f>+RIGHT(K114,3)*1-K117-K115</f>
        <v>0</v>
      </c>
      <c r="L118" s="563" t="s">
        <v>350</v>
      </c>
      <c r="M118" s="564" t="str">
        <f ca="1">+IF(K114=100,"CIEN",IF(AND(K118&gt;0,K118&lt;1000),LOOKUP(CELL("contenido",K118),$E$26:$F$35),""))</f>
        <v/>
      </c>
      <c r="N118" s="565">
        <f>+RIGHT(N114,3)*1-N117-N115</f>
        <v>0</v>
      </c>
      <c r="O118" s="566" t="s">
        <v>350</v>
      </c>
      <c r="P118" s="567" t="str">
        <f ca="1">+IF(N114=100,"CIEN",IF(AND(N118&gt;0,N118&lt;1000),LOOKUP(CELL("contenido",N118),$E$26:$F$35),""))</f>
        <v/>
      </c>
      <c r="Q118" s="568">
        <f>+RIGHT(Q114,3)*1-Q117-Q115</f>
        <v>0</v>
      </c>
      <c r="R118" s="569" t="s">
        <v>350</v>
      </c>
      <c r="S118" s="570" t="str">
        <f ca="1">+IF(Q114=100,"CIEN",IF(AND(Q118&gt;0,Q118&lt;1000),LOOKUP(CELL("contenido",Q118),$E$26:$F$35),""))</f>
        <v/>
      </c>
      <c r="U118" s="549" t="str">
        <f ca="1">+IF(CELL("contenido",M116)&lt;&gt;"",CONCATENATE(M119," ",M118," ",M116," "),IF(CELL("contenido",M115)="",CONCATENATE(M119," ",M118," ",M117," "),CONCATENATE(M119," ",M118," ",M117," Y ",M115," ")))</f>
        <v xml:space="preserve">   </v>
      </c>
    </row>
    <row r="119" spans="4:21" ht="14.4" thickBot="1">
      <c r="D119" s="552"/>
      <c r="E119" s="572">
        <f>+RIGHT(E114,4)*1-E118-E117-E115</f>
        <v>0</v>
      </c>
      <c r="F119" s="573" t="s">
        <v>352</v>
      </c>
      <c r="G119" s="574" t="str">
        <f ca="1">+IF(E114&gt;999,"MIL",IF(AND(E119&gt;0,E119&lt;10000),LOOKUP(CELL("contenido",E119),$E$26:$F$35),""))</f>
        <v/>
      </c>
      <c r="H119" s="575">
        <f>INT(E114/1000000)</f>
        <v>0</v>
      </c>
      <c r="I119" s="576" t="s">
        <v>353</v>
      </c>
      <c r="J119" s="577" t="str">
        <f ca="1">+IF(CELL("contenido",M116)=1,"MILLÓN",IF(H119=1,"MILLÓN",IF(H119&gt;1,"MILLONES","")))</f>
        <v/>
      </c>
      <c r="K119" s="578">
        <f>+RIGHT(K114,4)*1-K118-K117-K115</f>
        <v>0</v>
      </c>
      <c r="L119" s="579" t="s">
        <v>354</v>
      </c>
      <c r="M119" s="580" t="str">
        <f ca="1">+IF(AND(K119&gt;0,K119&lt;10000),LOOKUP(CELL("contenido",K119),$E$26:$F$35),"")</f>
        <v/>
      </c>
      <c r="N119" s="581">
        <f>+RIGHT(N114,4)*1-N118-N117-N115</f>
        <v>0</v>
      </c>
      <c r="O119" s="582" t="s">
        <v>355</v>
      </c>
      <c r="P119" s="583" t="str">
        <f>+IF(N119=1,"UN MILLARDO",IF(N114&gt;1,"MILLARDOS",""))</f>
        <v/>
      </c>
      <c r="Q119" s="584">
        <f>+RIGHT(Q114,4)*1-Q118-Q117-Q115</f>
        <v>0</v>
      </c>
      <c r="R119" s="585" t="s">
        <v>355</v>
      </c>
      <c r="S119" s="586" t="str">
        <f>+IF(Q119=1,"UN MILLARDO",IF(Q114&gt;1,"MILLARDOS",""))</f>
        <v/>
      </c>
      <c r="U119" s="549" t="str">
        <f ca="1">+IF(CELL("contenido",P116)&lt;&gt;"",CONCATENATE(P119," ",P118," ",P116," "),IF(CELL("contenido",P115)="",CONCATENATE(P119," ",P118," ",P117," "),CONCATENATE(P119," ",P118," ",P117," Y ",P115," ")))</f>
        <v xml:space="preserve">   </v>
      </c>
    </row>
    <row r="120" spans="4:21" ht="14.4" thickTop="1">
      <c r="D120" s="552"/>
      <c r="E120" s="549"/>
      <c r="F120" s="549"/>
      <c r="G120" s="549"/>
      <c r="H120" s="549"/>
      <c r="I120" s="549"/>
      <c r="J120" s="587"/>
      <c r="K120" s="587"/>
      <c r="L120" s="587"/>
      <c r="M120" s="550"/>
      <c r="N120" s="550"/>
      <c r="O120" s="550"/>
      <c r="P120" s="549"/>
      <c r="Q120" s="550"/>
      <c r="R120" s="550"/>
      <c r="S120" s="549"/>
      <c r="U120" s="549" t="str">
        <f ca="1">+IF(CELL("contenido",S116)&lt;&gt;"",CONCATENATE(S118," ",S116," "),IF(CELL("contenido",S115)="",CONCATENATE(S118," ",S117," "),CONCATENATE(S118," ",S117," Y ",S115," ")))</f>
        <v xml:space="preserve">  </v>
      </c>
    </row>
    <row r="121" spans="4:21" ht="13.8">
      <c r="D121" s="549" t="s">
        <v>364</v>
      </c>
      <c r="E121" s="549"/>
      <c r="F121" s="549"/>
      <c r="G121" s="549"/>
      <c r="H121" s="549"/>
      <c r="I121" s="549"/>
      <c r="J121" s="549"/>
      <c r="K121" s="549"/>
      <c r="L121" s="549"/>
      <c r="M121" s="549"/>
      <c r="N121" s="549"/>
      <c r="O121" s="549"/>
      <c r="P121" s="549"/>
      <c r="Q121" s="549"/>
      <c r="R121" s="549"/>
      <c r="S121" s="549"/>
      <c r="U121" s="546"/>
    </row>
    <row r="122" spans="4:21" ht="13.8">
      <c r="D122" s="552"/>
      <c r="E122" s="553">
        <f>ROUND(100*(A8-INT(A8)),2)</f>
        <v>23</v>
      </c>
      <c r="F122" s="549" t="s">
        <v>334</v>
      </c>
      <c r="G122" s="549"/>
      <c r="H122" s="549"/>
      <c r="I122" s="549"/>
      <c r="J122" s="549"/>
      <c r="K122" s="549"/>
      <c r="L122" s="549"/>
      <c r="M122" s="549"/>
      <c r="N122" s="549"/>
      <c r="O122" s="549"/>
      <c r="P122" s="549"/>
      <c r="Q122" s="549"/>
      <c r="R122" s="549"/>
      <c r="S122" s="549"/>
    </row>
    <row r="123" spans="4:21" ht="13.8">
      <c r="D123" s="549"/>
      <c r="E123" s="549">
        <f>+LEN(E125)</f>
        <v>3</v>
      </c>
      <c r="F123" s="549" t="s">
        <v>335</v>
      </c>
      <c r="G123" s="549"/>
      <c r="H123" s="549"/>
      <c r="I123" s="549"/>
      <c r="J123" s="549"/>
      <c r="K123" s="549"/>
      <c r="L123" s="549"/>
      <c r="M123" s="549"/>
      <c r="N123" s="549"/>
      <c r="O123" s="549"/>
      <c r="P123" s="549"/>
      <c r="Q123" s="549"/>
      <c r="R123" s="549"/>
      <c r="S123" s="549"/>
    </row>
    <row r="124" spans="4:21" ht="14.4" thickBot="1">
      <c r="D124" s="552"/>
      <c r="E124" s="549"/>
      <c r="F124" s="549"/>
      <c r="G124" s="549"/>
      <c r="H124" s="549"/>
      <c r="I124" s="549"/>
      <c r="J124" s="549"/>
      <c r="K124" s="549"/>
      <c r="L124" s="549"/>
      <c r="M124" s="549"/>
      <c r="N124" s="549"/>
      <c r="O124" s="549"/>
      <c r="P124" s="549"/>
      <c r="Q124" s="549"/>
      <c r="R124" s="549"/>
      <c r="S124" s="549"/>
    </row>
    <row r="125" spans="4:21" ht="15" thickTop="1" thickBot="1">
      <c r="D125" s="549"/>
      <c r="E125" s="554">
        <f>+A8-E122/100</f>
        <v>108.99999999999997</v>
      </c>
      <c r="F125" s="1443" t="s">
        <v>338</v>
      </c>
      <c r="G125" s="1444"/>
      <c r="H125" s="555">
        <f>+IF(E125&gt;1000,INT(E125/1000),0)</f>
        <v>0</v>
      </c>
      <c r="I125" s="1443" t="s">
        <v>339</v>
      </c>
      <c r="J125" s="1444"/>
      <c r="K125" s="555">
        <f>+INT(H125/1000)</f>
        <v>0</v>
      </c>
      <c r="L125" s="1443" t="s">
        <v>340</v>
      </c>
      <c r="M125" s="1444"/>
      <c r="N125" s="555">
        <f>+INT(K125/1000)</f>
        <v>0</v>
      </c>
      <c r="O125" s="1443" t="s">
        <v>341</v>
      </c>
      <c r="P125" s="1444"/>
      <c r="Q125" s="555">
        <f>+INT(N125)</f>
        <v>0</v>
      </c>
      <c r="R125" s="1443" t="s">
        <v>341</v>
      </c>
      <c r="S125" s="1444"/>
      <c r="U125" s="549" t="str">
        <f>+IF(E122=0,CONCATENATE("00",U126),IF(E122&lt;10,CONCATENATE(" 0",E122,U126),CONCATENATE(" ",E122,U126)))</f>
        <v xml:space="preserve"> 23/100 BOLIVIANOS</v>
      </c>
    </row>
    <row r="126" spans="4:21" ht="14.4" thickBot="1">
      <c r="D126" s="552"/>
      <c r="E126" s="556">
        <f>+RIGHT(E125)*1</f>
        <v>9</v>
      </c>
      <c r="F126" s="557" t="s">
        <v>343</v>
      </c>
      <c r="G126" s="558" t="str">
        <f ca="1">+IF(AND(E126&gt;0,E126&lt;10),LOOKUP(CELL("contenido",E126),$A$26:$B$35),"")</f>
        <v>NUEVE</v>
      </c>
      <c r="H126" s="559">
        <f>+RIGHT(H125)*1</f>
        <v>0</v>
      </c>
      <c r="I126" s="560" t="s">
        <v>343</v>
      </c>
      <c r="J126" s="561" t="str">
        <f ca="1">IF(E125&lt;2000,"",IF(CELL("contenido",H126)=1,"UN",IF(AND(H126&gt;0,H126&lt;10),LOOKUP(CELL("contenido",H126),$A$26:$B$35),"")))</f>
        <v/>
      </c>
      <c r="K126" s="562">
        <f>+RIGHT(K125)*1</f>
        <v>0</v>
      </c>
      <c r="L126" s="563" t="s">
        <v>343</v>
      </c>
      <c r="M126" s="564" t="str">
        <f ca="1">+IF(CELL("contenido",K126)=1,"UN",IF(AND(K126&gt;0,K126&lt;10),LOOKUP(CELL("contenido",K126),$A$26:$B$35),""))</f>
        <v/>
      </c>
      <c r="N126" s="565">
        <f>+RIGHT(N125)*1</f>
        <v>0</v>
      </c>
      <c r="O126" s="566" t="s">
        <v>343</v>
      </c>
      <c r="P126" s="567" t="str">
        <f ca="1">+IF(CELL("contenido",N126)=1,"UN",IF(AND(N126&gt;0,N126&lt;10),LOOKUP(CELL("contenido",N126),$A$26:$B$35),""))</f>
        <v/>
      </c>
      <c r="Q126" s="568">
        <f>+RIGHT(Q125)*1</f>
        <v>0</v>
      </c>
      <c r="R126" s="569" t="s">
        <v>343</v>
      </c>
      <c r="S126" s="570" t="str">
        <f ca="1">+IF(CELL("contenido",Q126)=1,"UN",IF(AND(Q126&gt;0,Q126&lt;10),LOOKUP(CELL("contenido",Q126),$A$26:$B$35),""))</f>
        <v/>
      </c>
      <c r="U126" s="571" t="s">
        <v>344</v>
      </c>
    </row>
    <row r="127" spans="4:21" ht="14.4" thickBot="1">
      <c r="D127" s="552"/>
      <c r="E127" s="556">
        <f>+RIGHT(E125,2)*1</f>
        <v>9</v>
      </c>
      <c r="F127" s="557" t="s">
        <v>346</v>
      </c>
      <c r="G127" s="558" t="str">
        <f ca="1">IF(AND(E127&gt;0,E127&lt;30),LOOKUP(CELL("contenido",E127),$A$26:$B$55),"")</f>
        <v>NUEVE</v>
      </c>
      <c r="H127" s="559">
        <f>+RIGHT(H125,2)*1</f>
        <v>0</v>
      </c>
      <c r="I127" s="560" t="s">
        <v>346</v>
      </c>
      <c r="J127" s="561" t="str">
        <f ca="1">IF(E125&lt;2000,"",IF(CELL("contenido",H127)=1,"UN",IF(AND(H127&gt;0,H127&lt;30),LOOKUP(CELL("contenido",H127),$A$26:$B$55),"")))</f>
        <v/>
      </c>
      <c r="K127" s="562">
        <f>+RIGHT(K125,2)*1</f>
        <v>0</v>
      </c>
      <c r="L127" s="563" t="s">
        <v>346</v>
      </c>
      <c r="M127" s="564" t="str">
        <f ca="1">IF(CELL("contenido",K127)=1,"UN",IF(AND(K127&gt;0,K127&lt;30),LOOKUP(CELL("contenido",K127),$A$26:$B$55),""))</f>
        <v/>
      </c>
      <c r="N127" s="565">
        <f>+RIGHT(N125,2)*1</f>
        <v>0</v>
      </c>
      <c r="O127" s="566" t="s">
        <v>346</v>
      </c>
      <c r="P127" s="567" t="str">
        <f ca="1">IF(CELL("contenido",N127)=1,"UN",IF(AND(N127&gt;0,N127&lt;30),LOOKUP(CELL("contenido",N127),$A$26:$B$55),""))</f>
        <v/>
      </c>
      <c r="Q127" s="568">
        <f>+RIGHT(Q125,2)*1</f>
        <v>0</v>
      </c>
      <c r="R127" s="569" t="s">
        <v>346</v>
      </c>
      <c r="S127" s="570" t="str">
        <f ca="1">IF(CELL("contenido",Q127)=1,"UN",IF(AND(Q127&gt;0,Q127&lt;30),LOOKUP(CELL("contenido",Q127),$A$26:$B$55),""))</f>
        <v/>
      </c>
      <c r="U127" s="549" t="str">
        <f ca="1">+IF(CELL("contenido",G127)&lt;&gt;"",CONCATENATE(G130," ",G129," ",G127," ",U125),IF(CELL("contenido",G126)="",CONCATENATE(G130," ",G129," ",G128," ",U125),CONCATENATE(G130," ",G129," ",G128," Y ",G126," ",U125)))</f>
        <v xml:space="preserve"> CIENTO NUEVE  23/100 BOLIVIANOS</v>
      </c>
    </row>
    <row r="128" spans="4:21" ht="14.4" thickBot="1">
      <c r="D128" s="552"/>
      <c r="E128" s="556">
        <f>+RIGHT(E125,2)*1-E126</f>
        <v>0</v>
      </c>
      <c r="F128" s="557" t="s">
        <v>348</v>
      </c>
      <c r="G128" s="558" t="str">
        <f ca="1">+IF(AND(E128&gt;0,E125&gt;=30),LOOKUP(CELL("contenido",E128),$C$26:$D$35),"")</f>
        <v/>
      </c>
      <c r="H128" s="559">
        <f>+RIGHT(H125,2)*1-H126</f>
        <v>0</v>
      </c>
      <c r="I128" s="560" t="s">
        <v>348</v>
      </c>
      <c r="J128" s="561" t="str">
        <f ca="1">+IF(AND(H128&gt;0,H125&gt;=30),LOOKUP(CELL("contenido",H128),$C$26:$D$35),"")</f>
        <v/>
      </c>
      <c r="K128" s="562">
        <f>+RIGHT(K125,2)*1-K126</f>
        <v>0</v>
      </c>
      <c r="L128" s="563" t="s">
        <v>348</v>
      </c>
      <c r="M128" s="564" t="str">
        <f ca="1">+IF(AND(K128&gt;0,K125&gt;=30),LOOKUP(CELL("contenido",K128),$C$26:$D$35),"")</f>
        <v/>
      </c>
      <c r="N128" s="565">
        <f>+RIGHT(N125,2)*1-N126</f>
        <v>0</v>
      </c>
      <c r="O128" s="566" t="s">
        <v>348</v>
      </c>
      <c r="P128" s="567" t="str">
        <f ca="1">+IF(AND(N128&gt;0,K130&gt;=30),LOOKUP(CELL("contenido",N128),$C$26:$D$35),"")</f>
        <v/>
      </c>
      <c r="Q128" s="568">
        <f>+RIGHT(Q125,2)*1-Q126</f>
        <v>0</v>
      </c>
      <c r="R128" s="569" t="s">
        <v>348</v>
      </c>
      <c r="S128" s="570" t="str">
        <f ca="1">+IF(AND(Q128&gt;0,N130&gt;=30),LOOKUP(CELL("contenido",Q128),$C$26:$D$35),"")</f>
        <v/>
      </c>
      <c r="U128" s="549" t="str">
        <f ca="1">+IF(CELL("contenido",J127)&lt;&gt;"",CONCATENATE(J130," ",J129," ",J127," "),IF(CELL("contenido",J126)="",CONCATENATE(J130," ",J129," ",J128," "),CONCATENATE(J130," ",J129," ",J128," Y ",J126," ")))</f>
        <v xml:space="preserve">   </v>
      </c>
    </row>
    <row r="129" spans="4:21" ht="14.4" thickBot="1">
      <c r="D129" s="552"/>
      <c r="E129" s="556">
        <f>+RIGHT(E125,3)*1-E128-E126</f>
        <v>100</v>
      </c>
      <c r="F129" s="557" t="s">
        <v>350</v>
      </c>
      <c r="G129" s="558" t="str">
        <f ca="1">+IF((RIGHT(E125,3)*1)=100,"CIEN",IF(AND(E129&gt;0,E129&lt;1000),LOOKUP(CELL("contenido",E129),$E$26:$F$35),""))</f>
        <v>CIENTO</v>
      </c>
      <c r="H129" s="559">
        <f>+RIGHT(H125,3)*1-H128-H126</f>
        <v>0</v>
      </c>
      <c r="I129" s="560" t="s">
        <v>350</v>
      </c>
      <c r="J129" s="561" t="str">
        <f ca="1">+IF(H125=100,"CIEN",IF(AND(H129&gt;0,H129&lt;1000),LOOKUP(CELL("contenido",H129),$E$26:$F$35),""))</f>
        <v/>
      </c>
      <c r="K129" s="562">
        <f>+RIGHT(K125,3)*1-K128-K126</f>
        <v>0</v>
      </c>
      <c r="L129" s="563" t="s">
        <v>350</v>
      </c>
      <c r="M129" s="564" t="str">
        <f ca="1">+IF(K125=100,"CIEN",IF(AND(K129&gt;0,K129&lt;1000),LOOKUP(CELL("contenido",K129),$E$26:$F$35),""))</f>
        <v/>
      </c>
      <c r="N129" s="565">
        <f>+RIGHT(N125,3)*1-N128-N126</f>
        <v>0</v>
      </c>
      <c r="O129" s="566" t="s">
        <v>350</v>
      </c>
      <c r="P129" s="567" t="str">
        <f ca="1">+IF(N125=100,"CIEN",IF(AND(N129&gt;0,N129&lt;1000),LOOKUP(CELL("contenido",N129),$E$26:$F$35),""))</f>
        <v/>
      </c>
      <c r="Q129" s="568">
        <f>+RIGHT(Q125,3)*1-Q128-Q126</f>
        <v>0</v>
      </c>
      <c r="R129" s="569" t="s">
        <v>350</v>
      </c>
      <c r="S129" s="570" t="str">
        <f ca="1">+IF(Q125=100,"CIEN",IF(AND(Q129&gt;0,Q129&lt;1000),LOOKUP(CELL("contenido",Q129),$E$26:$F$35),""))</f>
        <v/>
      </c>
      <c r="U129" s="549" t="str">
        <f ca="1">+IF(CELL("contenido",M127)&lt;&gt;"",CONCATENATE(M130," ",M129," ",M127," "),IF(CELL("contenido",M126)="",CONCATENATE(M130," ",M129," ",M128," "),CONCATENATE(M130," ",M129," ",M128," Y ",M126," ")))</f>
        <v xml:space="preserve">   </v>
      </c>
    </row>
    <row r="130" spans="4:21" ht="14.4" thickBot="1">
      <c r="D130" s="552"/>
      <c r="E130" s="572">
        <f>+RIGHT(E125,4)*1-E129-E128-E126</f>
        <v>0</v>
      </c>
      <c r="F130" s="573" t="s">
        <v>352</v>
      </c>
      <c r="G130" s="574" t="str">
        <f ca="1">+IF(E125&gt;999,"MIL",IF(AND(E130&gt;0,E130&lt;10000),LOOKUP(CELL("contenido",E130),$E$26:$F$35),""))</f>
        <v/>
      </c>
      <c r="H130" s="575">
        <f>INT(E125/1000000)</f>
        <v>0</v>
      </c>
      <c r="I130" s="576" t="s">
        <v>353</v>
      </c>
      <c r="J130" s="577" t="str">
        <f ca="1">+IF(CELL("contenido",M127)=1,"MILLÓN",IF(H130=1,"MILLÓN",IF(H130&gt;1,"MILLONES","")))</f>
        <v/>
      </c>
      <c r="K130" s="578">
        <f>+RIGHT(K125,4)*1-K129-K128-K126</f>
        <v>0</v>
      </c>
      <c r="L130" s="579" t="s">
        <v>354</v>
      </c>
      <c r="M130" s="580" t="str">
        <f ca="1">+IF(AND(K130&gt;0,K130&lt;10000),LOOKUP(CELL("contenido",K130),$E$26:$F$35),"")</f>
        <v/>
      </c>
      <c r="N130" s="581">
        <f>+RIGHT(N125,4)*1-N129-N128-N126</f>
        <v>0</v>
      </c>
      <c r="O130" s="582" t="s">
        <v>355</v>
      </c>
      <c r="P130" s="583" t="str">
        <f>+IF(N130=1,"UN MILLARDO",IF(N125&gt;1,"MILLARDOS",""))</f>
        <v/>
      </c>
      <c r="Q130" s="584">
        <f>+RIGHT(Q125,4)*1-Q129-Q128-Q126</f>
        <v>0</v>
      </c>
      <c r="R130" s="585" t="s">
        <v>355</v>
      </c>
      <c r="S130" s="586" t="str">
        <f>+IF(Q130=1,"UN MILLARDO",IF(Q125&gt;1,"MILLARDOS",""))</f>
        <v/>
      </c>
      <c r="U130" s="549" t="str">
        <f ca="1">+IF(CELL("contenido",P127)&lt;&gt;"",CONCATENATE(P130," ",P129," ",P127," "),IF(CELL("contenido",P126)="",CONCATENATE(P130," ",P129," ",P128," "),CONCATENATE(P130," ",P129," ",P128," Y ",P126," ")))</f>
        <v xml:space="preserve">   </v>
      </c>
    </row>
    <row r="131" spans="4:21" ht="14.4" thickTop="1">
      <c r="D131" s="552"/>
      <c r="E131" s="549"/>
      <c r="F131" s="549"/>
      <c r="G131" s="549"/>
      <c r="H131" s="549"/>
      <c r="I131" s="549"/>
      <c r="J131" s="587"/>
      <c r="K131" s="587"/>
      <c r="L131" s="587"/>
      <c r="M131" s="550"/>
      <c r="N131" s="550"/>
      <c r="O131" s="550"/>
      <c r="P131" s="549"/>
      <c r="Q131" s="550"/>
      <c r="R131" s="550"/>
      <c r="S131" s="549"/>
      <c r="U131" s="549" t="str">
        <f ca="1">+IF(CELL("contenido",S127)&lt;&gt;"",CONCATENATE(S129," ",S127," "),IF(CELL("contenido",S126)="",CONCATENATE(S129," ",S128," "),CONCATENATE(S129," ",S128," Y ",S126," ")))</f>
        <v xml:space="preserve">  </v>
      </c>
    </row>
    <row r="132" spans="4:21" ht="13.8">
      <c r="D132" s="549" t="s">
        <v>365</v>
      </c>
      <c r="E132" s="549"/>
      <c r="F132" s="549"/>
      <c r="G132" s="549"/>
      <c r="H132" s="549"/>
      <c r="I132" s="549"/>
      <c r="J132" s="549"/>
      <c r="K132" s="549"/>
      <c r="L132" s="549"/>
      <c r="M132" s="549"/>
      <c r="N132" s="549"/>
      <c r="O132" s="549"/>
      <c r="P132" s="549"/>
      <c r="Q132" s="549"/>
      <c r="R132" s="549"/>
      <c r="S132" s="549"/>
      <c r="U132" s="546"/>
    </row>
    <row r="133" spans="4:21" ht="13.8">
      <c r="D133" s="552"/>
      <c r="E133" s="553">
        <f>ROUND(100*(A9-INT(A9)),2)</f>
        <v>80</v>
      </c>
      <c r="F133" s="549" t="s">
        <v>334</v>
      </c>
      <c r="G133" s="549"/>
      <c r="H133" s="549"/>
      <c r="I133" s="549"/>
      <c r="J133" s="549"/>
      <c r="K133" s="549"/>
      <c r="L133" s="549"/>
      <c r="M133" s="549"/>
      <c r="N133" s="549"/>
      <c r="O133" s="549"/>
      <c r="P133" s="549"/>
      <c r="Q133" s="549"/>
      <c r="R133" s="549"/>
      <c r="S133" s="549"/>
    </row>
    <row r="134" spans="4:21" ht="13.8">
      <c r="D134" s="549"/>
      <c r="E134" s="549">
        <f>+LEN(E136)</f>
        <v>1</v>
      </c>
      <c r="F134" s="549" t="s">
        <v>335</v>
      </c>
      <c r="G134" s="549"/>
      <c r="H134" s="549"/>
      <c r="I134" s="549"/>
      <c r="J134" s="549"/>
      <c r="K134" s="549"/>
      <c r="L134" s="549"/>
      <c r="M134" s="549"/>
      <c r="N134" s="549"/>
      <c r="O134" s="549"/>
      <c r="P134" s="549"/>
      <c r="Q134" s="549"/>
      <c r="R134" s="549"/>
      <c r="S134" s="549"/>
    </row>
    <row r="135" spans="4:21" ht="14.4" thickBot="1">
      <c r="D135" s="552"/>
      <c r="E135" s="549"/>
      <c r="F135" s="549"/>
      <c r="G135" s="549"/>
      <c r="H135" s="549"/>
      <c r="I135" s="549"/>
      <c r="J135" s="549"/>
      <c r="K135" s="549"/>
      <c r="L135" s="549"/>
      <c r="M135" s="549"/>
      <c r="N135" s="549"/>
      <c r="O135" s="549"/>
      <c r="P135" s="549"/>
      <c r="Q135" s="549"/>
      <c r="R135" s="549"/>
      <c r="S135" s="549"/>
    </row>
    <row r="136" spans="4:21" ht="15" thickTop="1" thickBot="1">
      <c r="D136" s="549"/>
      <c r="E136" s="554">
        <f>+A9-E133/100</f>
        <v>3</v>
      </c>
      <c r="F136" s="1443" t="s">
        <v>338</v>
      </c>
      <c r="G136" s="1444"/>
      <c r="H136" s="555">
        <f>+IF(E136&gt;1000,INT(E136/1000),0)</f>
        <v>0</v>
      </c>
      <c r="I136" s="1443" t="s">
        <v>339</v>
      </c>
      <c r="J136" s="1444"/>
      <c r="K136" s="555">
        <f>+INT(H136/1000)</f>
        <v>0</v>
      </c>
      <c r="L136" s="1443" t="s">
        <v>340</v>
      </c>
      <c r="M136" s="1444"/>
      <c r="N136" s="555">
        <f>+INT(K136/1000)</f>
        <v>0</v>
      </c>
      <c r="O136" s="1443" t="s">
        <v>341</v>
      </c>
      <c r="P136" s="1444"/>
      <c r="Q136" s="555">
        <f>+INT(N136)</f>
        <v>0</v>
      </c>
      <c r="R136" s="1443" t="s">
        <v>341</v>
      </c>
      <c r="S136" s="1444"/>
      <c r="U136" s="549" t="str">
        <f>+IF(E133=0,CONCATENATE("00",U137),IF(E133&lt;10,CONCATENATE(" 0",E133,U137),CONCATENATE(" ",E133,U137)))</f>
        <v xml:space="preserve"> 80/100 BOLIVIANOS</v>
      </c>
    </row>
    <row r="137" spans="4:21" ht="14.4" thickBot="1">
      <c r="D137" s="552"/>
      <c r="E137" s="556">
        <f>+RIGHT(E136)*1</f>
        <v>3</v>
      </c>
      <c r="F137" s="557" t="s">
        <v>343</v>
      </c>
      <c r="G137" s="558" t="str">
        <f ca="1">+IF(AND(E137&gt;0,E137&lt;10),LOOKUP(CELL("contenido",E137),$A$26:$B$35),"")</f>
        <v>TRES</v>
      </c>
      <c r="H137" s="559">
        <f>+RIGHT(H136)*1</f>
        <v>0</v>
      </c>
      <c r="I137" s="560" t="s">
        <v>343</v>
      </c>
      <c r="J137" s="561" t="str">
        <f ca="1">IF(E136&lt;2000,"",IF(CELL("contenido",H137)=1,"UN",IF(AND(H137&gt;0,H137&lt;10),LOOKUP(CELL("contenido",H137),$A$26:$B$35),"")))</f>
        <v/>
      </c>
      <c r="K137" s="562">
        <f>+RIGHT(K136)*1</f>
        <v>0</v>
      </c>
      <c r="L137" s="563" t="s">
        <v>343</v>
      </c>
      <c r="M137" s="564" t="str">
        <f ca="1">+IF(CELL("contenido",K137)=1,"UN",IF(AND(K137&gt;0,K137&lt;10),LOOKUP(CELL("contenido",K137),$A$26:$B$35),""))</f>
        <v/>
      </c>
      <c r="N137" s="565">
        <f>+RIGHT(N136)*1</f>
        <v>0</v>
      </c>
      <c r="O137" s="566" t="s">
        <v>343</v>
      </c>
      <c r="P137" s="567" t="str">
        <f ca="1">+IF(CELL("contenido",N137)=1,"UN",IF(AND(N137&gt;0,N137&lt;10),LOOKUP(CELL("contenido",N137),$A$26:$B$35),""))</f>
        <v/>
      </c>
      <c r="Q137" s="568">
        <f>+RIGHT(Q136)*1</f>
        <v>0</v>
      </c>
      <c r="R137" s="569" t="s">
        <v>343</v>
      </c>
      <c r="S137" s="570" t="str">
        <f ca="1">+IF(CELL("contenido",Q137)=1,"UN",IF(AND(Q137&gt;0,Q137&lt;10),LOOKUP(CELL("contenido",Q137),$A$26:$B$35),""))</f>
        <v/>
      </c>
      <c r="U137" s="571" t="s">
        <v>344</v>
      </c>
    </row>
    <row r="138" spans="4:21" ht="14.4" thickBot="1">
      <c r="D138" s="552"/>
      <c r="E138" s="556">
        <f>+RIGHT(E136,2)*1</f>
        <v>3</v>
      </c>
      <c r="F138" s="557" t="s">
        <v>346</v>
      </c>
      <c r="G138" s="558" t="str">
        <f ca="1">IF(AND(E138&gt;0,E138&lt;30),LOOKUP(CELL("contenido",E138),$A$26:$B$55),"")</f>
        <v>TRES</v>
      </c>
      <c r="H138" s="559">
        <f>+RIGHT(H136,2)*1</f>
        <v>0</v>
      </c>
      <c r="I138" s="560" t="s">
        <v>346</v>
      </c>
      <c r="J138" s="561" t="str">
        <f ca="1">IF(E136&lt;2000,"",IF(CELL("contenido",H138)=1,"UN",IF(AND(H138&gt;0,H138&lt;30),LOOKUP(CELL("contenido",H138),$A$26:$B$55),"")))</f>
        <v/>
      </c>
      <c r="K138" s="562">
        <f>+RIGHT(K136,2)*1</f>
        <v>0</v>
      </c>
      <c r="L138" s="563" t="s">
        <v>346</v>
      </c>
      <c r="M138" s="564" t="str">
        <f ca="1">IF(CELL("contenido",K138)=1,"UN",IF(AND(K138&gt;0,K138&lt;30),LOOKUP(CELL("contenido",K138),$A$26:$B$55),""))</f>
        <v/>
      </c>
      <c r="N138" s="565">
        <f>+RIGHT(N136,2)*1</f>
        <v>0</v>
      </c>
      <c r="O138" s="566" t="s">
        <v>346</v>
      </c>
      <c r="P138" s="567" t="str">
        <f ca="1">IF(CELL("contenido",N138)=1,"UN",IF(AND(N138&gt;0,N138&lt;30),LOOKUP(CELL("contenido",N138),$A$26:$B$55),""))</f>
        <v/>
      </c>
      <c r="Q138" s="568">
        <f>+RIGHT(Q136,2)*1</f>
        <v>0</v>
      </c>
      <c r="R138" s="569" t="s">
        <v>346</v>
      </c>
      <c r="S138" s="570" t="str">
        <f ca="1">IF(CELL("contenido",Q138)=1,"UN",IF(AND(Q138&gt;0,Q138&lt;30),LOOKUP(CELL("contenido",Q138),$A$26:$B$55),""))</f>
        <v/>
      </c>
      <c r="U138" s="549" t="str">
        <f ca="1">+IF(CELL("contenido",G138)&lt;&gt;"",CONCATENATE(G141," ",G140," ",G138," ",U136),IF(CELL("contenido",G137)="",CONCATENATE(G141," ",G140," ",G139," ",U136),CONCATENATE(G141," ",G140," ",G139," Y ",G137," ",U136)))</f>
        <v xml:space="preserve">  TRES  80/100 BOLIVIANOS</v>
      </c>
    </row>
    <row r="139" spans="4:21" ht="14.4" thickBot="1">
      <c r="D139" s="552"/>
      <c r="E139" s="556">
        <f>+RIGHT(E136,2)*1-E137</f>
        <v>0</v>
      </c>
      <c r="F139" s="557" t="s">
        <v>348</v>
      </c>
      <c r="G139" s="558" t="str">
        <f ca="1">+IF(AND(E139&gt;0,E136&gt;=30),LOOKUP(CELL("contenido",E139),$C$26:$D$35),"")</f>
        <v/>
      </c>
      <c r="H139" s="559">
        <f>+RIGHT(H136,2)*1-H137</f>
        <v>0</v>
      </c>
      <c r="I139" s="560" t="s">
        <v>348</v>
      </c>
      <c r="J139" s="561" t="str">
        <f ca="1">+IF(AND(H139&gt;0,H136&gt;=30),LOOKUP(CELL("contenido",H139),$C$26:$D$35),"")</f>
        <v/>
      </c>
      <c r="K139" s="562">
        <f>+RIGHT(K136,2)*1-K137</f>
        <v>0</v>
      </c>
      <c r="L139" s="563" t="s">
        <v>348</v>
      </c>
      <c r="M139" s="564" t="str">
        <f ca="1">+IF(AND(K139&gt;0,K136&gt;=30),LOOKUP(CELL("contenido",K139),$C$26:$D$35),"")</f>
        <v/>
      </c>
      <c r="N139" s="565">
        <f>+RIGHT(N136,2)*1-N137</f>
        <v>0</v>
      </c>
      <c r="O139" s="566" t="s">
        <v>348</v>
      </c>
      <c r="P139" s="567" t="str">
        <f ca="1">+IF(AND(N139&gt;0,K141&gt;=30),LOOKUP(CELL("contenido",N139),$C$26:$D$35),"")</f>
        <v/>
      </c>
      <c r="Q139" s="568">
        <f>+RIGHT(Q136,2)*1-Q137</f>
        <v>0</v>
      </c>
      <c r="R139" s="569" t="s">
        <v>348</v>
      </c>
      <c r="S139" s="570" t="str">
        <f ca="1">+IF(AND(Q139&gt;0,N141&gt;=30),LOOKUP(CELL("contenido",Q139),$C$26:$D$35),"")</f>
        <v/>
      </c>
      <c r="U139" s="549" t="str">
        <f ca="1">+IF(CELL("contenido",J138)&lt;&gt;"",CONCATENATE(J141," ",J140," ",J138," "),IF(CELL("contenido",J137)="",CONCATENATE(J141," ",J140," ",J139," "),CONCATENATE(J141," ",J140," ",J139," Y ",J137," ")))</f>
        <v xml:space="preserve">   </v>
      </c>
    </row>
    <row r="140" spans="4:21" ht="14.4" thickBot="1">
      <c r="D140" s="552"/>
      <c r="E140" s="556">
        <f>+RIGHT(E136,3)*1-E139-E137</f>
        <v>0</v>
      </c>
      <c r="F140" s="557" t="s">
        <v>350</v>
      </c>
      <c r="G140" s="558" t="str">
        <f ca="1">+IF((RIGHT(E136,3)*1)=100,"CIEN",IF(AND(E140&gt;0,E140&lt;1000),LOOKUP(CELL("contenido",E140),$E$26:$F$35),""))</f>
        <v/>
      </c>
      <c r="H140" s="559">
        <f>+RIGHT(H136,3)*1-H139-H137</f>
        <v>0</v>
      </c>
      <c r="I140" s="560" t="s">
        <v>350</v>
      </c>
      <c r="J140" s="561" t="str">
        <f ca="1">+IF(H136=100,"CIEN",IF(AND(H140&gt;0,H140&lt;1000),LOOKUP(CELL("contenido",H140),$E$26:$F$35),""))</f>
        <v/>
      </c>
      <c r="K140" s="562">
        <f>+RIGHT(K136,3)*1-K139-K137</f>
        <v>0</v>
      </c>
      <c r="L140" s="563" t="s">
        <v>350</v>
      </c>
      <c r="M140" s="564" t="str">
        <f ca="1">+IF(K136=100,"CIEN",IF(AND(K140&gt;0,K140&lt;1000),LOOKUP(CELL("contenido",K140),$E$26:$F$35),""))</f>
        <v/>
      </c>
      <c r="N140" s="565">
        <f>+RIGHT(N136,3)*1-N139-N137</f>
        <v>0</v>
      </c>
      <c r="O140" s="566" t="s">
        <v>350</v>
      </c>
      <c r="P140" s="567" t="str">
        <f ca="1">+IF(N136=100,"CIEN",IF(AND(N140&gt;0,N140&lt;1000),LOOKUP(CELL("contenido",N140),$E$26:$F$35),""))</f>
        <v/>
      </c>
      <c r="Q140" s="568">
        <f>+RIGHT(Q136,3)*1-Q139-Q137</f>
        <v>0</v>
      </c>
      <c r="R140" s="569" t="s">
        <v>350</v>
      </c>
      <c r="S140" s="570" t="str">
        <f ca="1">+IF(Q136=100,"CIEN",IF(AND(Q140&gt;0,Q140&lt;1000),LOOKUP(CELL("contenido",Q140),$E$26:$F$35),""))</f>
        <v/>
      </c>
      <c r="U140" s="549" t="str">
        <f ca="1">+IF(CELL("contenido",M138)&lt;&gt;"",CONCATENATE(M141," ",M140," ",M138," "),IF(CELL("contenido",M137)="",CONCATENATE(M141," ",M140," ",M139," "),CONCATENATE(M141," ",M140," ",M139," Y ",M137," ")))</f>
        <v xml:space="preserve">   </v>
      </c>
    </row>
    <row r="141" spans="4:21" ht="14.4" thickBot="1">
      <c r="D141" s="552"/>
      <c r="E141" s="572">
        <f>+RIGHT(E136,4)*1-E140-E139-E137</f>
        <v>0</v>
      </c>
      <c r="F141" s="573" t="s">
        <v>352</v>
      </c>
      <c r="G141" s="574" t="str">
        <f ca="1">+IF(E136&gt;999,"MIL",IF(AND(E141&gt;0,E141&lt;10000),LOOKUP(CELL("contenido",E141),$E$26:$F$35),""))</f>
        <v/>
      </c>
      <c r="H141" s="575">
        <f>INT(E136/1000000)</f>
        <v>0</v>
      </c>
      <c r="I141" s="576" t="s">
        <v>353</v>
      </c>
      <c r="J141" s="577" t="str">
        <f ca="1">+IF(CELL("contenido",M138)=1,"MILLÓN",IF(H141=1,"MILLÓN",IF(H141&gt;1,"MILLONES","")))</f>
        <v/>
      </c>
      <c r="K141" s="578">
        <f>+RIGHT(K136,4)*1-K140-K139-K137</f>
        <v>0</v>
      </c>
      <c r="L141" s="579" t="s">
        <v>354</v>
      </c>
      <c r="M141" s="580" t="str">
        <f ca="1">+IF(AND(K141&gt;0,K141&lt;10000),LOOKUP(CELL("contenido",K141),$E$26:$F$35),"")</f>
        <v/>
      </c>
      <c r="N141" s="581">
        <f>+RIGHT(N136,4)*1-N140-N139-N137</f>
        <v>0</v>
      </c>
      <c r="O141" s="582" t="s">
        <v>355</v>
      </c>
      <c r="P141" s="583" t="str">
        <f>+IF(N141=1,"UN MILLARDO",IF(N136&gt;1,"MILLARDOS",""))</f>
        <v/>
      </c>
      <c r="Q141" s="584">
        <f>+RIGHT(Q136,4)*1-Q140-Q139-Q137</f>
        <v>0</v>
      </c>
      <c r="R141" s="585" t="s">
        <v>355</v>
      </c>
      <c r="S141" s="586" t="str">
        <f>+IF(Q141=1,"UN MILLARDO",IF(Q136&gt;1,"MILLARDOS",""))</f>
        <v/>
      </c>
      <c r="U141" s="549" t="str">
        <f ca="1">+IF(CELL("contenido",P138)&lt;&gt;"",CONCATENATE(P141," ",P140," ",P138," "),IF(CELL("contenido",P137)="",CONCATENATE(P141," ",P140," ",P139," "),CONCATENATE(P141," ",P140," ",P139," Y ",P137," ")))</f>
        <v xml:space="preserve">   </v>
      </c>
    </row>
    <row r="142" spans="4:21" ht="14.4" thickTop="1">
      <c r="D142" s="552"/>
      <c r="E142" s="549"/>
      <c r="F142" s="549"/>
      <c r="G142" s="549"/>
      <c r="H142" s="549"/>
      <c r="I142" s="549"/>
      <c r="J142" s="587"/>
      <c r="K142" s="587"/>
      <c r="L142" s="587"/>
      <c r="M142" s="550"/>
      <c r="N142" s="550"/>
      <c r="O142" s="550"/>
      <c r="P142" s="549"/>
      <c r="Q142" s="550"/>
      <c r="R142" s="550"/>
      <c r="S142" s="549"/>
      <c r="U142" s="549" t="str">
        <f ca="1">+IF(CELL("contenido",S138)&lt;&gt;"",CONCATENATE(S140," ",S138," "),IF(CELL("contenido",S137)="",CONCATENATE(S140," ",S139," "),CONCATENATE(S140," ",S139," Y ",S137," ")))</f>
        <v xml:space="preserve">  </v>
      </c>
    </row>
    <row r="143" spans="4:21" ht="13.8">
      <c r="D143" s="549" t="s">
        <v>366</v>
      </c>
      <c r="E143" s="549"/>
      <c r="F143" s="549"/>
      <c r="G143" s="549"/>
      <c r="H143" s="549"/>
      <c r="I143" s="549"/>
      <c r="J143" s="549"/>
      <c r="K143" s="549"/>
      <c r="L143" s="549"/>
      <c r="M143" s="549"/>
      <c r="N143" s="549"/>
      <c r="O143" s="549"/>
      <c r="P143" s="549"/>
      <c r="Q143" s="549"/>
      <c r="R143" s="549"/>
      <c r="S143" s="549"/>
      <c r="U143" s="546"/>
    </row>
    <row r="144" spans="4:21" ht="13.8">
      <c r="D144" s="552"/>
      <c r="E144" s="553">
        <f>ROUND(100*(A10-INT(A10)),2)</f>
        <v>31</v>
      </c>
      <c r="F144" s="549" t="s">
        <v>334</v>
      </c>
      <c r="G144" s="549"/>
      <c r="H144" s="549"/>
      <c r="I144" s="549"/>
      <c r="J144" s="549"/>
      <c r="K144" s="549"/>
      <c r="L144" s="549"/>
      <c r="M144" s="549"/>
      <c r="N144" s="549"/>
      <c r="O144" s="549"/>
      <c r="P144" s="549"/>
      <c r="Q144" s="549"/>
      <c r="R144" s="549"/>
      <c r="S144" s="549"/>
    </row>
    <row r="145" spans="4:21" ht="13.8">
      <c r="D145" s="549"/>
      <c r="E145" s="549">
        <f>+LEN(E147)</f>
        <v>1</v>
      </c>
      <c r="F145" s="549" t="s">
        <v>335</v>
      </c>
      <c r="G145" s="549"/>
      <c r="H145" s="549"/>
      <c r="I145" s="549"/>
      <c r="J145" s="549"/>
      <c r="K145" s="549"/>
      <c r="L145" s="549"/>
      <c r="M145" s="549"/>
      <c r="N145" s="549"/>
      <c r="O145" s="549"/>
      <c r="P145" s="549"/>
      <c r="Q145" s="549"/>
      <c r="R145" s="549"/>
      <c r="S145" s="549"/>
    </row>
    <row r="146" spans="4:21" ht="14.4" thickBot="1">
      <c r="D146" s="552"/>
      <c r="E146" s="549"/>
      <c r="F146" s="549"/>
      <c r="G146" s="549"/>
      <c r="H146" s="549"/>
      <c r="I146" s="549"/>
      <c r="J146" s="549"/>
      <c r="K146" s="549"/>
      <c r="L146" s="549"/>
      <c r="M146" s="549"/>
      <c r="N146" s="549"/>
      <c r="O146" s="549"/>
      <c r="P146" s="549"/>
      <c r="Q146" s="549"/>
      <c r="R146" s="549"/>
      <c r="S146" s="549"/>
    </row>
    <row r="147" spans="4:21" ht="15" thickTop="1" thickBot="1">
      <c r="D147" s="549"/>
      <c r="E147" s="554">
        <f>+A10-E144/100</f>
        <v>3.0000000000000004</v>
      </c>
      <c r="F147" s="1443" t="s">
        <v>338</v>
      </c>
      <c r="G147" s="1444"/>
      <c r="H147" s="555">
        <f>+IF(E147&gt;1000,INT(E147/1000),0)</f>
        <v>0</v>
      </c>
      <c r="I147" s="1443" t="s">
        <v>339</v>
      </c>
      <c r="J147" s="1444"/>
      <c r="K147" s="555">
        <f>+INT(H147/1000)</f>
        <v>0</v>
      </c>
      <c r="L147" s="1443" t="s">
        <v>340</v>
      </c>
      <c r="M147" s="1444"/>
      <c r="N147" s="555">
        <f>+INT(K147/1000)</f>
        <v>0</v>
      </c>
      <c r="O147" s="1443" t="s">
        <v>341</v>
      </c>
      <c r="P147" s="1444"/>
      <c r="Q147" s="555">
        <f>+INT(N147)</f>
        <v>0</v>
      </c>
      <c r="R147" s="1443" t="s">
        <v>341</v>
      </c>
      <c r="S147" s="1444"/>
      <c r="U147" s="549" t="str">
        <f>+IF(E144=0,CONCATENATE("00",U148),IF(E144&lt;10,CONCATENATE(" 0",E144,U148),CONCATENATE(" ",E144,U148)))</f>
        <v xml:space="preserve"> 31/100 BOLIVIANOS</v>
      </c>
    </row>
    <row r="148" spans="4:21" ht="14.4" thickBot="1">
      <c r="D148" s="552"/>
      <c r="E148" s="556">
        <f>+RIGHT(E147)*1</f>
        <v>3</v>
      </c>
      <c r="F148" s="557" t="s">
        <v>343</v>
      </c>
      <c r="G148" s="558" t="str">
        <f ca="1">+IF(AND(E148&gt;0,E148&lt;10),LOOKUP(CELL("contenido",E148),$A$26:$B$35),"")</f>
        <v>TRES</v>
      </c>
      <c r="H148" s="559">
        <f>+RIGHT(H147)*1</f>
        <v>0</v>
      </c>
      <c r="I148" s="560" t="s">
        <v>343</v>
      </c>
      <c r="J148" s="561" t="str">
        <f ca="1">IF(E147&lt;2000,"",IF(CELL("contenido",H148)=1,"UN",IF(AND(H148&gt;0,H148&lt;10),LOOKUP(CELL("contenido",H148),$A$26:$B$35),"")))</f>
        <v/>
      </c>
      <c r="K148" s="562">
        <f>+RIGHT(K147)*1</f>
        <v>0</v>
      </c>
      <c r="L148" s="563" t="s">
        <v>343</v>
      </c>
      <c r="M148" s="564" t="str">
        <f ca="1">+IF(CELL("contenido",K148)=1,"UN",IF(AND(K148&gt;0,K148&lt;10),LOOKUP(CELL("contenido",K148),$A$26:$B$35),""))</f>
        <v/>
      </c>
      <c r="N148" s="565">
        <f>+RIGHT(N147)*1</f>
        <v>0</v>
      </c>
      <c r="O148" s="566" t="s">
        <v>343</v>
      </c>
      <c r="P148" s="567" t="str">
        <f ca="1">+IF(CELL("contenido",N148)=1,"UN",IF(AND(N148&gt;0,N148&lt;10),LOOKUP(CELL("contenido",N148),$A$26:$B$35),""))</f>
        <v/>
      </c>
      <c r="Q148" s="568">
        <f>+RIGHT(Q147)*1</f>
        <v>0</v>
      </c>
      <c r="R148" s="569" t="s">
        <v>343</v>
      </c>
      <c r="S148" s="570" t="str">
        <f ca="1">+IF(CELL("contenido",Q148)=1,"UN",IF(AND(Q148&gt;0,Q148&lt;10),LOOKUP(CELL("contenido",Q148),$A$26:$B$35),""))</f>
        <v/>
      </c>
      <c r="U148" s="571" t="s">
        <v>344</v>
      </c>
    </row>
    <row r="149" spans="4:21" ht="14.4" thickBot="1">
      <c r="D149" s="552"/>
      <c r="E149" s="556">
        <f>+RIGHT(E147,2)*1</f>
        <v>3</v>
      </c>
      <c r="F149" s="557" t="s">
        <v>346</v>
      </c>
      <c r="G149" s="558" t="str">
        <f ca="1">IF(AND(E149&gt;0,E149&lt;30),LOOKUP(CELL("contenido",E149),$A$26:$B$55),"")</f>
        <v>TRES</v>
      </c>
      <c r="H149" s="559">
        <f>+RIGHT(H147,2)*1</f>
        <v>0</v>
      </c>
      <c r="I149" s="560" t="s">
        <v>346</v>
      </c>
      <c r="J149" s="561" t="str">
        <f ca="1">IF(E147&lt;2000,"",IF(CELL("contenido",H149)=1,"UN",IF(AND(H149&gt;0,H149&lt;30),LOOKUP(CELL("contenido",H149),$A$26:$B$55),"")))</f>
        <v/>
      </c>
      <c r="K149" s="562">
        <f>+RIGHT(K147,2)*1</f>
        <v>0</v>
      </c>
      <c r="L149" s="563" t="s">
        <v>346</v>
      </c>
      <c r="M149" s="564" t="str">
        <f ca="1">IF(CELL("contenido",K149)=1,"UN",IF(AND(K149&gt;0,K149&lt;30),LOOKUP(CELL("contenido",K149),$A$26:$B$55),""))</f>
        <v/>
      </c>
      <c r="N149" s="565">
        <f>+RIGHT(N147,2)*1</f>
        <v>0</v>
      </c>
      <c r="O149" s="566" t="s">
        <v>346</v>
      </c>
      <c r="P149" s="567" t="str">
        <f ca="1">IF(CELL("contenido",N149)=1,"UN",IF(AND(N149&gt;0,N149&lt;30),LOOKUP(CELL("contenido",N149),$A$26:$B$55),""))</f>
        <v/>
      </c>
      <c r="Q149" s="568">
        <f>+RIGHT(Q147,2)*1</f>
        <v>0</v>
      </c>
      <c r="R149" s="569" t="s">
        <v>346</v>
      </c>
      <c r="S149" s="570" t="str">
        <f ca="1">IF(CELL("contenido",Q149)=1,"UN",IF(AND(Q149&gt;0,Q149&lt;30),LOOKUP(CELL("contenido",Q149),$A$26:$B$55),""))</f>
        <v/>
      </c>
      <c r="U149" s="549" t="str">
        <f ca="1">+IF(CELL("contenido",G149)&lt;&gt;"",CONCATENATE(G152," ",G151," ",G149," ",U147),IF(CELL("contenido",G148)="",CONCATENATE(G152," ",G151," ",G150," ",U147),CONCATENATE(G152," ",G151," ",G150," Y ",G148," ",U147)))</f>
        <v xml:space="preserve">  TRES  31/100 BOLIVIANOS</v>
      </c>
    </row>
    <row r="150" spans="4:21" ht="14.4" thickBot="1">
      <c r="D150" s="552"/>
      <c r="E150" s="556">
        <f>+RIGHT(E147,2)*1-E148</f>
        <v>0</v>
      </c>
      <c r="F150" s="557" t="s">
        <v>348</v>
      </c>
      <c r="G150" s="558" t="str">
        <f ca="1">+IF(AND(E150&gt;0,E147&gt;=30),LOOKUP(CELL("contenido",E150),$C$26:$D$35),"")</f>
        <v/>
      </c>
      <c r="H150" s="559">
        <f>+RIGHT(H147,2)*1-H148</f>
        <v>0</v>
      </c>
      <c r="I150" s="560" t="s">
        <v>348</v>
      </c>
      <c r="J150" s="561" t="str">
        <f ca="1">+IF(AND(H150&gt;0,H147&gt;=30),LOOKUP(CELL("contenido",H150),$C$26:$D$35),"")</f>
        <v/>
      </c>
      <c r="K150" s="562">
        <f>+RIGHT(K147,2)*1-K148</f>
        <v>0</v>
      </c>
      <c r="L150" s="563" t="s">
        <v>348</v>
      </c>
      <c r="M150" s="564" t="str">
        <f ca="1">+IF(AND(K150&gt;0,K147&gt;=30),LOOKUP(CELL("contenido",K150),$C$26:$D$35),"")</f>
        <v/>
      </c>
      <c r="N150" s="565">
        <f>+RIGHT(N147,2)*1-N148</f>
        <v>0</v>
      </c>
      <c r="O150" s="566" t="s">
        <v>348</v>
      </c>
      <c r="P150" s="567" t="str">
        <f ca="1">+IF(AND(N150&gt;0,K152&gt;=30),LOOKUP(CELL("contenido",N150),$C$26:$D$35),"")</f>
        <v/>
      </c>
      <c r="Q150" s="568">
        <f>+RIGHT(Q147,2)*1-Q148</f>
        <v>0</v>
      </c>
      <c r="R150" s="569" t="s">
        <v>348</v>
      </c>
      <c r="S150" s="570" t="str">
        <f ca="1">+IF(AND(Q150&gt;0,N152&gt;=30),LOOKUP(CELL("contenido",Q150),$C$26:$D$35),"")</f>
        <v/>
      </c>
      <c r="U150" s="549" t="str">
        <f ca="1">+IF(CELL("contenido",J149)&lt;&gt;"",CONCATENATE(J152," ",J151," ",J149," "),IF(CELL("contenido",J148)="",CONCATENATE(J152," ",J151," ",J150," "),CONCATENATE(J152," ",J151," ",J150," Y ",J148," ")))</f>
        <v xml:space="preserve">   </v>
      </c>
    </row>
    <row r="151" spans="4:21" ht="14.4" thickBot="1">
      <c r="D151" s="552"/>
      <c r="E151" s="556">
        <f>+RIGHT(E147,3)*1-E150-E148</f>
        <v>0</v>
      </c>
      <c r="F151" s="557" t="s">
        <v>350</v>
      </c>
      <c r="G151" s="558" t="str">
        <f ca="1">+IF((RIGHT(E147,3)*1)=100,"CIEN",IF(AND(E151&gt;0,E151&lt;1000),LOOKUP(CELL("contenido",E151),$E$26:$F$35),""))</f>
        <v/>
      </c>
      <c r="H151" s="559">
        <f>+RIGHT(H147,3)*1-H150-H148</f>
        <v>0</v>
      </c>
      <c r="I151" s="560" t="s">
        <v>350</v>
      </c>
      <c r="J151" s="561" t="str">
        <f ca="1">+IF(H147=100,"CIEN",IF(AND(H151&gt;0,H151&lt;1000),LOOKUP(CELL("contenido",H151),$E$26:$F$35),""))</f>
        <v/>
      </c>
      <c r="K151" s="562">
        <f>+RIGHT(K147,3)*1-K150-K148</f>
        <v>0</v>
      </c>
      <c r="L151" s="563" t="s">
        <v>350</v>
      </c>
      <c r="M151" s="564" t="str">
        <f ca="1">+IF(K147=100,"CIEN",IF(AND(K151&gt;0,K151&lt;1000),LOOKUP(CELL("contenido",K151),$E$26:$F$35),""))</f>
        <v/>
      </c>
      <c r="N151" s="565">
        <f>+RIGHT(N147,3)*1-N150-N148</f>
        <v>0</v>
      </c>
      <c r="O151" s="566" t="s">
        <v>350</v>
      </c>
      <c r="P151" s="567" t="str">
        <f ca="1">+IF(N147=100,"CIEN",IF(AND(N151&gt;0,N151&lt;1000),LOOKUP(CELL("contenido",N151),$E$26:$F$35),""))</f>
        <v/>
      </c>
      <c r="Q151" s="568">
        <f>+RIGHT(Q147,3)*1-Q150-Q148</f>
        <v>0</v>
      </c>
      <c r="R151" s="569" t="s">
        <v>350</v>
      </c>
      <c r="S151" s="570" t="str">
        <f ca="1">+IF(Q147=100,"CIEN",IF(AND(Q151&gt;0,Q151&lt;1000),LOOKUP(CELL("contenido",Q151),$E$26:$F$35),""))</f>
        <v/>
      </c>
      <c r="U151" s="549" t="str">
        <f ca="1">+IF(CELL("contenido",M149)&lt;&gt;"",CONCATENATE(M152," ",M151," ",M149," "),IF(CELL("contenido",M148)="",CONCATENATE(M152," ",M151," ",M150," "),CONCATENATE(M152," ",M151," ",M150," Y ",M148," ")))</f>
        <v xml:space="preserve">   </v>
      </c>
    </row>
    <row r="152" spans="4:21" ht="14.4" thickBot="1">
      <c r="D152" s="552"/>
      <c r="E152" s="572">
        <f>+RIGHT(E147,4)*1-E151-E150-E148</f>
        <v>0</v>
      </c>
      <c r="F152" s="573" t="s">
        <v>352</v>
      </c>
      <c r="G152" s="574" t="str">
        <f ca="1">+IF(E147&gt;999,"MIL",IF(AND(E152&gt;0,E152&lt;10000),LOOKUP(CELL("contenido",E152),$E$26:$F$35),""))</f>
        <v/>
      </c>
      <c r="H152" s="575">
        <f>INT(E147/1000000)</f>
        <v>0</v>
      </c>
      <c r="I152" s="576" t="s">
        <v>353</v>
      </c>
      <c r="J152" s="577" t="str">
        <f ca="1">+IF(CELL("contenido",M149)=1,"MILLÓN",IF(H152=1,"MILLÓN",IF(H152&gt;1,"MILLONES","")))</f>
        <v/>
      </c>
      <c r="K152" s="578">
        <f>+RIGHT(K147,4)*1-K151-K150-K148</f>
        <v>0</v>
      </c>
      <c r="L152" s="579" t="s">
        <v>354</v>
      </c>
      <c r="M152" s="580" t="str">
        <f ca="1">+IF(AND(K152&gt;0,K152&lt;10000),LOOKUP(CELL("contenido",K152),$E$26:$F$35),"")</f>
        <v/>
      </c>
      <c r="N152" s="581">
        <f>+RIGHT(N147,4)*1-N151-N150-N148</f>
        <v>0</v>
      </c>
      <c r="O152" s="582" t="s">
        <v>355</v>
      </c>
      <c r="P152" s="583" t="str">
        <f>+IF(N152=1,"UN MILLARDO",IF(N147&gt;1,"MILLARDOS",""))</f>
        <v/>
      </c>
      <c r="Q152" s="584">
        <f>+RIGHT(Q147,4)*1-Q151-Q150-Q148</f>
        <v>0</v>
      </c>
      <c r="R152" s="585" t="s">
        <v>355</v>
      </c>
      <c r="S152" s="586" t="str">
        <f>+IF(Q152=1,"UN MILLARDO",IF(Q147&gt;1,"MILLARDOS",""))</f>
        <v/>
      </c>
      <c r="U152" s="549" t="str">
        <f ca="1">+IF(CELL("contenido",P149)&lt;&gt;"",CONCATENATE(P152," ",P151," ",P149," "),IF(CELL("contenido",P148)="",CONCATENATE(P152," ",P151," ",P150," "),CONCATENATE(P152," ",P151," ",P150," Y ",P148," ")))</f>
        <v xml:space="preserve">   </v>
      </c>
    </row>
    <row r="153" spans="4:21" ht="14.4" thickTop="1">
      <c r="D153" s="552"/>
      <c r="E153" s="549"/>
      <c r="F153" s="549"/>
      <c r="G153" s="549"/>
      <c r="H153" s="549"/>
      <c r="I153" s="549"/>
      <c r="J153" s="587"/>
      <c r="K153" s="587"/>
      <c r="L153" s="587"/>
      <c r="M153" s="550"/>
      <c r="N153" s="550"/>
      <c r="O153" s="550"/>
      <c r="P153" s="549"/>
      <c r="Q153" s="550"/>
      <c r="R153" s="550"/>
      <c r="S153" s="549"/>
      <c r="U153" s="549" t="str">
        <f ca="1">+IF(CELL("contenido",S149)&lt;&gt;"",CONCATENATE(S151," ",S149," "),IF(CELL("contenido",S148)="",CONCATENATE(S151," ",S150," "),CONCATENATE(S151," ",S150," Y ",S148," ")))</f>
        <v xml:space="preserve">  </v>
      </c>
    </row>
    <row r="154" spans="4:21" ht="13.8">
      <c r="D154" s="549" t="s">
        <v>367</v>
      </c>
      <c r="E154" s="549"/>
      <c r="F154" s="549"/>
      <c r="G154" s="549"/>
      <c r="H154" s="549"/>
      <c r="I154" s="549"/>
      <c r="J154" s="549"/>
      <c r="K154" s="549"/>
      <c r="L154" s="549"/>
      <c r="M154" s="549"/>
      <c r="N154" s="549"/>
      <c r="O154" s="549"/>
      <c r="P154" s="549"/>
      <c r="Q154" s="549"/>
      <c r="R154" s="549"/>
      <c r="S154" s="549"/>
      <c r="U154" s="546"/>
    </row>
    <row r="155" spans="4:21" ht="13.8">
      <c r="D155" s="552"/>
      <c r="E155" s="553">
        <f>ROUND(100*(A11-INT(A11)),2)</f>
        <v>37</v>
      </c>
      <c r="F155" s="549" t="s">
        <v>334</v>
      </c>
      <c r="G155" s="549"/>
      <c r="H155" s="549"/>
      <c r="I155" s="549"/>
      <c r="J155" s="549"/>
      <c r="K155" s="549"/>
      <c r="L155" s="549"/>
      <c r="M155" s="549"/>
      <c r="N155" s="549"/>
      <c r="O155" s="549"/>
      <c r="P155" s="549"/>
      <c r="Q155" s="549"/>
      <c r="R155" s="549"/>
      <c r="S155" s="549"/>
    </row>
    <row r="156" spans="4:21" ht="13.8">
      <c r="D156" s="549"/>
      <c r="E156" s="549">
        <f>+LEN(E158)</f>
        <v>1</v>
      </c>
      <c r="F156" s="549" t="s">
        <v>335</v>
      </c>
      <c r="G156" s="549"/>
      <c r="H156" s="549"/>
      <c r="I156" s="549"/>
      <c r="J156" s="549"/>
      <c r="K156" s="549"/>
      <c r="L156" s="549"/>
      <c r="M156" s="549"/>
      <c r="N156" s="549"/>
      <c r="O156" s="549"/>
      <c r="P156" s="549"/>
      <c r="Q156" s="549"/>
      <c r="R156" s="549"/>
      <c r="S156" s="549"/>
    </row>
    <row r="157" spans="4:21" ht="14.4" thickBot="1">
      <c r="D157" s="552"/>
      <c r="E157" s="549"/>
      <c r="F157" s="549"/>
      <c r="G157" s="549"/>
      <c r="H157" s="549"/>
      <c r="I157" s="549"/>
      <c r="J157" s="549"/>
      <c r="K157" s="549"/>
      <c r="L157" s="549"/>
      <c r="M157" s="549"/>
      <c r="N157" s="549"/>
      <c r="O157" s="549"/>
      <c r="P157" s="549"/>
      <c r="Q157" s="549"/>
      <c r="R157" s="549"/>
      <c r="S157" s="549"/>
    </row>
    <row r="158" spans="4:21" ht="15" thickTop="1" thickBot="1">
      <c r="D158" s="549"/>
      <c r="E158" s="554">
        <f>+A11-E155/100</f>
        <v>6</v>
      </c>
      <c r="F158" s="1443" t="s">
        <v>338</v>
      </c>
      <c r="G158" s="1444"/>
      <c r="H158" s="555">
        <f>+IF(E158&gt;1000,INT(E158/1000),0)</f>
        <v>0</v>
      </c>
      <c r="I158" s="1443" t="s">
        <v>339</v>
      </c>
      <c r="J158" s="1444"/>
      <c r="K158" s="555">
        <f>+INT(H158/1000)</f>
        <v>0</v>
      </c>
      <c r="L158" s="1443" t="s">
        <v>340</v>
      </c>
      <c r="M158" s="1444"/>
      <c r="N158" s="555">
        <f>+INT(K158/1000)</f>
        <v>0</v>
      </c>
      <c r="O158" s="1443" t="s">
        <v>341</v>
      </c>
      <c r="P158" s="1444"/>
      <c r="Q158" s="555">
        <f>+INT(N158)</f>
        <v>0</v>
      </c>
      <c r="R158" s="1443" t="s">
        <v>341</v>
      </c>
      <c r="S158" s="1444"/>
      <c r="U158" s="549" t="str">
        <f>+IF(E155=0,CONCATENATE("00",U159),IF(E155&lt;10,CONCATENATE(" 0",E155,U159),CONCATENATE(" ",E155,U159)))</f>
        <v xml:space="preserve"> 37/100 BOLIVIANOS</v>
      </c>
    </row>
    <row r="159" spans="4:21" ht="14.4" thickBot="1">
      <c r="D159" s="552"/>
      <c r="E159" s="556">
        <f>+RIGHT(E158)*1</f>
        <v>6</v>
      </c>
      <c r="F159" s="557" t="s">
        <v>343</v>
      </c>
      <c r="G159" s="558" t="str">
        <f ca="1">+IF(AND(E159&gt;0,E159&lt;10),LOOKUP(CELL("contenido",E159),$A$26:$B$35),"")</f>
        <v>SEIS</v>
      </c>
      <c r="H159" s="559">
        <f>+RIGHT(H158)*1</f>
        <v>0</v>
      </c>
      <c r="I159" s="560" t="s">
        <v>343</v>
      </c>
      <c r="J159" s="561" t="str">
        <f ca="1">IF(E158&lt;2000,"",IF(CELL("contenido",H159)=1,"UN",IF(AND(H159&gt;0,H159&lt;10),LOOKUP(CELL("contenido",H159),$A$26:$B$35),"")))</f>
        <v/>
      </c>
      <c r="K159" s="562">
        <f>+RIGHT(K158)*1</f>
        <v>0</v>
      </c>
      <c r="L159" s="563" t="s">
        <v>343</v>
      </c>
      <c r="M159" s="564" t="str">
        <f ca="1">+IF(CELL("contenido",K159)=1,"UN",IF(AND(K159&gt;0,K159&lt;10),LOOKUP(CELL("contenido",K159),$A$26:$B$35),""))</f>
        <v/>
      </c>
      <c r="N159" s="565">
        <f>+RIGHT(N158)*1</f>
        <v>0</v>
      </c>
      <c r="O159" s="566" t="s">
        <v>343</v>
      </c>
      <c r="P159" s="567" t="str">
        <f ca="1">+IF(CELL("contenido",N159)=1,"UN",IF(AND(N159&gt;0,N159&lt;10),LOOKUP(CELL("contenido",N159),$A$26:$B$35),""))</f>
        <v/>
      </c>
      <c r="Q159" s="568">
        <f>+RIGHT(Q158)*1</f>
        <v>0</v>
      </c>
      <c r="R159" s="569" t="s">
        <v>343</v>
      </c>
      <c r="S159" s="570" t="str">
        <f ca="1">+IF(CELL("contenido",Q159)=1,"UN",IF(AND(Q159&gt;0,Q159&lt;10),LOOKUP(CELL("contenido",Q159),$A$26:$B$35),""))</f>
        <v/>
      </c>
      <c r="U159" s="571" t="s">
        <v>344</v>
      </c>
    </row>
    <row r="160" spans="4:21" ht="14.4" thickBot="1">
      <c r="D160" s="552"/>
      <c r="E160" s="556">
        <f>+RIGHT(E158,2)*1</f>
        <v>6</v>
      </c>
      <c r="F160" s="557" t="s">
        <v>346</v>
      </c>
      <c r="G160" s="558" t="str">
        <f ca="1">IF(AND(E160&gt;0,E160&lt;30),LOOKUP(CELL("contenido",E160),$A$26:$B$55),"")</f>
        <v>SEIS</v>
      </c>
      <c r="H160" s="559">
        <f>+RIGHT(H158,2)*1</f>
        <v>0</v>
      </c>
      <c r="I160" s="560" t="s">
        <v>346</v>
      </c>
      <c r="J160" s="561" t="str">
        <f ca="1">IF(E158&lt;2000,"",IF(CELL("contenido",H160)=1,"UN",IF(AND(H160&gt;0,H160&lt;30),LOOKUP(CELL("contenido",H160),$A$26:$B$55),"")))</f>
        <v/>
      </c>
      <c r="K160" s="562">
        <f>+RIGHT(K158,2)*1</f>
        <v>0</v>
      </c>
      <c r="L160" s="563" t="s">
        <v>346</v>
      </c>
      <c r="M160" s="564" t="str">
        <f ca="1">IF(CELL("contenido",K160)=1,"UN",IF(AND(K160&gt;0,K160&lt;30),LOOKUP(CELL("contenido",K160),$A$26:$B$55),""))</f>
        <v/>
      </c>
      <c r="N160" s="565">
        <f>+RIGHT(N158,2)*1</f>
        <v>0</v>
      </c>
      <c r="O160" s="566" t="s">
        <v>346</v>
      </c>
      <c r="P160" s="567" t="str">
        <f ca="1">IF(CELL("contenido",N160)=1,"UN",IF(AND(N160&gt;0,N160&lt;30),LOOKUP(CELL("contenido",N160),$A$26:$B$55),""))</f>
        <v/>
      </c>
      <c r="Q160" s="568">
        <f>+RIGHT(Q158,2)*1</f>
        <v>0</v>
      </c>
      <c r="R160" s="569" t="s">
        <v>346</v>
      </c>
      <c r="S160" s="570" t="str">
        <f ca="1">IF(CELL("contenido",Q160)=1,"UN",IF(AND(Q160&gt;0,Q160&lt;30),LOOKUP(CELL("contenido",Q160),$A$26:$B$55),""))</f>
        <v/>
      </c>
      <c r="U160" s="549" t="str">
        <f ca="1">+IF(CELL("contenido",G160)&lt;&gt;"",CONCATENATE(G163," ",G162," ",G160," ",U158),IF(CELL("contenido",G159)="",CONCATENATE(G163," ",G162," ",G161," ",U158),CONCATENATE(G163," ",G162," ",G161," Y ",G159," ",U158)))</f>
        <v xml:space="preserve">  SEIS  37/100 BOLIVIANOS</v>
      </c>
    </row>
    <row r="161" spans="4:21" ht="14.4" thickBot="1">
      <c r="D161" s="552"/>
      <c r="E161" s="556">
        <f>+RIGHT(E158,2)*1-E159</f>
        <v>0</v>
      </c>
      <c r="F161" s="557" t="s">
        <v>348</v>
      </c>
      <c r="G161" s="558" t="str">
        <f ca="1">+IF(AND(E161&gt;0,E158&gt;=30),LOOKUP(CELL("contenido",E161),$C$26:$D$35),"")</f>
        <v/>
      </c>
      <c r="H161" s="559">
        <f>+RIGHT(H158,2)*1-H159</f>
        <v>0</v>
      </c>
      <c r="I161" s="560" t="s">
        <v>348</v>
      </c>
      <c r="J161" s="561" t="str">
        <f ca="1">+IF(AND(H161&gt;0,H158&gt;=30),LOOKUP(CELL("contenido",H161),$C$26:$D$35),"")</f>
        <v/>
      </c>
      <c r="K161" s="562">
        <f>+RIGHT(K158,2)*1-K159</f>
        <v>0</v>
      </c>
      <c r="L161" s="563" t="s">
        <v>348</v>
      </c>
      <c r="M161" s="564" t="str">
        <f ca="1">+IF(AND(K161&gt;0,K158&gt;=30),LOOKUP(CELL("contenido",K161),$C$26:$D$35),"")</f>
        <v/>
      </c>
      <c r="N161" s="565">
        <f>+RIGHT(N158,2)*1-N159</f>
        <v>0</v>
      </c>
      <c r="O161" s="566" t="s">
        <v>348</v>
      </c>
      <c r="P161" s="567" t="str">
        <f ca="1">+IF(AND(N161&gt;0,K163&gt;=30),LOOKUP(CELL("contenido",N161),$C$26:$D$35),"")</f>
        <v/>
      </c>
      <c r="Q161" s="568">
        <f>+RIGHT(Q158,2)*1-Q159</f>
        <v>0</v>
      </c>
      <c r="R161" s="569" t="s">
        <v>348</v>
      </c>
      <c r="S161" s="570" t="str">
        <f ca="1">+IF(AND(Q161&gt;0,N163&gt;=30),LOOKUP(CELL("contenido",Q161),$C$26:$D$35),"")</f>
        <v/>
      </c>
      <c r="U161" s="549" t="str">
        <f ca="1">+IF(CELL("contenido",J160)&lt;&gt;"",CONCATENATE(J163," ",J162," ",J160," "),IF(CELL("contenido",J159)="",CONCATENATE(J163," ",J162," ",J161," "),CONCATENATE(J163," ",J162," ",J161," Y ",J159," ")))</f>
        <v xml:space="preserve">   </v>
      </c>
    </row>
    <row r="162" spans="4:21" ht="14.4" thickBot="1">
      <c r="D162" s="552"/>
      <c r="E162" s="556">
        <f>+RIGHT(E158,3)*1-E161-E159</f>
        <v>0</v>
      </c>
      <c r="F162" s="557" t="s">
        <v>350</v>
      </c>
      <c r="G162" s="558" t="str">
        <f ca="1">+IF((RIGHT(E158,3)*1)=100,"CIEN",IF(AND(E162&gt;0,E162&lt;1000),LOOKUP(CELL("contenido",E162),$E$26:$F$35),""))</f>
        <v/>
      </c>
      <c r="H162" s="559">
        <f>+RIGHT(H158,3)*1-H161-H159</f>
        <v>0</v>
      </c>
      <c r="I162" s="560" t="s">
        <v>350</v>
      </c>
      <c r="J162" s="561" t="str">
        <f ca="1">+IF(H158=100,"CIEN",IF(AND(H162&gt;0,H162&lt;1000),LOOKUP(CELL("contenido",H162),$E$26:$F$35),""))</f>
        <v/>
      </c>
      <c r="K162" s="562">
        <f>+RIGHT(K158,3)*1-K161-K159</f>
        <v>0</v>
      </c>
      <c r="L162" s="563" t="s">
        <v>350</v>
      </c>
      <c r="M162" s="564" t="str">
        <f ca="1">+IF(K158=100,"CIEN",IF(AND(K162&gt;0,K162&lt;1000),LOOKUP(CELL("contenido",K162),$E$26:$F$35),""))</f>
        <v/>
      </c>
      <c r="N162" s="565">
        <f>+RIGHT(N158,3)*1-N161-N159</f>
        <v>0</v>
      </c>
      <c r="O162" s="566" t="s">
        <v>350</v>
      </c>
      <c r="P162" s="567" t="str">
        <f ca="1">+IF(N158=100,"CIEN",IF(AND(N162&gt;0,N162&lt;1000),LOOKUP(CELL("contenido",N162),$E$26:$F$35),""))</f>
        <v/>
      </c>
      <c r="Q162" s="568">
        <f>+RIGHT(Q158,3)*1-Q161-Q159</f>
        <v>0</v>
      </c>
      <c r="R162" s="569" t="s">
        <v>350</v>
      </c>
      <c r="S162" s="570" t="str">
        <f ca="1">+IF(Q158=100,"CIEN",IF(AND(Q162&gt;0,Q162&lt;1000),LOOKUP(CELL("contenido",Q162),$E$26:$F$35),""))</f>
        <v/>
      </c>
      <c r="U162" s="549" t="str">
        <f ca="1">+IF(CELL("contenido",M160)&lt;&gt;"",CONCATENATE(M163," ",M162," ",M160," "),IF(CELL("contenido",M159)="",CONCATENATE(M163," ",M162," ",M161," "),CONCATENATE(M163," ",M162," ",M161," Y ",M159," ")))</f>
        <v xml:space="preserve">   </v>
      </c>
    </row>
    <row r="163" spans="4:21" ht="14.4" thickBot="1">
      <c r="D163" s="552"/>
      <c r="E163" s="572">
        <f>+RIGHT(E158,4)*1-E162-E161-E159</f>
        <v>0</v>
      </c>
      <c r="F163" s="573" t="s">
        <v>352</v>
      </c>
      <c r="G163" s="574" t="str">
        <f ca="1">+IF(E158&gt;999,"MIL",IF(AND(E163&gt;0,E163&lt;10000),LOOKUP(CELL("contenido",E163),$E$26:$F$35),""))</f>
        <v/>
      </c>
      <c r="H163" s="575">
        <f>INT(E158/1000000)</f>
        <v>0</v>
      </c>
      <c r="I163" s="576" t="s">
        <v>353</v>
      </c>
      <c r="J163" s="577" t="str">
        <f ca="1">+IF(CELL("contenido",M160)=1,"MILLÓN",IF(H163=1,"MILLÓN",IF(H163&gt;1,"MILLONES","")))</f>
        <v/>
      </c>
      <c r="K163" s="578">
        <f>+RIGHT(K158,4)*1-K162-K161-K159</f>
        <v>0</v>
      </c>
      <c r="L163" s="579" t="s">
        <v>354</v>
      </c>
      <c r="M163" s="580" t="str">
        <f ca="1">+IF(AND(K163&gt;0,K163&lt;10000),LOOKUP(CELL("contenido",K163),$E$26:$F$35),"")</f>
        <v/>
      </c>
      <c r="N163" s="581">
        <f>+RIGHT(N158,4)*1-N162-N161-N159</f>
        <v>0</v>
      </c>
      <c r="O163" s="582" t="s">
        <v>355</v>
      </c>
      <c r="P163" s="583" t="str">
        <f>+IF(N163=1,"UN MILLARDO",IF(N158&gt;1,"MILLARDOS",""))</f>
        <v/>
      </c>
      <c r="Q163" s="584">
        <f>+RIGHT(Q158,4)*1-Q162-Q161-Q159</f>
        <v>0</v>
      </c>
      <c r="R163" s="585" t="s">
        <v>355</v>
      </c>
      <c r="S163" s="586" t="str">
        <f>+IF(Q163=1,"UN MILLARDO",IF(Q158&gt;1,"MILLARDOS",""))</f>
        <v/>
      </c>
      <c r="U163" s="549" t="str">
        <f ca="1">+IF(CELL("contenido",P160)&lt;&gt;"",CONCATENATE(P163," ",P162," ",P160," "),IF(CELL("contenido",P159)="",CONCATENATE(P163," ",P162," ",P161," "),CONCATENATE(P163," ",P162," ",P161," Y ",P159," ")))</f>
        <v xml:space="preserve">   </v>
      </c>
    </row>
    <row r="164" spans="4:21" ht="14.4" thickTop="1">
      <c r="D164" s="552"/>
      <c r="E164" s="549"/>
      <c r="F164" s="549"/>
      <c r="G164" s="549"/>
      <c r="H164" s="549"/>
      <c r="I164" s="549"/>
      <c r="J164" s="587"/>
      <c r="K164" s="587"/>
      <c r="L164" s="587"/>
      <c r="M164" s="550"/>
      <c r="N164" s="550"/>
      <c r="O164" s="550"/>
      <c r="P164" s="549"/>
      <c r="Q164" s="550"/>
      <c r="R164" s="550"/>
      <c r="S164" s="549"/>
      <c r="U164" s="549" t="str">
        <f ca="1">+IF(CELL("contenido",S160)&lt;&gt;"",CONCATENATE(S162," ",S160," "),IF(CELL("contenido",S159)="",CONCATENATE(S162," ",S161," "),CONCATENATE(S162," ",S161," Y ",S159," ")))</f>
        <v xml:space="preserve">  </v>
      </c>
    </row>
    <row r="165" spans="4:21" ht="13.8">
      <c r="D165" s="549" t="s">
        <v>368</v>
      </c>
      <c r="E165" s="549"/>
      <c r="F165" s="549"/>
      <c r="G165" s="549"/>
      <c r="H165" s="549"/>
      <c r="I165" s="549"/>
      <c r="J165" s="549"/>
      <c r="K165" s="549"/>
      <c r="L165" s="549"/>
      <c r="M165" s="549"/>
      <c r="N165" s="549"/>
      <c r="O165" s="549"/>
      <c r="P165" s="549"/>
      <c r="Q165" s="549"/>
      <c r="R165" s="549"/>
      <c r="S165" s="549"/>
      <c r="U165" s="546"/>
    </row>
    <row r="166" spans="4:21" ht="13.8">
      <c r="D166" s="552"/>
      <c r="E166" s="553">
        <f>ROUND(100*(A12-INT(A12)),2)</f>
        <v>23</v>
      </c>
      <c r="F166" s="549" t="s">
        <v>334</v>
      </c>
      <c r="G166" s="549"/>
      <c r="H166" s="549"/>
      <c r="I166" s="549"/>
      <c r="J166" s="549"/>
      <c r="K166" s="549"/>
      <c r="L166" s="549"/>
      <c r="M166" s="549"/>
      <c r="N166" s="549"/>
      <c r="O166" s="549"/>
      <c r="P166" s="549"/>
      <c r="Q166" s="549"/>
      <c r="R166" s="549"/>
      <c r="S166" s="549"/>
    </row>
    <row r="167" spans="4:21" ht="13.8">
      <c r="D167" s="549"/>
      <c r="E167" s="549">
        <f>+LEN(E169)</f>
        <v>2</v>
      </c>
      <c r="F167" s="549" t="s">
        <v>335</v>
      </c>
      <c r="G167" s="549"/>
      <c r="H167" s="549"/>
      <c r="I167" s="549"/>
      <c r="J167" s="549"/>
      <c r="K167" s="549"/>
      <c r="L167" s="549"/>
      <c r="M167" s="549"/>
      <c r="N167" s="549"/>
      <c r="O167" s="549"/>
      <c r="P167" s="549"/>
      <c r="Q167" s="549"/>
      <c r="R167" s="549"/>
      <c r="S167" s="549"/>
    </row>
    <row r="168" spans="4:21" ht="14.4" thickBot="1">
      <c r="D168" s="552"/>
      <c r="E168" s="549"/>
      <c r="F168" s="549"/>
      <c r="G168" s="549"/>
      <c r="H168" s="549"/>
      <c r="I168" s="549"/>
      <c r="J168" s="549"/>
      <c r="K168" s="549"/>
      <c r="L168" s="549"/>
      <c r="M168" s="549"/>
      <c r="N168" s="549"/>
      <c r="O168" s="549"/>
      <c r="P168" s="549"/>
      <c r="Q168" s="549"/>
      <c r="R168" s="549"/>
      <c r="S168" s="549"/>
    </row>
    <row r="169" spans="4:21" ht="15" thickTop="1" thickBot="1">
      <c r="D169" s="549"/>
      <c r="E169" s="554">
        <f>+A12-E166/100</f>
        <v>13</v>
      </c>
      <c r="F169" s="1443" t="s">
        <v>338</v>
      </c>
      <c r="G169" s="1444"/>
      <c r="H169" s="555">
        <f>+IF(E169&gt;1000,INT(E169/1000),0)</f>
        <v>0</v>
      </c>
      <c r="I169" s="1443" t="s">
        <v>339</v>
      </c>
      <c r="J169" s="1444"/>
      <c r="K169" s="555">
        <f>+INT(H169/1000)</f>
        <v>0</v>
      </c>
      <c r="L169" s="1443" t="s">
        <v>340</v>
      </c>
      <c r="M169" s="1444"/>
      <c r="N169" s="555">
        <f>+INT(K169/1000)</f>
        <v>0</v>
      </c>
      <c r="O169" s="1443" t="s">
        <v>341</v>
      </c>
      <c r="P169" s="1444"/>
      <c r="Q169" s="555">
        <f>+INT(N169)</f>
        <v>0</v>
      </c>
      <c r="R169" s="1443" t="s">
        <v>341</v>
      </c>
      <c r="S169" s="1444"/>
      <c r="U169" s="549" t="str">
        <f>+IF(E166=0,CONCATENATE("00",U170),IF(E166&lt;10,CONCATENATE(" 0",E166,U170),CONCATENATE(" ",E166,U170)))</f>
        <v xml:space="preserve"> 23/100 BOLIVIANOS</v>
      </c>
    </row>
    <row r="170" spans="4:21" ht="14.4" thickBot="1">
      <c r="D170" s="552"/>
      <c r="E170" s="556">
        <f>+RIGHT(E169)*1</f>
        <v>3</v>
      </c>
      <c r="F170" s="557" t="s">
        <v>343</v>
      </c>
      <c r="G170" s="558" t="str">
        <f ca="1">+IF(AND(E170&gt;0,E170&lt;10),LOOKUP(CELL("contenido",E170),$A$26:$B$35),"")</f>
        <v>TRES</v>
      </c>
      <c r="H170" s="559">
        <f>+RIGHT(H169)*1</f>
        <v>0</v>
      </c>
      <c r="I170" s="560" t="s">
        <v>343</v>
      </c>
      <c r="J170" s="561" t="str">
        <f ca="1">IF(E169&lt;2000,"",IF(CELL("contenido",H170)=1,"UN",IF(AND(H170&gt;0,H170&lt;10),LOOKUP(CELL("contenido",H170),$A$26:$B$35),"")))</f>
        <v/>
      </c>
      <c r="K170" s="562">
        <f>+RIGHT(K169)*1</f>
        <v>0</v>
      </c>
      <c r="L170" s="563" t="s">
        <v>343</v>
      </c>
      <c r="M170" s="564" t="str">
        <f ca="1">+IF(CELL("contenido",K170)=1,"UN",IF(AND(K170&gt;0,K170&lt;10),LOOKUP(CELL("contenido",K170),$A$26:$B$35),""))</f>
        <v/>
      </c>
      <c r="N170" s="565">
        <f>+RIGHT(N169)*1</f>
        <v>0</v>
      </c>
      <c r="O170" s="566" t="s">
        <v>343</v>
      </c>
      <c r="P170" s="567" t="str">
        <f ca="1">+IF(CELL("contenido",N170)=1,"UN",IF(AND(N170&gt;0,N170&lt;10),LOOKUP(CELL("contenido",N170),$A$26:$B$35),""))</f>
        <v/>
      </c>
      <c r="Q170" s="568">
        <f>+RIGHT(Q169)*1</f>
        <v>0</v>
      </c>
      <c r="R170" s="569" t="s">
        <v>343</v>
      </c>
      <c r="S170" s="570" t="str">
        <f ca="1">+IF(CELL("contenido",Q170)=1,"UN",IF(AND(Q170&gt;0,Q170&lt;10),LOOKUP(CELL("contenido",Q170),$A$26:$B$35),""))</f>
        <v/>
      </c>
      <c r="U170" s="571" t="s">
        <v>344</v>
      </c>
    </row>
    <row r="171" spans="4:21" ht="14.4" thickBot="1">
      <c r="D171" s="552"/>
      <c r="E171" s="556">
        <f>+RIGHT(E169,2)*1</f>
        <v>13</v>
      </c>
      <c r="F171" s="557" t="s">
        <v>346</v>
      </c>
      <c r="G171" s="558" t="str">
        <f ca="1">IF(AND(E171&gt;0,E171&lt;30),LOOKUP(CELL("contenido",E171),$A$26:$B$55),"")</f>
        <v>TRECE</v>
      </c>
      <c r="H171" s="559">
        <f>+RIGHT(H169,2)*1</f>
        <v>0</v>
      </c>
      <c r="I171" s="560" t="s">
        <v>346</v>
      </c>
      <c r="J171" s="561" t="str">
        <f ca="1">IF(E169&lt;2000,"",IF(CELL("contenido",H171)=1,"UN",IF(AND(H171&gt;0,H171&lt;30),LOOKUP(CELL("contenido",H171),$A$26:$B$55),"")))</f>
        <v/>
      </c>
      <c r="K171" s="562">
        <f>+RIGHT(K169,2)*1</f>
        <v>0</v>
      </c>
      <c r="L171" s="563" t="s">
        <v>346</v>
      </c>
      <c r="M171" s="564" t="str">
        <f ca="1">IF(CELL("contenido",K171)=1,"UN",IF(AND(K171&gt;0,K171&lt;30),LOOKUP(CELL("contenido",K171),$A$26:$B$55),""))</f>
        <v/>
      </c>
      <c r="N171" s="565">
        <f>+RIGHT(N169,2)*1</f>
        <v>0</v>
      </c>
      <c r="O171" s="566" t="s">
        <v>346</v>
      </c>
      <c r="P171" s="567" t="str">
        <f ca="1">IF(CELL("contenido",N171)=1,"UN",IF(AND(N171&gt;0,N171&lt;30),LOOKUP(CELL("contenido",N171),$A$26:$B$55),""))</f>
        <v/>
      </c>
      <c r="Q171" s="568">
        <f>+RIGHT(Q169,2)*1</f>
        <v>0</v>
      </c>
      <c r="R171" s="569" t="s">
        <v>346</v>
      </c>
      <c r="S171" s="570" t="str">
        <f ca="1">IF(CELL("contenido",Q171)=1,"UN",IF(AND(Q171&gt;0,Q171&lt;30),LOOKUP(CELL("contenido",Q171),$A$26:$B$55),""))</f>
        <v/>
      </c>
      <c r="U171" s="549" t="str">
        <f ca="1">+IF(CELL("contenido",G171)&lt;&gt;"",CONCATENATE(G174," ",G173," ",G171," ",U169),IF(CELL("contenido",G170)="",CONCATENATE(G174," ",G173," ",G172," ",U169),CONCATENATE(G174," ",G173," ",G172," Y ",G170," ",U169)))</f>
        <v xml:space="preserve">  TRECE  23/100 BOLIVIANOS</v>
      </c>
    </row>
    <row r="172" spans="4:21" ht="14.4" thickBot="1">
      <c r="D172" s="552"/>
      <c r="E172" s="556">
        <f>+RIGHT(E169,2)*1-E170</f>
        <v>10</v>
      </c>
      <c r="F172" s="557" t="s">
        <v>348</v>
      </c>
      <c r="G172" s="558" t="str">
        <f ca="1">+IF(AND(E172&gt;0,E169&gt;=30),LOOKUP(CELL("contenido",E172),$C$26:$D$35),"")</f>
        <v/>
      </c>
      <c r="H172" s="559">
        <f>+RIGHT(H169,2)*1-H170</f>
        <v>0</v>
      </c>
      <c r="I172" s="560" t="s">
        <v>348</v>
      </c>
      <c r="J172" s="561" t="str">
        <f ca="1">+IF(AND(H172&gt;0,H169&gt;=30),LOOKUP(CELL("contenido",H172),$C$26:$D$35),"")</f>
        <v/>
      </c>
      <c r="K172" s="562">
        <f>+RIGHT(K169,2)*1-K170</f>
        <v>0</v>
      </c>
      <c r="L172" s="563" t="s">
        <v>348</v>
      </c>
      <c r="M172" s="564" t="str">
        <f ca="1">+IF(AND(K172&gt;0,K169&gt;=30),LOOKUP(CELL("contenido",K172),$C$26:$D$35),"")</f>
        <v/>
      </c>
      <c r="N172" s="565">
        <f>+RIGHT(N169,2)*1-N170</f>
        <v>0</v>
      </c>
      <c r="O172" s="566" t="s">
        <v>348</v>
      </c>
      <c r="P172" s="567" t="str">
        <f ca="1">+IF(AND(N172&gt;0,K174&gt;=30),LOOKUP(CELL("contenido",N172),$C$26:$D$35),"")</f>
        <v/>
      </c>
      <c r="Q172" s="568">
        <f>+RIGHT(Q169,2)*1-Q170</f>
        <v>0</v>
      </c>
      <c r="R172" s="569" t="s">
        <v>348</v>
      </c>
      <c r="S172" s="570" t="str">
        <f ca="1">+IF(AND(Q172&gt;0,N174&gt;=30),LOOKUP(CELL("contenido",Q172),$C$26:$D$35),"")</f>
        <v/>
      </c>
      <c r="U172" s="549" t="str">
        <f ca="1">+IF(CELL("contenido",J171)&lt;&gt;"",CONCATENATE(J174," ",J173," ",J171," "),IF(CELL("contenido",J170)="",CONCATENATE(J174," ",J173," ",J172," "),CONCATENATE(J174," ",J173," ",J172," Y ",J170," ")))</f>
        <v xml:space="preserve">   </v>
      </c>
    </row>
    <row r="173" spans="4:21" ht="14.4" thickBot="1">
      <c r="D173" s="552"/>
      <c r="E173" s="556">
        <f>+RIGHT(E169,3)*1-E172-E170</f>
        <v>0</v>
      </c>
      <c r="F173" s="557" t="s">
        <v>350</v>
      </c>
      <c r="G173" s="558" t="str">
        <f ca="1">+IF((RIGHT(E169,3)*1)=100,"CIEN",IF(AND(E173&gt;0,E173&lt;1000),LOOKUP(CELL("contenido",E173),$E$26:$F$35),""))</f>
        <v/>
      </c>
      <c r="H173" s="559">
        <f>+RIGHT(H169,3)*1-H172-H170</f>
        <v>0</v>
      </c>
      <c r="I173" s="560" t="s">
        <v>350</v>
      </c>
      <c r="J173" s="561" t="str">
        <f ca="1">+IF(H169=100,"CIEN",IF(AND(H173&gt;0,H173&lt;1000),LOOKUP(CELL("contenido",H173),$E$26:$F$35),""))</f>
        <v/>
      </c>
      <c r="K173" s="562">
        <f>+RIGHT(K169,3)*1-K172-K170</f>
        <v>0</v>
      </c>
      <c r="L173" s="563" t="s">
        <v>350</v>
      </c>
      <c r="M173" s="564" t="str">
        <f ca="1">+IF(K169=100,"CIEN",IF(AND(K173&gt;0,K173&lt;1000),LOOKUP(CELL("contenido",K173),$E$26:$F$35),""))</f>
        <v/>
      </c>
      <c r="N173" s="565">
        <f>+RIGHT(N169,3)*1-N172-N170</f>
        <v>0</v>
      </c>
      <c r="O173" s="566" t="s">
        <v>350</v>
      </c>
      <c r="P173" s="567" t="str">
        <f ca="1">+IF(N169=100,"CIEN",IF(AND(N173&gt;0,N173&lt;1000),LOOKUP(CELL("contenido",N173),$E$26:$F$35),""))</f>
        <v/>
      </c>
      <c r="Q173" s="568">
        <f>+RIGHT(Q169,3)*1-Q172-Q170</f>
        <v>0</v>
      </c>
      <c r="R173" s="569" t="s">
        <v>350</v>
      </c>
      <c r="S173" s="570" t="str">
        <f ca="1">+IF(Q169=100,"CIEN",IF(AND(Q173&gt;0,Q173&lt;1000),LOOKUP(CELL("contenido",Q173),$E$26:$F$35),""))</f>
        <v/>
      </c>
      <c r="U173" s="549" t="str">
        <f ca="1">+IF(CELL("contenido",M171)&lt;&gt;"",CONCATENATE(M174," ",M173," ",M171," "),IF(CELL("contenido",M170)="",CONCATENATE(M174," ",M173," ",M172," "),CONCATENATE(M174," ",M173," ",M172," Y ",M170," ")))</f>
        <v xml:space="preserve">   </v>
      </c>
    </row>
    <row r="174" spans="4:21" ht="14.4" thickBot="1">
      <c r="D174" s="552"/>
      <c r="E174" s="572">
        <f>+RIGHT(E169,4)*1-E173-E172-E170</f>
        <v>0</v>
      </c>
      <c r="F174" s="573" t="s">
        <v>352</v>
      </c>
      <c r="G174" s="574" t="str">
        <f ca="1">+IF(E169&gt;999,"MIL",IF(AND(E174&gt;0,E174&lt;10000),LOOKUP(CELL("contenido",E174),$E$26:$F$35),""))</f>
        <v/>
      </c>
      <c r="H174" s="575">
        <f>INT(E169/1000000)</f>
        <v>0</v>
      </c>
      <c r="I174" s="576" t="s">
        <v>353</v>
      </c>
      <c r="J174" s="577" t="str">
        <f ca="1">+IF(CELL("contenido",M171)=1,"MILLÓN",IF(H174=1,"MILLÓN",IF(H174&gt;1,"MILLONES","")))</f>
        <v/>
      </c>
      <c r="K174" s="578">
        <f>+RIGHT(K169,4)*1-K173-K172-K170</f>
        <v>0</v>
      </c>
      <c r="L174" s="579" t="s">
        <v>354</v>
      </c>
      <c r="M174" s="580" t="str">
        <f ca="1">+IF(AND(K174&gt;0,K174&lt;10000),LOOKUP(CELL("contenido",K174),$E$26:$F$35),"")</f>
        <v/>
      </c>
      <c r="N174" s="581">
        <f>+RIGHT(N169,4)*1-N173-N172-N170</f>
        <v>0</v>
      </c>
      <c r="O174" s="582" t="s">
        <v>355</v>
      </c>
      <c r="P174" s="583" t="str">
        <f>+IF(N174=1,"UN MILLARDO",IF(N169&gt;1,"MILLARDOS",""))</f>
        <v/>
      </c>
      <c r="Q174" s="584">
        <f>+RIGHT(Q169,4)*1-Q173-Q172-Q170</f>
        <v>0</v>
      </c>
      <c r="R174" s="585" t="s">
        <v>355</v>
      </c>
      <c r="S174" s="586" t="str">
        <f>+IF(Q174=1,"UN MILLARDO",IF(Q169&gt;1,"MILLARDOS",""))</f>
        <v/>
      </c>
      <c r="U174" s="549" t="str">
        <f ca="1">+IF(CELL("contenido",P171)&lt;&gt;"",CONCATENATE(P174," ",P173," ",P171," "),IF(CELL("contenido",P170)="",CONCATENATE(P174," ",P173," ",P172," "),CONCATENATE(P174," ",P173," ",P172," Y ",P170," ")))</f>
        <v xml:space="preserve">   </v>
      </c>
    </row>
    <row r="175" spans="4:21" ht="14.4" thickTop="1">
      <c r="D175" s="552"/>
      <c r="E175" s="549"/>
      <c r="F175" s="549"/>
      <c r="G175" s="549"/>
      <c r="H175" s="549"/>
      <c r="I175" s="549"/>
      <c r="J175" s="587"/>
      <c r="K175" s="587"/>
      <c r="L175" s="587"/>
      <c r="M175" s="550"/>
      <c r="N175" s="550"/>
      <c r="O175" s="550"/>
      <c r="P175" s="549"/>
      <c r="Q175" s="550"/>
      <c r="R175" s="550"/>
      <c r="S175" s="549"/>
      <c r="U175" s="549" t="str">
        <f ca="1">+IF(CELL("contenido",S171)&lt;&gt;"",CONCATENATE(S173," ",S171," "),IF(CELL("contenido",S170)="",CONCATENATE(S173," ",S172," "),CONCATENATE(S173," ",S172," Y ",S170," ")))</f>
        <v xml:space="preserve">  </v>
      </c>
    </row>
    <row r="176" spans="4:21" ht="13.8">
      <c r="D176" s="549" t="s">
        <v>369</v>
      </c>
      <c r="E176" s="549"/>
      <c r="F176" s="549"/>
      <c r="G176" s="549"/>
      <c r="H176" s="549"/>
      <c r="I176" s="549"/>
      <c r="J176" s="549"/>
      <c r="K176" s="549"/>
      <c r="L176" s="549"/>
      <c r="M176" s="549"/>
      <c r="N176" s="549"/>
      <c r="O176" s="549"/>
      <c r="P176" s="549"/>
      <c r="Q176" s="549"/>
      <c r="R176" s="549"/>
      <c r="S176" s="549"/>
      <c r="U176" s="546"/>
    </row>
    <row r="177" spans="4:21" ht="13.8">
      <c r="D177" s="552"/>
      <c r="E177" s="553">
        <f>ROUND(100*(A13-INT(A13)),2)</f>
        <v>96</v>
      </c>
      <c r="F177" s="549" t="s">
        <v>334</v>
      </c>
      <c r="G177" s="549"/>
      <c r="H177" s="549"/>
      <c r="I177" s="549"/>
      <c r="J177" s="549"/>
      <c r="K177" s="549"/>
      <c r="L177" s="549"/>
      <c r="M177" s="549"/>
      <c r="N177" s="549"/>
      <c r="O177" s="549"/>
      <c r="P177" s="549"/>
      <c r="Q177" s="549"/>
      <c r="R177" s="549"/>
      <c r="S177" s="549"/>
    </row>
    <row r="178" spans="4:21" ht="13.8">
      <c r="D178" s="549"/>
      <c r="E178" s="549">
        <f>+LEN(E180)</f>
        <v>2</v>
      </c>
      <c r="F178" s="549" t="s">
        <v>335</v>
      </c>
      <c r="G178" s="549"/>
      <c r="H178" s="549"/>
      <c r="I178" s="549"/>
      <c r="J178" s="549"/>
      <c r="K178" s="549"/>
      <c r="L178" s="549"/>
      <c r="M178" s="549"/>
      <c r="N178" s="549"/>
      <c r="O178" s="549"/>
      <c r="P178" s="549"/>
      <c r="Q178" s="549"/>
      <c r="R178" s="549"/>
      <c r="S178" s="549"/>
    </row>
    <row r="179" spans="4:21" ht="14.4" thickBot="1">
      <c r="D179" s="552"/>
      <c r="E179" s="549"/>
      <c r="F179" s="549"/>
      <c r="G179" s="549"/>
      <c r="H179" s="549"/>
      <c r="I179" s="549"/>
      <c r="J179" s="549"/>
      <c r="K179" s="549"/>
      <c r="L179" s="549"/>
      <c r="M179" s="549"/>
      <c r="N179" s="549"/>
      <c r="O179" s="549"/>
      <c r="P179" s="549"/>
      <c r="Q179" s="549"/>
      <c r="R179" s="549"/>
      <c r="S179" s="549"/>
    </row>
    <row r="180" spans="4:21" ht="15" thickTop="1" thickBot="1">
      <c r="D180" s="549"/>
      <c r="E180" s="554">
        <f>+A13-E177/100</f>
        <v>20</v>
      </c>
      <c r="F180" s="1443" t="s">
        <v>338</v>
      </c>
      <c r="G180" s="1444"/>
      <c r="H180" s="555">
        <f>+IF(E180&gt;1000,INT(E180/1000),0)</f>
        <v>0</v>
      </c>
      <c r="I180" s="1443" t="s">
        <v>339</v>
      </c>
      <c r="J180" s="1444"/>
      <c r="K180" s="555">
        <f>+INT(H180/1000)</f>
        <v>0</v>
      </c>
      <c r="L180" s="1443" t="s">
        <v>340</v>
      </c>
      <c r="M180" s="1444"/>
      <c r="N180" s="555">
        <f>+INT(K180/1000)</f>
        <v>0</v>
      </c>
      <c r="O180" s="1443" t="s">
        <v>341</v>
      </c>
      <c r="P180" s="1444"/>
      <c r="Q180" s="555">
        <f>+INT(N180)</f>
        <v>0</v>
      </c>
      <c r="R180" s="1443" t="s">
        <v>341</v>
      </c>
      <c r="S180" s="1444"/>
      <c r="U180" s="549" t="str">
        <f>+IF(E177=0,CONCATENATE("00",U181),IF(E177&lt;10,CONCATENATE(" 0",E177,U181),CONCATENATE(" ",E177,U181)))</f>
        <v xml:space="preserve"> 96/100 BOLIVIANOS</v>
      </c>
    </row>
    <row r="181" spans="4:21" ht="14.4" thickBot="1">
      <c r="D181" s="552"/>
      <c r="E181" s="556">
        <f>+RIGHT(E180)*1</f>
        <v>0</v>
      </c>
      <c r="F181" s="557" t="s">
        <v>343</v>
      </c>
      <c r="G181" s="558" t="str">
        <f ca="1">+IF(AND(E181&gt;0,E181&lt;10),LOOKUP(CELL("contenido",E181),$A$26:$B$35),"")</f>
        <v/>
      </c>
      <c r="H181" s="559">
        <f>+RIGHT(H180)*1</f>
        <v>0</v>
      </c>
      <c r="I181" s="560" t="s">
        <v>343</v>
      </c>
      <c r="J181" s="561" t="str">
        <f ca="1">IF(E180&lt;2000,"",IF(CELL("contenido",H181)=1,"UN",IF(AND(H181&gt;0,H181&lt;10),LOOKUP(CELL("contenido",H181),$A$26:$B$35),"")))</f>
        <v/>
      </c>
      <c r="K181" s="562">
        <f>+RIGHT(K180)*1</f>
        <v>0</v>
      </c>
      <c r="L181" s="563" t="s">
        <v>343</v>
      </c>
      <c r="M181" s="564" t="str">
        <f ca="1">+IF(CELL("contenido",K181)=1,"UN",IF(AND(K181&gt;0,K181&lt;10),LOOKUP(CELL("contenido",K181),$A$26:$B$35),""))</f>
        <v/>
      </c>
      <c r="N181" s="565">
        <f>+RIGHT(N180)*1</f>
        <v>0</v>
      </c>
      <c r="O181" s="566" t="s">
        <v>343</v>
      </c>
      <c r="P181" s="567" t="str">
        <f ca="1">+IF(CELL("contenido",N181)=1,"UN",IF(AND(N181&gt;0,N181&lt;10),LOOKUP(CELL("contenido",N181),$A$26:$B$35),""))</f>
        <v/>
      </c>
      <c r="Q181" s="568">
        <f>+RIGHT(Q180)*1</f>
        <v>0</v>
      </c>
      <c r="R181" s="569" t="s">
        <v>343</v>
      </c>
      <c r="S181" s="570" t="str">
        <f ca="1">+IF(CELL("contenido",Q181)=1,"UN",IF(AND(Q181&gt;0,Q181&lt;10),LOOKUP(CELL("contenido",Q181),$A$26:$B$35),""))</f>
        <v/>
      </c>
      <c r="U181" s="571" t="s">
        <v>344</v>
      </c>
    </row>
    <row r="182" spans="4:21" ht="14.4" thickBot="1">
      <c r="D182" s="552"/>
      <c r="E182" s="556">
        <f>+RIGHT(E180,2)*1</f>
        <v>20</v>
      </c>
      <c r="F182" s="557" t="s">
        <v>346</v>
      </c>
      <c r="G182" s="558" t="str">
        <f ca="1">IF(AND(E182&gt;0,E182&lt;30),LOOKUP(CELL("contenido",E182),$A$26:$B$55),"")</f>
        <v>VEINTE</v>
      </c>
      <c r="H182" s="559">
        <f>+RIGHT(H180,2)*1</f>
        <v>0</v>
      </c>
      <c r="I182" s="560" t="s">
        <v>346</v>
      </c>
      <c r="J182" s="561" t="str">
        <f ca="1">IF(E180&lt;2000,"",IF(CELL("contenido",H182)=1,"UN",IF(AND(H182&gt;0,H182&lt;30),LOOKUP(CELL("contenido",H182),$A$26:$B$55),"")))</f>
        <v/>
      </c>
      <c r="K182" s="562">
        <f>+RIGHT(K180,2)*1</f>
        <v>0</v>
      </c>
      <c r="L182" s="563" t="s">
        <v>346</v>
      </c>
      <c r="M182" s="564" t="str">
        <f ca="1">IF(CELL("contenido",K182)=1,"UN",IF(AND(K182&gt;0,K182&lt;30),LOOKUP(CELL("contenido",K182),$A$26:$B$55),""))</f>
        <v/>
      </c>
      <c r="N182" s="565">
        <f>+RIGHT(N180,2)*1</f>
        <v>0</v>
      </c>
      <c r="O182" s="566" t="s">
        <v>346</v>
      </c>
      <c r="P182" s="567" t="str">
        <f ca="1">IF(CELL("contenido",N182)=1,"UN",IF(AND(N182&gt;0,N182&lt;30),LOOKUP(CELL("contenido",N182),$A$26:$B$55),""))</f>
        <v/>
      </c>
      <c r="Q182" s="568">
        <f>+RIGHT(Q180,2)*1</f>
        <v>0</v>
      </c>
      <c r="R182" s="569" t="s">
        <v>346</v>
      </c>
      <c r="S182" s="570" t="str">
        <f ca="1">IF(CELL("contenido",Q182)=1,"UN",IF(AND(Q182&gt;0,Q182&lt;30),LOOKUP(CELL("contenido",Q182),$A$26:$B$55),""))</f>
        <v/>
      </c>
      <c r="U182" s="549" t="str">
        <f ca="1">+IF(CELL("contenido",G182)&lt;&gt;"",CONCATENATE(G185," ",G184," ",G182," ",U180),IF(CELL("contenido",G181)="",CONCATENATE(G185," ",G184," ",G183," ",U180),CONCATENATE(G185," ",G184," ",G183," Y ",G181," ",U180)))</f>
        <v xml:space="preserve">  VEINTE  96/100 BOLIVIANOS</v>
      </c>
    </row>
    <row r="183" spans="4:21" ht="14.4" thickBot="1">
      <c r="D183" s="552"/>
      <c r="E183" s="556">
        <f>+RIGHT(E180,2)*1-E181</f>
        <v>20</v>
      </c>
      <c r="F183" s="557" t="s">
        <v>348</v>
      </c>
      <c r="G183" s="558" t="str">
        <f ca="1">+IF(AND(E183&gt;0,E180&gt;=30),LOOKUP(CELL("contenido",E183),$C$26:$D$35),"")</f>
        <v/>
      </c>
      <c r="H183" s="559">
        <f>+RIGHT(H180,2)*1-H181</f>
        <v>0</v>
      </c>
      <c r="I183" s="560" t="s">
        <v>348</v>
      </c>
      <c r="J183" s="561" t="str">
        <f ca="1">+IF(AND(H183&gt;0,H180&gt;=30),LOOKUP(CELL("contenido",H183),$C$26:$D$35),"")</f>
        <v/>
      </c>
      <c r="K183" s="562">
        <f>+RIGHT(K180,2)*1-K181</f>
        <v>0</v>
      </c>
      <c r="L183" s="563" t="s">
        <v>348</v>
      </c>
      <c r="M183" s="564" t="str">
        <f ca="1">+IF(AND(K183&gt;0,K180&gt;=30),LOOKUP(CELL("contenido",K183),$C$26:$D$35),"")</f>
        <v/>
      </c>
      <c r="N183" s="565">
        <f>+RIGHT(N180,2)*1-N181</f>
        <v>0</v>
      </c>
      <c r="O183" s="566" t="s">
        <v>348</v>
      </c>
      <c r="P183" s="567" t="str">
        <f ca="1">+IF(AND(N183&gt;0,K185&gt;=30),LOOKUP(CELL("contenido",N183),$C$26:$D$35),"")</f>
        <v/>
      </c>
      <c r="Q183" s="568">
        <f>+RIGHT(Q180,2)*1-Q181</f>
        <v>0</v>
      </c>
      <c r="R183" s="569" t="s">
        <v>348</v>
      </c>
      <c r="S183" s="570" t="str">
        <f ca="1">+IF(AND(Q183&gt;0,N185&gt;=30),LOOKUP(CELL("contenido",Q183),$C$26:$D$35),"")</f>
        <v/>
      </c>
      <c r="U183" s="549" t="str">
        <f ca="1">+IF(CELL("contenido",J182)&lt;&gt;"",CONCATENATE(J185," ",J184," ",J182," "),IF(CELL("contenido",J181)="",CONCATENATE(J185," ",J184," ",J183," "),CONCATENATE(J185," ",J184," ",J183," Y ",J181," ")))</f>
        <v xml:space="preserve">   </v>
      </c>
    </row>
    <row r="184" spans="4:21" ht="14.4" thickBot="1">
      <c r="D184" s="552"/>
      <c r="E184" s="556">
        <f>+RIGHT(E180,3)*1-E183-E181</f>
        <v>0</v>
      </c>
      <c r="F184" s="557" t="s">
        <v>350</v>
      </c>
      <c r="G184" s="558" t="str">
        <f ca="1">+IF((RIGHT(E180,3)*1)=100,"CIEN",IF(AND(E184&gt;0,E184&lt;1000),LOOKUP(CELL("contenido",E184),$E$26:$F$35),""))</f>
        <v/>
      </c>
      <c r="H184" s="559">
        <f>+RIGHT(H180,3)*1-H183-H181</f>
        <v>0</v>
      </c>
      <c r="I184" s="560" t="s">
        <v>350</v>
      </c>
      <c r="J184" s="561" t="str">
        <f ca="1">+IF(H180=100,"CIEN",IF(AND(H184&gt;0,H184&lt;1000),LOOKUP(CELL("contenido",H184),$E$26:$F$35),""))</f>
        <v/>
      </c>
      <c r="K184" s="562">
        <f>+RIGHT(K180,3)*1-K183-K181</f>
        <v>0</v>
      </c>
      <c r="L184" s="563" t="s">
        <v>350</v>
      </c>
      <c r="M184" s="564" t="str">
        <f ca="1">+IF(K180=100,"CIEN",IF(AND(K184&gt;0,K184&lt;1000),LOOKUP(CELL("contenido",K184),$E$26:$F$35),""))</f>
        <v/>
      </c>
      <c r="N184" s="565">
        <f>+RIGHT(N180,3)*1-N183-N181</f>
        <v>0</v>
      </c>
      <c r="O184" s="566" t="s">
        <v>350</v>
      </c>
      <c r="P184" s="567" t="str">
        <f ca="1">+IF(N180=100,"CIEN",IF(AND(N184&gt;0,N184&lt;1000),LOOKUP(CELL("contenido",N184),$E$26:$F$35),""))</f>
        <v/>
      </c>
      <c r="Q184" s="568">
        <f>+RIGHT(Q180,3)*1-Q183-Q181</f>
        <v>0</v>
      </c>
      <c r="R184" s="569" t="s">
        <v>350</v>
      </c>
      <c r="S184" s="570" t="str">
        <f ca="1">+IF(Q180=100,"CIEN",IF(AND(Q184&gt;0,Q184&lt;1000),LOOKUP(CELL("contenido",Q184),$E$26:$F$35),""))</f>
        <v/>
      </c>
      <c r="U184" s="549" t="str">
        <f ca="1">+IF(CELL("contenido",M182)&lt;&gt;"",CONCATENATE(M185," ",M184," ",M182," "),IF(CELL("contenido",M181)="",CONCATENATE(M185," ",M184," ",M183," "),CONCATENATE(M185," ",M184," ",M183," Y ",M181," ")))</f>
        <v xml:space="preserve">   </v>
      </c>
    </row>
    <row r="185" spans="4:21" ht="14.4" thickBot="1">
      <c r="D185" s="552"/>
      <c r="E185" s="572">
        <f>+RIGHT(E180,4)*1-E184-E183-E181</f>
        <v>0</v>
      </c>
      <c r="F185" s="573" t="s">
        <v>352</v>
      </c>
      <c r="G185" s="574" t="str">
        <f ca="1">+IF(E180&gt;999,"MIL",IF(AND(E185&gt;0,E185&lt;10000),LOOKUP(CELL("contenido",E185),$E$26:$F$35),""))</f>
        <v/>
      </c>
      <c r="H185" s="575">
        <f>INT(E180/1000000)</f>
        <v>0</v>
      </c>
      <c r="I185" s="576" t="s">
        <v>353</v>
      </c>
      <c r="J185" s="577" t="str">
        <f ca="1">+IF(CELL("contenido",M182)=1,"MILLÓN",IF(H185=1,"MILLÓN",IF(H185&gt;1,"MILLONES","")))</f>
        <v/>
      </c>
      <c r="K185" s="578">
        <f>+RIGHT(K180,4)*1-K184-K183-K181</f>
        <v>0</v>
      </c>
      <c r="L185" s="579" t="s">
        <v>354</v>
      </c>
      <c r="M185" s="580" t="str">
        <f ca="1">+IF(AND(K185&gt;0,K185&lt;10000),LOOKUP(CELL("contenido",K185),$E$26:$F$35),"")</f>
        <v/>
      </c>
      <c r="N185" s="581">
        <f>+RIGHT(N180,4)*1-N184-N183-N181</f>
        <v>0</v>
      </c>
      <c r="O185" s="582" t="s">
        <v>355</v>
      </c>
      <c r="P185" s="583" t="str">
        <f>+IF(N185=1,"UN MILLARDO",IF(N180&gt;1,"MILLARDOS",""))</f>
        <v/>
      </c>
      <c r="Q185" s="584">
        <f>+RIGHT(Q180,4)*1-Q184-Q183-Q181</f>
        <v>0</v>
      </c>
      <c r="R185" s="585" t="s">
        <v>355</v>
      </c>
      <c r="S185" s="586" t="str">
        <f>+IF(Q185=1,"UN MILLARDO",IF(Q180&gt;1,"MILLARDOS",""))</f>
        <v/>
      </c>
      <c r="U185" s="549" t="str">
        <f ca="1">+IF(CELL("contenido",P182)&lt;&gt;"",CONCATENATE(P185," ",P184," ",P182," "),IF(CELL("contenido",P181)="",CONCATENATE(P185," ",P184," ",P183," "),CONCATENATE(P185," ",P184," ",P183," Y ",P181," ")))</f>
        <v xml:space="preserve">   </v>
      </c>
    </row>
    <row r="186" spans="4:21" ht="14.4" thickTop="1">
      <c r="D186" s="552"/>
      <c r="E186" s="549"/>
      <c r="F186" s="549"/>
      <c r="G186" s="549"/>
      <c r="H186" s="549"/>
      <c r="I186" s="549"/>
      <c r="J186" s="587"/>
      <c r="K186" s="587"/>
      <c r="L186" s="587"/>
      <c r="M186" s="550"/>
      <c r="N186" s="550"/>
      <c r="O186" s="550"/>
      <c r="P186" s="549"/>
      <c r="Q186" s="550"/>
      <c r="R186" s="550"/>
      <c r="S186" s="549"/>
      <c r="U186" s="549" t="str">
        <f ca="1">+IF(CELL("contenido",S182)&lt;&gt;"",CONCATENATE(S184," ",S182," "),IF(CELL("contenido",S181)="",CONCATENATE(S184," ",S183," "),CONCATENATE(S184," ",S183," Y ",S181," ")))</f>
        <v xml:space="preserve">  </v>
      </c>
    </row>
    <row r="187" spans="4:21" ht="13.8">
      <c r="D187" s="549" t="s">
        <v>370</v>
      </c>
      <c r="E187" s="549"/>
      <c r="F187" s="549"/>
      <c r="G187" s="549"/>
      <c r="H187" s="549"/>
      <c r="I187" s="549"/>
      <c r="J187" s="549"/>
      <c r="K187" s="549"/>
      <c r="L187" s="549"/>
      <c r="M187" s="549"/>
      <c r="N187" s="549"/>
      <c r="O187" s="549"/>
      <c r="P187" s="549"/>
      <c r="Q187" s="549"/>
      <c r="R187" s="549"/>
      <c r="S187" s="549"/>
      <c r="U187" s="546"/>
    </row>
    <row r="188" spans="4:21" ht="13.8">
      <c r="D188" s="552"/>
      <c r="E188" s="553">
        <f>ROUND(100*(A14-INT(A14)),2)</f>
        <v>15</v>
      </c>
      <c r="F188" s="549" t="s">
        <v>334</v>
      </c>
      <c r="G188" s="549"/>
      <c r="H188" s="549"/>
      <c r="I188" s="549"/>
      <c r="J188" s="549"/>
      <c r="K188" s="549"/>
      <c r="L188" s="549"/>
      <c r="M188" s="549"/>
      <c r="N188" s="549"/>
      <c r="O188" s="549"/>
      <c r="P188" s="549"/>
      <c r="Q188" s="549"/>
      <c r="R188" s="549"/>
      <c r="S188" s="549"/>
    </row>
    <row r="189" spans="4:21" ht="13.8">
      <c r="D189" s="549"/>
      <c r="E189" s="549">
        <f>+LEN(E191)</f>
        <v>2</v>
      </c>
      <c r="F189" s="549" t="s">
        <v>335</v>
      </c>
      <c r="G189" s="549"/>
      <c r="H189" s="549"/>
      <c r="I189" s="549"/>
      <c r="J189" s="549"/>
      <c r="K189" s="549"/>
      <c r="L189" s="549"/>
      <c r="M189" s="549"/>
      <c r="N189" s="549"/>
      <c r="O189" s="549"/>
      <c r="P189" s="549"/>
      <c r="Q189" s="549"/>
      <c r="R189" s="549"/>
      <c r="S189" s="549"/>
    </row>
    <row r="190" spans="4:21" ht="14.4" thickBot="1">
      <c r="D190" s="552"/>
      <c r="E190" s="549"/>
      <c r="F190" s="549"/>
      <c r="G190" s="549"/>
      <c r="H190" s="549"/>
      <c r="I190" s="549"/>
      <c r="J190" s="549"/>
      <c r="K190" s="549"/>
      <c r="L190" s="549"/>
      <c r="M190" s="549"/>
      <c r="N190" s="549"/>
      <c r="O190" s="549"/>
      <c r="P190" s="549"/>
      <c r="Q190" s="549"/>
      <c r="R190" s="549"/>
      <c r="S190" s="549"/>
    </row>
    <row r="191" spans="4:21" ht="15" thickTop="1" thickBot="1">
      <c r="D191" s="549"/>
      <c r="E191" s="554">
        <f>+A14-E188/100</f>
        <v>40.000000000000007</v>
      </c>
      <c r="F191" s="1443" t="s">
        <v>338</v>
      </c>
      <c r="G191" s="1444"/>
      <c r="H191" s="555">
        <f>+IF(E191&gt;1000,INT(E191/1000),0)</f>
        <v>0</v>
      </c>
      <c r="I191" s="1443" t="s">
        <v>339</v>
      </c>
      <c r="J191" s="1444"/>
      <c r="K191" s="555">
        <f>+INT(H191/1000)</f>
        <v>0</v>
      </c>
      <c r="L191" s="1443" t="s">
        <v>340</v>
      </c>
      <c r="M191" s="1444"/>
      <c r="N191" s="555">
        <f>+INT(K191/1000)</f>
        <v>0</v>
      </c>
      <c r="O191" s="1443" t="s">
        <v>341</v>
      </c>
      <c r="P191" s="1444"/>
      <c r="Q191" s="555">
        <f>+INT(N191)</f>
        <v>0</v>
      </c>
      <c r="R191" s="1443" t="s">
        <v>341</v>
      </c>
      <c r="S191" s="1444"/>
      <c r="U191" s="549" t="str">
        <f>+IF(E188=0,CONCATENATE("00",U192),IF(E188&lt;10,CONCATENATE(" 0",E188,U192),CONCATENATE(" ",E188,U192)))</f>
        <v xml:space="preserve"> 15/100 BOLIVIANOS</v>
      </c>
    </row>
    <row r="192" spans="4:21" ht="14.4" thickBot="1">
      <c r="D192" s="552"/>
      <c r="E192" s="556">
        <f>+RIGHT(E191)*1</f>
        <v>0</v>
      </c>
      <c r="F192" s="557" t="s">
        <v>343</v>
      </c>
      <c r="G192" s="558" t="str">
        <f ca="1">+IF(AND(E192&gt;0,E192&lt;10),LOOKUP(CELL("contenido",E192),$A$26:$B$35),"")</f>
        <v/>
      </c>
      <c r="H192" s="559">
        <f>+RIGHT(H191)*1</f>
        <v>0</v>
      </c>
      <c r="I192" s="560" t="s">
        <v>343</v>
      </c>
      <c r="J192" s="561" t="str">
        <f ca="1">IF(E191&lt;2000,"",IF(CELL("contenido",H192)=1,"UN",IF(AND(H192&gt;0,H192&lt;10),LOOKUP(CELL("contenido",H192),$A$26:$B$35),"")))</f>
        <v/>
      </c>
      <c r="K192" s="562">
        <f>+RIGHT(K191)*1</f>
        <v>0</v>
      </c>
      <c r="L192" s="563" t="s">
        <v>343</v>
      </c>
      <c r="M192" s="564" t="str">
        <f ca="1">+IF(CELL("contenido",K192)=1,"UN",IF(AND(K192&gt;0,K192&lt;10),LOOKUP(CELL("contenido",K192),$A$26:$B$35),""))</f>
        <v/>
      </c>
      <c r="N192" s="565">
        <f>+RIGHT(N191)*1</f>
        <v>0</v>
      </c>
      <c r="O192" s="566" t="s">
        <v>343</v>
      </c>
      <c r="P192" s="567" t="str">
        <f ca="1">+IF(CELL("contenido",N192)=1,"UN",IF(AND(N192&gt;0,N192&lt;10),LOOKUP(CELL("contenido",N192),$A$26:$B$35),""))</f>
        <v/>
      </c>
      <c r="Q192" s="568">
        <f>+RIGHT(Q191)*1</f>
        <v>0</v>
      </c>
      <c r="R192" s="569" t="s">
        <v>343</v>
      </c>
      <c r="S192" s="570" t="str">
        <f ca="1">+IF(CELL("contenido",Q192)=1,"UN",IF(AND(Q192&gt;0,Q192&lt;10),LOOKUP(CELL("contenido",Q192),$A$26:$B$35),""))</f>
        <v/>
      </c>
      <c r="U192" s="571" t="s">
        <v>344</v>
      </c>
    </row>
    <row r="193" spans="4:21" ht="14.4" thickBot="1">
      <c r="D193" s="552"/>
      <c r="E193" s="556">
        <f>+RIGHT(E191,2)*1</f>
        <v>40</v>
      </c>
      <c r="F193" s="557" t="s">
        <v>346</v>
      </c>
      <c r="G193" s="558" t="str">
        <f ca="1">IF(AND(E193&gt;0,E193&lt;30),LOOKUP(CELL("contenido",E193),$A$26:$B$55),"")</f>
        <v/>
      </c>
      <c r="H193" s="559">
        <f>+RIGHT(H191,2)*1</f>
        <v>0</v>
      </c>
      <c r="I193" s="560" t="s">
        <v>346</v>
      </c>
      <c r="J193" s="561" t="str">
        <f ca="1">IF(E191&lt;2000,"",IF(CELL("contenido",H193)=1,"UN",IF(AND(H193&gt;0,H193&lt;30),LOOKUP(CELL("contenido",H193),$A$26:$B$55),"")))</f>
        <v/>
      </c>
      <c r="K193" s="562">
        <f>+RIGHT(K191,2)*1</f>
        <v>0</v>
      </c>
      <c r="L193" s="563" t="s">
        <v>346</v>
      </c>
      <c r="M193" s="564" t="str">
        <f ca="1">IF(CELL("contenido",K193)=1,"UN",IF(AND(K193&gt;0,K193&lt;30),LOOKUP(CELL("contenido",K193),$A$26:$B$55),""))</f>
        <v/>
      </c>
      <c r="N193" s="565">
        <f>+RIGHT(N191,2)*1</f>
        <v>0</v>
      </c>
      <c r="O193" s="566" t="s">
        <v>346</v>
      </c>
      <c r="P193" s="567" t="str">
        <f ca="1">IF(CELL("contenido",N193)=1,"UN",IF(AND(N193&gt;0,N193&lt;30),LOOKUP(CELL("contenido",N193),$A$26:$B$55),""))</f>
        <v/>
      </c>
      <c r="Q193" s="568">
        <f>+RIGHT(Q191,2)*1</f>
        <v>0</v>
      </c>
      <c r="R193" s="569" t="s">
        <v>346</v>
      </c>
      <c r="S193" s="570" t="str">
        <f ca="1">IF(CELL("contenido",Q193)=1,"UN",IF(AND(Q193&gt;0,Q193&lt;30),LOOKUP(CELL("contenido",Q193),$A$26:$B$55),""))</f>
        <v/>
      </c>
      <c r="U193" s="549" t="str">
        <f ca="1">+IF(CELL("contenido",G193)&lt;&gt;"",CONCATENATE(G196," ",G195," ",G193," ",U191),IF(CELL("contenido",G192)="",CONCATENATE(G196," ",G195," ",G194," ",U191),CONCATENATE(G196," ",G195," ",G194," Y ",G192," ",U191)))</f>
        <v xml:space="preserve">  CUARENTA  15/100 BOLIVIANOS</v>
      </c>
    </row>
    <row r="194" spans="4:21" ht="14.4" thickBot="1">
      <c r="D194" s="552"/>
      <c r="E194" s="556">
        <f>+RIGHT(E191,2)*1-E192</f>
        <v>40</v>
      </c>
      <c r="F194" s="557" t="s">
        <v>348</v>
      </c>
      <c r="G194" s="558" t="str">
        <f ca="1">+IF(AND(E194&gt;0,E191&gt;=30),LOOKUP(CELL("contenido",E194),$C$26:$D$35),"")</f>
        <v>CUARENTA</v>
      </c>
      <c r="H194" s="559">
        <f>+RIGHT(H191,2)*1-H192</f>
        <v>0</v>
      </c>
      <c r="I194" s="560" t="s">
        <v>348</v>
      </c>
      <c r="J194" s="561" t="str">
        <f ca="1">+IF(AND(H194&gt;0,H191&gt;=30),LOOKUP(CELL("contenido",H194),$C$26:$D$35),"")</f>
        <v/>
      </c>
      <c r="K194" s="562">
        <f>+RIGHT(K191,2)*1-K192</f>
        <v>0</v>
      </c>
      <c r="L194" s="563" t="s">
        <v>348</v>
      </c>
      <c r="M194" s="564" t="str">
        <f ca="1">+IF(AND(K194&gt;0,K191&gt;=30),LOOKUP(CELL("contenido",K194),$C$26:$D$35),"")</f>
        <v/>
      </c>
      <c r="N194" s="565">
        <f>+RIGHT(N191,2)*1-N192</f>
        <v>0</v>
      </c>
      <c r="O194" s="566" t="s">
        <v>348</v>
      </c>
      <c r="P194" s="567" t="str">
        <f ca="1">+IF(AND(N194&gt;0,K196&gt;=30),LOOKUP(CELL("contenido",N194),$C$26:$D$35),"")</f>
        <v/>
      </c>
      <c r="Q194" s="568">
        <f>+RIGHT(Q191,2)*1-Q192</f>
        <v>0</v>
      </c>
      <c r="R194" s="569" t="s">
        <v>348</v>
      </c>
      <c r="S194" s="570" t="str">
        <f ca="1">+IF(AND(Q194&gt;0,N196&gt;=30),LOOKUP(CELL("contenido",Q194),$C$26:$D$35),"")</f>
        <v/>
      </c>
      <c r="U194" s="549" t="str">
        <f ca="1">+IF(CELL("contenido",J193)&lt;&gt;"",CONCATENATE(J196," ",J195," ",J193," "),IF(CELL("contenido",J192)="",CONCATENATE(J196," ",J195," ",J194," "),CONCATENATE(J196," ",J195," ",J194," Y ",J192," ")))</f>
        <v xml:space="preserve">   </v>
      </c>
    </row>
    <row r="195" spans="4:21" ht="14.4" thickBot="1">
      <c r="D195" s="552"/>
      <c r="E195" s="556">
        <f>+RIGHT(E191,3)*1-E194-E192</f>
        <v>0</v>
      </c>
      <c r="F195" s="557" t="s">
        <v>350</v>
      </c>
      <c r="G195" s="558" t="str">
        <f ca="1">+IF((RIGHT(E191,3)*1)=100,"CIEN",IF(AND(E195&gt;0,E195&lt;1000),LOOKUP(CELL("contenido",E195),$E$26:$F$35),""))</f>
        <v/>
      </c>
      <c r="H195" s="559">
        <f>+RIGHT(H191,3)*1-H194-H192</f>
        <v>0</v>
      </c>
      <c r="I195" s="560" t="s">
        <v>350</v>
      </c>
      <c r="J195" s="561" t="str">
        <f ca="1">+IF(H191=100,"CIEN",IF(AND(H195&gt;0,H195&lt;1000),LOOKUP(CELL("contenido",H195),$E$26:$F$35),""))</f>
        <v/>
      </c>
      <c r="K195" s="562">
        <f>+RIGHT(K191,3)*1-K194-K192</f>
        <v>0</v>
      </c>
      <c r="L195" s="563" t="s">
        <v>350</v>
      </c>
      <c r="M195" s="564" t="str">
        <f ca="1">+IF(K191=100,"CIEN",IF(AND(K195&gt;0,K195&lt;1000),LOOKUP(CELL("contenido",K195),$E$26:$F$35),""))</f>
        <v/>
      </c>
      <c r="N195" s="565">
        <f>+RIGHT(N191,3)*1-N194-N192</f>
        <v>0</v>
      </c>
      <c r="O195" s="566" t="s">
        <v>350</v>
      </c>
      <c r="P195" s="567" t="str">
        <f ca="1">+IF(N191=100,"CIEN",IF(AND(N195&gt;0,N195&lt;1000),LOOKUP(CELL("contenido",N195),$E$26:$F$35),""))</f>
        <v/>
      </c>
      <c r="Q195" s="568">
        <f>+RIGHT(Q191,3)*1-Q194-Q192</f>
        <v>0</v>
      </c>
      <c r="R195" s="569" t="s">
        <v>350</v>
      </c>
      <c r="S195" s="570" t="str">
        <f ca="1">+IF(Q191=100,"CIEN",IF(AND(Q195&gt;0,Q195&lt;1000),LOOKUP(CELL("contenido",Q195),$E$26:$F$35),""))</f>
        <v/>
      </c>
      <c r="U195" s="549" t="str">
        <f ca="1">+IF(CELL("contenido",M193)&lt;&gt;"",CONCATENATE(M196," ",M195," ",M193," "),IF(CELL("contenido",M192)="",CONCATENATE(M196," ",M195," ",M194," "),CONCATENATE(M196," ",M195," ",M194," Y ",M192," ")))</f>
        <v xml:space="preserve">   </v>
      </c>
    </row>
    <row r="196" spans="4:21" ht="14.4" thickBot="1">
      <c r="D196" s="552"/>
      <c r="E196" s="572">
        <f>+RIGHT(E191,4)*1-E195-E194-E192</f>
        <v>0</v>
      </c>
      <c r="F196" s="573" t="s">
        <v>352</v>
      </c>
      <c r="G196" s="574" t="str">
        <f ca="1">+IF(E191&gt;999,"MIL",IF(AND(E196&gt;0,E196&lt;10000),LOOKUP(CELL("contenido",E196),$E$26:$F$35),""))</f>
        <v/>
      </c>
      <c r="H196" s="575">
        <f>INT(E191/1000000)</f>
        <v>0</v>
      </c>
      <c r="I196" s="576" t="s">
        <v>353</v>
      </c>
      <c r="J196" s="577" t="str">
        <f ca="1">+IF(CELL("contenido",M193)=1,"MILLÓN",IF(H196=1,"MILLÓN",IF(H196&gt;1,"MILLONES","")))</f>
        <v/>
      </c>
      <c r="K196" s="578">
        <f>+RIGHT(K191,4)*1-K195-K194-K192</f>
        <v>0</v>
      </c>
      <c r="L196" s="579" t="s">
        <v>354</v>
      </c>
      <c r="M196" s="580" t="str">
        <f ca="1">+IF(AND(K196&gt;0,K196&lt;10000),LOOKUP(CELL("contenido",K196),$E$26:$F$35),"")</f>
        <v/>
      </c>
      <c r="N196" s="581">
        <f>+RIGHT(N191,4)*1-N195-N194-N192</f>
        <v>0</v>
      </c>
      <c r="O196" s="582" t="s">
        <v>355</v>
      </c>
      <c r="P196" s="583" t="str">
        <f>+IF(N196=1,"UN MILLARDO",IF(N191&gt;1,"MILLARDOS",""))</f>
        <v/>
      </c>
      <c r="Q196" s="584">
        <f>+RIGHT(Q191,4)*1-Q195-Q194-Q192</f>
        <v>0</v>
      </c>
      <c r="R196" s="585" t="s">
        <v>355</v>
      </c>
      <c r="S196" s="586" t="str">
        <f>+IF(Q196=1,"UN MILLARDO",IF(Q191&gt;1,"MILLARDOS",""))</f>
        <v/>
      </c>
      <c r="U196" s="549" t="str">
        <f ca="1">+IF(CELL("contenido",P193)&lt;&gt;"",CONCATENATE(P196," ",P195," ",P193," "),IF(CELL("contenido",P192)="",CONCATENATE(P196," ",P195," ",P194," "),CONCATENATE(P196," ",P195," ",P194," Y ",P192," ")))</f>
        <v xml:space="preserve">   </v>
      </c>
    </row>
    <row r="197" spans="4:21" ht="14.4" thickTop="1">
      <c r="D197" s="552"/>
      <c r="E197" s="549"/>
      <c r="F197" s="549"/>
      <c r="G197" s="549"/>
      <c r="H197" s="549"/>
      <c r="I197" s="549"/>
      <c r="J197" s="587"/>
      <c r="K197" s="587"/>
      <c r="L197" s="587"/>
      <c r="M197" s="550"/>
      <c r="N197" s="550"/>
      <c r="O197" s="550"/>
      <c r="P197" s="549"/>
      <c r="Q197" s="550"/>
      <c r="R197" s="550"/>
      <c r="S197" s="549"/>
      <c r="U197" s="549" t="str">
        <f ca="1">+IF(CELL("contenido",S193)&lt;&gt;"",CONCATENATE(S195," ",S193," "),IF(CELL("contenido",S192)="",CONCATENATE(S195," ",S194," "),CONCATENATE(S195," ",S194," Y ",S192," ")))</f>
        <v xml:space="preserve">  </v>
      </c>
    </row>
    <row r="198" spans="4:21" ht="13.8">
      <c r="D198" s="549" t="s">
        <v>371</v>
      </c>
      <c r="E198" s="549"/>
      <c r="F198" s="549"/>
      <c r="G198" s="549"/>
      <c r="H198" s="549"/>
      <c r="I198" s="549"/>
      <c r="J198" s="549"/>
      <c r="K198" s="549"/>
      <c r="L198" s="549"/>
      <c r="M198" s="549"/>
      <c r="N198" s="549"/>
      <c r="O198" s="549"/>
      <c r="P198" s="549"/>
      <c r="Q198" s="549"/>
      <c r="R198" s="549"/>
      <c r="S198" s="549"/>
      <c r="U198" s="546"/>
    </row>
    <row r="199" spans="4:21" ht="13.8">
      <c r="D199" s="552"/>
      <c r="E199" s="553">
        <f>ROUND(100*(A15-INT(A15)),2)</f>
        <v>6</v>
      </c>
      <c r="F199" s="549" t="s">
        <v>334</v>
      </c>
      <c r="G199" s="549"/>
      <c r="H199" s="549"/>
      <c r="I199" s="549"/>
      <c r="J199" s="549"/>
      <c r="K199" s="549"/>
      <c r="L199" s="549"/>
      <c r="M199" s="549"/>
      <c r="N199" s="549"/>
      <c r="O199" s="549"/>
      <c r="P199" s="549"/>
      <c r="Q199" s="549"/>
      <c r="R199" s="549"/>
      <c r="S199" s="549"/>
    </row>
    <row r="200" spans="4:21" ht="13.8">
      <c r="D200" s="549"/>
      <c r="E200" s="549">
        <f>+LEN(E202)</f>
        <v>2</v>
      </c>
      <c r="F200" s="549" t="s">
        <v>335</v>
      </c>
      <c r="G200" s="549"/>
      <c r="H200" s="549"/>
      <c r="I200" s="549"/>
      <c r="J200" s="549"/>
      <c r="K200" s="549"/>
      <c r="L200" s="549"/>
      <c r="M200" s="549"/>
      <c r="N200" s="549"/>
      <c r="O200" s="549"/>
      <c r="P200" s="549"/>
      <c r="Q200" s="549"/>
      <c r="R200" s="549"/>
      <c r="S200" s="549"/>
    </row>
    <row r="201" spans="4:21" ht="14.4" thickBot="1">
      <c r="D201" s="552"/>
      <c r="E201" s="549"/>
      <c r="F201" s="549"/>
      <c r="G201" s="549"/>
      <c r="H201" s="549"/>
      <c r="I201" s="549"/>
      <c r="J201" s="549"/>
      <c r="K201" s="549"/>
      <c r="L201" s="549"/>
      <c r="M201" s="549"/>
      <c r="N201" s="549"/>
      <c r="O201" s="549"/>
      <c r="P201" s="549"/>
      <c r="Q201" s="549"/>
      <c r="R201" s="549"/>
      <c r="S201" s="549"/>
    </row>
    <row r="202" spans="4:21" ht="15" thickTop="1" thickBot="1">
      <c r="D202" s="549"/>
      <c r="E202" s="554">
        <f>+A15-E199/100</f>
        <v>56.999999999999993</v>
      </c>
      <c r="F202" s="1443" t="s">
        <v>338</v>
      </c>
      <c r="G202" s="1444"/>
      <c r="H202" s="555">
        <f>+IF(E202&gt;1000,INT(E202/1000),0)</f>
        <v>0</v>
      </c>
      <c r="I202" s="1443" t="s">
        <v>339</v>
      </c>
      <c r="J202" s="1444"/>
      <c r="K202" s="555">
        <f>+INT(H202/1000)</f>
        <v>0</v>
      </c>
      <c r="L202" s="1443" t="s">
        <v>340</v>
      </c>
      <c r="M202" s="1444"/>
      <c r="N202" s="555">
        <f>+INT(K202/1000)</f>
        <v>0</v>
      </c>
      <c r="O202" s="1443" t="s">
        <v>341</v>
      </c>
      <c r="P202" s="1444"/>
      <c r="Q202" s="555">
        <f>+INT(N202)</f>
        <v>0</v>
      </c>
      <c r="R202" s="1443" t="s">
        <v>341</v>
      </c>
      <c r="S202" s="1444"/>
      <c r="U202" s="549" t="str">
        <f>+IF(E199=0,CONCATENATE("00",U203),IF(E199&lt;10,CONCATENATE(" 0",E199,U203),CONCATENATE(" ",E199,U203)))</f>
        <v xml:space="preserve"> 06/100 BOLIVIANOS</v>
      </c>
    </row>
    <row r="203" spans="4:21" ht="14.4" thickBot="1">
      <c r="D203" s="552"/>
      <c r="E203" s="556">
        <f>+RIGHT(E202)*1</f>
        <v>7</v>
      </c>
      <c r="F203" s="557" t="s">
        <v>343</v>
      </c>
      <c r="G203" s="558" t="str">
        <f ca="1">+IF(AND(E203&gt;0,E203&lt;10),LOOKUP(CELL("contenido",E203),$A$26:$B$35),"")</f>
        <v>SIETE</v>
      </c>
      <c r="H203" s="559">
        <f>+RIGHT(H202)*1</f>
        <v>0</v>
      </c>
      <c r="I203" s="560" t="s">
        <v>343</v>
      </c>
      <c r="J203" s="561" t="str">
        <f ca="1">IF(E202&lt;2000,"",IF(CELL("contenido",H203)=1,"UN",IF(AND(H203&gt;0,H203&lt;10),LOOKUP(CELL("contenido",H203),$A$26:$B$35),"")))</f>
        <v/>
      </c>
      <c r="K203" s="562">
        <f>+RIGHT(K202)*1</f>
        <v>0</v>
      </c>
      <c r="L203" s="563" t="s">
        <v>343</v>
      </c>
      <c r="M203" s="564" t="str">
        <f ca="1">+IF(CELL("contenido",K203)=1,"UN",IF(AND(K203&gt;0,K203&lt;10),LOOKUP(CELL("contenido",K203),$A$26:$B$35),""))</f>
        <v/>
      </c>
      <c r="N203" s="565">
        <f>+RIGHT(N202)*1</f>
        <v>0</v>
      </c>
      <c r="O203" s="566" t="s">
        <v>343</v>
      </c>
      <c r="P203" s="567" t="str">
        <f ca="1">+IF(CELL("contenido",N203)=1,"UN",IF(AND(N203&gt;0,N203&lt;10),LOOKUP(CELL("contenido",N203),$A$26:$B$35),""))</f>
        <v/>
      </c>
      <c r="Q203" s="568">
        <f>+RIGHT(Q202)*1</f>
        <v>0</v>
      </c>
      <c r="R203" s="569" t="s">
        <v>343</v>
      </c>
      <c r="S203" s="570" t="str">
        <f ca="1">+IF(CELL("contenido",Q203)=1,"UN",IF(AND(Q203&gt;0,Q203&lt;10),LOOKUP(CELL("contenido",Q203),$A$26:$B$35),""))</f>
        <v/>
      </c>
      <c r="U203" s="571" t="s">
        <v>344</v>
      </c>
    </row>
    <row r="204" spans="4:21" ht="14.4" thickBot="1">
      <c r="D204" s="552"/>
      <c r="E204" s="556">
        <f>+RIGHT(E202,2)*1</f>
        <v>57</v>
      </c>
      <c r="F204" s="557" t="s">
        <v>346</v>
      </c>
      <c r="G204" s="558" t="str">
        <f ca="1">IF(AND(E204&gt;0,E204&lt;30),LOOKUP(CELL("contenido",E204),$A$26:$B$55),"")</f>
        <v/>
      </c>
      <c r="H204" s="559">
        <f>+RIGHT(H202,2)*1</f>
        <v>0</v>
      </c>
      <c r="I204" s="560" t="s">
        <v>346</v>
      </c>
      <c r="J204" s="561" t="str">
        <f ca="1">IF(E202&lt;2000,"",IF(CELL("contenido",H204)=1,"UN",IF(AND(H204&gt;0,H204&lt;30),LOOKUP(CELL("contenido",H204),$A$26:$B$55),"")))</f>
        <v/>
      </c>
      <c r="K204" s="562">
        <f>+RIGHT(K202,2)*1</f>
        <v>0</v>
      </c>
      <c r="L204" s="563" t="s">
        <v>346</v>
      </c>
      <c r="M204" s="564" t="str">
        <f ca="1">IF(CELL("contenido",K204)=1,"UN",IF(AND(K204&gt;0,K204&lt;30),LOOKUP(CELL("contenido",K204),$A$26:$B$55),""))</f>
        <v/>
      </c>
      <c r="N204" s="565">
        <f>+RIGHT(N202,2)*1</f>
        <v>0</v>
      </c>
      <c r="O204" s="566" t="s">
        <v>346</v>
      </c>
      <c r="P204" s="567" t="str">
        <f ca="1">IF(CELL("contenido",N204)=1,"UN",IF(AND(N204&gt;0,N204&lt;30),LOOKUP(CELL("contenido",N204),$A$26:$B$55),""))</f>
        <v/>
      </c>
      <c r="Q204" s="568">
        <f>+RIGHT(Q202,2)*1</f>
        <v>0</v>
      </c>
      <c r="R204" s="569" t="s">
        <v>346</v>
      </c>
      <c r="S204" s="570" t="str">
        <f ca="1">IF(CELL("contenido",Q204)=1,"UN",IF(AND(Q204&gt;0,Q204&lt;30),LOOKUP(CELL("contenido",Q204),$A$26:$B$55),""))</f>
        <v/>
      </c>
      <c r="U204" s="549" t="str">
        <f ca="1">+IF(CELL("contenido",G204)&lt;&gt;"",CONCATENATE(G207," ",G206," ",G204," ",U202),IF(CELL("contenido",G203)="",CONCATENATE(G207," ",G206," ",G205," ",U202),CONCATENATE(G207," ",G206," ",G205," Y ",G203," ",U202)))</f>
        <v xml:space="preserve">  CINCUENTA Y SIETE  06/100 BOLIVIANOS</v>
      </c>
    </row>
    <row r="205" spans="4:21" ht="14.4" thickBot="1">
      <c r="D205" s="552"/>
      <c r="E205" s="556">
        <f>+RIGHT(E202,2)*1-E203</f>
        <v>50</v>
      </c>
      <c r="F205" s="557" t="s">
        <v>348</v>
      </c>
      <c r="G205" s="558" t="str">
        <f ca="1">+IF(AND(E205&gt;0,E202&gt;=30),LOOKUP(CELL("contenido",E205),$C$26:$D$35),"")</f>
        <v>CINCUENTA</v>
      </c>
      <c r="H205" s="559">
        <f>+RIGHT(H202,2)*1-H203</f>
        <v>0</v>
      </c>
      <c r="I205" s="560" t="s">
        <v>348</v>
      </c>
      <c r="J205" s="561" t="str">
        <f ca="1">+IF(AND(H205&gt;0,H202&gt;=30),LOOKUP(CELL("contenido",H205),$C$26:$D$35),"")</f>
        <v/>
      </c>
      <c r="K205" s="562">
        <f>+RIGHT(K202,2)*1-K203</f>
        <v>0</v>
      </c>
      <c r="L205" s="563" t="s">
        <v>348</v>
      </c>
      <c r="M205" s="564" t="str">
        <f ca="1">+IF(AND(K205&gt;0,K202&gt;=30),LOOKUP(CELL("contenido",K205),$C$26:$D$35),"")</f>
        <v/>
      </c>
      <c r="N205" s="565">
        <f>+RIGHT(N202,2)*1-N203</f>
        <v>0</v>
      </c>
      <c r="O205" s="566" t="s">
        <v>348</v>
      </c>
      <c r="P205" s="567" t="str">
        <f ca="1">+IF(AND(N205&gt;0,K207&gt;=30),LOOKUP(CELL("contenido",N205),$C$26:$D$35),"")</f>
        <v/>
      </c>
      <c r="Q205" s="568">
        <f>+RIGHT(Q202,2)*1-Q203</f>
        <v>0</v>
      </c>
      <c r="R205" s="569" t="s">
        <v>348</v>
      </c>
      <c r="S205" s="570" t="str">
        <f ca="1">+IF(AND(Q205&gt;0,N207&gt;=30),LOOKUP(CELL("contenido",Q205),$C$26:$D$35),"")</f>
        <v/>
      </c>
      <c r="U205" s="549" t="str">
        <f ca="1">+IF(CELL("contenido",J204)&lt;&gt;"",CONCATENATE(J207," ",J206," ",J204," "),IF(CELL("contenido",J203)="",CONCATENATE(J207," ",J206," ",J205," "),CONCATENATE(J207," ",J206," ",J205," Y ",J203," ")))</f>
        <v xml:space="preserve">   </v>
      </c>
    </row>
    <row r="206" spans="4:21" ht="14.4" thickBot="1">
      <c r="D206" s="552"/>
      <c r="E206" s="556">
        <f>+RIGHT(E202,3)*1-E205-E203</f>
        <v>0</v>
      </c>
      <c r="F206" s="557" t="s">
        <v>350</v>
      </c>
      <c r="G206" s="558" t="str">
        <f ca="1">+IF((RIGHT(E202,3)*1)=100,"CIEN",IF(AND(E206&gt;0,E206&lt;1000),LOOKUP(CELL("contenido",E206),$E$26:$F$35),""))</f>
        <v/>
      </c>
      <c r="H206" s="559">
        <f>+RIGHT(H202,3)*1-H205-H203</f>
        <v>0</v>
      </c>
      <c r="I206" s="560" t="s">
        <v>350</v>
      </c>
      <c r="J206" s="561" t="str">
        <f ca="1">+IF(H202=100,"CIEN",IF(AND(H206&gt;0,H206&lt;1000),LOOKUP(CELL("contenido",H206),$E$26:$F$35),""))</f>
        <v/>
      </c>
      <c r="K206" s="562">
        <f>+RIGHT(K202,3)*1-K205-K203</f>
        <v>0</v>
      </c>
      <c r="L206" s="563" t="s">
        <v>350</v>
      </c>
      <c r="M206" s="564" t="str">
        <f ca="1">+IF(K202=100,"CIEN",IF(AND(K206&gt;0,K206&lt;1000),LOOKUP(CELL("contenido",K206),$E$26:$F$35),""))</f>
        <v/>
      </c>
      <c r="N206" s="565">
        <f>+RIGHT(N202,3)*1-N205-N203</f>
        <v>0</v>
      </c>
      <c r="O206" s="566" t="s">
        <v>350</v>
      </c>
      <c r="P206" s="567" t="str">
        <f ca="1">+IF(N202=100,"CIEN",IF(AND(N206&gt;0,N206&lt;1000),LOOKUP(CELL("contenido",N206),$E$26:$F$35),""))</f>
        <v/>
      </c>
      <c r="Q206" s="568">
        <f>+RIGHT(Q202,3)*1-Q205-Q203</f>
        <v>0</v>
      </c>
      <c r="R206" s="569" t="s">
        <v>350</v>
      </c>
      <c r="S206" s="570" t="str">
        <f ca="1">+IF(Q202=100,"CIEN",IF(AND(Q206&gt;0,Q206&lt;1000),LOOKUP(CELL("contenido",Q206),$E$26:$F$35),""))</f>
        <v/>
      </c>
      <c r="U206" s="549" t="str">
        <f ca="1">+IF(CELL("contenido",M204)&lt;&gt;"",CONCATENATE(M207," ",M206," ",M204," "),IF(CELL("contenido",M203)="",CONCATENATE(M207," ",M206," ",M205," "),CONCATENATE(M207," ",M206," ",M205," Y ",M203," ")))</f>
        <v xml:space="preserve">   </v>
      </c>
    </row>
    <row r="207" spans="4:21" ht="14.4" thickBot="1">
      <c r="D207" s="552"/>
      <c r="E207" s="572">
        <f>+RIGHT(E202,4)*1-E206-E205-E203</f>
        <v>0</v>
      </c>
      <c r="F207" s="573" t="s">
        <v>352</v>
      </c>
      <c r="G207" s="574" t="str">
        <f ca="1">+IF(E202&gt;999,"MIL",IF(AND(E207&gt;0,E207&lt;10000),LOOKUP(CELL("contenido",E207),$E$26:$F$35),""))</f>
        <v/>
      </c>
      <c r="H207" s="575">
        <f>INT(E202/1000000)</f>
        <v>0</v>
      </c>
      <c r="I207" s="576" t="s">
        <v>353</v>
      </c>
      <c r="J207" s="577" t="str">
        <f ca="1">+IF(CELL("contenido",M204)=1,"MILLÓN",IF(H207=1,"MILLÓN",IF(H207&gt;1,"MILLONES","")))</f>
        <v/>
      </c>
      <c r="K207" s="578">
        <f>+RIGHT(K202,4)*1-K206-K205-K203</f>
        <v>0</v>
      </c>
      <c r="L207" s="579" t="s">
        <v>354</v>
      </c>
      <c r="M207" s="580" t="str">
        <f ca="1">+IF(AND(K207&gt;0,K207&lt;10000),LOOKUP(CELL("contenido",K207),$E$26:$F$35),"")</f>
        <v/>
      </c>
      <c r="N207" s="581">
        <f>+RIGHT(N202,4)*1-N206-N205-N203</f>
        <v>0</v>
      </c>
      <c r="O207" s="582" t="s">
        <v>355</v>
      </c>
      <c r="P207" s="583" t="str">
        <f>+IF(N207=1,"UN MILLARDO",IF(N202&gt;1,"MILLARDOS",""))</f>
        <v/>
      </c>
      <c r="Q207" s="584">
        <f>+RIGHT(Q202,4)*1-Q206-Q205-Q203</f>
        <v>0</v>
      </c>
      <c r="R207" s="585" t="s">
        <v>355</v>
      </c>
      <c r="S207" s="586" t="str">
        <f>+IF(Q207=1,"UN MILLARDO",IF(Q202&gt;1,"MILLARDOS",""))</f>
        <v/>
      </c>
      <c r="U207" s="549" t="str">
        <f ca="1">+IF(CELL("contenido",P204)&lt;&gt;"",CONCATENATE(P207," ",P206," ",P204," "),IF(CELL("contenido",P203)="",CONCATENATE(P207," ",P206," ",P205," "),CONCATENATE(P207," ",P206," ",P205," Y ",P203," ")))</f>
        <v xml:space="preserve">   </v>
      </c>
    </row>
    <row r="208" spans="4:21" ht="14.4" thickTop="1">
      <c r="D208" s="552"/>
      <c r="E208" s="549"/>
      <c r="F208" s="549"/>
      <c r="G208" s="549"/>
      <c r="H208" s="549"/>
      <c r="I208" s="549"/>
      <c r="J208" s="587"/>
      <c r="K208" s="587"/>
      <c r="L208" s="587"/>
      <c r="M208" s="550"/>
      <c r="N208" s="550"/>
      <c r="O208" s="550"/>
      <c r="P208" s="549"/>
      <c r="Q208" s="550"/>
      <c r="R208" s="550"/>
      <c r="S208" s="549"/>
      <c r="U208" s="549" t="str">
        <f ca="1">+IF(CELL("contenido",S204)&lt;&gt;"",CONCATENATE(S206," ",S204," "),IF(CELL("contenido",S203)="",CONCATENATE(S206," ",S205," "),CONCATENATE(S206," ",S205," Y ",S203," ")))</f>
        <v xml:space="preserve">  </v>
      </c>
    </row>
    <row r="209" spans="4:21" ht="13.8">
      <c r="D209" s="549" t="s">
        <v>372</v>
      </c>
      <c r="E209" s="549"/>
      <c r="F209" s="549"/>
      <c r="G209" s="549"/>
      <c r="H209" s="549"/>
      <c r="I209" s="549"/>
      <c r="J209" s="549"/>
      <c r="K209" s="549"/>
      <c r="L209" s="549"/>
      <c r="M209" s="549"/>
      <c r="N209" s="549"/>
      <c r="O209" s="549"/>
      <c r="P209" s="549"/>
      <c r="Q209" s="549"/>
      <c r="R209" s="549"/>
      <c r="S209" s="549"/>
      <c r="U209" s="546"/>
    </row>
    <row r="210" spans="4:21" ht="13.8">
      <c r="D210" s="552"/>
      <c r="E210" s="553">
        <f>ROUND(100*(A16-INT(A16)),2)</f>
        <v>86</v>
      </c>
      <c r="F210" s="549" t="s">
        <v>334</v>
      </c>
      <c r="G210" s="549"/>
      <c r="H210" s="549"/>
      <c r="I210" s="549"/>
      <c r="J210" s="549"/>
      <c r="K210" s="549"/>
      <c r="L210" s="549"/>
      <c r="M210" s="549"/>
      <c r="N210" s="549"/>
      <c r="O210" s="549"/>
      <c r="P210" s="549"/>
      <c r="Q210" s="549"/>
      <c r="R210" s="549"/>
      <c r="S210" s="549"/>
    </row>
    <row r="211" spans="4:21" ht="13.8">
      <c r="D211" s="549"/>
      <c r="E211" s="549">
        <f>+LEN(E213)</f>
        <v>3</v>
      </c>
      <c r="F211" s="549" t="s">
        <v>335</v>
      </c>
      <c r="G211" s="549"/>
      <c r="H211" s="549"/>
      <c r="I211" s="549"/>
      <c r="J211" s="549"/>
      <c r="K211" s="549"/>
      <c r="L211" s="549"/>
      <c r="M211" s="549"/>
      <c r="N211" s="549"/>
      <c r="O211" s="549"/>
      <c r="P211" s="549"/>
      <c r="Q211" s="549"/>
      <c r="R211" s="549"/>
      <c r="S211" s="549"/>
    </row>
    <row r="212" spans="4:21" ht="14.4" thickBot="1">
      <c r="D212" s="552"/>
      <c r="E212" s="549"/>
      <c r="F212" s="549"/>
      <c r="G212" s="549"/>
      <c r="H212" s="549"/>
      <c r="I212" s="549"/>
      <c r="J212" s="549"/>
      <c r="K212" s="549"/>
      <c r="L212" s="549"/>
      <c r="M212" s="549"/>
      <c r="N212" s="549"/>
      <c r="O212" s="549"/>
      <c r="P212" s="549"/>
      <c r="Q212" s="549"/>
      <c r="R212" s="549"/>
      <c r="S212" s="549"/>
    </row>
    <row r="213" spans="4:21" ht="15" thickTop="1" thickBot="1">
      <c r="D213" s="549"/>
      <c r="E213" s="554">
        <f>+A16-E210/100</f>
        <v>104</v>
      </c>
      <c r="F213" s="1443" t="s">
        <v>338</v>
      </c>
      <c r="G213" s="1444"/>
      <c r="H213" s="555">
        <f>+IF(E213&gt;1000,INT(E213/1000),0)</f>
        <v>0</v>
      </c>
      <c r="I213" s="1443" t="s">
        <v>339</v>
      </c>
      <c r="J213" s="1444"/>
      <c r="K213" s="555">
        <f>+INT(H213/1000)</f>
        <v>0</v>
      </c>
      <c r="L213" s="1443" t="s">
        <v>340</v>
      </c>
      <c r="M213" s="1444"/>
      <c r="N213" s="555">
        <f>+INT(K213/1000)</f>
        <v>0</v>
      </c>
      <c r="O213" s="1443" t="s">
        <v>341</v>
      </c>
      <c r="P213" s="1444"/>
      <c r="Q213" s="555">
        <f>+INT(N213)</f>
        <v>0</v>
      </c>
      <c r="R213" s="1443" t="s">
        <v>341</v>
      </c>
      <c r="S213" s="1444"/>
      <c r="U213" s="549" t="str">
        <f>+IF(E210=0,CONCATENATE("00",U214),IF(E210&lt;10,CONCATENATE(" 0",E210,U214),CONCATENATE(" ",E210,U214)))</f>
        <v xml:space="preserve"> 86/100 BOLIVIANOS</v>
      </c>
    </row>
    <row r="214" spans="4:21" ht="14.4" thickBot="1">
      <c r="D214" s="552"/>
      <c r="E214" s="556">
        <f>+RIGHT(E213)*1</f>
        <v>4</v>
      </c>
      <c r="F214" s="557" t="s">
        <v>343</v>
      </c>
      <c r="G214" s="558" t="str">
        <f ca="1">+IF(AND(E214&gt;0,E214&lt;10),LOOKUP(CELL("contenido",E214),$A$26:$B$35),"")</f>
        <v>CUATRO</v>
      </c>
      <c r="H214" s="559">
        <f>+RIGHT(H213)*1</f>
        <v>0</v>
      </c>
      <c r="I214" s="560" t="s">
        <v>343</v>
      </c>
      <c r="J214" s="561" t="str">
        <f ca="1">IF(E213&lt;2000,"",IF(CELL("contenido",H214)=1,"UN",IF(AND(H214&gt;0,H214&lt;10),LOOKUP(CELL("contenido",H214),$A$26:$B$35),"")))</f>
        <v/>
      </c>
      <c r="K214" s="562">
        <f>+RIGHT(K213)*1</f>
        <v>0</v>
      </c>
      <c r="L214" s="563" t="s">
        <v>343</v>
      </c>
      <c r="M214" s="564" t="str">
        <f ca="1">+IF(CELL("contenido",K214)=1,"UN",IF(AND(K214&gt;0,K214&lt;10),LOOKUP(CELL("contenido",K214),$A$26:$B$35),""))</f>
        <v/>
      </c>
      <c r="N214" s="565">
        <f>+RIGHT(N213)*1</f>
        <v>0</v>
      </c>
      <c r="O214" s="566" t="s">
        <v>343</v>
      </c>
      <c r="P214" s="567" t="str">
        <f ca="1">+IF(CELL("contenido",N214)=1,"UN",IF(AND(N214&gt;0,N214&lt;10),LOOKUP(CELL("contenido",N214),$A$26:$B$35),""))</f>
        <v/>
      </c>
      <c r="Q214" s="568">
        <f>+RIGHT(Q213)*1</f>
        <v>0</v>
      </c>
      <c r="R214" s="569" t="s">
        <v>343</v>
      </c>
      <c r="S214" s="570" t="str">
        <f ca="1">+IF(CELL("contenido",Q214)=1,"UN",IF(AND(Q214&gt;0,Q214&lt;10),LOOKUP(CELL("contenido",Q214),$A$26:$B$35),""))</f>
        <v/>
      </c>
      <c r="U214" s="571" t="s">
        <v>344</v>
      </c>
    </row>
    <row r="215" spans="4:21" ht="14.4" thickBot="1">
      <c r="D215" s="552"/>
      <c r="E215" s="556">
        <f>+RIGHT(E213,2)*1</f>
        <v>4</v>
      </c>
      <c r="F215" s="557" t="s">
        <v>346</v>
      </c>
      <c r="G215" s="558" t="str">
        <f ca="1">IF(AND(E215&gt;0,E215&lt;30),LOOKUP(CELL("contenido",E215),$A$26:$B$55),"")</f>
        <v>CUATRO</v>
      </c>
      <c r="H215" s="559">
        <f>+RIGHT(H213,2)*1</f>
        <v>0</v>
      </c>
      <c r="I215" s="560" t="s">
        <v>346</v>
      </c>
      <c r="J215" s="561" t="str">
        <f ca="1">IF(E213&lt;2000,"",IF(CELL("contenido",H215)=1,"UN",IF(AND(H215&gt;0,H215&lt;30),LOOKUP(CELL("contenido",H215),$A$26:$B$55),"")))</f>
        <v/>
      </c>
      <c r="K215" s="562">
        <f>+RIGHT(K213,2)*1</f>
        <v>0</v>
      </c>
      <c r="L215" s="563" t="s">
        <v>346</v>
      </c>
      <c r="M215" s="564" t="str">
        <f ca="1">IF(CELL("contenido",K215)=1,"UN",IF(AND(K215&gt;0,K215&lt;30),LOOKUP(CELL("contenido",K215),$A$26:$B$55),""))</f>
        <v/>
      </c>
      <c r="N215" s="565">
        <f>+RIGHT(N213,2)*1</f>
        <v>0</v>
      </c>
      <c r="O215" s="566" t="s">
        <v>346</v>
      </c>
      <c r="P215" s="567" t="str">
        <f ca="1">IF(CELL("contenido",N215)=1,"UN",IF(AND(N215&gt;0,N215&lt;30),LOOKUP(CELL("contenido",N215),$A$26:$B$55),""))</f>
        <v/>
      </c>
      <c r="Q215" s="568">
        <f>+RIGHT(Q213,2)*1</f>
        <v>0</v>
      </c>
      <c r="R215" s="569" t="s">
        <v>346</v>
      </c>
      <c r="S215" s="570" t="str">
        <f ca="1">IF(CELL("contenido",Q215)=1,"UN",IF(AND(Q215&gt;0,Q215&lt;30),LOOKUP(CELL("contenido",Q215),$A$26:$B$55),""))</f>
        <v/>
      </c>
      <c r="U215" s="549" t="str">
        <f ca="1">+IF(CELL("contenido",G215)&lt;&gt;"",CONCATENATE(G218," ",G217," ",G215," ",U213),IF(CELL("contenido",G214)="",CONCATENATE(G218," ",G217," ",G216," ",U213),CONCATENATE(G218," ",G217," ",G216," Y ",G214," ",U213)))</f>
        <v xml:space="preserve"> CIENTO CUATRO  86/100 BOLIVIANOS</v>
      </c>
    </row>
    <row r="216" spans="4:21" ht="14.4" thickBot="1">
      <c r="D216" s="552"/>
      <c r="E216" s="556">
        <f>+RIGHT(E213,2)*1-E214</f>
        <v>0</v>
      </c>
      <c r="F216" s="557" t="s">
        <v>348</v>
      </c>
      <c r="G216" s="558" t="str">
        <f ca="1">+IF(AND(E216&gt;0,E213&gt;=30),LOOKUP(CELL("contenido",E216),$C$26:$D$35),"")</f>
        <v/>
      </c>
      <c r="H216" s="559">
        <f>+RIGHT(H213,2)*1-H214</f>
        <v>0</v>
      </c>
      <c r="I216" s="560" t="s">
        <v>348</v>
      </c>
      <c r="J216" s="561" t="str">
        <f ca="1">+IF(AND(H216&gt;0,H213&gt;=30),LOOKUP(CELL("contenido",H216),$C$26:$D$35),"")</f>
        <v/>
      </c>
      <c r="K216" s="562">
        <f>+RIGHT(K213,2)*1-K214</f>
        <v>0</v>
      </c>
      <c r="L216" s="563" t="s">
        <v>348</v>
      </c>
      <c r="M216" s="564" t="str">
        <f ca="1">+IF(AND(K216&gt;0,K213&gt;=30),LOOKUP(CELL("contenido",K216),$C$26:$D$35),"")</f>
        <v/>
      </c>
      <c r="N216" s="565">
        <f>+RIGHT(N213,2)*1-N214</f>
        <v>0</v>
      </c>
      <c r="O216" s="566" t="s">
        <v>348</v>
      </c>
      <c r="P216" s="567" t="str">
        <f ca="1">+IF(AND(N216&gt;0,K218&gt;=30),LOOKUP(CELL("contenido",N216),$C$26:$D$35),"")</f>
        <v/>
      </c>
      <c r="Q216" s="568">
        <f>+RIGHT(Q213,2)*1-Q214</f>
        <v>0</v>
      </c>
      <c r="R216" s="569" t="s">
        <v>348</v>
      </c>
      <c r="S216" s="570" t="str">
        <f ca="1">+IF(AND(Q216&gt;0,N218&gt;=30),LOOKUP(CELL("contenido",Q216),$C$26:$D$35),"")</f>
        <v/>
      </c>
      <c r="U216" s="549" t="str">
        <f ca="1">+IF(CELL("contenido",J215)&lt;&gt;"",CONCATENATE(J218," ",J217," ",J215," "),IF(CELL("contenido",J214)="",CONCATENATE(J218," ",J217," ",J216," "),CONCATENATE(J218," ",J217," ",J216," Y ",J214," ")))</f>
        <v xml:space="preserve">   </v>
      </c>
    </row>
    <row r="217" spans="4:21" ht="14.4" thickBot="1">
      <c r="D217" s="552"/>
      <c r="E217" s="556">
        <f>+RIGHT(E213,3)*1-E216-E214</f>
        <v>100</v>
      </c>
      <c r="F217" s="557" t="s">
        <v>350</v>
      </c>
      <c r="G217" s="558" t="str">
        <f ca="1">+IF((RIGHT(E213,3)*1)=100,"CIEN",IF(AND(E217&gt;0,E217&lt;1000),LOOKUP(CELL("contenido",E217),$E$26:$F$35),""))</f>
        <v>CIENTO</v>
      </c>
      <c r="H217" s="559">
        <f>+RIGHT(H213,3)*1-H216-H214</f>
        <v>0</v>
      </c>
      <c r="I217" s="560" t="s">
        <v>350</v>
      </c>
      <c r="J217" s="561" t="str">
        <f ca="1">+IF(H213=100,"CIEN",IF(AND(H217&gt;0,H217&lt;1000),LOOKUP(CELL("contenido",H217),$E$26:$F$35),""))</f>
        <v/>
      </c>
      <c r="K217" s="562">
        <f>+RIGHT(K213,3)*1-K216-K214</f>
        <v>0</v>
      </c>
      <c r="L217" s="563" t="s">
        <v>350</v>
      </c>
      <c r="M217" s="564" t="str">
        <f ca="1">+IF(K213=100,"CIEN",IF(AND(K217&gt;0,K217&lt;1000),LOOKUP(CELL("contenido",K217),$E$26:$F$35),""))</f>
        <v/>
      </c>
      <c r="N217" s="565">
        <f>+RIGHT(N213,3)*1-N216-N214</f>
        <v>0</v>
      </c>
      <c r="O217" s="566" t="s">
        <v>350</v>
      </c>
      <c r="P217" s="567" t="str">
        <f ca="1">+IF(N213=100,"CIEN",IF(AND(N217&gt;0,N217&lt;1000),LOOKUP(CELL("contenido",N217),$E$26:$F$35),""))</f>
        <v/>
      </c>
      <c r="Q217" s="568">
        <f>+RIGHT(Q213,3)*1-Q216-Q214</f>
        <v>0</v>
      </c>
      <c r="R217" s="569" t="s">
        <v>350</v>
      </c>
      <c r="S217" s="570" t="str">
        <f ca="1">+IF(Q213=100,"CIEN",IF(AND(Q217&gt;0,Q217&lt;1000),LOOKUP(CELL("contenido",Q217),$E$26:$F$35),""))</f>
        <v/>
      </c>
      <c r="U217" s="549" t="str">
        <f ca="1">+IF(CELL("contenido",M215)&lt;&gt;"",CONCATENATE(M218," ",M217," ",M215," "),IF(CELL("contenido",M214)="",CONCATENATE(M218," ",M217," ",M216," "),CONCATENATE(M218," ",M217," ",M216," Y ",M214," ")))</f>
        <v xml:space="preserve">   </v>
      </c>
    </row>
    <row r="218" spans="4:21" ht="14.4" thickBot="1">
      <c r="D218" s="552"/>
      <c r="E218" s="572">
        <f>+RIGHT(E213,4)*1-E217-E216-E214</f>
        <v>0</v>
      </c>
      <c r="F218" s="573" t="s">
        <v>352</v>
      </c>
      <c r="G218" s="574" t="str">
        <f ca="1">+IF(E213&gt;999,"MIL",IF(AND(E218&gt;0,E218&lt;10000),LOOKUP(CELL("contenido",E218),$E$26:$F$35),""))</f>
        <v/>
      </c>
      <c r="H218" s="575">
        <f>INT(E213/1000000)</f>
        <v>0</v>
      </c>
      <c r="I218" s="576" t="s">
        <v>353</v>
      </c>
      <c r="J218" s="577" t="str">
        <f ca="1">+IF(CELL("contenido",M215)=1,"MILLÓN",IF(H218=1,"MILLÓN",IF(H218&gt;1,"MILLONES","")))</f>
        <v/>
      </c>
      <c r="K218" s="578">
        <f>+RIGHT(K213,4)*1-K217-K216-K214</f>
        <v>0</v>
      </c>
      <c r="L218" s="579" t="s">
        <v>354</v>
      </c>
      <c r="M218" s="580" t="str">
        <f ca="1">+IF(AND(K218&gt;0,K218&lt;10000),LOOKUP(CELL("contenido",K218),$E$26:$F$35),"")</f>
        <v/>
      </c>
      <c r="N218" s="581">
        <f>+RIGHT(N213,4)*1-N217-N216-N214</f>
        <v>0</v>
      </c>
      <c r="O218" s="582" t="s">
        <v>355</v>
      </c>
      <c r="P218" s="583" t="str">
        <f>+IF(N218=1,"UN MILLARDO",IF(N213&gt;1,"MILLARDOS",""))</f>
        <v/>
      </c>
      <c r="Q218" s="584">
        <f>+RIGHT(Q213,4)*1-Q217-Q216-Q214</f>
        <v>0</v>
      </c>
      <c r="R218" s="585" t="s">
        <v>355</v>
      </c>
      <c r="S218" s="586" t="str">
        <f>+IF(Q218=1,"UN MILLARDO",IF(Q213&gt;1,"MILLARDOS",""))</f>
        <v/>
      </c>
      <c r="U218" s="549" t="str">
        <f ca="1">+IF(CELL("contenido",P215)&lt;&gt;"",CONCATENATE(P218," ",P217," ",P215," "),IF(CELL("contenido",P214)="",CONCATENATE(P218," ",P217," ",P216," "),CONCATENATE(P218," ",P217," ",P216," Y ",P214," ")))</f>
        <v xml:space="preserve">   </v>
      </c>
    </row>
    <row r="219" spans="4:21" ht="14.4" thickTop="1">
      <c r="D219" s="552"/>
      <c r="E219" s="549"/>
      <c r="F219" s="549"/>
      <c r="G219" s="549"/>
      <c r="H219" s="549"/>
      <c r="I219" s="549"/>
      <c r="J219" s="587"/>
      <c r="K219" s="587"/>
      <c r="L219" s="587"/>
      <c r="M219" s="550"/>
      <c r="N219" s="550"/>
      <c r="O219" s="550"/>
      <c r="P219" s="549"/>
      <c r="Q219" s="550"/>
      <c r="R219" s="550"/>
      <c r="S219" s="549"/>
      <c r="U219" s="549" t="str">
        <f ca="1">+IF(CELL("contenido",S215)&lt;&gt;"",CONCATENATE(S217," ",S215," "),IF(CELL("contenido",S214)="",CONCATENATE(S217," ",S216," "),CONCATENATE(S217," ",S216," Y ",S214," ")))</f>
        <v xml:space="preserve">  </v>
      </c>
    </row>
    <row r="220" spans="4:21" ht="13.8">
      <c r="D220" s="549" t="s">
        <v>373</v>
      </c>
      <c r="E220" s="549"/>
      <c r="F220" s="549"/>
      <c r="G220" s="549"/>
      <c r="H220" s="549"/>
      <c r="I220" s="549"/>
      <c r="J220" s="549"/>
      <c r="K220" s="549"/>
      <c r="L220" s="549"/>
      <c r="M220" s="549"/>
      <c r="N220" s="549"/>
      <c r="O220" s="549"/>
      <c r="P220" s="549"/>
      <c r="Q220" s="549"/>
      <c r="R220" s="549"/>
      <c r="S220" s="549"/>
      <c r="U220" s="546"/>
    </row>
    <row r="221" spans="4:21" ht="13.8">
      <c r="D221" s="552"/>
      <c r="E221" s="553">
        <f>ROUND(100*(A17-INT(A17)),2)</f>
        <v>88</v>
      </c>
      <c r="F221" s="549" t="s">
        <v>334</v>
      </c>
      <c r="G221" s="549"/>
      <c r="H221" s="549"/>
      <c r="I221" s="549"/>
      <c r="J221" s="549"/>
      <c r="K221" s="549"/>
      <c r="L221" s="549"/>
      <c r="M221" s="549"/>
      <c r="N221" s="549"/>
      <c r="O221" s="549"/>
      <c r="P221" s="549"/>
      <c r="Q221" s="549"/>
      <c r="R221" s="549"/>
      <c r="S221" s="549"/>
    </row>
    <row r="222" spans="4:21" ht="13.8">
      <c r="D222" s="549"/>
      <c r="E222" s="549">
        <f>+LEN(E224)</f>
        <v>4</v>
      </c>
      <c r="F222" s="549" t="s">
        <v>335</v>
      </c>
      <c r="G222" s="549"/>
      <c r="H222" s="549"/>
      <c r="I222" s="549"/>
      <c r="J222" s="549"/>
      <c r="K222" s="549"/>
      <c r="L222" s="549"/>
      <c r="M222" s="549"/>
      <c r="N222" s="549"/>
      <c r="O222" s="549"/>
      <c r="P222" s="549"/>
      <c r="Q222" s="549"/>
      <c r="R222" s="549"/>
      <c r="S222" s="549"/>
    </row>
    <row r="223" spans="4:21" ht="14.4" thickBot="1">
      <c r="D223" s="552"/>
      <c r="E223" s="549"/>
      <c r="F223" s="549"/>
      <c r="G223" s="549"/>
      <c r="H223" s="549"/>
      <c r="I223" s="549"/>
      <c r="J223" s="549"/>
      <c r="K223" s="549"/>
      <c r="L223" s="549"/>
      <c r="M223" s="549"/>
      <c r="N223" s="549"/>
      <c r="O223" s="549"/>
      <c r="P223" s="549"/>
      <c r="Q223" s="549"/>
      <c r="R223" s="549"/>
      <c r="S223" s="549"/>
    </row>
    <row r="224" spans="4:21" ht="15" thickTop="1" thickBot="1">
      <c r="D224" s="549"/>
      <c r="E224" s="554">
        <f>+A17-E221/100</f>
        <v>1404</v>
      </c>
      <c r="F224" s="1443" t="s">
        <v>338</v>
      </c>
      <c r="G224" s="1444"/>
      <c r="H224" s="555">
        <f>+IF(E224&gt;1000,INT(E224/1000),0)</f>
        <v>1</v>
      </c>
      <c r="I224" s="1443" t="s">
        <v>339</v>
      </c>
      <c r="J224" s="1444"/>
      <c r="K224" s="555">
        <f>+INT(H224/1000)</f>
        <v>0</v>
      </c>
      <c r="L224" s="1443" t="s">
        <v>340</v>
      </c>
      <c r="M224" s="1444"/>
      <c r="N224" s="555">
        <f>+INT(K224/1000)</f>
        <v>0</v>
      </c>
      <c r="O224" s="1443" t="s">
        <v>341</v>
      </c>
      <c r="P224" s="1444"/>
      <c r="Q224" s="555">
        <f>+INT(N224)</f>
        <v>0</v>
      </c>
      <c r="R224" s="1443" t="s">
        <v>341</v>
      </c>
      <c r="S224" s="1444"/>
      <c r="U224" s="549" t="str">
        <f>+IF(E221=0,CONCATENATE("00",U225),IF(E221&lt;10,CONCATENATE(" 0",E221,U225),CONCATENATE(" ",E221,U225)))</f>
        <v xml:space="preserve"> 88/100 BOLIVIANOS</v>
      </c>
    </row>
    <row r="225" spans="4:21" ht="14.4" thickBot="1">
      <c r="D225" s="552"/>
      <c r="E225" s="556">
        <f>+RIGHT(E224)*1</f>
        <v>4</v>
      </c>
      <c r="F225" s="557" t="s">
        <v>343</v>
      </c>
      <c r="G225" s="558" t="str">
        <f ca="1">+IF(AND(E225&gt;0,E225&lt;10),LOOKUP(CELL("contenido",E225),$A$26:$B$35),"")</f>
        <v>CUATRO</v>
      </c>
      <c r="H225" s="559">
        <f>+RIGHT(H224)*1</f>
        <v>1</v>
      </c>
      <c r="I225" s="560" t="s">
        <v>343</v>
      </c>
      <c r="J225" s="561" t="str">
        <f ca="1">IF(E224&lt;2000,"",IF(CELL("contenido",H225)=1,"UN",IF(AND(H225&gt;0,H225&lt;10),LOOKUP(CELL("contenido",H225),$A$26:$B$35),"")))</f>
        <v/>
      </c>
      <c r="K225" s="562">
        <f>+RIGHT(K224)*1</f>
        <v>0</v>
      </c>
      <c r="L225" s="563" t="s">
        <v>343</v>
      </c>
      <c r="M225" s="564" t="str">
        <f ca="1">+IF(CELL("contenido",K225)=1,"UN",IF(AND(K225&gt;0,K225&lt;10),LOOKUP(CELL("contenido",K225),$A$26:$B$35),""))</f>
        <v/>
      </c>
      <c r="N225" s="565">
        <f>+RIGHT(N224)*1</f>
        <v>0</v>
      </c>
      <c r="O225" s="566" t="s">
        <v>343</v>
      </c>
      <c r="P225" s="567" t="str">
        <f ca="1">+IF(CELL("contenido",N225)=1,"UN",IF(AND(N225&gt;0,N225&lt;10),LOOKUP(CELL("contenido",N225),$A$26:$B$35),""))</f>
        <v/>
      </c>
      <c r="Q225" s="568">
        <f>+RIGHT(Q224)*1</f>
        <v>0</v>
      </c>
      <c r="R225" s="569" t="s">
        <v>343</v>
      </c>
      <c r="S225" s="570" t="str">
        <f ca="1">+IF(CELL("contenido",Q225)=1,"UN",IF(AND(Q225&gt;0,Q225&lt;10),LOOKUP(CELL("contenido",Q225),$A$26:$B$35),""))</f>
        <v/>
      </c>
      <c r="U225" s="571" t="s">
        <v>344</v>
      </c>
    </row>
    <row r="226" spans="4:21" ht="14.4" thickBot="1">
      <c r="D226" s="552"/>
      <c r="E226" s="556">
        <f>+RIGHT(E224,2)*1</f>
        <v>4</v>
      </c>
      <c r="F226" s="557" t="s">
        <v>346</v>
      </c>
      <c r="G226" s="558" t="str">
        <f ca="1">IF(AND(E226&gt;0,E226&lt;30),LOOKUP(CELL("contenido",E226),$A$26:$B$55),"")</f>
        <v>CUATRO</v>
      </c>
      <c r="H226" s="559">
        <f>+RIGHT(H224,2)*1</f>
        <v>1</v>
      </c>
      <c r="I226" s="560" t="s">
        <v>346</v>
      </c>
      <c r="J226" s="561" t="str">
        <f ca="1">IF(E224&lt;2000,"",IF(CELL("contenido",H226)=1,"UN",IF(AND(H226&gt;0,H226&lt;30),LOOKUP(CELL("contenido",H226),$A$26:$B$55),"")))</f>
        <v/>
      </c>
      <c r="K226" s="562">
        <f>+RIGHT(K224,2)*1</f>
        <v>0</v>
      </c>
      <c r="L226" s="563" t="s">
        <v>346</v>
      </c>
      <c r="M226" s="564" t="str">
        <f ca="1">IF(CELL("contenido",K226)=1,"UN",IF(AND(K226&gt;0,K226&lt;30),LOOKUP(CELL("contenido",K226),$A$26:$B$55),""))</f>
        <v/>
      </c>
      <c r="N226" s="565">
        <f>+RIGHT(N224,2)*1</f>
        <v>0</v>
      </c>
      <c r="O226" s="566" t="s">
        <v>346</v>
      </c>
      <c r="P226" s="567" t="str">
        <f ca="1">IF(CELL("contenido",N226)=1,"UN",IF(AND(N226&gt;0,N226&lt;30),LOOKUP(CELL("contenido",N226),$A$26:$B$55),""))</f>
        <v/>
      </c>
      <c r="Q226" s="568">
        <f>+RIGHT(Q224,2)*1</f>
        <v>0</v>
      </c>
      <c r="R226" s="569" t="s">
        <v>346</v>
      </c>
      <c r="S226" s="570" t="str">
        <f ca="1">IF(CELL("contenido",Q226)=1,"UN",IF(AND(Q226&gt;0,Q226&lt;30),LOOKUP(CELL("contenido",Q226),$A$26:$B$55),""))</f>
        <v/>
      </c>
      <c r="U226" s="549" t="str">
        <f ca="1">+IF(CELL("contenido",G226)&lt;&gt;"",CONCATENATE(G229," ",G228," ",G226," ",U224),IF(CELL("contenido",G225)="",CONCATENATE(G229," ",G228," ",G227," ",U224),CONCATENATE(G229," ",G228," ",G227," Y ",G225," ",U224)))</f>
        <v>MIL CUATROCIENTOS CUATRO  88/100 BOLIVIANOS</v>
      </c>
    </row>
    <row r="227" spans="4:21" ht="14.4" thickBot="1">
      <c r="D227" s="552"/>
      <c r="E227" s="556">
        <f>+RIGHT(E224,2)*1-E225</f>
        <v>0</v>
      </c>
      <c r="F227" s="557" t="s">
        <v>348</v>
      </c>
      <c r="G227" s="558" t="str">
        <f ca="1">+IF(AND(E227&gt;0,E224&gt;=30),LOOKUP(CELL("contenido",E227),$C$26:$D$35),"")</f>
        <v/>
      </c>
      <c r="H227" s="559">
        <f>+RIGHT(H224,2)*1-H225</f>
        <v>0</v>
      </c>
      <c r="I227" s="560" t="s">
        <v>348</v>
      </c>
      <c r="J227" s="561" t="str">
        <f ca="1">+IF(AND(H227&gt;0,H224&gt;=30),LOOKUP(CELL("contenido",H227),$C$26:$D$35),"")</f>
        <v/>
      </c>
      <c r="K227" s="562">
        <f>+RIGHT(K224,2)*1-K225</f>
        <v>0</v>
      </c>
      <c r="L227" s="563" t="s">
        <v>348</v>
      </c>
      <c r="M227" s="564" t="str">
        <f ca="1">+IF(AND(K227&gt;0,K224&gt;=30),LOOKUP(CELL("contenido",K227),$C$26:$D$35),"")</f>
        <v/>
      </c>
      <c r="N227" s="565">
        <f>+RIGHT(N224,2)*1-N225</f>
        <v>0</v>
      </c>
      <c r="O227" s="566" t="s">
        <v>348</v>
      </c>
      <c r="P227" s="567" t="str">
        <f ca="1">+IF(AND(N227&gt;0,K229&gt;=30),LOOKUP(CELL("contenido",N227),$C$26:$D$35),"")</f>
        <v/>
      </c>
      <c r="Q227" s="568">
        <f>+RIGHT(Q224,2)*1-Q225</f>
        <v>0</v>
      </c>
      <c r="R227" s="569" t="s">
        <v>348</v>
      </c>
      <c r="S227" s="570" t="str">
        <f ca="1">+IF(AND(Q227&gt;0,N229&gt;=30),LOOKUP(CELL("contenido",Q227),$C$26:$D$35),"")</f>
        <v/>
      </c>
      <c r="U227" s="549" t="str">
        <f ca="1">+IF(CELL("contenido",J226)&lt;&gt;"",CONCATENATE(J229," ",J228," ",J226," "),IF(CELL("contenido",J225)="",CONCATENATE(J229," ",J228," ",J227," "),CONCATENATE(J229," ",J228," ",J227," Y ",J225," ")))</f>
        <v xml:space="preserve">   </v>
      </c>
    </row>
    <row r="228" spans="4:21" ht="14.4" thickBot="1">
      <c r="D228" s="552"/>
      <c r="E228" s="556">
        <f>+RIGHT(E224,3)*1-E227-E225</f>
        <v>400</v>
      </c>
      <c r="F228" s="557" t="s">
        <v>350</v>
      </c>
      <c r="G228" s="558" t="str">
        <f ca="1">+IF((RIGHT(E224,3)*1)=100,"CIEN",IF(AND(E228&gt;0,E228&lt;1000),LOOKUP(CELL("contenido",E228),$E$26:$F$35),""))</f>
        <v>CUATROCIENTOS</v>
      </c>
      <c r="H228" s="559">
        <f>+RIGHT(H224,3)*1-H227-H225</f>
        <v>0</v>
      </c>
      <c r="I228" s="560" t="s">
        <v>350</v>
      </c>
      <c r="J228" s="561" t="str">
        <f ca="1">+IF(H224=100,"CIEN",IF(AND(H228&gt;0,H228&lt;1000),LOOKUP(CELL("contenido",H228),$E$26:$F$35),""))</f>
        <v/>
      </c>
      <c r="K228" s="562">
        <f>+RIGHT(K224,3)*1-K227-K225</f>
        <v>0</v>
      </c>
      <c r="L228" s="563" t="s">
        <v>350</v>
      </c>
      <c r="M228" s="564" t="str">
        <f ca="1">+IF(K224=100,"CIEN",IF(AND(K228&gt;0,K228&lt;1000),LOOKUP(CELL("contenido",K228),$E$26:$F$35),""))</f>
        <v/>
      </c>
      <c r="N228" s="565">
        <f>+RIGHT(N224,3)*1-N227-N225</f>
        <v>0</v>
      </c>
      <c r="O228" s="566" t="s">
        <v>350</v>
      </c>
      <c r="P228" s="567" t="str">
        <f ca="1">+IF(N224=100,"CIEN",IF(AND(N228&gt;0,N228&lt;1000),LOOKUP(CELL("contenido",N228),$E$26:$F$35),""))</f>
        <v/>
      </c>
      <c r="Q228" s="568">
        <f>+RIGHT(Q224,3)*1-Q227-Q225</f>
        <v>0</v>
      </c>
      <c r="R228" s="569" t="s">
        <v>350</v>
      </c>
      <c r="S228" s="570" t="str">
        <f ca="1">+IF(Q224=100,"CIEN",IF(AND(Q228&gt;0,Q228&lt;1000),LOOKUP(CELL("contenido",Q228),$E$26:$F$35),""))</f>
        <v/>
      </c>
      <c r="U228" s="549" t="str">
        <f ca="1">+IF(CELL("contenido",M226)&lt;&gt;"",CONCATENATE(M229," ",M228," ",M226," "),IF(CELL("contenido",M225)="",CONCATENATE(M229," ",M228," ",M227," "),CONCATENATE(M229," ",M228," ",M227," Y ",M225," ")))</f>
        <v xml:space="preserve">   </v>
      </c>
    </row>
    <row r="229" spans="4:21" ht="14.4" thickBot="1">
      <c r="D229" s="552"/>
      <c r="E229" s="572">
        <f>+RIGHT(E224,4)*1-E228-E227-E225</f>
        <v>1000</v>
      </c>
      <c r="F229" s="573" t="s">
        <v>352</v>
      </c>
      <c r="G229" s="574" t="str">
        <f ca="1">+IF(E224&gt;999,"MIL",IF(AND(E229&gt;0,E229&lt;10000),LOOKUP(CELL("contenido",E229),$E$26:$F$35),""))</f>
        <v>MIL</v>
      </c>
      <c r="H229" s="575">
        <f>INT(E224/1000000)</f>
        <v>0</v>
      </c>
      <c r="I229" s="576" t="s">
        <v>353</v>
      </c>
      <c r="J229" s="577" t="str">
        <f ca="1">+IF(CELL("contenido",M226)=1,"MILLÓN",IF(H229=1,"MILLÓN",IF(H229&gt;1,"MILLONES","")))</f>
        <v/>
      </c>
      <c r="K229" s="578">
        <f>+RIGHT(K224,4)*1-K228-K227-K225</f>
        <v>0</v>
      </c>
      <c r="L229" s="579" t="s">
        <v>354</v>
      </c>
      <c r="M229" s="580" t="str">
        <f ca="1">+IF(AND(K229&gt;0,K229&lt;10000),LOOKUP(CELL("contenido",K229),$E$26:$F$35),"")</f>
        <v/>
      </c>
      <c r="N229" s="581">
        <f>+RIGHT(N224,4)*1-N228-N227-N225</f>
        <v>0</v>
      </c>
      <c r="O229" s="582" t="s">
        <v>355</v>
      </c>
      <c r="P229" s="583" t="str">
        <f>+IF(N229=1,"UN MILLARDO",IF(N224&gt;1,"MILLARDOS",""))</f>
        <v/>
      </c>
      <c r="Q229" s="584">
        <f>+RIGHT(Q224,4)*1-Q228-Q227-Q225</f>
        <v>0</v>
      </c>
      <c r="R229" s="585" t="s">
        <v>355</v>
      </c>
      <c r="S229" s="586" t="str">
        <f>+IF(Q229=1,"UN MILLARDO",IF(Q224&gt;1,"MILLARDOS",""))</f>
        <v/>
      </c>
      <c r="U229" s="549" t="str">
        <f ca="1">+IF(CELL("contenido",P226)&lt;&gt;"",CONCATENATE(P229," ",P228," ",P226," "),IF(CELL("contenido",P225)="",CONCATENATE(P229," ",P228," ",P227," "),CONCATENATE(P229," ",P228," ",P227," Y ",P225," ")))</f>
        <v xml:space="preserve">   </v>
      </c>
    </row>
    <row r="230" spans="4:21" ht="14.4" thickTop="1">
      <c r="D230" s="552"/>
      <c r="E230" s="549"/>
      <c r="F230" s="549"/>
      <c r="G230" s="549"/>
      <c r="H230" s="549"/>
      <c r="I230" s="549"/>
      <c r="J230" s="587"/>
      <c r="K230" s="587"/>
      <c r="L230" s="587"/>
      <c r="M230" s="550"/>
      <c r="N230" s="550"/>
      <c r="O230" s="550"/>
      <c r="P230" s="549"/>
      <c r="Q230" s="550"/>
      <c r="R230" s="550"/>
      <c r="S230" s="549"/>
      <c r="U230" s="549" t="str">
        <f ca="1">+IF(CELL("contenido",S226)&lt;&gt;"",CONCATENATE(S228," ",S226," "),IF(CELL("contenido",S225)="",CONCATENATE(S228," ",S227," "),CONCATENATE(S228," ",S227," Y ",S225," ")))</f>
        <v xml:space="preserve">  </v>
      </c>
    </row>
    <row r="231" spans="4:21" ht="13.8">
      <c r="D231" s="549" t="s">
        <v>374</v>
      </c>
      <c r="E231" s="549"/>
      <c r="F231" s="549"/>
      <c r="G231" s="549"/>
      <c r="H231" s="549"/>
      <c r="I231" s="549"/>
      <c r="J231" s="549"/>
      <c r="K231" s="549"/>
      <c r="L231" s="549"/>
      <c r="M231" s="549"/>
      <c r="N231" s="549"/>
      <c r="O231" s="549"/>
      <c r="P231" s="549"/>
      <c r="Q231" s="549"/>
      <c r="R231" s="549"/>
      <c r="S231" s="549"/>
      <c r="U231" s="546"/>
    </row>
    <row r="232" spans="4:21" ht="13.8">
      <c r="D232" s="552"/>
      <c r="E232" s="553">
        <f>ROUND(100*(A18-INT(A18)),2)</f>
        <v>76</v>
      </c>
      <c r="F232" s="549" t="s">
        <v>334</v>
      </c>
      <c r="G232" s="549"/>
      <c r="H232" s="549"/>
      <c r="I232" s="549"/>
      <c r="J232" s="549"/>
      <c r="K232" s="549"/>
      <c r="L232" s="549"/>
      <c r="M232" s="549"/>
      <c r="N232" s="549"/>
      <c r="O232" s="549"/>
      <c r="P232" s="549"/>
      <c r="Q232" s="549"/>
      <c r="R232" s="549"/>
      <c r="S232" s="549"/>
    </row>
    <row r="233" spans="4:21" ht="13.8">
      <c r="D233" s="549"/>
      <c r="E233" s="549">
        <f>+LEN(E235)</f>
        <v>2</v>
      </c>
      <c r="F233" s="549" t="s">
        <v>335</v>
      </c>
      <c r="G233" s="549"/>
      <c r="H233" s="549"/>
      <c r="I233" s="549"/>
      <c r="J233" s="549"/>
      <c r="K233" s="549"/>
      <c r="L233" s="549"/>
      <c r="M233" s="549"/>
      <c r="N233" s="549"/>
      <c r="O233" s="549"/>
      <c r="P233" s="549"/>
      <c r="Q233" s="549"/>
      <c r="R233" s="549"/>
      <c r="S233" s="549"/>
    </row>
    <row r="234" spans="4:21" ht="14.4" thickBot="1">
      <c r="D234" s="552"/>
      <c r="E234" s="549"/>
      <c r="F234" s="549"/>
      <c r="G234" s="549"/>
      <c r="H234" s="549"/>
      <c r="I234" s="549"/>
      <c r="J234" s="549"/>
      <c r="K234" s="549"/>
      <c r="L234" s="549"/>
      <c r="M234" s="549"/>
      <c r="N234" s="549"/>
      <c r="O234" s="549"/>
      <c r="P234" s="549"/>
      <c r="Q234" s="549"/>
      <c r="R234" s="549"/>
      <c r="S234" s="549"/>
    </row>
    <row r="235" spans="4:21" ht="15" thickTop="1" thickBot="1">
      <c r="D235" s="549"/>
      <c r="E235" s="554">
        <f>+A18-E232/100</f>
        <v>30</v>
      </c>
      <c r="F235" s="1443" t="s">
        <v>338</v>
      </c>
      <c r="G235" s="1444"/>
      <c r="H235" s="555">
        <f>+IF(E235&gt;1000,INT(E235/1000),0)</f>
        <v>0</v>
      </c>
      <c r="I235" s="1443" t="s">
        <v>339</v>
      </c>
      <c r="J235" s="1444"/>
      <c r="K235" s="555">
        <f>+INT(H235/1000)</f>
        <v>0</v>
      </c>
      <c r="L235" s="1443" t="s">
        <v>340</v>
      </c>
      <c r="M235" s="1444"/>
      <c r="N235" s="555">
        <f>+INT(K235/1000)</f>
        <v>0</v>
      </c>
      <c r="O235" s="1443" t="s">
        <v>341</v>
      </c>
      <c r="P235" s="1444"/>
      <c r="Q235" s="555">
        <f>+INT(N235)</f>
        <v>0</v>
      </c>
      <c r="R235" s="1443" t="s">
        <v>341</v>
      </c>
      <c r="S235" s="1444"/>
      <c r="U235" s="549" t="str">
        <f>+IF(E232=0,CONCATENATE("00",U236),IF(E232&lt;10,CONCATENATE(" 0",E232,U236),CONCATENATE(" ",E232,U236)))</f>
        <v xml:space="preserve"> 76/100 BOLIVIANOS</v>
      </c>
    </row>
    <row r="236" spans="4:21" ht="14.4" thickBot="1">
      <c r="D236" s="552"/>
      <c r="E236" s="556">
        <f>+RIGHT(E235)*1</f>
        <v>0</v>
      </c>
      <c r="F236" s="557" t="s">
        <v>343</v>
      </c>
      <c r="G236" s="558" t="str">
        <f ca="1">+IF(AND(E236&gt;0,E236&lt;10),LOOKUP(CELL("contenido",E236),$A$26:$B$35),"")</f>
        <v/>
      </c>
      <c r="H236" s="559">
        <f>+RIGHT(H235)*1</f>
        <v>0</v>
      </c>
      <c r="I236" s="560" t="s">
        <v>343</v>
      </c>
      <c r="J236" s="561" t="str">
        <f ca="1">IF(E235&lt;2000,"",IF(CELL("contenido",H236)=1,"UN",IF(AND(H236&gt;0,H236&lt;10),LOOKUP(CELL("contenido",H236),$A$26:$B$35),"")))</f>
        <v/>
      </c>
      <c r="K236" s="562">
        <f>+RIGHT(K235)*1</f>
        <v>0</v>
      </c>
      <c r="L236" s="563" t="s">
        <v>343</v>
      </c>
      <c r="M236" s="564" t="str">
        <f ca="1">+IF(CELL("contenido",K236)=1,"UN",IF(AND(K236&gt;0,K236&lt;10),LOOKUP(CELL("contenido",K236),$A$26:$B$35),""))</f>
        <v/>
      </c>
      <c r="N236" s="565">
        <f>+RIGHT(N235)*1</f>
        <v>0</v>
      </c>
      <c r="O236" s="566" t="s">
        <v>343</v>
      </c>
      <c r="P236" s="567" t="str">
        <f ca="1">+IF(CELL("contenido",N236)=1,"UN",IF(AND(N236&gt;0,N236&lt;10),LOOKUP(CELL("contenido",N236),$A$26:$B$35),""))</f>
        <v/>
      </c>
      <c r="Q236" s="568">
        <f>+RIGHT(Q235)*1</f>
        <v>0</v>
      </c>
      <c r="R236" s="569" t="s">
        <v>343</v>
      </c>
      <c r="S236" s="570" t="str">
        <f ca="1">+IF(CELL("contenido",Q236)=1,"UN",IF(AND(Q236&gt;0,Q236&lt;10),LOOKUP(CELL("contenido",Q236),$A$26:$B$35),""))</f>
        <v/>
      </c>
      <c r="U236" s="571" t="s">
        <v>344</v>
      </c>
    </row>
    <row r="237" spans="4:21" ht="14.4" thickBot="1">
      <c r="D237" s="552"/>
      <c r="E237" s="556">
        <f>+RIGHT(E235,2)*1</f>
        <v>30</v>
      </c>
      <c r="F237" s="557" t="s">
        <v>346</v>
      </c>
      <c r="G237" s="558" t="str">
        <f ca="1">IF(AND(E237&gt;0,E237&lt;30),LOOKUP(CELL("contenido",E237),$A$26:$B$55),"")</f>
        <v/>
      </c>
      <c r="H237" s="559">
        <f>+RIGHT(H235,2)*1</f>
        <v>0</v>
      </c>
      <c r="I237" s="560" t="s">
        <v>346</v>
      </c>
      <c r="J237" s="561" t="str">
        <f ca="1">IF(E235&lt;2000,"",IF(CELL("contenido",H237)=1,"UN",IF(AND(H237&gt;0,H237&lt;30),LOOKUP(CELL("contenido",H237),$A$26:$B$55),"")))</f>
        <v/>
      </c>
      <c r="K237" s="562">
        <f>+RIGHT(K235,2)*1</f>
        <v>0</v>
      </c>
      <c r="L237" s="563" t="s">
        <v>346</v>
      </c>
      <c r="M237" s="564" t="str">
        <f ca="1">IF(CELL("contenido",K237)=1,"UN",IF(AND(K237&gt;0,K237&lt;30),LOOKUP(CELL("contenido",K237),$A$26:$B$55),""))</f>
        <v/>
      </c>
      <c r="N237" s="565">
        <f>+RIGHT(N235,2)*1</f>
        <v>0</v>
      </c>
      <c r="O237" s="566" t="s">
        <v>346</v>
      </c>
      <c r="P237" s="567" t="str">
        <f ca="1">IF(CELL("contenido",N237)=1,"UN",IF(AND(N237&gt;0,N237&lt;30),LOOKUP(CELL("contenido",N237),$A$26:$B$55),""))</f>
        <v/>
      </c>
      <c r="Q237" s="568">
        <f>+RIGHT(Q235,2)*1</f>
        <v>0</v>
      </c>
      <c r="R237" s="569" t="s">
        <v>346</v>
      </c>
      <c r="S237" s="570" t="str">
        <f ca="1">IF(CELL("contenido",Q237)=1,"UN",IF(AND(Q237&gt;0,Q237&lt;30),LOOKUP(CELL("contenido",Q237),$A$26:$B$55),""))</f>
        <v/>
      </c>
      <c r="U237" s="549" t="str">
        <f ca="1">+IF(CELL("contenido",G237)&lt;&gt;"",CONCATENATE(G240," ",G239," ",G237," ",U235),IF(CELL("contenido",G236)="",CONCATENATE(G240," ",G239," ",G238," ",U235),CONCATENATE(G240," ",G239," ",G238," Y ",G236," ",U235)))</f>
        <v xml:space="preserve">  TREINTA  76/100 BOLIVIANOS</v>
      </c>
    </row>
    <row r="238" spans="4:21" ht="14.4" thickBot="1">
      <c r="D238" s="552"/>
      <c r="E238" s="556">
        <f>+RIGHT(E235,2)*1-E236</f>
        <v>30</v>
      </c>
      <c r="F238" s="557" t="s">
        <v>348</v>
      </c>
      <c r="G238" s="558" t="str">
        <f ca="1">+IF(AND(E238&gt;0,E235&gt;=30),LOOKUP(CELL("contenido",E238),$C$26:$D$35),"")</f>
        <v>TREINTA</v>
      </c>
      <c r="H238" s="559">
        <f>+RIGHT(H235,2)*1-H236</f>
        <v>0</v>
      </c>
      <c r="I238" s="560" t="s">
        <v>348</v>
      </c>
      <c r="J238" s="561" t="str">
        <f ca="1">+IF(AND(H238&gt;0,H235&gt;=30),LOOKUP(CELL("contenido",H238),$C$26:$D$35),"")</f>
        <v/>
      </c>
      <c r="K238" s="562">
        <f>+RIGHT(K235,2)*1-K236</f>
        <v>0</v>
      </c>
      <c r="L238" s="563" t="s">
        <v>348</v>
      </c>
      <c r="M238" s="564" t="str">
        <f ca="1">+IF(AND(K238&gt;0,K235&gt;=30),LOOKUP(CELL("contenido",K238),$C$26:$D$35),"")</f>
        <v/>
      </c>
      <c r="N238" s="565">
        <f>+RIGHT(N235,2)*1-N236</f>
        <v>0</v>
      </c>
      <c r="O238" s="566" t="s">
        <v>348</v>
      </c>
      <c r="P238" s="567" t="str">
        <f ca="1">+IF(AND(N238&gt;0,K240&gt;=30),LOOKUP(CELL("contenido",N238),$C$26:$D$35),"")</f>
        <v/>
      </c>
      <c r="Q238" s="568">
        <f>+RIGHT(Q235,2)*1-Q236</f>
        <v>0</v>
      </c>
      <c r="R238" s="569" t="s">
        <v>348</v>
      </c>
      <c r="S238" s="570" t="str">
        <f ca="1">+IF(AND(Q238&gt;0,N240&gt;=30),LOOKUP(CELL("contenido",Q238),$C$26:$D$35),"")</f>
        <v/>
      </c>
      <c r="U238" s="549" t="str">
        <f ca="1">+IF(CELL("contenido",J237)&lt;&gt;"",CONCATENATE(J240," ",J239," ",J237," "),IF(CELL("contenido",J236)="",CONCATENATE(J240," ",J239," ",J238," "),CONCATENATE(J240," ",J239," ",J238," Y ",J236," ")))</f>
        <v xml:space="preserve">   </v>
      </c>
    </row>
    <row r="239" spans="4:21" ht="14.4" thickBot="1">
      <c r="D239" s="552"/>
      <c r="E239" s="556">
        <f>+RIGHT(E235,3)*1-E238-E236</f>
        <v>0</v>
      </c>
      <c r="F239" s="557" t="s">
        <v>350</v>
      </c>
      <c r="G239" s="558" t="str">
        <f ca="1">+IF((RIGHT(E235,3)*1)=100,"CIEN",IF(AND(E239&gt;0,E239&lt;1000),LOOKUP(CELL("contenido",E239),$E$26:$F$35),""))</f>
        <v/>
      </c>
      <c r="H239" s="559">
        <f>+RIGHT(H235,3)*1-H238-H236</f>
        <v>0</v>
      </c>
      <c r="I239" s="560" t="s">
        <v>350</v>
      </c>
      <c r="J239" s="561" t="str">
        <f ca="1">+IF(H235=100,"CIEN",IF(AND(H239&gt;0,H239&lt;1000),LOOKUP(CELL("contenido",H239),$E$26:$F$35),""))</f>
        <v/>
      </c>
      <c r="K239" s="562">
        <f>+RIGHT(K235,3)*1-K238-K236</f>
        <v>0</v>
      </c>
      <c r="L239" s="563" t="s">
        <v>350</v>
      </c>
      <c r="M239" s="564" t="str">
        <f ca="1">+IF(K235=100,"CIEN",IF(AND(K239&gt;0,K239&lt;1000),LOOKUP(CELL("contenido",K239),$E$26:$F$35),""))</f>
        <v/>
      </c>
      <c r="N239" s="565">
        <f>+RIGHT(N235,3)*1-N238-N236</f>
        <v>0</v>
      </c>
      <c r="O239" s="566" t="s">
        <v>350</v>
      </c>
      <c r="P239" s="567" t="str">
        <f ca="1">+IF(N235=100,"CIEN",IF(AND(N239&gt;0,N239&lt;1000),LOOKUP(CELL("contenido",N239),$E$26:$F$35),""))</f>
        <v/>
      </c>
      <c r="Q239" s="568">
        <f>+RIGHT(Q235,3)*1-Q238-Q236</f>
        <v>0</v>
      </c>
      <c r="R239" s="569" t="s">
        <v>350</v>
      </c>
      <c r="S239" s="570" t="str">
        <f ca="1">+IF(Q235=100,"CIEN",IF(AND(Q239&gt;0,Q239&lt;1000),LOOKUP(CELL("contenido",Q239),$E$26:$F$35),""))</f>
        <v/>
      </c>
      <c r="U239" s="549" t="str">
        <f ca="1">+IF(CELL("contenido",M237)&lt;&gt;"",CONCATENATE(M240," ",M239," ",M237," "),IF(CELL("contenido",M236)="",CONCATENATE(M240," ",M239," ",M238," "),CONCATENATE(M240," ",M239," ",M238," Y ",M236," ")))</f>
        <v xml:space="preserve">   </v>
      </c>
    </row>
    <row r="240" spans="4:21" ht="14.4" thickBot="1">
      <c r="D240" s="552"/>
      <c r="E240" s="572">
        <f>+RIGHT(E235,4)*1-E239-E238-E236</f>
        <v>0</v>
      </c>
      <c r="F240" s="573" t="s">
        <v>352</v>
      </c>
      <c r="G240" s="574" t="str">
        <f ca="1">+IF(E235&gt;999,"MIL",IF(AND(E240&gt;0,E240&lt;10000),LOOKUP(CELL("contenido",E240),$E$26:$F$35),""))</f>
        <v/>
      </c>
      <c r="H240" s="575">
        <f>INT(E235/1000000)</f>
        <v>0</v>
      </c>
      <c r="I240" s="576" t="s">
        <v>353</v>
      </c>
      <c r="J240" s="577" t="str">
        <f ca="1">+IF(CELL("contenido",M237)=1,"MILLÓN",IF(H240=1,"MILLÓN",IF(H240&gt;1,"MILLONES","")))</f>
        <v/>
      </c>
      <c r="K240" s="578">
        <f>+RIGHT(K235,4)*1-K239-K238-K236</f>
        <v>0</v>
      </c>
      <c r="L240" s="579" t="s">
        <v>354</v>
      </c>
      <c r="M240" s="580" t="str">
        <f ca="1">+IF(AND(K240&gt;0,K240&lt;10000),LOOKUP(CELL("contenido",K240),$E$26:$F$35),"")</f>
        <v/>
      </c>
      <c r="N240" s="581">
        <f>+RIGHT(N235,4)*1-N239-N238-N236</f>
        <v>0</v>
      </c>
      <c r="O240" s="582" t="s">
        <v>355</v>
      </c>
      <c r="P240" s="583" t="str">
        <f>+IF(N240=1,"UN MILLARDO",IF(N235&gt;1,"MILLARDOS",""))</f>
        <v/>
      </c>
      <c r="Q240" s="584">
        <f>+RIGHT(Q235,4)*1-Q239-Q238-Q236</f>
        <v>0</v>
      </c>
      <c r="R240" s="585" t="s">
        <v>355</v>
      </c>
      <c r="S240" s="586" t="str">
        <f>+IF(Q240=1,"UN MILLARDO",IF(Q235&gt;1,"MILLARDOS",""))</f>
        <v/>
      </c>
      <c r="U240" s="549" t="str">
        <f ca="1">+IF(CELL("contenido",P237)&lt;&gt;"",CONCATENATE(P240," ",P239," ",P237," "),IF(CELL("contenido",P236)="",CONCATENATE(P240," ",P239," ",P238," "),CONCATENATE(P240," ",P239," ",P238," Y ",P236," ")))</f>
        <v xml:space="preserve">   </v>
      </c>
    </row>
    <row r="241" spans="4:21" ht="14.4" thickTop="1">
      <c r="D241" s="552"/>
      <c r="E241" s="549"/>
      <c r="F241" s="549"/>
      <c r="G241" s="549"/>
      <c r="H241" s="549"/>
      <c r="I241" s="549"/>
      <c r="J241" s="587"/>
      <c r="K241" s="587"/>
      <c r="L241" s="587"/>
      <c r="M241" s="550"/>
      <c r="N241" s="550"/>
      <c r="O241" s="550"/>
      <c r="P241" s="549"/>
      <c r="Q241" s="550"/>
      <c r="R241" s="550"/>
      <c r="S241" s="549"/>
      <c r="U241" s="549" t="str">
        <f ca="1">+IF(CELL("contenido",S237)&lt;&gt;"",CONCATENATE(S239," ",S237," "),IF(CELL("contenido",S236)="",CONCATENATE(S239," ",S238," "),CONCATENATE(S239," ",S238," Y ",S236," ")))</f>
        <v xml:space="preserve">  </v>
      </c>
    </row>
    <row r="242" spans="4:21" ht="13.8">
      <c r="D242" s="549" t="s">
        <v>375</v>
      </c>
      <c r="E242" s="549"/>
      <c r="F242" s="549"/>
      <c r="G242" s="549"/>
      <c r="H242" s="549"/>
      <c r="I242" s="549"/>
      <c r="J242" s="549"/>
      <c r="K242" s="549"/>
      <c r="L242" s="549"/>
      <c r="M242" s="549"/>
      <c r="N242" s="549"/>
      <c r="O242" s="549"/>
      <c r="P242" s="549"/>
      <c r="Q242" s="549"/>
      <c r="R242" s="549"/>
      <c r="S242" s="549"/>
      <c r="U242" s="546"/>
    </row>
    <row r="243" spans="4:21" ht="13.8">
      <c r="D243" s="552"/>
      <c r="E243" s="553">
        <f>ROUND(100*(A19-INT(A19)),2)</f>
        <v>16</v>
      </c>
      <c r="F243" s="549" t="s">
        <v>334</v>
      </c>
      <c r="G243" s="549"/>
      <c r="H243" s="549"/>
      <c r="I243" s="549"/>
      <c r="J243" s="549"/>
      <c r="K243" s="549"/>
      <c r="L243" s="549"/>
      <c r="M243" s="549"/>
      <c r="N243" s="549"/>
      <c r="O243" s="549"/>
      <c r="P243" s="549"/>
      <c r="Q243" s="549"/>
      <c r="R243" s="549"/>
      <c r="S243" s="549"/>
    </row>
    <row r="244" spans="4:21" ht="13.8">
      <c r="D244" s="549"/>
      <c r="E244" s="549">
        <f>+LEN(E246)</f>
        <v>3</v>
      </c>
      <c r="F244" s="549" t="s">
        <v>335</v>
      </c>
      <c r="G244" s="549"/>
      <c r="H244" s="549"/>
      <c r="I244" s="549"/>
      <c r="J244" s="549"/>
      <c r="K244" s="549"/>
      <c r="L244" s="549"/>
      <c r="M244" s="549"/>
      <c r="N244" s="549"/>
      <c r="O244" s="549"/>
      <c r="P244" s="549"/>
      <c r="Q244" s="549"/>
      <c r="R244" s="549"/>
      <c r="S244" s="549"/>
    </row>
    <row r="245" spans="4:21" ht="14.4" thickBot="1">
      <c r="D245" s="552"/>
      <c r="E245" s="549"/>
      <c r="F245" s="549"/>
      <c r="G245" s="549"/>
      <c r="H245" s="549"/>
      <c r="I245" s="549"/>
      <c r="J245" s="549"/>
      <c r="K245" s="549"/>
      <c r="L245" s="549"/>
      <c r="M245" s="549"/>
      <c r="N245" s="549"/>
      <c r="O245" s="549"/>
      <c r="P245" s="549"/>
      <c r="Q245" s="549"/>
      <c r="R245" s="549"/>
      <c r="S245" s="549"/>
    </row>
    <row r="246" spans="4:21" ht="15" thickTop="1" thickBot="1">
      <c r="D246" s="549"/>
      <c r="E246" s="554">
        <f>+A19-E243/100</f>
        <v>895</v>
      </c>
      <c r="F246" s="1443" t="s">
        <v>338</v>
      </c>
      <c r="G246" s="1444"/>
      <c r="H246" s="555">
        <f>+IF(E246&gt;1000,INT(E246/1000),0)</f>
        <v>0</v>
      </c>
      <c r="I246" s="1443" t="s">
        <v>339</v>
      </c>
      <c r="J246" s="1444"/>
      <c r="K246" s="555">
        <f>+INT(H246/1000)</f>
        <v>0</v>
      </c>
      <c r="L246" s="1443" t="s">
        <v>340</v>
      </c>
      <c r="M246" s="1444"/>
      <c r="N246" s="555">
        <f>+INT(K246/1000)</f>
        <v>0</v>
      </c>
      <c r="O246" s="1443" t="s">
        <v>341</v>
      </c>
      <c r="P246" s="1444"/>
      <c r="Q246" s="555">
        <f>+INT(N246)</f>
        <v>0</v>
      </c>
      <c r="R246" s="1443" t="s">
        <v>341</v>
      </c>
      <c r="S246" s="1444"/>
      <c r="U246" s="549" t="str">
        <f>+IF(E243=0,CONCATENATE("00",U247),IF(E243&lt;10,CONCATENATE(" 0",E243,U247),CONCATENATE(" ",E243,U247)))</f>
        <v xml:space="preserve"> 16/100 BOLIVIANOS</v>
      </c>
    </row>
    <row r="247" spans="4:21" ht="14.4" thickBot="1">
      <c r="D247" s="552"/>
      <c r="E247" s="556">
        <f>+RIGHT(E246)*1</f>
        <v>5</v>
      </c>
      <c r="F247" s="557" t="s">
        <v>343</v>
      </c>
      <c r="G247" s="558" t="str">
        <f ca="1">+IF(AND(E247&gt;0,E247&lt;10),LOOKUP(CELL("contenido",E247),$A$26:$B$35),"")</f>
        <v>CINCO</v>
      </c>
      <c r="H247" s="559">
        <f>+RIGHT(H246)*1</f>
        <v>0</v>
      </c>
      <c r="I247" s="560" t="s">
        <v>343</v>
      </c>
      <c r="J247" s="561" t="str">
        <f ca="1">IF(E246&lt;2000,"",IF(CELL("contenido",H247)=1,"UN",IF(AND(H247&gt;0,H247&lt;10),LOOKUP(CELL("contenido",H247),$A$26:$B$35),"")))</f>
        <v/>
      </c>
      <c r="K247" s="562">
        <f>+RIGHT(K246)*1</f>
        <v>0</v>
      </c>
      <c r="L247" s="563" t="s">
        <v>343</v>
      </c>
      <c r="M247" s="564" t="str">
        <f ca="1">+IF(CELL("contenido",K247)=1,"UN",IF(AND(K247&gt;0,K247&lt;10),LOOKUP(CELL("contenido",K247),$A$26:$B$35),""))</f>
        <v/>
      </c>
      <c r="N247" s="565">
        <f>+RIGHT(N246)*1</f>
        <v>0</v>
      </c>
      <c r="O247" s="566" t="s">
        <v>343</v>
      </c>
      <c r="P247" s="567" t="str">
        <f ca="1">+IF(CELL("contenido",N247)=1,"UN",IF(AND(N247&gt;0,N247&lt;10),LOOKUP(CELL("contenido",N247),$A$26:$B$35),""))</f>
        <v/>
      </c>
      <c r="Q247" s="568">
        <f>+RIGHT(Q246)*1</f>
        <v>0</v>
      </c>
      <c r="R247" s="569" t="s">
        <v>343</v>
      </c>
      <c r="S247" s="570" t="str">
        <f ca="1">+IF(CELL("contenido",Q247)=1,"UN",IF(AND(Q247&gt;0,Q247&lt;10),LOOKUP(CELL("contenido",Q247),$A$26:$B$35),""))</f>
        <v/>
      </c>
      <c r="U247" s="571" t="s">
        <v>344</v>
      </c>
    </row>
    <row r="248" spans="4:21" ht="14.4" thickBot="1">
      <c r="D248" s="552"/>
      <c r="E248" s="556">
        <f>+RIGHT(E246,2)*1</f>
        <v>95</v>
      </c>
      <c r="F248" s="557" t="s">
        <v>346</v>
      </c>
      <c r="G248" s="558" t="str">
        <f ca="1">IF(AND(E248&gt;0,E248&lt;30),LOOKUP(CELL("contenido",E248),$A$26:$B$55),"")</f>
        <v/>
      </c>
      <c r="H248" s="559">
        <f>+RIGHT(H246,2)*1</f>
        <v>0</v>
      </c>
      <c r="I248" s="560" t="s">
        <v>346</v>
      </c>
      <c r="J248" s="561" t="str">
        <f ca="1">IF(E246&lt;2000,"",IF(CELL("contenido",H248)=1,"UN",IF(AND(H248&gt;0,H248&lt;30),LOOKUP(CELL("contenido",H248),$A$26:$B$55),"")))</f>
        <v/>
      </c>
      <c r="K248" s="562">
        <f>+RIGHT(K246,2)*1</f>
        <v>0</v>
      </c>
      <c r="L248" s="563" t="s">
        <v>346</v>
      </c>
      <c r="M248" s="564" t="str">
        <f ca="1">IF(CELL("contenido",K248)=1,"UN",IF(AND(K248&gt;0,K248&lt;30),LOOKUP(CELL("contenido",K248),$A$26:$B$55),""))</f>
        <v/>
      </c>
      <c r="N248" s="565">
        <f>+RIGHT(N246,2)*1</f>
        <v>0</v>
      </c>
      <c r="O248" s="566" t="s">
        <v>346</v>
      </c>
      <c r="P248" s="567" t="str">
        <f ca="1">IF(CELL("contenido",N248)=1,"UN",IF(AND(N248&gt;0,N248&lt;30),LOOKUP(CELL("contenido",N248),$A$26:$B$55),""))</f>
        <v/>
      </c>
      <c r="Q248" s="568">
        <f>+RIGHT(Q246,2)*1</f>
        <v>0</v>
      </c>
      <c r="R248" s="569" t="s">
        <v>346</v>
      </c>
      <c r="S248" s="570" t="str">
        <f ca="1">IF(CELL("contenido",Q248)=1,"UN",IF(AND(Q248&gt;0,Q248&lt;30),LOOKUP(CELL("contenido",Q248),$A$26:$B$55),""))</f>
        <v/>
      </c>
      <c r="U248" s="549" t="str">
        <f ca="1">+IF(CELL("contenido",G248)&lt;&gt;"",CONCATENATE(G251," ",G250," ",G248," ",U246),IF(CELL("contenido",G247)="",CONCATENATE(G251," ",G250," ",G249," ",U246),CONCATENATE(G251," ",G250," ",G249," Y ",G247," ",U246)))</f>
        <v xml:space="preserve"> OCHOCIENTOS NOVENTA Y CINCO  16/100 BOLIVIANOS</v>
      </c>
    </row>
    <row r="249" spans="4:21" ht="14.4" thickBot="1">
      <c r="D249" s="552"/>
      <c r="E249" s="556">
        <f>+RIGHT(E246,2)*1-E247</f>
        <v>90</v>
      </c>
      <c r="F249" s="557" t="s">
        <v>348</v>
      </c>
      <c r="G249" s="558" t="str">
        <f ca="1">+IF(AND(E249&gt;0,E246&gt;=30),LOOKUP(CELL("contenido",E249),$C$26:$D$35),"")</f>
        <v>NOVENTA</v>
      </c>
      <c r="H249" s="559">
        <f>+RIGHT(H246,2)*1-H247</f>
        <v>0</v>
      </c>
      <c r="I249" s="560" t="s">
        <v>348</v>
      </c>
      <c r="J249" s="561" t="str">
        <f ca="1">+IF(AND(H249&gt;0,H246&gt;=30),LOOKUP(CELL("contenido",H249),$C$26:$D$35),"")</f>
        <v/>
      </c>
      <c r="K249" s="562">
        <f>+RIGHT(K246,2)*1-K247</f>
        <v>0</v>
      </c>
      <c r="L249" s="563" t="s">
        <v>348</v>
      </c>
      <c r="M249" s="564" t="str">
        <f ca="1">+IF(AND(K249&gt;0,K246&gt;=30),LOOKUP(CELL("contenido",K249),$C$26:$D$35),"")</f>
        <v/>
      </c>
      <c r="N249" s="565">
        <f>+RIGHT(N246,2)*1-N247</f>
        <v>0</v>
      </c>
      <c r="O249" s="566" t="s">
        <v>348</v>
      </c>
      <c r="P249" s="567" t="str">
        <f ca="1">+IF(AND(N249&gt;0,K251&gt;=30),LOOKUP(CELL("contenido",N249),$C$26:$D$35),"")</f>
        <v/>
      </c>
      <c r="Q249" s="568">
        <f>+RIGHT(Q246,2)*1-Q247</f>
        <v>0</v>
      </c>
      <c r="R249" s="569" t="s">
        <v>348</v>
      </c>
      <c r="S249" s="570" t="str">
        <f ca="1">+IF(AND(Q249&gt;0,N251&gt;=30),LOOKUP(CELL("contenido",Q249),$C$26:$D$35),"")</f>
        <v/>
      </c>
      <c r="U249" s="549" t="str">
        <f ca="1">+IF(CELL("contenido",J248)&lt;&gt;"",CONCATENATE(J251," ",J250," ",J248," "),IF(CELL("contenido",J247)="",CONCATENATE(J251," ",J250," ",J249," "),CONCATENATE(J251," ",J250," ",J249," Y ",J247," ")))</f>
        <v xml:space="preserve">   </v>
      </c>
    </row>
    <row r="250" spans="4:21" ht="14.4" thickBot="1">
      <c r="D250" s="552"/>
      <c r="E250" s="556">
        <f>+RIGHT(E246,3)*1-E249-E247</f>
        <v>800</v>
      </c>
      <c r="F250" s="557" t="s">
        <v>350</v>
      </c>
      <c r="G250" s="558" t="str">
        <f ca="1">+IF((RIGHT(E246,3)*1)=100,"CIEN",IF(AND(E250&gt;0,E250&lt;1000),LOOKUP(CELL("contenido",E250),$E$26:$F$35),""))</f>
        <v>OCHOCIENTOS</v>
      </c>
      <c r="H250" s="559">
        <f>+RIGHT(H246,3)*1-H249-H247</f>
        <v>0</v>
      </c>
      <c r="I250" s="560" t="s">
        <v>350</v>
      </c>
      <c r="J250" s="561" t="str">
        <f ca="1">+IF(H246=100,"CIEN",IF(AND(H250&gt;0,H250&lt;1000),LOOKUP(CELL("contenido",H250),$E$26:$F$35),""))</f>
        <v/>
      </c>
      <c r="K250" s="562">
        <f>+RIGHT(K246,3)*1-K249-K247</f>
        <v>0</v>
      </c>
      <c r="L250" s="563" t="s">
        <v>350</v>
      </c>
      <c r="M250" s="564" t="str">
        <f ca="1">+IF(K246=100,"CIEN",IF(AND(K250&gt;0,K250&lt;1000),LOOKUP(CELL("contenido",K250),$E$26:$F$35),""))</f>
        <v/>
      </c>
      <c r="N250" s="565">
        <f>+RIGHT(N246,3)*1-N249-N247</f>
        <v>0</v>
      </c>
      <c r="O250" s="566" t="s">
        <v>350</v>
      </c>
      <c r="P250" s="567" t="str">
        <f ca="1">+IF(N246=100,"CIEN",IF(AND(N250&gt;0,N250&lt;1000),LOOKUP(CELL("contenido",N250),$E$26:$F$35),""))</f>
        <v/>
      </c>
      <c r="Q250" s="568">
        <f>+RIGHT(Q246,3)*1-Q249-Q247</f>
        <v>0</v>
      </c>
      <c r="R250" s="569" t="s">
        <v>350</v>
      </c>
      <c r="S250" s="570" t="str">
        <f ca="1">+IF(Q246=100,"CIEN",IF(AND(Q250&gt;0,Q250&lt;1000),LOOKUP(CELL("contenido",Q250),$E$26:$F$35),""))</f>
        <v/>
      </c>
      <c r="U250" s="549" t="str">
        <f ca="1">+IF(CELL("contenido",M248)&lt;&gt;"",CONCATENATE(M251," ",M250," ",M248," "),IF(CELL("contenido",M247)="",CONCATENATE(M251," ",M250," ",M249," "),CONCATENATE(M251," ",M250," ",M249," Y ",M247," ")))</f>
        <v xml:space="preserve">   </v>
      </c>
    </row>
    <row r="251" spans="4:21" ht="14.4" thickBot="1">
      <c r="D251" s="552"/>
      <c r="E251" s="572">
        <f>+RIGHT(E246,4)*1-E250-E249-E247</f>
        <v>0</v>
      </c>
      <c r="F251" s="573" t="s">
        <v>352</v>
      </c>
      <c r="G251" s="574" t="str">
        <f ca="1">+IF(E246&gt;999,"MIL",IF(AND(E251&gt;0,E251&lt;10000),LOOKUP(CELL("contenido",E251),$E$26:$F$35),""))</f>
        <v/>
      </c>
      <c r="H251" s="575">
        <f>INT(E246/1000000)</f>
        <v>0</v>
      </c>
      <c r="I251" s="576" t="s">
        <v>353</v>
      </c>
      <c r="J251" s="577" t="str">
        <f ca="1">+IF(CELL("contenido",M248)=1,"MILLÓN",IF(H251=1,"MILLÓN",IF(H251&gt;1,"MILLONES","")))</f>
        <v/>
      </c>
      <c r="K251" s="578">
        <f>+RIGHT(K246,4)*1-K250-K249-K247</f>
        <v>0</v>
      </c>
      <c r="L251" s="579" t="s">
        <v>354</v>
      </c>
      <c r="M251" s="580" t="str">
        <f ca="1">+IF(AND(K251&gt;0,K251&lt;10000),LOOKUP(CELL("contenido",K251),$E$26:$F$35),"")</f>
        <v/>
      </c>
      <c r="N251" s="581">
        <f>+RIGHT(N246,4)*1-N250-N249-N247</f>
        <v>0</v>
      </c>
      <c r="O251" s="582" t="s">
        <v>355</v>
      </c>
      <c r="P251" s="583" t="str">
        <f>+IF(N251=1,"UN MILLARDO",IF(N246&gt;1,"MILLARDOS",""))</f>
        <v/>
      </c>
      <c r="Q251" s="584">
        <f>+RIGHT(Q246,4)*1-Q250-Q249-Q247</f>
        <v>0</v>
      </c>
      <c r="R251" s="585" t="s">
        <v>355</v>
      </c>
      <c r="S251" s="586" t="str">
        <f>+IF(Q251=1,"UN MILLARDO",IF(Q246&gt;1,"MILLARDOS",""))</f>
        <v/>
      </c>
      <c r="U251" s="549" t="str">
        <f ca="1">+IF(CELL("contenido",P248)&lt;&gt;"",CONCATENATE(P251," ",P250," ",P248," "),IF(CELL("contenido",P247)="",CONCATENATE(P251," ",P250," ",P249," "),CONCATENATE(P251," ",P250," ",P249," Y ",P247," ")))</f>
        <v xml:space="preserve">   </v>
      </c>
    </row>
    <row r="252" spans="4:21" ht="14.4" thickTop="1">
      <c r="D252" s="552"/>
      <c r="E252" s="549"/>
      <c r="F252" s="549"/>
      <c r="G252" s="549"/>
      <c r="H252" s="549"/>
      <c r="I252" s="549"/>
      <c r="J252" s="587"/>
      <c r="K252" s="587"/>
      <c r="L252" s="587"/>
      <c r="M252" s="550"/>
      <c r="N252" s="550"/>
      <c r="O252" s="550"/>
      <c r="P252" s="549"/>
      <c r="Q252" s="550"/>
      <c r="R252" s="550"/>
      <c r="S252" s="549"/>
      <c r="U252" s="549" t="str">
        <f ca="1">+IF(CELL("contenido",S248)&lt;&gt;"",CONCATENATE(S250," ",S248," "),IF(CELL("contenido",S247)="",CONCATENATE(S250," ",S249," "),CONCATENATE(S250," ",S249," Y ",S247," ")))</f>
        <v xml:space="preserve">  </v>
      </c>
    </row>
    <row r="253" spans="4:21" ht="13.8">
      <c r="D253" s="549" t="s">
        <v>376</v>
      </c>
      <c r="E253" s="549"/>
      <c r="F253" s="549"/>
      <c r="G253" s="549"/>
      <c r="H253" s="549"/>
      <c r="I253" s="549"/>
      <c r="J253" s="549"/>
      <c r="K253" s="549"/>
      <c r="L253" s="549"/>
      <c r="M253" s="549"/>
      <c r="N253" s="549"/>
      <c r="O253" s="549"/>
      <c r="P253" s="549"/>
      <c r="Q253" s="549"/>
      <c r="R253" s="549"/>
      <c r="S253" s="549"/>
      <c r="U253" s="546"/>
    </row>
    <row r="254" spans="4:21" ht="13.8">
      <c r="D254" s="552"/>
      <c r="E254" s="553">
        <f>ROUND(100*(A20-INT(A20)),2)</f>
        <v>35</v>
      </c>
      <c r="F254" s="549" t="s">
        <v>334</v>
      </c>
      <c r="G254" s="549"/>
      <c r="H254" s="549"/>
      <c r="I254" s="549"/>
      <c r="J254" s="549"/>
      <c r="K254" s="549"/>
      <c r="L254" s="549"/>
      <c r="M254" s="549"/>
      <c r="N254" s="549"/>
      <c r="O254" s="549"/>
      <c r="P254" s="549"/>
      <c r="Q254" s="549"/>
      <c r="R254" s="549"/>
      <c r="S254" s="549"/>
    </row>
    <row r="255" spans="4:21" ht="13.8">
      <c r="D255" s="549"/>
      <c r="E255" s="549">
        <f>+LEN(E257)</f>
        <v>3</v>
      </c>
      <c r="F255" s="549" t="s">
        <v>335</v>
      </c>
      <c r="G255" s="549"/>
      <c r="H255" s="549"/>
      <c r="I255" s="549"/>
      <c r="J255" s="549"/>
      <c r="K255" s="549"/>
      <c r="L255" s="549"/>
      <c r="M255" s="549"/>
      <c r="N255" s="549"/>
      <c r="O255" s="549"/>
      <c r="P255" s="549"/>
      <c r="Q255" s="549"/>
      <c r="R255" s="549"/>
      <c r="S255" s="549"/>
    </row>
    <row r="256" spans="4:21" ht="14.4" thickBot="1">
      <c r="D256" s="552"/>
      <c r="E256" s="549"/>
      <c r="F256" s="549"/>
      <c r="G256" s="549"/>
      <c r="H256" s="549"/>
      <c r="I256" s="549"/>
      <c r="J256" s="549"/>
      <c r="K256" s="549"/>
      <c r="L256" s="549"/>
      <c r="M256" s="549"/>
      <c r="N256" s="549"/>
      <c r="O256" s="549"/>
      <c r="P256" s="549"/>
      <c r="Q256" s="549"/>
      <c r="R256" s="549"/>
      <c r="S256" s="549"/>
    </row>
    <row r="257" spans="4:21" ht="15" thickTop="1" thickBot="1">
      <c r="D257" s="549"/>
      <c r="E257" s="554">
        <f>+A20-E254/100</f>
        <v>698</v>
      </c>
      <c r="F257" s="1443" t="s">
        <v>338</v>
      </c>
      <c r="G257" s="1444"/>
      <c r="H257" s="555">
        <f>+IF(E257&gt;1000,INT(E257/1000),0)</f>
        <v>0</v>
      </c>
      <c r="I257" s="1443" t="s">
        <v>339</v>
      </c>
      <c r="J257" s="1444"/>
      <c r="K257" s="555">
        <f>+INT(H257/1000)</f>
        <v>0</v>
      </c>
      <c r="L257" s="1443" t="s">
        <v>340</v>
      </c>
      <c r="M257" s="1444"/>
      <c r="N257" s="555">
        <f>+INT(K257/1000)</f>
        <v>0</v>
      </c>
      <c r="O257" s="1443" t="s">
        <v>341</v>
      </c>
      <c r="P257" s="1444"/>
      <c r="Q257" s="555">
        <f>+INT(N257)</f>
        <v>0</v>
      </c>
      <c r="R257" s="1443" t="s">
        <v>341</v>
      </c>
      <c r="S257" s="1444"/>
      <c r="U257" s="549" t="str">
        <f>+IF(E254=0,CONCATENATE("00",U258),IF(E254&lt;10,CONCATENATE(" 0",E254,U258),CONCATENATE(" ",E254,U258)))</f>
        <v xml:space="preserve"> 35/100 BOLIVIANOS</v>
      </c>
    </row>
    <row r="258" spans="4:21" ht="14.4" thickBot="1">
      <c r="D258" s="552"/>
      <c r="E258" s="556">
        <f>+RIGHT(E257)*1</f>
        <v>8</v>
      </c>
      <c r="F258" s="557" t="s">
        <v>343</v>
      </c>
      <c r="G258" s="558" t="str">
        <f ca="1">+IF(AND(E258&gt;0,E258&lt;10),LOOKUP(CELL("contenido",E258),$A$26:$B$35),"")</f>
        <v>OCHO</v>
      </c>
      <c r="H258" s="559">
        <f>+RIGHT(H257)*1</f>
        <v>0</v>
      </c>
      <c r="I258" s="560" t="s">
        <v>343</v>
      </c>
      <c r="J258" s="561" t="str">
        <f ca="1">IF(E257&lt;2000,"",IF(CELL("contenido",H258)=1,"UN",IF(AND(H258&gt;0,H258&lt;10),LOOKUP(CELL("contenido",H258),$A$26:$B$35),"")))</f>
        <v/>
      </c>
      <c r="K258" s="562">
        <f>+RIGHT(K257)*1</f>
        <v>0</v>
      </c>
      <c r="L258" s="563" t="s">
        <v>343</v>
      </c>
      <c r="M258" s="564" t="str">
        <f ca="1">+IF(CELL("contenido",K258)=1,"UN",IF(AND(K258&gt;0,K258&lt;10),LOOKUP(CELL("contenido",K258),$A$26:$B$35),""))</f>
        <v/>
      </c>
      <c r="N258" s="565">
        <f>+RIGHT(N257)*1</f>
        <v>0</v>
      </c>
      <c r="O258" s="566" t="s">
        <v>343</v>
      </c>
      <c r="P258" s="567" t="str">
        <f ca="1">+IF(CELL("contenido",N258)=1,"UN",IF(AND(N258&gt;0,N258&lt;10),LOOKUP(CELL("contenido",N258),$A$26:$B$35),""))</f>
        <v/>
      </c>
      <c r="Q258" s="568">
        <f>+RIGHT(Q257)*1</f>
        <v>0</v>
      </c>
      <c r="R258" s="569" t="s">
        <v>343</v>
      </c>
      <c r="S258" s="570" t="str">
        <f ca="1">+IF(CELL("contenido",Q258)=1,"UN",IF(AND(Q258&gt;0,Q258&lt;10),LOOKUP(CELL("contenido",Q258),$A$26:$B$35),""))</f>
        <v/>
      </c>
      <c r="U258" s="571" t="s">
        <v>344</v>
      </c>
    </row>
    <row r="259" spans="4:21" ht="14.4" thickBot="1">
      <c r="D259" s="552"/>
      <c r="E259" s="556">
        <f>+RIGHT(E257,2)*1</f>
        <v>98</v>
      </c>
      <c r="F259" s="557" t="s">
        <v>346</v>
      </c>
      <c r="G259" s="558" t="str">
        <f ca="1">IF(AND(E259&gt;0,E259&lt;30),LOOKUP(CELL("contenido",E259),$A$26:$B$55),"")</f>
        <v/>
      </c>
      <c r="H259" s="559">
        <f>+RIGHT(H257,2)*1</f>
        <v>0</v>
      </c>
      <c r="I259" s="560" t="s">
        <v>346</v>
      </c>
      <c r="J259" s="561" t="str">
        <f ca="1">IF(E257&lt;2000,"",IF(CELL("contenido",H259)=1,"UN",IF(AND(H259&gt;0,H259&lt;30),LOOKUP(CELL("contenido",H259),$A$26:$B$55),"")))</f>
        <v/>
      </c>
      <c r="K259" s="562">
        <f>+RIGHT(K257,2)*1</f>
        <v>0</v>
      </c>
      <c r="L259" s="563" t="s">
        <v>346</v>
      </c>
      <c r="M259" s="564" t="str">
        <f ca="1">IF(CELL("contenido",K259)=1,"UN",IF(AND(K259&gt;0,K259&lt;30),LOOKUP(CELL("contenido",K259),$A$26:$B$55),""))</f>
        <v/>
      </c>
      <c r="N259" s="565">
        <f>+RIGHT(N257,2)*1</f>
        <v>0</v>
      </c>
      <c r="O259" s="566" t="s">
        <v>346</v>
      </c>
      <c r="P259" s="567" t="str">
        <f ca="1">IF(CELL("contenido",N259)=1,"UN",IF(AND(N259&gt;0,N259&lt;30),LOOKUP(CELL("contenido",N259),$A$26:$B$55),""))</f>
        <v/>
      </c>
      <c r="Q259" s="568">
        <f>+RIGHT(Q257,2)*1</f>
        <v>0</v>
      </c>
      <c r="R259" s="569" t="s">
        <v>346</v>
      </c>
      <c r="S259" s="570" t="str">
        <f ca="1">IF(CELL("contenido",Q259)=1,"UN",IF(AND(Q259&gt;0,Q259&lt;30),LOOKUP(CELL("contenido",Q259),$A$26:$B$55),""))</f>
        <v/>
      </c>
      <c r="U259" s="549" t="str">
        <f ca="1">+IF(CELL("contenido",G259)&lt;&gt;"",CONCATENATE(G262," ",G261," ",G259," ",U257),IF(CELL("contenido",G258)="",CONCATENATE(G262," ",G261," ",G260," ",U257),CONCATENATE(G262," ",G261," ",G260," Y ",G258," ",U257)))</f>
        <v xml:space="preserve"> SEISCIENTOS NOVENTA Y OCHO  35/100 BOLIVIANOS</v>
      </c>
    </row>
    <row r="260" spans="4:21" ht="14.4" thickBot="1">
      <c r="D260" s="552"/>
      <c r="E260" s="556">
        <f>+RIGHT(E257,2)*1-E258</f>
        <v>90</v>
      </c>
      <c r="F260" s="557" t="s">
        <v>348</v>
      </c>
      <c r="G260" s="558" t="str">
        <f ca="1">+IF(AND(E260&gt;0,E257&gt;=30),LOOKUP(CELL("contenido",E260),$C$26:$D$35),"")</f>
        <v>NOVENTA</v>
      </c>
      <c r="H260" s="559">
        <f>+RIGHT(H257,2)*1-H258</f>
        <v>0</v>
      </c>
      <c r="I260" s="560" t="s">
        <v>348</v>
      </c>
      <c r="J260" s="561" t="str">
        <f ca="1">+IF(AND(H260&gt;0,H257&gt;=30),LOOKUP(CELL("contenido",H260),$C$26:$D$35),"")</f>
        <v/>
      </c>
      <c r="K260" s="562">
        <f>+RIGHT(K257,2)*1-K258</f>
        <v>0</v>
      </c>
      <c r="L260" s="563" t="s">
        <v>348</v>
      </c>
      <c r="M260" s="564" t="str">
        <f ca="1">+IF(AND(K260&gt;0,K257&gt;=30),LOOKUP(CELL("contenido",K260),$C$26:$D$35),"")</f>
        <v/>
      </c>
      <c r="N260" s="565">
        <f>+RIGHT(N257,2)*1-N258</f>
        <v>0</v>
      </c>
      <c r="O260" s="566" t="s">
        <v>348</v>
      </c>
      <c r="P260" s="567" t="str">
        <f ca="1">+IF(AND(N260&gt;0,K262&gt;=30),LOOKUP(CELL("contenido",N260),$C$26:$D$35),"")</f>
        <v/>
      </c>
      <c r="Q260" s="568">
        <f>+RIGHT(Q257,2)*1-Q258</f>
        <v>0</v>
      </c>
      <c r="R260" s="569" t="s">
        <v>348</v>
      </c>
      <c r="S260" s="570" t="str">
        <f ca="1">+IF(AND(Q260&gt;0,N262&gt;=30),LOOKUP(CELL("contenido",Q260),$C$26:$D$35),"")</f>
        <v/>
      </c>
      <c r="U260" s="549" t="str">
        <f ca="1">+IF(CELL("contenido",J259)&lt;&gt;"",CONCATENATE(J262," ",J261," ",J259," "),IF(CELL("contenido",J258)="",CONCATENATE(J262," ",J261," ",J260," "),CONCATENATE(J262," ",J261," ",J260," Y ",J258," ")))</f>
        <v xml:space="preserve">   </v>
      </c>
    </row>
    <row r="261" spans="4:21" ht="14.4" thickBot="1">
      <c r="D261" s="552"/>
      <c r="E261" s="556">
        <f>+RIGHT(E257,3)*1-E260-E258</f>
        <v>600</v>
      </c>
      <c r="F261" s="557" t="s">
        <v>350</v>
      </c>
      <c r="G261" s="558" t="str">
        <f ca="1">+IF((RIGHT(E257,3)*1)=100,"CIEN",IF(AND(E261&gt;0,E261&lt;1000),LOOKUP(CELL("contenido",E261),$E$26:$F$35),""))</f>
        <v>SEISCIENTOS</v>
      </c>
      <c r="H261" s="559">
        <f>+RIGHT(H257,3)*1-H260-H258</f>
        <v>0</v>
      </c>
      <c r="I261" s="560" t="s">
        <v>350</v>
      </c>
      <c r="J261" s="561" t="str">
        <f ca="1">+IF(H257=100,"CIEN",IF(AND(H261&gt;0,H261&lt;1000),LOOKUP(CELL("contenido",H261),$E$26:$F$35),""))</f>
        <v/>
      </c>
      <c r="K261" s="562">
        <f>+RIGHT(K257,3)*1-K260-K258</f>
        <v>0</v>
      </c>
      <c r="L261" s="563" t="s">
        <v>350</v>
      </c>
      <c r="M261" s="564" t="str">
        <f ca="1">+IF(K257=100,"CIEN",IF(AND(K261&gt;0,K261&lt;1000),LOOKUP(CELL("contenido",K261),$E$26:$F$35),""))</f>
        <v/>
      </c>
      <c r="N261" s="565">
        <f>+RIGHT(N257,3)*1-N260-N258</f>
        <v>0</v>
      </c>
      <c r="O261" s="566" t="s">
        <v>350</v>
      </c>
      <c r="P261" s="567" t="str">
        <f ca="1">+IF(N257=100,"CIEN",IF(AND(N261&gt;0,N261&lt;1000),LOOKUP(CELL("contenido",N261),$E$26:$F$35),""))</f>
        <v/>
      </c>
      <c r="Q261" s="568">
        <f>+RIGHT(Q257,3)*1-Q260-Q258</f>
        <v>0</v>
      </c>
      <c r="R261" s="569" t="s">
        <v>350</v>
      </c>
      <c r="S261" s="570" t="str">
        <f ca="1">+IF(Q257=100,"CIEN",IF(AND(Q261&gt;0,Q261&lt;1000),LOOKUP(CELL("contenido",Q261),$E$26:$F$35),""))</f>
        <v/>
      </c>
      <c r="U261" s="549" t="str">
        <f ca="1">+IF(CELL("contenido",M259)&lt;&gt;"",CONCATENATE(M262," ",M261," ",M259," "),IF(CELL("contenido",M258)="",CONCATENATE(M262," ",M261," ",M260," "),CONCATENATE(M262," ",M261," ",M260," Y ",M258," ")))</f>
        <v xml:space="preserve">   </v>
      </c>
    </row>
    <row r="262" spans="4:21" ht="14.4" thickBot="1">
      <c r="D262" s="552"/>
      <c r="E262" s="572">
        <f>+RIGHT(E257,4)*1-E261-E260-E258</f>
        <v>0</v>
      </c>
      <c r="F262" s="573" t="s">
        <v>352</v>
      </c>
      <c r="G262" s="574" t="str">
        <f ca="1">+IF(E257&gt;999,"MIL",IF(AND(E262&gt;0,E262&lt;10000),LOOKUP(CELL("contenido",E262),$E$26:$F$35),""))</f>
        <v/>
      </c>
      <c r="H262" s="575">
        <f>INT(E257/1000000)</f>
        <v>0</v>
      </c>
      <c r="I262" s="576" t="s">
        <v>353</v>
      </c>
      <c r="J262" s="577" t="str">
        <f ca="1">+IF(CELL("contenido",M259)=1,"MILLÓN",IF(H262=1,"MILLÓN",IF(H262&gt;1,"MILLONES","")))</f>
        <v/>
      </c>
      <c r="K262" s="578">
        <f>+RIGHT(K257,4)*1-K261-K260-K258</f>
        <v>0</v>
      </c>
      <c r="L262" s="579" t="s">
        <v>354</v>
      </c>
      <c r="M262" s="580" t="str">
        <f ca="1">+IF(AND(K262&gt;0,K262&lt;10000),LOOKUP(CELL("contenido",K262),$E$26:$F$35),"")</f>
        <v/>
      </c>
      <c r="N262" s="581">
        <f>+RIGHT(N257,4)*1-N261-N260-N258</f>
        <v>0</v>
      </c>
      <c r="O262" s="582" t="s">
        <v>355</v>
      </c>
      <c r="P262" s="583" t="str">
        <f>+IF(N262=1,"UN MILLARDO",IF(N257&gt;1,"MILLARDOS",""))</f>
        <v/>
      </c>
      <c r="Q262" s="584">
        <f>+RIGHT(Q257,4)*1-Q261-Q260-Q258</f>
        <v>0</v>
      </c>
      <c r="R262" s="585" t="s">
        <v>355</v>
      </c>
      <c r="S262" s="586" t="str">
        <f>+IF(Q262=1,"UN MILLARDO",IF(Q257&gt;1,"MILLARDOS",""))</f>
        <v/>
      </c>
      <c r="U262" s="549" t="str">
        <f ca="1">+IF(CELL("contenido",P259)&lt;&gt;"",CONCATENATE(P262," ",P261," ",P259," "),IF(CELL("contenido",P258)="",CONCATENATE(P262," ",P261," ",P260," "),CONCATENATE(P262," ",P261," ",P260," Y ",P258," ")))</f>
        <v xml:space="preserve">   </v>
      </c>
    </row>
    <row r="263" spans="4:21" ht="14.4" thickTop="1">
      <c r="D263" s="552"/>
      <c r="E263" s="549"/>
      <c r="F263" s="549"/>
      <c r="G263" s="549"/>
      <c r="H263" s="549"/>
      <c r="I263" s="549"/>
      <c r="J263" s="587"/>
      <c r="K263" s="587"/>
      <c r="L263" s="587"/>
      <c r="M263" s="550"/>
      <c r="N263" s="550"/>
      <c r="O263" s="550"/>
      <c r="P263" s="549"/>
      <c r="Q263" s="550"/>
      <c r="R263" s="550"/>
      <c r="S263" s="549"/>
      <c r="U263" s="549" t="str">
        <f ca="1">+IF(CELL("contenido",S259)&lt;&gt;"",CONCATENATE(S261," ",S259," "),IF(CELL("contenido",S258)="",CONCATENATE(S261," ",S260," "),CONCATENATE(S261," ",S260," Y ",S258," ")))</f>
        <v xml:space="preserve">  </v>
      </c>
    </row>
    <row r="264" spans="4:21" ht="13.8">
      <c r="D264" s="549" t="s">
        <v>377</v>
      </c>
      <c r="E264" s="549"/>
      <c r="F264" s="549"/>
      <c r="G264" s="549"/>
      <c r="H264" s="549"/>
      <c r="I264" s="549"/>
      <c r="J264" s="549"/>
      <c r="K264" s="549"/>
      <c r="L264" s="549"/>
      <c r="M264" s="549"/>
      <c r="N264" s="549"/>
      <c r="O264" s="549"/>
      <c r="P264" s="549"/>
      <c r="Q264" s="549"/>
      <c r="R264" s="549"/>
      <c r="S264" s="549"/>
      <c r="U264" s="546"/>
    </row>
    <row r="265" spans="4:21" ht="13.8">
      <c r="D265" s="552"/>
      <c r="E265" s="553">
        <f>ROUND(100*(A21-INT(A21)),2)</f>
        <v>14</v>
      </c>
      <c r="F265" s="549" t="s">
        <v>334</v>
      </c>
      <c r="G265" s="549"/>
      <c r="H265" s="549"/>
      <c r="I265" s="549"/>
      <c r="J265" s="549"/>
      <c r="K265" s="549"/>
      <c r="L265" s="549"/>
      <c r="M265" s="549"/>
      <c r="N265" s="549"/>
      <c r="O265" s="549"/>
      <c r="P265" s="549"/>
      <c r="Q265" s="549"/>
      <c r="R265" s="549"/>
      <c r="S265" s="549"/>
    </row>
    <row r="266" spans="4:21" ht="13.8">
      <c r="D266" s="549"/>
      <c r="E266" s="549">
        <f>+LEN(E268)</f>
        <v>4</v>
      </c>
      <c r="F266" s="549" t="s">
        <v>335</v>
      </c>
      <c r="G266" s="549"/>
      <c r="H266" s="549"/>
      <c r="I266" s="549"/>
      <c r="J266" s="549"/>
      <c r="K266" s="549"/>
      <c r="L266" s="549"/>
      <c r="M266" s="549"/>
      <c r="N266" s="549"/>
      <c r="O266" s="549"/>
      <c r="P266" s="549"/>
      <c r="Q266" s="549"/>
      <c r="R266" s="549"/>
      <c r="S266" s="549"/>
    </row>
    <row r="267" spans="4:21" ht="14.4" thickBot="1">
      <c r="D267" s="552"/>
      <c r="E267" s="549"/>
      <c r="F267" s="549"/>
      <c r="G267" s="549"/>
      <c r="H267" s="549"/>
      <c r="I267" s="549"/>
      <c r="J267" s="549"/>
      <c r="K267" s="549"/>
      <c r="L267" s="549"/>
      <c r="M267" s="549"/>
      <c r="N267" s="549"/>
      <c r="O267" s="549"/>
      <c r="P267" s="549"/>
      <c r="Q267" s="549"/>
      <c r="R267" s="549"/>
      <c r="S267" s="549"/>
    </row>
    <row r="268" spans="4:21" ht="15" thickTop="1" thickBot="1">
      <c r="D268" s="549"/>
      <c r="E268" s="554">
        <f>+A21-E265/100</f>
        <v>1247</v>
      </c>
      <c r="F268" s="1443" t="s">
        <v>338</v>
      </c>
      <c r="G268" s="1444"/>
      <c r="H268" s="555">
        <f>+IF(E268&gt;1000,INT(E268/1000),0)</f>
        <v>1</v>
      </c>
      <c r="I268" s="1443" t="s">
        <v>339</v>
      </c>
      <c r="J268" s="1444"/>
      <c r="K268" s="555">
        <f>+INT(H268/1000)</f>
        <v>0</v>
      </c>
      <c r="L268" s="1443" t="s">
        <v>340</v>
      </c>
      <c r="M268" s="1444"/>
      <c r="N268" s="555">
        <f>+INT(K268/1000)</f>
        <v>0</v>
      </c>
      <c r="O268" s="1443" t="s">
        <v>341</v>
      </c>
      <c r="P268" s="1444"/>
      <c r="Q268" s="555">
        <f>+INT(N268)</f>
        <v>0</v>
      </c>
      <c r="R268" s="1443" t="s">
        <v>341</v>
      </c>
      <c r="S268" s="1444"/>
      <c r="U268" s="549" t="str">
        <f>+IF(E265=0,CONCATENATE("00",U269),IF(E265&lt;10,CONCATENATE(" 0",E265,U269),CONCATENATE(" ",E265,U269)))</f>
        <v xml:space="preserve"> 14/100 BOLIVIANOS</v>
      </c>
    </row>
    <row r="269" spans="4:21" ht="14.4" thickBot="1">
      <c r="D269" s="552"/>
      <c r="E269" s="556">
        <f>+RIGHT(E268)*1</f>
        <v>7</v>
      </c>
      <c r="F269" s="557" t="s">
        <v>343</v>
      </c>
      <c r="G269" s="558" t="str">
        <f ca="1">+IF(AND(E269&gt;0,E269&lt;10),LOOKUP(CELL("contenido",E269),$A$26:$B$35),"")</f>
        <v>SIETE</v>
      </c>
      <c r="H269" s="559">
        <f>+RIGHT(H268)*1</f>
        <v>1</v>
      </c>
      <c r="I269" s="560" t="s">
        <v>343</v>
      </c>
      <c r="J269" s="561" t="str">
        <f ca="1">IF(E268&lt;2000,"",IF(CELL("contenido",H269)=1,"UN",IF(AND(H269&gt;0,H269&lt;10),LOOKUP(CELL("contenido",H269),$A$26:$B$35),"")))</f>
        <v/>
      </c>
      <c r="K269" s="562">
        <f>+RIGHT(K268)*1</f>
        <v>0</v>
      </c>
      <c r="L269" s="563" t="s">
        <v>343</v>
      </c>
      <c r="M269" s="564" t="str">
        <f ca="1">+IF(CELL("contenido",K269)=1,"UN",IF(AND(K269&gt;0,K269&lt;10),LOOKUP(CELL("contenido",K269),$A$26:$B$35),""))</f>
        <v/>
      </c>
      <c r="N269" s="565">
        <f>+RIGHT(N268)*1</f>
        <v>0</v>
      </c>
      <c r="O269" s="566" t="s">
        <v>343</v>
      </c>
      <c r="P269" s="567" t="str">
        <f ca="1">+IF(CELL("contenido",N269)=1,"UN",IF(AND(N269&gt;0,N269&lt;10),LOOKUP(CELL("contenido",N269),$A$26:$B$35),""))</f>
        <v/>
      </c>
      <c r="Q269" s="568">
        <f>+RIGHT(Q268)*1</f>
        <v>0</v>
      </c>
      <c r="R269" s="569" t="s">
        <v>343</v>
      </c>
      <c r="S269" s="570" t="str">
        <f ca="1">+IF(CELL("contenido",Q269)=1,"UN",IF(AND(Q269&gt;0,Q269&lt;10),LOOKUP(CELL("contenido",Q269),$A$26:$B$35),""))</f>
        <v/>
      </c>
      <c r="U269" s="571" t="s">
        <v>344</v>
      </c>
    </row>
    <row r="270" spans="4:21" ht="14.4" thickBot="1">
      <c r="D270" s="552"/>
      <c r="E270" s="556">
        <f>+RIGHT(E268,2)*1</f>
        <v>47</v>
      </c>
      <c r="F270" s="557" t="s">
        <v>346</v>
      </c>
      <c r="G270" s="558" t="str">
        <f ca="1">IF(AND(E270&gt;0,E270&lt;30),LOOKUP(CELL("contenido",E270),$A$26:$B$55),"")</f>
        <v/>
      </c>
      <c r="H270" s="559">
        <f>+RIGHT(H268,2)*1</f>
        <v>1</v>
      </c>
      <c r="I270" s="560" t="s">
        <v>346</v>
      </c>
      <c r="J270" s="561" t="str">
        <f ca="1">IF(E268&lt;2000,"",IF(CELL("contenido",H270)=1,"UN",IF(AND(H270&gt;0,H270&lt;30),LOOKUP(CELL("contenido",H270),$A$26:$B$55),"")))</f>
        <v/>
      </c>
      <c r="K270" s="562">
        <f>+RIGHT(K268,2)*1</f>
        <v>0</v>
      </c>
      <c r="L270" s="563" t="s">
        <v>346</v>
      </c>
      <c r="M270" s="564" t="str">
        <f ca="1">IF(CELL("contenido",K270)=1,"UN",IF(AND(K270&gt;0,K270&lt;30),LOOKUP(CELL("contenido",K270),$A$26:$B$55),""))</f>
        <v/>
      </c>
      <c r="N270" s="565">
        <f>+RIGHT(N268,2)*1</f>
        <v>0</v>
      </c>
      <c r="O270" s="566" t="s">
        <v>346</v>
      </c>
      <c r="P270" s="567" t="str">
        <f ca="1">IF(CELL("contenido",N270)=1,"UN",IF(AND(N270&gt;0,N270&lt;30),LOOKUP(CELL("contenido",N270),$A$26:$B$55),""))</f>
        <v/>
      </c>
      <c r="Q270" s="568">
        <f>+RIGHT(Q268,2)*1</f>
        <v>0</v>
      </c>
      <c r="R270" s="569" t="s">
        <v>346</v>
      </c>
      <c r="S270" s="570" t="str">
        <f ca="1">IF(CELL("contenido",Q270)=1,"UN",IF(AND(Q270&gt;0,Q270&lt;30),LOOKUP(CELL("contenido",Q270),$A$26:$B$55),""))</f>
        <v/>
      </c>
      <c r="U270" s="549" t="str">
        <f ca="1">+IF(CELL("contenido",G270)&lt;&gt;"",CONCATENATE(G273," ",G272," ",G270," ",U268),IF(CELL("contenido",G269)="",CONCATENATE(G273," ",G272," ",G271," ",U268),CONCATENATE(G273," ",G272," ",G271," Y ",G269," ",U268)))</f>
        <v>MIL DOSCIENTOS CUARENTA Y SIETE  14/100 BOLIVIANOS</v>
      </c>
    </row>
    <row r="271" spans="4:21" ht="14.4" thickBot="1">
      <c r="D271" s="552"/>
      <c r="E271" s="556">
        <f>+RIGHT(E268,2)*1-E269</f>
        <v>40</v>
      </c>
      <c r="F271" s="557" t="s">
        <v>348</v>
      </c>
      <c r="G271" s="558" t="str">
        <f ca="1">+IF(AND(E271&gt;0,E268&gt;=30),LOOKUP(CELL("contenido",E271),$C$26:$D$35),"")</f>
        <v>CUARENTA</v>
      </c>
      <c r="H271" s="559">
        <f>+RIGHT(H268,2)*1-H269</f>
        <v>0</v>
      </c>
      <c r="I271" s="560" t="s">
        <v>348</v>
      </c>
      <c r="J271" s="561" t="str">
        <f ca="1">+IF(AND(H271&gt;0,H268&gt;=30),LOOKUP(CELL("contenido",H271),$C$26:$D$35),"")</f>
        <v/>
      </c>
      <c r="K271" s="562">
        <f>+RIGHT(K268,2)*1-K269</f>
        <v>0</v>
      </c>
      <c r="L271" s="563" t="s">
        <v>348</v>
      </c>
      <c r="M271" s="564" t="str">
        <f ca="1">+IF(AND(K271&gt;0,K268&gt;=30),LOOKUP(CELL("contenido",K271),$C$26:$D$35),"")</f>
        <v/>
      </c>
      <c r="N271" s="565">
        <f>+RIGHT(N268,2)*1-N269</f>
        <v>0</v>
      </c>
      <c r="O271" s="566" t="s">
        <v>348</v>
      </c>
      <c r="P271" s="567" t="str">
        <f ca="1">+IF(AND(N271&gt;0,K273&gt;=30),LOOKUP(CELL("contenido",N271),$C$26:$D$35),"")</f>
        <v/>
      </c>
      <c r="Q271" s="568">
        <f>+RIGHT(Q268,2)*1-Q269</f>
        <v>0</v>
      </c>
      <c r="R271" s="569" t="s">
        <v>348</v>
      </c>
      <c r="S271" s="570" t="str">
        <f ca="1">+IF(AND(Q271&gt;0,N273&gt;=30),LOOKUP(CELL("contenido",Q271),$C$26:$D$35),"")</f>
        <v/>
      </c>
      <c r="U271" s="549" t="str">
        <f ca="1">+IF(CELL("contenido",J270)&lt;&gt;"",CONCATENATE(J273," ",J272," ",J270," "),IF(CELL("contenido",J269)="",CONCATENATE(J273," ",J272," ",J271," "),CONCATENATE(J273," ",J272," ",J271," Y ",J269," ")))</f>
        <v xml:space="preserve">   </v>
      </c>
    </row>
    <row r="272" spans="4:21" ht="14.4" thickBot="1">
      <c r="D272" s="552"/>
      <c r="E272" s="556">
        <f>+RIGHT(E268,3)*1-E271-E269</f>
        <v>200</v>
      </c>
      <c r="F272" s="557" t="s">
        <v>350</v>
      </c>
      <c r="G272" s="558" t="str">
        <f ca="1">+IF((RIGHT(E268,3)*1)=100,"CIEN",IF(AND(E272&gt;0,E272&lt;1000),LOOKUP(CELL("contenido",E272),$E$26:$F$35),""))</f>
        <v>DOSCIENTOS</v>
      </c>
      <c r="H272" s="559">
        <f>+RIGHT(H268,3)*1-H271-H269</f>
        <v>0</v>
      </c>
      <c r="I272" s="560" t="s">
        <v>350</v>
      </c>
      <c r="J272" s="561" t="str">
        <f ca="1">+IF(H268=100,"CIEN",IF(AND(H272&gt;0,H272&lt;1000),LOOKUP(CELL("contenido",H272),$E$26:$F$35),""))</f>
        <v/>
      </c>
      <c r="K272" s="562">
        <f>+RIGHT(K268,3)*1-K271-K269</f>
        <v>0</v>
      </c>
      <c r="L272" s="563" t="s">
        <v>350</v>
      </c>
      <c r="M272" s="564" t="str">
        <f ca="1">+IF(K268=100,"CIEN",IF(AND(K272&gt;0,K272&lt;1000),LOOKUP(CELL("contenido",K272),$E$26:$F$35),""))</f>
        <v/>
      </c>
      <c r="N272" s="565">
        <f>+RIGHT(N268,3)*1-N271-N269</f>
        <v>0</v>
      </c>
      <c r="O272" s="566" t="s">
        <v>350</v>
      </c>
      <c r="P272" s="567" t="str">
        <f ca="1">+IF(N268=100,"CIEN",IF(AND(N272&gt;0,N272&lt;1000),LOOKUP(CELL("contenido",N272),$E$26:$F$35),""))</f>
        <v/>
      </c>
      <c r="Q272" s="568">
        <f>+RIGHT(Q268,3)*1-Q271-Q269</f>
        <v>0</v>
      </c>
      <c r="R272" s="569" t="s">
        <v>350</v>
      </c>
      <c r="S272" s="570" t="str">
        <f ca="1">+IF(Q268=100,"CIEN",IF(AND(Q272&gt;0,Q272&lt;1000),LOOKUP(CELL("contenido",Q272),$E$26:$F$35),""))</f>
        <v/>
      </c>
      <c r="U272" s="549" t="str">
        <f ca="1">+IF(CELL("contenido",M270)&lt;&gt;"",CONCATENATE(M273," ",M272," ",M270," "),IF(CELL("contenido",M269)="",CONCATENATE(M273," ",M272," ",M271," "),CONCATENATE(M273," ",M272," ",M271," Y ",M269," ")))</f>
        <v xml:space="preserve">   </v>
      </c>
    </row>
    <row r="273" spans="4:21" ht="14.4" thickBot="1">
      <c r="D273" s="552"/>
      <c r="E273" s="572">
        <f>+RIGHT(E268,4)*1-E272-E271-E269</f>
        <v>1000</v>
      </c>
      <c r="F273" s="573" t="s">
        <v>352</v>
      </c>
      <c r="G273" s="574" t="str">
        <f ca="1">+IF(E268&gt;999,"MIL",IF(AND(E273&gt;0,E273&lt;10000),LOOKUP(CELL("contenido",E273),$E$26:$F$35),""))</f>
        <v>MIL</v>
      </c>
      <c r="H273" s="575">
        <f>INT(E268/1000000)</f>
        <v>0</v>
      </c>
      <c r="I273" s="576" t="s">
        <v>353</v>
      </c>
      <c r="J273" s="577" t="str">
        <f ca="1">+IF(CELL("contenido",M270)=1,"MILLÓN",IF(H273=1,"MILLÓN",IF(H273&gt;1,"MILLONES","")))</f>
        <v/>
      </c>
      <c r="K273" s="578">
        <f>+RIGHT(K268,4)*1-K272-K271-K269</f>
        <v>0</v>
      </c>
      <c r="L273" s="579" t="s">
        <v>354</v>
      </c>
      <c r="M273" s="580" t="str">
        <f ca="1">+IF(AND(K273&gt;0,K273&lt;10000),LOOKUP(CELL("contenido",K273),$E$26:$F$35),"")</f>
        <v/>
      </c>
      <c r="N273" s="581">
        <f>+RIGHT(N268,4)*1-N272-N271-N269</f>
        <v>0</v>
      </c>
      <c r="O273" s="582" t="s">
        <v>355</v>
      </c>
      <c r="P273" s="583" t="str">
        <f>+IF(N273=1,"UN MILLARDO",IF(N268&gt;1,"MILLARDOS",""))</f>
        <v/>
      </c>
      <c r="Q273" s="584">
        <f>+RIGHT(Q268,4)*1-Q272-Q271-Q269</f>
        <v>0</v>
      </c>
      <c r="R273" s="585" t="s">
        <v>355</v>
      </c>
      <c r="S273" s="586" t="str">
        <f>+IF(Q273=1,"UN MILLARDO",IF(Q268&gt;1,"MILLARDOS",""))</f>
        <v/>
      </c>
      <c r="U273" s="549" t="str">
        <f ca="1">+IF(CELL("contenido",P270)&lt;&gt;"",CONCATENATE(P273," ",P272," ",P270," "),IF(CELL("contenido",P269)="",CONCATENATE(P273," ",P272," ",P271," "),CONCATENATE(P273," ",P272," ",P271," Y ",P269," ")))</f>
        <v xml:space="preserve">   </v>
      </c>
    </row>
    <row r="274" spans="4:21" ht="14.4" thickTop="1">
      <c r="D274" s="552"/>
      <c r="E274" s="549"/>
      <c r="F274" s="549"/>
      <c r="G274" s="549"/>
      <c r="H274" s="549"/>
      <c r="I274" s="549"/>
      <c r="J274" s="587"/>
      <c r="K274" s="587"/>
      <c r="L274" s="587"/>
      <c r="M274" s="550"/>
      <c r="N274" s="550"/>
      <c r="O274" s="550"/>
      <c r="P274" s="549"/>
      <c r="Q274" s="550"/>
      <c r="R274" s="550"/>
      <c r="S274" s="549"/>
      <c r="U274" s="549" t="str">
        <f ca="1">+IF(CELL("contenido",S270)&lt;&gt;"",CONCATENATE(S272," ",S270," "),IF(CELL("contenido",S269)="",CONCATENATE(S272," ",S271," "),CONCATENATE(S272," ",S271," Y ",S269," ")))</f>
        <v xml:space="preserve">  </v>
      </c>
    </row>
    <row r="275" spans="4:21" ht="13.8">
      <c r="D275" s="549" t="s">
        <v>378</v>
      </c>
      <c r="E275" s="549"/>
      <c r="F275" s="549"/>
      <c r="G275" s="549"/>
      <c r="H275" s="549"/>
      <c r="I275" s="549"/>
      <c r="J275" s="549"/>
      <c r="K275" s="549"/>
      <c r="L275" s="549"/>
      <c r="M275" s="549"/>
      <c r="N275" s="549"/>
      <c r="O275" s="549"/>
      <c r="P275" s="549"/>
      <c r="Q275" s="549"/>
      <c r="R275" s="549"/>
      <c r="S275" s="549"/>
      <c r="U275" s="546"/>
    </row>
    <row r="276" spans="4:21" ht="13.8">
      <c r="D276" s="552"/>
      <c r="E276" s="553" t="e">
        <f>ROUND(100*(A22-INT(A22)),2)</f>
        <v>#REF!</v>
      </c>
      <c r="F276" s="549" t="s">
        <v>334</v>
      </c>
      <c r="G276" s="549"/>
      <c r="H276" s="549"/>
      <c r="I276" s="549"/>
      <c r="J276" s="549"/>
      <c r="K276" s="549"/>
      <c r="L276" s="549"/>
      <c r="M276" s="549"/>
      <c r="N276" s="549"/>
      <c r="O276" s="549"/>
      <c r="P276" s="549"/>
      <c r="Q276" s="549"/>
      <c r="R276" s="549"/>
      <c r="S276" s="549"/>
    </row>
    <row r="277" spans="4:21" ht="13.8">
      <c r="D277" s="549"/>
      <c r="E277" s="549" t="e">
        <f>+LEN(E279)</f>
        <v>#REF!</v>
      </c>
      <c r="F277" s="549" t="s">
        <v>335</v>
      </c>
      <c r="G277" s="549"/>
      <c r="H277" s="549"/>
      <c r="I277" s="549"/>
      <c r="J277" s="549"/>
      <c r="K277" s="549"/>
      <c r="L277" s="549"/>
      <c r="M277" s="549"/>
      <c r="N277" s="549"/>
      <c r="O277" s="549"/>
      <c r="P277" s="549"/>
      <c r="Q277" s="549"/>
      <c r="R277" s="549"/>
      <c r="S277" s="549"/>
    </row>
    <row r="278" spans="4:21" ht="14.4" thickBot="1">
      <c r="D278" s="552"/>
      <c r="E278" s="549"/>
      <c r="F278" s="549"/>
      <c r="G278" s="549"/>
      <c r="H278" s="549"/>
      <c r="I278" s="549"/>
      <c r="J278" s="549"/>
      <c r="K278" s="549"/>
      <c r="L278" s="549"/>
      <c r="M278" s="549"/>
      <c r="N278" s="549"/>
      <c r="O278" s="549"/>
      <c r="P278" s="549"/>
      <c r="Q278" s="549"/>
      <c r="R278" s="549"/>
      <c r="S278" s="549"/>
    </row>
    <row r="279" spans="4:21" ht="15" thickTop="1" thickBot="1">
      <c r="D279" s="549"/>
      <c r="E279" s="554" t="e">
        <f>+A22-E276/100</f>
        <v>#REF!</v>
      </c>
      <c r="F279" s="1443" t="s">
        <v>338</v>
      </c>
      <c r="G279" s="1444"/>
      <c r="H279" s="555" t="e">
        <f>+IF(E279&gt;1000,INT(E279/1000),0)</f>
        <v>#REF!</v>
      </c>
      <c r="I279" s="1443" t="s">
        <v>339</v>
      </c>
      <c r="J279" s="1444"/>
      <c r="K279" s="555" t="e">
        <f>+INT(H279/1000)</f>
        <v>#REF!</v>
      </c>
      <c r="L279" s="1443" t="s">
        <v>340</v>
      </c>
      <c r="M279" s="1444"/>
      <c r="N279" s="555" t="e">
        <f>+INT(K279/1000)</f>
        <v>#REF!</v>
      </c>
      <c r="O279" s="1443" t="s">
        <v>341</v>
      </c>
      <c r="P279" s="1444"/>
      <c r="Q279" s="555" t="e">
        <f>+INT(N279)</f>
        <v>#REF!</v>
      </c>
      <c r="R279" s="1443" t="s">
        <v>341</v>
      </c>
      <c r="S279" s="1444"/>
      <c r="U279" s="549" t="e">
        <f>+IF(E276=0,CONCATENATE("00",U280),IF(E276&lt;10,CONCATENATE(" 0",E276,U280),CONCATENATE(" ",E276,U280)))</f>
        <v>#REF!</v>
      </c>
    </row>
    <row r="280" spans="4:21" ht="14.4" thickBot="1">
      <c r="D280" s="552"/>
      <c r="E280" s="556" t="e">
        <f>+RIGHT(E279)*1</f>
        <v>#REF!</v>
      </c>
      <c r="F280" s="557" t="s">
        <v>343</v>
      </c>
      <c r="G280" s="558" t="e">
        <f ca="1">+IF(AND(E280&gt;0,E280&lt;10),LOOKUP(CELL("contenido",E280),$A$26:$B$35),"")</f>
        <v>#REF!</v>
      </c>
      <c r="H280" s="559" t="e">
        <f>+RIGHT(H279)*1</f>
        <v>#REF!</v>
      </c>
      <c r="I280" s="560" t="s">
        <v>343</v>
      </c>
      <c r="J280" s="561" t="e">
        <f ca="1">IF(E279&lt;2000,"",IF(CELL("contenido",H280)=1,"UN",IF(AND(H280&gt;0,H280&lt;10),LOOKUP(CELL("contenido",H280),$A$26:$B$35),"")))</f>
        <v>#REF!</v>
      </c>
      <c r="K280" s="562" t="e">
        <f>+RIGHT(K279)*1</f>
        <v>#REF!</v>
      </c>
      <c r="L280" s="563" t="s">
        <v>343</v>
      </c>
      <c r="M280" s="564" t="e">
        <f ca="1">+IF(CELL("contenido",K280)=1,"UN",IF(AND(K280&gt;0,K280&lt;10),LOOKUP(CELL("contenido",K280),$A$26:$B$35),""))</f>
        <v>#REF!</v>
      </c>
      <c r="N280" s="565" t="e">
        <f>+RIGHT(N279)*1</f>
        <v>#REF!</v>
      </c>
      <c r="O280" s="566" t="s">
        <v>343</v>
      </c>
      <c r="P280" s="567" t="e">
        <f ca="1">+IF(CELL("contenido",N280)=1,"UN",IF(AND(N280&gt;0,N280&lt;10),LOOKUP(CELL("contenido",N280),$A$26:$B$35),""))</f>
        <v>#REF!</v>
      </c>
      <c r="Q280" s="568" t="e">
        <f>+RIGHT(Q279)*1</f>
        <v>#REF!</v>
      </c>
      <c r="R280" s="569" t="s">
        <v>343</v>
      </c>
      <c r="S280" s="570" t="e">
        <f ca="1">+IF(CELL("contenido",Q280)=1,"UN",IF(AND(Q280&gt;0,Q280&lt;10),LOOKUP(CELL("contenido",Q280),$A$26:$B$35),""))</f>
        <v>#REF!</v>
      </c>
      <c r="U280" s="571" t="s">
        <v>344</v>
      </c>
    </row>
    <row r="281" spans="4:21" ht="14.4" thickBot="1">
      <c r="D281" s="552"/>
      <c r="E281" s="556" t="e">
        <f>+RIGHT(E279,2)*1</f>
        <v>#REF!</v>
      </c>
      <c r="F281" s="557" t="s">
        <v>346</v>
      </c>
      <c r="G281" s="558" t="e">
        <f ca="1">IF(AND(E281&gt;0,E281&lt;30),LOOKUP(CELL("contenido",E281),$A$26:$B$55),"")</f>
        <v>#REF!</v>
      </c>
      <c r="H281" s="559" t="e">
        <f>+RIGHT(H279,2)*1</f>
        <v>#REF!</v>
      </c>
      <c r="I281" s="560" t="s">
        <v>346</v>
      </c>
      <c r="J281" s="561" t="e">
        <f ca="1">IF(E279&lt;2000,"",IF(CELL("contenido",H281)=1,"UN",IF(AND(H281&gt;0,H281&lt;30),LOOKUP(CELL("contenido",H281),$A$26:$B$55),"")))</f>
        <v>#REF!</v>
      </c>
      <c r="K281" s="562" t="e">
        <f>+RIGHT(K279,2)*1</f>
        <v>#REF!</v>
      </c>
      <c r="L281" s="563" t="s">
        <v>346</v>
      </c>
      <c r="M281" s="564" t="e">
        <f ca="1">IF(CELL("contenido",K281)=1,"UN",IF(AND(K281&gt;0,K281&lt;30),LOOKUP(CELL("contenido",K281),$A$26:$B$55),""))</f>
        <v>#REF!</v>
      </c>
      <c r="N281" s="565" t="e">
        <f>+RIGHT(N279,2)*1</f>
        <v>#REF!</v>
      </c>
      <c r="O281" s="566" t="s">
        <v>346</v>
      </c>
      <c r="P281" s="567" t="e">
        <f ca="1">IF(CELL("contenido",N281)=1,"UN",IF(AND(N281&gt;0,N281&lt;30),LOOKUP(CELL("contenido",N281),$A$26:$B$55),""))</f>
        <v>#REF!</v>
      </c>
      <c r="Q281" s="568" t="e">
        <f>+RIGHT(Q279,2)*1</f>
        <v>#REF!</v>
      </c>
      <c r="R281" s="569" t="s">
        <v>346</v>
      </c>
      <c r="S281" s="570" t="e">
        <f ca="1">IF(CELL("contenido",Q281)=1,"UN",IF(AND(Q281&gt;0,Q281&lt;30),LOOKUP(CELL("contenido",Q281),$A$26:$B$55),""))</f>
        <v>#REF!</v>
      </c>
      <c r="U281" s="549" t="e">
        <f ca="1">+IF(CELL("contenido",G281)&lt;&gt;"",CONCATENATE(G284," ",G283," ",G281," ",U279),IF(CELL("contenido",G280)="",CONCATENATE(G284," ",G283," ",G282," ",U279),CONCATENATE(G284," ",G283," ",G282," Y ",G280," ",U279)))</f>
        <v>#REF!</v>
      </c>
    </row>
    <row r="282" spans="4:21" ht="14.4" thickBot="1">
      <c r="D282" s="552"/>
      <c r="E282" s="556" t="e">
        <f>+RIGHT(E279,2)*1-E280</f>
        <v>#REF!</v>
      </c>
      <c r="F282" s="557" t="s">
        <v>348</v>
      </c>
      <c r="G282" s="558" t="e">
        <f ca="1">+IF(AND(E282&gt;0,E279&gt;=30),LOOKUP(CELL("contenido",E282),$C$26:$D$35),"")</f>
        <v>#REF!</v>
      </c>
      <c r="H282" s="559" t="e">
        <f>+RIGHT(H279,2)*1-H280</f>
        <v>#REF!</v>
      </c>
      <c r="I282" s="560" t="s">
        <v>348</v>
      </c>
      <c r="J282" s="561" t="e">
        <f ca="1">+IF(AND(H282&gt;0,H279&gt;=30),LOOKUP(CELL("contenido",H282),$C$26:$D$35),"")</f>
        <v>#REF!</v>
      </c>
      <c r="K282" s="562" t="e">
        <f>+RIGHT(K279,2)*1-K280</f>
        <v>#REF!</v>
      </c>
      <c r="L282" s="563" t="s">
        <v>348</v>
      </c>
      <c r="M282" s="564" t="e">
        <f ca="1">+IF(AND(K282&gt;0,K279&gt;=30),LOOKUP(CELL("contenido",K282),$C$26:$D$35),"")</f>
        <v>#REF!</v>
      </c>
      <c r="N282" s="565" t="e">
        <f>+RIGHT(N279,2)*1-N280</f>
        <v>#REF!</v>
      </c>
      <c r="O282" s="566" t="s">
        <v>348</v>
      </c>
      <c r="P282" s="567" t="e">
        <f ca="1">+IF(AND(N282&gt;0,K284&gt;=30),LOOKUP(CELL("contenido",N282),$C$26:$D$35),"")</f>
        <v>#REF!</v>
      </c>
      <c r="Q282" s="568" t="e">
        <f>+RIGHT(Q279,2)*1-Q280</f>
        <v>#REF!</v>
      </c>
      <c r="R282" s="569" t="s">
        <v>348</v>
      </c>
      <c r="S282" s="570" t="e">
        <f ca="1">+IF(AND(Q282&gt;0,N284&gt;=30),LOOKUP(CELL("contenido",Q282),$C$26:$D$35),"")</f>
        <v>#REF!</v>
      </c>
      <c r="U282" s="549" t="e">
        <f ca="1">+IF(CELL("contenido",J281)&lt;&gt;"",CONCATENATE(J284," ",J283," ",J281," "),IF(CELL("contenido",J280)="",CONCATENATE(J284," ",J283," ",J282," "),CONCATENATE(J284," ",J283," ",J282," Y ",J280," ")))</f>
        <v>#REF!</v>
      </c>
    </row>
    <row r="283" spans="4:21" ht="14.4" thickBot="1">
      <c r="D283" s="552"/>
      <c r="E283" s="556" t="e">
        <f>+RIGHT(E279,3)*1-E282-E280</f>
        <v>#REF!</v>
      </c>
      <c r="F283" s="557" t="s">
        <v>350</v>
      </c>
      <c r="G283" s="558" t="e">
        <f ca="1">+IF((RIGHT(E279,3)*1)=100,"CIEN",IF(AND(E283&gt;0,E283&lt;1000),LOOKUP(CELL("contenido",E283),$E$26:$F$35),""))</f>
        <v>#REF!</v>
      </c>
      <c r="H283" s="559" t="e">
        <f>+RIGHT(H279,3)*1-H282-H280</f>
        <v>#REF!</v>
      </c>
      <c r="I283" s="560" t="s">
        <v>350</v>
      </c>
      <c r="J283" s="561" t="e">
        <f ca="1">+IF(H279=100,"CIEN",IF(AND(H283&gt;0,H283&lt;1000),LOOKUP(CELL("contenido",H283),$E$26:$F$35),""))</f>
        <v>#REF!</v>
      </c>
      <c r="K283" s="562" t="e">
        <f>+RIGHT(K279,3)*1-K282-K280</f>
        <v>#REF!</v>
      </c>
      <c r="L283" s="563" t="s">
        <v>350</v>
      </c>
      <c r="M283" s="564" t="e">
        <f ca="1">+IF(K279=100,"CIEN",IF(AND(K283&gt;0,K283&lt;1000),LOOKUP(CELL("contenido",K283),$E$26:$F$35),""))</f>
        <v>#REF!</v>
      </c>
      <c r="N283" s="565" t="e">
        <f>+RIGHT(N279,3)*1-N282-N280</f>
        <v>#REF!</v>
      </c>
      <c r="O283" s="566" t="s">
        <v>350</v>
      </c>
      <c r="P283" s="567" t="e">
        <f ca="1">+IF(N279=100,"CIEN",IF(AND(N283&gt;0,N283&lt;1000),LOOKUP(CELL("contenido",N283),$E$26:$F$35),""))</f>
        <v>#REF!</v>
      </c>
      <c r="Q283" s="568" t="e">
        <f>+RIGHT(Q279,3)*1-Q282-Q280</f>
        <v>#REF!</v>
      </c>
      <c r="R283" s="569" t="s">
        <v>350</v>
      </c>
      <c r="S283" s="570" t="e">
        <f ca="1">+IF(Q279=100,"CIEN",IF(AND(Q283&gt;0,Q283&lt;1000),LOOKUP(CELL("contenido",Q283),$E$26:$F$35),""))</f>
        <v>#REF!</v>
      </c>
      <c r="U283" s="549" t="e">
        <f ca="1">+IF(CELL("contenido",M281)&lt;&gt;"",CONCATENATE(M284," ",M283," ",M281," "),IF(CELL("contenido",M280)="",CONCATENATE(M284," ",M283," ",M282," "),CONCATENATE(M284," ",M283," ",M282," Y ",M280," ")))</f>
        <v>#REF!</v>
      </c>
    </row>
    <row r="284" spans="4:21" ht="14.4" thickBot="1">
      <c r="D284" s="552"/>
      <c r="E284" s="572" t="e">
        <f>+RIGHT(E279,4)*1-E283-E282-E280</f>
        <v>#REF!</v>
      </c>
      <c r="F284" s="573" t="s">
        <v>352</v>
      </c>
      <c r="G284" s="574" t="e">
        <f ca="1">+IF(E279&gt;999,"MIL",IF(AND(E284&gt;0,E284&lt;10000),LOOKUP(CELL("contenido",E284),$E$26:$F$35),""))</f>
        <v>#REF!</v>
      </c>
      <c r="H284" s="575" t="e">
        <f>INT(E279/1000000)</f>
        <v>#REF!</v>
      </c>
      <c r="I284" s="576" t="s">
        <v>353</v>
      </c>
      <c r="J284" s="577" t="e">
        <f ca="1">+IF(CELL("contenido",M281)=1,"MILLÓN",IF(H284=1,"MILLÓN",IF(H284&gt;1,"MILLONES","")))</f>
        <v>#REF!</v>
      </c>
      <c r="K284" s="578" t="e">
        <f>+RIGHT(K279,4)*1-K283-K282-K280</f>
        <v>#REF!</v>
      </c>
      <c r="L284" s="579" t="s">
        <v>354</v>
      </c>
      <c r="M284" s="580" t="e">
        <f ca="1">+IF(AND(K284&gt;0,K284&lt;10000),LOOKUP(CELL("contenido",K284),$E$26:$F$35),"")</f>
        <v>#REF!</v>
      </c>
      <c r="N284" s="581" t="e">
        <f>+RIGHT(N279,4)*1-N283-N282-N280</f>
        <v>#REF!</v>
      </c>
      <c r="O284" s="582" t="s">
        <v>355</v>
      </c>
      <c r="P284" s="583" t="e">
        <f>+IF(N284=1,"UN MILLARDO",IF(N279&gt;1,"MILLARDOS",""))</f>
        <v>#REF!</v>
      </c>
      <c r="Q284" s="584" t="e">
        <f>+RIGHT(Q279,4)*1-Q283-Q282-Q280</f>
        <v>#REF!</v>
      </c>
      <c r="R284" s="585" t="s">
        <v>355</v>
      </c>
      <c r="S284" s="586" t="e">
        <f>+IF(Q284=1,"UN MILLARDO",IF(Q279&gt;1,"MILLARDOS",""))</f>
        <v>#REF!</v>
      </c>
      <c r="U284" s="549" t="e">
        <f ca="1">+IF(CELL("contenido",P281)&lt;&gt;"",CONCATENATE(P284," ",P283," ",P281," "),IF(CELL("contenido",P280)="",CONCATENATE(P284," ",P283," ",P282," "),CONCATENATE(P284," ",P283," ",P282," Y ",P280," ")))</f>
        <v>#REF!</v>
      </c>
    </row>
    <row r="285" spans="4:21" ht="13.8" thickTop="1"/>
    <row r="286" spans="4:21" ht="13.8">
      <c r="D286" s="549" t="s">
        <v>379</v>
      </c>
      <c r="E286" s="549"/>
      <c r="F286" s="549"/>
      <c r="G286" s="549"/>
      <c r="H286" s="549"/>
      <c r="I286" s="549"/>
      <c r="J286" s="549"/>
      <c r="K286" s="549"/>
      <c r="L286" s="549"/>
      <c r="M286" s="549"/>
      <c r="N286" s="549"/>
      <c r="O286" s="549"/>
      <c r="P286" s="549"/>
      <c r="Q286" s="549"/>
      <c r="R286" s="549"/>
      <c r="S286" s="549"/>
      <c r="U286" s="546"/>
    </row>
    <row r="287" spans="4:21" ht="13.8">
      <c r="D287" s="552"/>
      <c r="E287" s="553">
        <f>ROUND(100*(G1-INT(G1)),0)</f>
        <v>43</v>
      </c>
      <c r="F287" s="549" t="s">
        <v>334</v>
      </c>
      <c r="G287" s="549"/>
      <c r="H287" s="549"/>
      <c r="I287" s="549"/>
      <c r="J287" s="549"/>
      <c r="K287" s="549"/>
      <c r="L287" s="549"/>
      <c r="M287" s="549"/>
      <c r="N287" s="549"/>
      <c r="O287" s="549"/>
      <c r="P287" s="549"/>
      <c r="Q287" s="549"/>
      <c r="R287" s="549"/>
      <c r="S287" s="549"/>
    </row>
    <row r="288" spans="4:21" ht="13.8">
      <c r="D288" s="549"/>
      <c r="E288" s="549">
        <f>+LEN(E290)</f>
        <v>5</v>
      </c>
      <c r="F288" s="549" t="s">
        <v>335</v>
      </c>
      <c r="G288" s="549"/>
      <c r="H288" s="549"/>
      <c r="I288" s="549"/>
      <c r="J288" s="549"/>
      <c r="K288" s="549"/>
      <c r="L288" s="549"/>
      <c r="M288" s="549"/>
      <c r="N288" s="549"/>
      <c r="O288" s="549"/>
      <c r="P288" s="549"/>
      <c r="Q288" s="549"/>
      <c r="R288" s="549"/>
      <c r="S288" s="549"/>
    </row>
    <row r="289" spans="4:21" ht="14.4" thickBot="1">
      <c r="D289" s="552"/>
      <c r="E289" s="549"/>
      <c r="F289" s="549"/>
      <c r="G289" s="549"/>
      <c r="H289" s="549"/>
      <c r="I289" s="549"/>
      <c r="J289" s="549"/>
      <c r="K289" s="549"/>
      <c r="L289" s="549"/>
      <c r="M289" s="549"/>
      <c r="N289" s="549"/>
      <c r="O289" s="549"/>
      <c r="P289" s="549"/>
      <c r="Q289" s="549"/>
      <c r="R289" s="549"/>
      <c r="S289" s="549"/>
    </row>
    <row r="290" spans="4:21" ht="15" thickTop="1" thickBot="1">
      <c r="D290" s="549"/>
      <c r="E290" s="554">
        <f>+G1-E287/100</f>
        <v>59591</v>
      </c>
      <c r="F290" s="1443" t="s">
        <v>338</v>
      </c>
      <c r="G290" s="1444"/>
      <c r="H290" s="555">
        <f>+IF(E290&gt;1000,INT(E290/1000),0)</f>
        <v>59</v>
      </c>
      <c r="I290" s="1443" t="s">
        <v>339</v>
      </c>
      <c r="J290" s="1444"/>
      <c r="K290" s="555">
        <f>+INT(H290/1000)</f>
        <v>0</v>
      </c>
      <c r="L290" s="1443" t="s">
        <v>340</v>
      </c>
      <c r="M290" s="1444"/>
      <c r="N290" s="555">
        <f>+INT(K290/1000)</f>
        <v>0</v>
      </c>
      <c r="O290" s="1443" t="s">
        <v>341</v>
      </c>
      <c r="P290" s="1444"/>
      <c r="Q290" s="555">
        <f>+INT(N290)</f>
        <v>0</v>
      </c>
      <c r="R290" s="1443" t="s">
        <v>341</v>
      </c>
      <c r="S290" s="1444"/>
      <c r="U290" s="549" t="str">
        <f>+IF(E287=0,CONCATENATE("00",U291),IF(E287&lt;10,CONCATENATE(" 0",E287,U291),CONCATENATE(" ",E287,U291)))</f>
        <v xml:space="preserve"> 43/100 BOLIVIANOS</v>
      </c>
    </row>
    <row r="291" spans="4:21" ht="14.4" thickBot="1">
      <c r="D291" s="552"/>
      <c r="E291" s="556">
        <f>+RIGHT(E290)*1</f>
        <v>1</v>
      </c>
      <c r="F291" s="557" t="s">
        <v>343</v>
      </c>
      <c r="G291" s="558" t="str">
        <f ca="1">+IF(AND(E291&gt;0,E291&lt;10),LOOKUP(CELL("contenido",E291),$A$26:$B$35),"")</f>
        <v>UNO</v>
      </c>
      <c r="H291" s="559">
        <f>+RIGHT(H290)*1</f>
        <v>9</v>
      </c>
      <c r="I291" s="560" t="s">
        <v>343</v>
      </c>
      <c r="J291" s="561" t="str">
        <f ca="1">IF(E290&lt;2000,"",IF(CELL("contenido",H291)=1,"UN",IF(AND(H291&gt;0,H291&lt;10),LOOKUP(CELL("contenido",H291),$A$26:$B$35),"")))</f>
        <v>NUEVE</v>
      </c>
      <c r="K291" s="562">
        <f>+RIGHT(K290)*1</f>
        <v>0</v>
      </c>
      <c r="L291" s="563" t="s">
        <v>343</v>
      </c>
      <c r="M291" s="564" t="str">
        <f ca="1">+IF(CELL("contenido",K291)=1,"UN",IF(AND(K291&gt;0,K291&lt;10),LOOKUP(CELL("contenido",K291),$A$26:$B$35),""))</f>
        <v/>
      </c>
      <c r="N291" s="565">
        <f>+RIGHT(N290)*1</f>
        <v>0</v>
      </c>
      <c r="O291" s="566" t="s">
        <v>343</v>
      </c>
      <c r="P291" s="567" t="str">
        <f ca="1">+IF(CELL("contenido",N291)=1,"UN",IF(AND(N291&gt;0,N291&lt;10),LOOKUP(CELL("contenido",N291),$A$26:$B$35),""))</f>
        <v/>
      </c>
      <c r="Q291" s="568">
        <f>+RIGHT(Q290)*1</f>
        <v>0</v>
      </c>
      <c r="R291" s="569" t="s">
        <v>343</v>
      </c>
      <c r="S291" s="570" t="str">
        <f ca="1">+IF(CELL("contenido",Q291)=1,"UN",IF(AND(Q291&gt;0,Q291&lt;10),LOOKUP(CELL("contenido",Q291),$A$26:$B$35),""))</f>
        <v/>
      </c>
      <c r="U291" s="571" t="s">
        <v>344</v>
      </c>
    </row>
    <row r="292" spans="4:21" ht="14.4" thickBot="1">
      <c r="D292" s="552"/>
      <c r="E292" s="556">
        <f>+RIGHT(E290,2)*1</f>
        <v>91</v>
      </c>
      <c r="F292" s="557" t="s">
        <v>346</v>
      </c>
      <c r="G292" s="558" t="str">
        <f ca="1">IF(AND(E292&gt;0,E292&lt;30),LOOKUP(CELL("contenido",E292),$A$26:$B$55),"")</f>
        <v/>
      </c>
      <c r="H292" s="559">
        <f>+RIGHT(H290,2)*1</f>
        <v>59</v>
      </c>
      <c r="I292" s="560" t="s">
        <v>346</v>
      </c>
      <c r="J292" s="561" t="str">
        <f ca="1">IF(E290&lt;2000,"",IF(CELL("contenido",H292)=1,"UN",IF(AND(H292&gt;0,H292&lt;30),LOOKUP(CELL("contenido",H292),$A$26:$B$55),"")))</f>
        <v/>
      </c>
      <c r="K292" s="562">
        <f>+RIGHT(K290,2)*1</f>
        <v>0</v>
      </c>
      <c r="L292" s="563" t="s">
        <v>346</v>
      </c>
      <c r="M292" s="564" t="str">
        <f ca="1">IF(CELL("contenido",K292)=1,"UN",IF(AND(K292&gt;0,K292&lt;30),LOOKUP(CELL("contenido",K292),$A$26:$B$55),""))</f>
        <v/>
      </c>
      <c r="N292" s="565">
        <f>+RIGHT(N290,2)*1</f>
        <v>0</v>
      </c>
      <c r="O292" s="566" t="s">
        <v>346</v>
      </c>
      <c r="P292" s="567" t="str">
        <f ca="1">IF(CELL("contenido",N292)=1,"UN",IF(AND(N292&gt;0,N292&lt;30),LOOKUP(CELL("contenido",N292),$A$26:$B$55),""))</f>
        <v/>
      </c>
      <c r="Q292" s="568">
        <f>+RIGHT(Q290,2)*1</f>
        <v>0</v>
      </c>
      <c r="R292" s="569" t="s">
        <v>346</v>
      </c>
      <c r="S292" s="570" t="str">
        <f ca="1">IF(CELL("contenido",Q292)=1,"UN",IF(AND(Q292&gt;0,Q292&lt;30),LOOKUP(CELL("contenido",Q292),$A$26:$B$55),""))</f>
        <v/>
      </c>
      <c r="U292" s="549" t="str">
        <f ca="1">+IF(CELL("contenido",G292)&lt;&gt;"",CONCATENATE(G295," ",G294," ",G292," ",U290),IF(CELL("contenido",G291)="",CONCATENATE(G295," ",G294," ",G293," ",U290),CONCATENATE(G295," ",G294," ",G293," Y ",G291," ",U290)))</f>
        <v>MIL QUINIENTOS NOVENTA Y UNO  43/100 BOLIVIANOS</v>
      </c>
    </row>
    <row r="293" spans="4:21" ht="14.4" thickBot="1">
      <c r="D293" s="552"/>
      <c r="E293" s="556">
        <f>+RIGHT(E290,2)*1-E291</f>
        <v>90</v>
      </c>
      <c r="F293" s="557" t="s">
        <v>348</v>
      </c>
      <c r="G293" s="558" t="str">
        <f ca="1">+IF(AND(E293&gt;0,E290&gt;=30),LOOKUP(CELL("contenido",E293),$C$26:$D$35),"")</f>
        <v>NOVENTA</v>
      </c>
      <c r="H293" s="559">
        <f>+RIGHT(H290,2)*1-H291</f>
        <v>50</v>
      </c>
      <c r="I293" s="560" t="s">
        <v>348</v>
      </c>
      <c r="J293" s="561" t="str">
        <f ca="1">+IF(AND(H293&gt;0,H290&gt;=30),LOOKUP(CELL("contenido",H293),$C$26:$D$35),"")</f>
        <v>CINCUENTA</v>
      </c>
      <c r="K293" s="562">
        <f>+RIGHT(K290,2)*1-K291</f>
        <v>0</v>
      </c>
      <c r="L293" s="563" t="s">
        <v>348</v>
      </c>
      <c r="M293" s="564" t="str">
        <f ca="1">+IF(AND(K293&gt;0,K290&gt;=30),LOOKUP(CELL("contenido",K293),$C$26:$D$35),"")</f>
        <v/>
      </c>
      <c r="N293" s="565">
        <f>+RIGHT(N290,2)*1-N291</f>
        <v>0</v>
      </c>
      <c r="O293" s="566" t="s">
        <v>348</v>
      </c>
      <c r="P293" s="567" t="str">
        <f ca="1">+IF(AND(N293&gt;0,K295&gt;=30),LOOKUP(CELL("contenido",N293),$C$26:$D$35),"")</f>
        <v/>
      </c>
      <c r="Q293" s="568">
        <f>+RIGHT(Q290,2)*1-Q291</f>
        <v>0</v>
      </c>
      <c r="R293" s="569" t="s">
        <v>348</v>
      </c>
      <c r="S293" s="570" t="str">
        <f ca="1">+IF(AND(Q293&gt;0,N295&gt;=30),LOOKUP(CELL("contenido",Q293),$C$26:$D$35),"")</f>
        <v/>
      </c>
      <c r="U293" s="549" t="str">
        <f ca="1">+IF(CELL("contenido",J292)&lt;&gt;"",CONCATENATE(J295," ",J294," ",J292," "),IF(CELL("contenido",J291)="",CONCATENATE(J295," ",J294," ",J293," "),CONCATENATE(J295," ",J294," ",J293," Y ",J291," ")))</f>
        <v xml:space="preserve">  CINCUENTA Y NUEVE </v>
      </c>
    </row>
    <row r="294" spans="4:21" ht="14.4" thickBot="1">
      <c r="D294" s="552"/>
      <c r="E294" s="556">
        <f>+RIGHT(E290,3)*1-E293-E291</f>
        <v>500</v>
      </c>
      <c r="F294" s="557" t="s">
        <v>350</v>
      </c>
      <c r="G294" s="558" t="str">
        <f ca="1">+IF((RIGHT(E290,3)*1)=100,"CIEN",IF(AND(E294&gt;0,E294&lt;1000),LOOKUP(CELL("contenido",E294),$E$26:$F$35),""))</f>
        <v>QUINIENTOS</v>
      </c>
      <c r="H294" s="559">
        <f>+RIGHT(H290,3)*1-H293-H291</f>
        <v>0</v>
      </c>
      <c r="I294" s="560" t="s">
        <v>350</v>
      </c>
      <c r="J294" s="561" t="str">
        <f ca="1">+IF(H290=100,"CIEN",IF(AND(H294&gt;0,H294&lt;1000),LOOKUP(CELL("contenido",H294),$E$26:$F$35),""))</f>
        <v/>
      </c>
      <c r="K294" s="562">
        <f>+RIGHT(K290,3)*1-K293-K291</f>
        <v>0</v>
      </c>
      <c r="L294" s="563" t="s">
        <v>350</v>
      </c>
      <c r="M294" s="564" t="str">
        <f ca="1">+IF(K290=100,"CIEN",IF(AND(K294&gt;0,K294&lt;1000),LOOKUP(CELL("contenido",K294),$E$26:$F$35),""))</f>
        <v/>
      </c>
      <c r="N294" s="565">
        <f>+RIGHT(N290,3)*1-N293-N291</f>
        <v>0</v>
      </c>
      <c r="O294" s="566" t="s">
        <v>350</v>
      </c>
      <c r="P294" s="567" t="str">
        <f ca="1">+IF(N290=100,"CIEN",IF(AND(N294&gt;0,N294&lt;1000),LOOKUP(CELL("contenido",N294),$E$26:$F$35),""))</f>
        <v/>
      </c>
      <c r="Q294" s="568">
        <f>+RIGHT(Q290,3)*1-Q293-Q291</f>
        <v>0</v>
      </c>
      <c r="R294" s="569" t="s">
        <v>350</v>
      </c>
      <c r="S294" s="570" t="str">
        <f ca="1">+IF(Q290=100,"CIEN",IF(AND(Q294&gt;0,Q294&lt;1000),LOOKUP(CELL("contenido",Q294),$E$26:$F$35),""))</f>
        <v/>
      </c>
      <c r="U294" s="549" t="str">
        <f ca="1">+IF(CELL("contenido",M292)&lt;&gt;"",CONCATENATE(M295," ",M294," ",M292," "),IF(CELL("contenido",M291)="",CONCATENATE(M295," ",M294," ",M293," "),CONCATENATE(M295," ",M294," ",M293," Y ",M291," ")))</f>
        <v xml:space="preserve">   </v>
      </c>
    </row>
    <row r="295" spans="4:21" ht="14.4" thickBot="1">
      <c r="D295" s="552"/>
      <c r="E295" s="572">
        <f>+RIGHT(E290,4)*1-E294-E293-E291</f>
        <v>9000</v>
      </c>
      <c r="F295" s="573" t="s">
        <v>352</v>
      </c>
      <c r="G295" s="574" t="str">
        <f ca="1">+IF(E290&gt;999,"MIL",IF(AND(E295&gt;0,E295&lt;10000),LOOKUP(CELL("contenido",E295),$E$26:$F$35),""))</f>
        <v>MIL</v>
      </c>
      <c r="H295" s="575">
        <f>INT(E290/1000000)</f>
        <v>0</v>
      </c>
      <c r="I295" s="576" t="s">
        <v>353</v>
      </c>
      <c r="J295" s="577" t="str">
        <f ca="1">+IF(CELL("contenido",M292)=1,"MILLÓN",IF(H295=1,"MILLÓN",IF(H295&gt;1,"MILLONES","")))</f>
        <v/>
      </c>
      <c r="K295" s="578">
        <f>+RIGHT(K290,4)*1-K294-K293-K291</f>
        <v>0</v>
      </c>
      <c r="L295" s="579" t="s">
        <v>354</v>
      </c>
      <c r="M295" s="580" t="str">
        <f ca="1">+IF(AND(K295&gt;0,K295&lt;10000),LOOKUP(CELL("contenido",K295),$E$26:$F$35),"")</f>
        <v/>
      </c>
      <c r="N295" s="581">
        <f>+RIGHT(N290,4)*1-N294-N293-N291</f>
        <v>0</v>
      </c>
      <c r="O295" s="582" t="s">
        <v>355</v>
      </c>
      <c r="P295" s="583" t="str">
        <f>+IF(N295=1,"UN MILLARDO",IF(N290&gt;1,"MILLARDOS",""))</f>
        <v/>
      </c>
      <c r="Q295" s="584">
        <f>+RIGHT(Q290,4)*1-Q294-Q293-Q291</f>
        <v>0</v>
      </c>
      <c r="R295" s="585" t="s">
        <v>355</v>
      </c>
      <c r="S295" s="586" t="str">
        <f>+IF(Q295=1,"UN MILLARDO",IF(Q290&gt;1,"MILLARDOS",""))</f>
        <v/>
      </c>
      <c r="U295" s="549" t="str">
        <f ca="1">+IF(CELL("contenido",P292)&lt;&gt;"",CONCATENATE(P295," ",P294," ",P292," "),IF(CELL("contenido",P291)="",CONCATENATE(P295," ",P294," ",P293," "),CONCATENATE(P295," ",P294," ",P293," Y ",P291," ")))</f>
        <v xml:space="preserve">   </v>
      </c>
    </row>
    <row r="296" spans="4:21" ht="13.8" thickTop="1"/>
  </sheetData>
  <mergeCells count="115">
    <mergeCell ref="F290:G290"/>
    <mergeCell ref="I290:J290"/>
    <mergeCell ref="L290:M290"/>
    <mergeCell ref="O290:P290"/>
    <mergeCell ref="R290:S290"/>
    <mergeCell ref="F268:G268"/>
    <mergeCell ref="I268:J268"/>
    <mergeCell ref="L268:M268"/>
    <mergeCell ref="O268:P268"/>
    <mergeCell ref="R268:S268"/>
    <mergeCell ref="F279:G279"/>
    <mergeCell ref="I279:J279"/>
    <mergeCell ref="L279:M279"/>
    <mergeCell ref="O279:P279"/>
    <mergeCell ref="R279:S279"/>
    <mergeCell ref="F246:G246"/>
    <mergeCell ref="I246:J246"/>
    <mergeCell ref="L246:M246"/>
    <mergeCell ref="O246:P246"/>
    <mergeCell ref="R246:S246"/>
    <mergeCell ref="F257:G257"/>
    <mergeCell ref="I257:J257"/>
    <mergeCell ref="L257:M257"/>
    <mergeCell ref="O257:P257"/>
    <mergeCell ref="R257:S257"/>
    <mergeCell ref="F224:G224"/>
    <mergeCell ref="I224:J224"/>
    <mergeCell ref="L224:M224"/>
    <mergeCell ref="O224:P224"/>
    <mergeCell ref="R224:S224"/>
    <mergeCell ref="F235:G235"/>
    <mergeCell ref="I235:J235"/>
    <mergeCell ref="L235:M235"/>
    <mergeCell ref="O235:P235"/>
    <mergeCell ref="R235:S235"/>
    <mergeCell ref="F202:G202"/>
    <mergeCell ref="I202:J202"/>
    <mergeCell ref="L202:M202"/>
    <mergeCell ref="O202:P202"/>
    <mergeCell ref="R202:S202"/>
    <mergeCell ref="F213:G213"/>
    <mergeCell ref="I213:J213"/>
    <mergeCell ref="L213:M213"/>
    <mergeCell ref="O213:P213"/>
    <mergeCell ref="R213:S213"/>
    <mergeCell ref="F180:G180"/>
    <mergeCell ref="I180:J180"/>
    <mergeCell ref="L180:M180"/>
    <mergeCell ref="O180:P180"/>
    <mergeCell ref="R180:S180"/>
    <mergeCell ref="F191:G191"/>
    <mergeCell ref="I191:J191"/>
    <mergeCell ref="L191:M191"/>
    <mergeCell ref="O191:P191"/>
    <mergeCell ref="R191:S191"/>
    <mergeCell ref="F158:G158"/>
    <mergeCell ref="I158:J158"/>
    <mergeCell ref="L158:M158"/>
    <mergeCell ref="O158:P158"/>
    <mergeCell ref="R158:S158"/>
    <mergeCell ref="F169:G169"/>
    <mergeCell ref="I169:J169"/>
    <mergeCell ref="L169:M169"/>
    <mergeCell ref="O169:P169"/>
    <mergeCell ref="R169:S169"/>
    <mergeCell ref="F136:G136"/>
    <mergeCell ref="I136:J136"/>
    <mergeCell ref="L136:M136"/>
    <mergeCell ref="O136:P136"/>
    <mergeCell ref="R136:S136"/>
    <mergeCell ref="F147:G147"/>
    <mergeCell ref="I147:J147"/>
    <mergeCell ref="L147:M147"/>
    <mergeCell ref="O147:P147"/>
    <mergeCell ref="R147:S147"/>
    <mergeCell ref="F114:G114"/>
    <mergeCell ref="I114:J114"/>
    <mergeCell ref="L114:M114"/>
    <mergeCell ref="O114:P114"/>
    <mergeCell ref="R114:S114"/>
    <mergeCell ref="F125:G125"/>
    <mergeCell ref="I125:J125"/>
    <mergeCell ref="L125:M125"/>
    <mergeCell ref="O125:P125"/>
    <mergeCell ref="R125:S125"/>
    <mergeCell ref="F92:G92"/>
    <mergeCell ref="I92:J92"/>
    <mergeCell ref="L92:M92"/>
    <mergeCell ref="O92:P92"/>
    <mergeCell ref="R92:S92"/>
    <mergeCell ref="F103:G103"/>
    <mergeCell ref="I103:J103"/>
    <mergeCell ref="L103:M103"/>
    <mergeCell ref="O103:P103"/>
    <mergeCell ref="R103:S103"/>
    <mergeCell ref="F70:G70"/>
    <mergeCell ref="I70:J70"/>
    <mergeCell ref="L70:M70"/>
    <mergeCell ref="O70:P70"/>
    <mergeCell ref="R70:S70"/>
    <mergeCell ref="F81:G81"/>
    <mergeCell ref="I81:J81"/>
    <mergeCell ref="L81:M81"/>
    <mergeCell ref="O81:P81"/>
    <mergeCell ref="R81:S81"/>
    <mergeCell ref="F48:G48"/>
    <mergeCell ref="I48:J48"/>
    <mergeCell ref="L48:M48"/>
    <mergeCell ref="O48:P48"/>
    <mergeCell ref="R48:S48"/>
    <mergeCell ref="F59:G59"/>
    <mergeCell ref="I59:J59"/>
    <mergeCell ref="L59:M59"/>
    <mergeCell ref="O59:P59"/>
    <mergeCell ref="R59:S59"/>
  </mergeCells>
  <printOptions horizontalCentered="1"/>
  <pageMargins left="0.39370078740157483" right="0.75" top="0.39370078740157483" bottom="1" header="0" footer="0"/>
  <pageSetup orientation="landscape" horizontalDpi="4294967292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92D050"/>
    <pageSetUpPr fitToPage="1"/>
  </sheetPr>
  <dimension ref="B2:R60"/>
  <sheetViews>
    <sheetView showGridLines="0" view="pageBreakPreview" topLeftCell="A4" zoomScaleNormal="75" zoomScaleSheetLayoutView="100" workbookViewId="0">
      <selection activeCell="F15" sqref="F15"/>
    </sheetView>
  </sheetViews>
  <sheetFormatPr baseColWidth="10" defaultColWidth="11.44140625" defaultRowHeight="13.8"/>
  <cols>
    <col min="1" max="1" width="1.44140625" style="205" customWidth="1"/>
    <col min="2" max="2" width="8.6640625" style="205" customWidth="1"/>
    <col min="3" max="3" width="11.44140625" style="205" customWidth="1"/>
    <col min="4" max="4" width="14.5546875" style="205" customWidth="1"/>
    <col min="5" max="5" width="12.6640625" style="205" customWidth="1"/>
    <col min="6" max="6" width="13" style="205" customWidth="1"/>
    <col min="7" max="7" width="13.109375" style="205" customWidth="1"/>
    <col min="8" max="8" width="12.88671875" style="205" customWidth="1"/>
    <col min="9" max="9" width="15.88671875" style="205" customWidth="1"/>
    <col min="10" max="10" width="20.33203125" style="205" customWidth="1"/>
    <col min="11" max="12" width="12.5546875" style="205" bestFit="1" customWidth="1"/>
    <col min="13" max="13" width="13.88671875" style="205" hidden="1" customWidth="1"/>
    <col min="14" max="14" width="28.44140625" style="205" customWidth="1"/>
    <col min="15" max="16384" width="11.44140625" style="205"/>
  </cols>
  <sheetData>
    <row r="2" spans="2:15">
      <c r="B2" s="1682"/>
      <c r="C2" s="1683"/>
      <c r="D2" s="1684"/>
      <c r="E2" s="1016"/>
      <c r="F2" s="1019"/>
      <c r="G2" s="1019"/>
      <c r="H2" s="1019"/>
      <c r="I2" s="1020"/>
      <c r="J2" s="1009"/>
    </row>
    <row r="3" spans="2:15" ht="15.6">
      <c r="B3" s="229"/>
      <c r="C3" s="206"/>
      <c r="D3" s="260"/>
      <c r="E3" s="1685" t="str">
        <f>+Datos!C22</f>
        <v>CERTIFICADO DE PAGO Nº 6</v>
      </c>
      <c r="F3" s="1686"/>
      <c r="G3" s="1686"/>
      <c r="H3" s="1686"/>
      <c r="I3" s="1687"/>
      <c r="J3" s="233"/>
    </row>
    <row r="4" spans="2:15" ht="15" customHeight="1">
      <c r="B4" s="229"/>
      <c r="C4" s="206"/>
      <c r="D4" s="260"/>
      <c r="E4" s="1688" t="str">
        <f>+Datos!B2</f>
        <v>PROYECTO: CONSTRUCCION Y REHABILITACION TRAMO CARRETERO 
VILLA MONTES - LA VERTIENTE - PALO MARCADO</v>
      </c>
      <c r="F4" s="1689"/>
      <c r="G4" s="1689"/>
      <c r="H4" s="1689"/>
      <c r="I4" s="1690"/>
      <c r="J4" s="234"/>
    </row>
    <row r="5" spans="2:15" ht="15.75" customHeight="1">
      <c r="B5" s="230"/>
      <c r="C5" s="208"/>
      <c r="D5" s="1018"/>
      <c r="E5" s="1688"/>
      <c r="F5" s="1689"/>
      <c r="G5" s="1689"/>
      <c r="H5" s="1689"/>
      <c r="I5" s="1690"/>
      <c r="J5" s="1021"/>
    </row>
    <row r="6" spans="2:15" ht="17.25" customHeight="1">
      <c r="B6" s="1017"/>
      <c r="C6" s="220"/>
      <c r="D6" s="231"/>
      <c r="E6" s="1691" t="s">
        <v>445</v>
      </c>
      <c r="F6" s="1692"/>
      <c r="G6" s="1692"/>
      <c r="H6" s="1692"/>
      <c r="I6" s="1693"/>
      <c r="J6" s="1021"/>
    </row>
    <row r="7" spans="2:15" ht="19.5" customHeight="1">
      <c r="B7" s="1697" t="s">
        <v>155</v>
      </c>
      <c r="C7" s="1698"/>
      <c r="D7" s="1699"/>
      <c r="E7" s="1694"/>
      <c r="F7" s="1695"/>
      <c r="G7" s="1695"/>
      <c r="H7" s="1695"/>
      <c r="I7" s="1696"/>
      <c r="J7" s="1022" t="s">
        <v>241</v>
      </c>
    </row>
    <row r="8" spans="2:15" ht="27.75" customHeight="1">
      <c r="B8" s="254" t="s">
        <v>194</v>
      </c>
      <c r="C8" s="228"/>
      <c r="D8" s="782">
        <f>+Certificado!$K$16</f>
        <v>108397839.64</v>
      </c>
      <c r="F8" s="1680" t="s">
        <v>195</v>
      </c>
      <c r="G8" s="1680"/>
      <c r="H8" s="235">
        <f>ROUND(D8*0.2,2)</f>
        <v>21679567.93</v>
      </c>
      <c r="I8" s="228"/>
      <c r="J8" s="255"/>
      <c r="K8" s="981"/>
    </row>
    <row r="9" spans="2:15" ht="15" customHeight="1">
      <c r="B9" s="1681" t="s">
        <v>609</v>
      </c>
      <c r="C9" s="1679" t="s">
        <v>193</v>
      </c>
      <c r="D9" s="1681" t="s">
        <v>639</v>
      </c>
      <c r="E9" s="1681" t="s">
        <v>603</v>
      </c>
      <c r="F9" s="1681" t="s">
        <v>607</v>
      </c>
      <c r="G9" s="1681"/>
      <c r="H9" s="1681"/>
      <c r="I9" s="1681" t="s">
        <v>608</v>
      </c>
      <c r="J9" s="1679" t="s">
        <v>161</v>
      </c>
    </row>
    <row r="10" spans="2:15" ht="26.25" customHeight="1">
      <c r="B10" s="1681"/>
      <c r="C10" s="1679"/>
      <c r="D10" s="1681"/>
      <c r="E10" s="1681"/>
      <c r="F10" s="1015" t="s">
        <v>604</v>
      </c>
      <c r="G10" s="1015" t="s">
        <v>605</v>
      </c>
      <c r="H10" s="1015" t="s">
        <v>606</v>
      </c>
      <c r="I10" s="1681"/>
      <c r="J10" s="1679"/>
      <c r="M10" s="209"/>
      <c r="N10" s="209"/>
    </row>
    <row r="11" spans="2:15" ht="18" customHeight="1">
      <c r="B11" s="250" t="s">
        <v>610</v>
      </c>
      <c r="C11" s="1082">
        <v>43726</v>
      </c>
      <c r="D11" s="210">
        <f>+D8</f>
        <v>108397839.64</v>
      </c>
      <c r="E11" s="784">
        <v>0.2</v>
      </c>
      <c r="F11" s="263">
        <v>0</v>
      </c>
      <c r="G11" s="264">
        <v>0</v>
      </c>
      <c r="H11" s="265">
        <f>G11</f>
        <v>0</v>
      </c>
      <c r="I11" s="261">
        <f>ROUND(D11*E11,2)</f>
        <v>21679567.93</v>
      </c>
      <c r="J11" s="752" t="s">
        <v>602</v>
      </c>
      <c r="K11" s="973"/>
      <c r="L11" s="209"/>
      <c r="M11" s="209"/>
      <c r="N11" s="209"/>
      <c r="O11" s="209"/>
    </row>
    <row r="12" spans="2:15" ht="18" customHeight="1">
      <c r="B12" s="251">
        <v>1</v>
      </c>
      <c r="C12" s="1082" t="s">
        <v>638</v>
      </c>
      <c r="D12" s="211">
        <f>+'Avance Financiero'!C12</f>
        <v>230575.22</v>
      </c>
      <c r="E12" s="784">
        <v>0.2</v>
      </c>
      <c r="F12" s="266">
        <f t="shared" ref="F12:F15" si="0">+H11</f>
        <v>0</v>
      </c>
      <c r="G12" s="173">
        <f t="shared" ref="G12:G14" si="1">ROUND(D12*E12,2)</f>
        <v>46115.040000000001</v>
      </c>
      <c r="H12" s="267">
        <f>+F12+G12</f>
        <v>46115.040000000001</v>
      </c>
      <c r="I12" s="262">
        <f t="shared" ref="I12:I17" si="2">+I11-G12</f>
        <v>21633452.890000001</v>
      </c>
      <c r="J12" s="256"/>
      <c r="K12" s="973"/>
      <c r="L12" s="209"/>
      <c r="M12" s="209"/>
      <c r="N12" s="209"/>
      <c r="O12" s="209"/>
    </row>
    <row r="13" spans="2:15" ht="18" customHeight="1">
      <c r="B13" s="251">
        <v>2</v>
      </c>
      <c r="C13" s="1082">
        <v>44105</v>
      </c>
      <c r="D13" s="211">
        <f>+'Avance Financiero'!C13</f>
        <v>515942.20000000007</v>
      </c>
      <c r="E13" s="784">
        <v>0.2</v>
      </c>
      <c r="F13" s="266">
        <f t="shared" si="0"/>
        <v>46115.040000000001</v>
      </c>
      <c r="G13" s="173">
        <f t="shared" si="1"/>
        <v>103188.44</v>
      </c>
      <c r="H13" s="267">
        <f>+H12+G13</f>
        <v>149303.48000000001</v>
      </c>
      <c r="I13" s="262">
        <f t="shared" si="2"/>
        <v>21530264.449999999</v>
      </c>
      <c r="J13" s="256"/>
      <c r="K13" s="973"/>
      <c r="L13" s="209"/>
      <c r="M13" s="209"/>
      <c r="N13" s="209"/>
      <c r="O13" s="209"/>
    </row>
    <row r="14" spans="2:15" ht="18" customHeight="1">
      <c r="B14" s="251">
        <v>3</v>
      </c>
      <c r="C14" s="1082">
        <v>44136</v>
      </c>
      <c r="D14" s="211">
        <f>+'Avance Financiero'!C14</f>
        <v>778326.78</v>
      </c>
      <c r="E14" s="784">
        <v>0.2</v>
      </c>
      <c r="F14" s="266">
        <f t="shared" si="0"/>
        <v>149303.48000000001</v>
      </c>
      <c r="G14" s="173">
        <f t="shared" si="1"/>
        <v>155665.35999999999</v>
      </c>
      <c r="H14" s="267">
        <f>+H13+G14</f>
        <v>304968.83999999997</v>
      </c>
      <c r="I14" s="262">
        <f t="shared" si="2"/>
        <v>21374599.09</v>
      </c>
      <c r="J14" s="256"/>
      <c r="K14" s="973"/>
      <c r="L14" s="209"/>
      <c r="M14" s="209"/>
      <c r="N14" s="209"/>
      <c r="O14" s="209"/>
    </row>
    <row r="15" spans="2:15" ht="18" customHeight="1">
      <c r="B15" s="251">
        <v>4</v>
      </c>
      <c r="C15" s="1082" t="s">
        <v>652</v>
      </c>
      <c r="D15" s="211">
        <f>+'Avance Financiero'!C15</f>
        <v>86910.98</v>
      </c>
      <c r="E15" s="784">
        <v>0.2</v>
      </c>
      <c r="F15" s="266">
        <f t="shared" si="0"/>
        <v>304968.83999999997</v>
      </c>
      <c r="G15" s="173">
        <f>ROUND(D15*E15,2)</f>
        <v>17382.2</v>
      </c>
      <c r="H15" s="267">
        <f>+H14+G15</f>
        <v>322351.03999999998</v>
      </c>
      <c r="I15" s="262">
        <f t="shared" si="2"/>
        <v>21357216.890000001</v>
      </c>
      <c r="J15" s="256"/>
      <c r="K15" s="973"/>
      <c r="L15" s="209"/>
      <c r="M15" s="209"/>
      <c r="N15" s="209"/>
      <c r="O15" s="209"/>
    </row>
    <row r="16" spans="2:15" ht="18" customHeight="1">
      <c r="B16" s="251">
        <v>5</v>
      </c>
      <c r="C16" s="1082">
        <v>44256</v>
      </c>
      <c r="D16" s="211">
        <f>+'Avance Financiero'!C16</f>
        <v>38094.980000000003</v>
      </c>
      <c r="E16" s="784">
        <v>0.2</v>
      </c>
      <c r="F16" s="266">
        <f t="shared" ref="F16" si="3">+H15</f>
        <v>322351.03999999998</v>
      </c>
      <c r="G16" s="173">
        <f>ROUND(D16*E16,2)</f>
        <v>7619</v>
      </c>
      <c r="H16" s="267">
        <f>+H15+G16</f>
        <v>329970.03999999998</v>
      </c>
      <c r="I16" s="262">
        <f t="shared" si="2"/>
        <v>21349597.890000001</v>
      </c>
      <c r="J16" s="256"/>
      <c r="K16" s="973"/>
      <c r="L16" s="209"/>
      <c r="M16" s="209"/>
      <c r="N16" s="209"/>
      <c r="O16" s="209"/>
    </row>
    <row r="17" spans="2:15" ht="18" customHeight="1">
      <c r="B17" s="251">
        <v>6</v>
      </c>
      <c r="C17" s="1082">
        <v>44287</v>
      </c>
      <c r="D17" s="211">
        <f>+'Avance Financiero'!C17</f>
        <v>81632.100000000006</v>
      </c>
      <c r="E17" s="784">
        <v>0.2</v>
      </c>
      <c r="F17" s="266">
        <f t="shared" ref="F17" si="4">+H16</f>
        <v>329970.03999999998</v>
      </c>
      <c r="G17" s="173">
        <f>ROUND(D17*E17,2)</f>
        <v>16326.42</v>
      </c>
      <c r="H17" s="267">
        <f>+H16+G17</f>
        <v>346296.45999999996</v>
      </c>
      <c r="I17" s="262">
        <f t="shared" si="2"/>
        <v>21333271.469999999</v>
      </c>
      <c r="J17" s="256"/>
      <c r="L17" s="488"/>
      <c r="M17" s="209"/>
      <c r="N17" s="209"/>
      <c r="O17" s="209"/>
    </row>
    <row r="18" spans="2:15" ht="18" customHeight="1">
      <c r="B18" s="251"/>
      <c r="C18" s="1082"/>
      <c r="D18" s="211"/>
      <c r="E18" s="784"/>
      <c r="F18" s="266"/>
      <c r="G18" s="173"/>
      <c r="H18" s="267"/>
      <c r="I18" s="262"/>
      <c r="J18" s="256"/>
      <c r="L18" s="209"/>
      <c r="M18" s="209"/>
      <c r="N18" s="209"/>
      <c r="O18" s="209"/>
    </row>
    <row r="19" spans="2:15" ht="18" customHeight="1">
      <c r="B19" s="251"/>
      <c r="C19" s="1082"/>
      <c r="D19" s="211"/>
      <c r="E19" s="784"/>
      <c r="F19" s="266"/>
      <c r="G19" s="173"/>
      <c r="H19" s="267"/>
      <c r="I19" s="262"/>
      <c r="J19" s="256"/>
      <c r="L19" s="209"/>
      <c r="M19" s="209"/>
      <c r="N19" s="209"/>
      <c r="O19" s="209"/>
    </row>
    <row r="20" spans="2:15" ht="18" customHeight="1">
      <c r="B20" s="251"/>
      <c r="C20" s="1082"/>
      <c r="D20" s="211"/>
      <c r="E20" s="784"/>
      <c r="F20" s="266"/>
      <c r="G20" s="173"/>
      <c r="H20" s="267"/>
      <c r="I20" s="262"/>
      <c r="J20" s="256"/>
      <c r="L20" s="209"/>
      <c r="M20" s="209"/>
      <c r="N20" s="209"/>
      <c r="O20" s="209"/>
    </row>
    <row r="21" spans="2:15" ht="18" customHeight="1">
      <c r="B21" s="251"/>
      <c r="C21" s="1082"/>
      <c r="D21" s="211"/>
      <c r="E21" s="784"/>
      <c r="F21" s="266"/>
      <c r="G21" s="173"/>
      <c r="H21" s="267"/>
      <c r="I21" s="262"/>
      <c r="J21" s="256"/>
      <c r="L21" s="209"/>
      <c r="M21" s="209"/>
      <c r="N21" s="209"/>
      <c r="O21" s="209"/>
    </row>
    <row r="22" spans="2:15" ht="18" customHeight="1">
      <c r="B22" s="251"/>
      <c r="C22" s="1082"/>
      <c r="D22" s="211"/>
      <c r="E22" s="784"/>
      <c r="F22" s="266"/>
      <c r="G22" s="173"/>
      <c r="H22" s="267"/>
      <c r="I22" s="262"/>
      <c r="J22" s="256"/>
      <c r="L22" s="209"/>
      <c r="M22" s="209"/>
      <c r="N22" s="209"/>
      <c r="O22" s="209"/>
    </row>
    <row r="23" spans="2:15" ht="18" customHeight="1">
      <c r="B23" s="251"/>
      <c r="C23" s="1082"/>
      <c r="D23" s="211"/>
      <c r="E23" s="784"/>
      <c r="F23" s="266"/>
      <c r="G23" s="173"/>
      <c r="H23" s="267"/>
      <c r="I23" s="262"/>
      <c r="J23" s="256"/>
      <c r="L23" s="209"/>
      <c r="M23" s="209"/>
      <c r="N23" s="209"/>
      <c r="O23" s="209"/>
    </row>
    <row r="24" spans="2:15" ht="18" customHeight="1">
      <c r="B24" s="251"/>
      <c r="C24" s="1082"/>
      <c r="D24" s="211"/>
      <c r="E24" s="784"/>
      <c r="F24" s="266"/>
      <c r="G24" s="173"/>
      <c r="H24" s="267"/>
      <c r="I24" s="262"/>
      <c r="J24" s="256"/>
      <c r="L24" s="209"/>
      <c r="M24" s="209"/>
      <c r="N24" s="209"/>
      <c r="O24" s="209"/>
    </row>
    <row r="25" spans="2:15" ht="18" customHeight="1">
      <c r="B25" s="251"/>
      <c r="C25" s="1082"/>
      <c r="D25" s="211"/>
      <c r="E25" s="784"/>
      <c r="F25" s="266"/>
      <c r="G25" s="173"/>
      <c r="H25" s="267"/>
      <c r="I25" s="262"/>
      <c r="J25" s="256"/>
      <c r="L25" s="209"/>
      <c r="M25" s="209"/>
      <c r="N25" s="209"/>
      <c r="O25" s="209"/>
    </row>
    <row r="26" spans="2:15" ht="18" customHeight="1">
      <c r="B26" s="251"/>
      <c r="C26" s="1082"/>
      <c r="D26" s="211"/>
      <c r="E26" s="784"/>
      <c r="F26" s="266"/>
      <c r="G26" s="173"/>
      <c r="H26" s="267"/>
      <c r="I26" s="262"/>
      <c r="J26" s="256"/>
      <c r="L26" s="209"/>
    </row>
    <row r="27" spans="2:15" ht="18" customHeight="1">
      <c r="B27" s="251"/>
      <c r="C27" s="1082"/>
      <c r="D27" s="211"/>
      <c r="E27" s="784"/>
      <c r="F27" s="266"/>
      <c r="G27" s="173"/>
      <c r="H27" s="267"/>
      <c r="I27" s="262"/>
      <c r="J27" s="256"/>
    </row>
    <row r="28" spans="2:15" ht="18" customHeight="1">
      <c r="B28" s="251"/>
      <c r="C28" s="1082"/>
      <c r="D28" s="211"/>
      <c r="E28" s="784"/>
      <c r="F28" s="266"/>
      <c r="G28" s="173"/>
      <c r="H28" s="267"/>
      <c r="I28" s="262"/>
      <c r="J28" s="256"/>
    </row>
    <row r="29" spans="2:15" ht="18" customHeight="1">
      <c r="B29" s="251"/>
      <c r="C29" s="1082"/>
      <c r="D29" s="211"/>
      <c r="E29" s="784"/>
      <c r="F29" s="266"/>
      <c r="G29" s="173"/>
      <c r="H29" s="267"/>
      <c r="I29" s="262"/>
      <c r="J29" s="256"/>
    </row>
    <row r="30" spans="2:15" ht="18" customHeight="1">
      <c r="B30" s="251"/>
      <c r="C30" s="1082"/>
      <c r="D30" s="211"/>
      <c r="E30" s="784"/>
      <c r="F30" s="266"/>
      <c r="G30" s="173"/>
      <c r="H30" s="267"/>
      <c r="I30" s="262"/>
      <c r="J30" s="256"/>
    </row>
    <row r="31" spans="2:15" ht="18" customHeight="1">
      <c r="B31" s="251"/>
      <c r="C31" s="1082"/>
      <c r="D31" s="211"/>
      <c r="E31" s="784"/>
      <c r="F31" s="266"/>
      <c r="G31" s="173"/>
      <c r="H31" s="267"/>
      <c r="I31" s="262"/>
      <c r="J31" s="256"/>
    </row>
    <row r="32" spans="2:15" ht="18" customHeight="1">
      <c r="B32" s="251"/>
      <c r="C32" s="201"/>
      <c r="D32" s="213"/>
      <c r="E32" s="213"/>
      <c r="F32" s="266"/>
      <c r="G32" s="270"/>
      <c r="H32" s="267"/>
      <c r="I32" s="262"/>
      <c r="J32" s="259"/>
    </row>
    <row r="33" spans="2:18" ht="18" customHeight="1">
      <c r="B33" s="251"/>
      <c r="C33" s="252"/>
      <c r="D33" s="213"/>
      <c r="E33" s="213"/>
      <c r="F33" s="266"/>
      <c r="G33" s="270"/>
      <c r="H33" s="267"/>
      <c r="I33" s="262"/>
      <c r="J33" s="259"/>
    </row>
    <row r="34" spans="2:18" ht="18" customHeight="1">
      <c r="B34" s="251"/>
      <c r="C34" s="252"/>
      <c r="D34" s="213"/>
      <c r="E34" s="213"/>
      <c r="F34" s="266"/>
      <c r="G34" s="270"/>
      <c r="H34" s="267"/>
      <c r="I34" s="262"/>
      <c r="J34" s="259"/>
    </row>
    <row r="35" spans="2:18" ht="18" customHeight="1">
      <c r="B35" s="251"/>
      <c r="C35" s="252"/>
      <c r="D35" s="213"/>
      <c r="E35" s="213"/>
      <c r="F35" s="266"/>
      <c r="G35" s="270"/>
      <c r="H35" s="267"/>
      <c r="I35" s="262"/>
      <c r="J35" s="259"/>
    </row>
    <row r="36" spans="2:18" ht="18" customHeight="1">
      <c r="B36" s="251"/>
      <c r="C36" s="252"/>
      <c r="D36" s="213"/>
      <c r="E36" s="213"/>
      <c r="F36" s="266"/>
      <c r="G36" s="270"/>
      <c r="H36" s="267"/>
      <c r="I36" s="262"/>
      <c r="J36" s="259"/>
    </row>
    <row r="37" spans="2:18" ht="18" customHeight="1">
      <c r="B37" s="251"/>
      <c r="C37" s="252"/>
      <c r="D37" s="213"/>
      <c r="E37" s="213"/>
      <c r="F37" s="266"/>
      <c r="G37" s="270"/>
      <c r="H37" s="267"/>
      <c r="I37" s="262"/>
      <c r="J37" s="259"/>
    </row>
    <row r="38" spans="2:18" ht="18" customHeight="1">
      <c r="B38" s="251"/>
      <c r="C38" s="252"/>
      <c r="D38" s="213"/>
      <c r="E38" s="213"/>
      <c r="F38" s="266"/>
      <c r="G38" s="270"/>
      <c r="H38" s="267"/>
      <c r="I38" s="262"/>
      <c r="J38" s="259"/>
    </row>
    <row r="39" spans="2:18" ht="18" customHeight="1">
      <c r="B39" s="253"/>
      <c r="C39" s="252"/>
      <c r="D39" s="213"/>
      <c r="E39" s="213"/>
      <c r="F39" s="266"/>
      <c r="G39" s="270"/>
      <c r="H39" s="267"/>
      <c r="I39" s="262"/>
      <c r="J39" s="259"/>
    </row>
    <row r="40" spans="2:18" ht="18" customHeight="1">
      <c r="B40" s="253"/>
      <c r="C40" s="252"/>
      <c r="D40" s="213"/>
      <c r="E40" s="213"/>
      <c r="F40" s="266"/>
      <c r="G40" s="270"/>
      <c r="H40" s="267"/>
      <c r="I40" s="262"/>
      <c r="J40" s="259"/>
    </row>
    <row r="41" spans="2:18" ht="18" customHeight="1">
      <c r="B41" s="1677" t="s">
        <v>294</v>
      </c>
      <c r="C41" s="1678"/>
      <c r="D41" s="1678"/>
      <c r="E41" s="1678"/>
      <c r="F41" s="275">
        <f>MAX(F11:F40)</f>
        <v>329970.03999999998</v>
      </c>
      <c r="G41" s="276">
        <f>+H41-F41</f>
        <v>16326.419999999984</v>
      </c>
      <c r="H41" s="277">
        <f>MAX(H11:H40)</f>
        <v>346296.45999999996</v>
      </c>
      <c r="I41" s="278">
        <f>H8-H41</f>
        <v>21333271.469999999</v>
      </c>
      <c r="J41" s="274"/>
    </row>
    <row r="42" spans="2:18" ht="18" customHeight="1">
      <c r="B42" s="1677" t="s">
        <v>663</v>
      </c>
      <c r="C42" s="1678"/>
      <c r="D42" s="1678"/>
      <c r="E42" s="1678"/>
      <c r="F42" s="1316">
        <f>+F41/$D$8</f>
        <v>3.0440647257903228E-3</v>
      </c>
      <c r="G42" s="1316">
        <f>+G41/$D$8</f>
        <v>1.5061573232660032E-4</v>
      </c>
      <c r="H42" s="1316">
        <f>+H41/$D$8</f>
        <v>3.194680458116923E-3</v>
      </c>
      <c r="I42" s="1316">
        <f>+I41/$D$8</f>
        <v>0.19680531956033362</v>
      </c>
      <c r="J42" s="274"/>
    </row>
    <row r="43" spans="2:18" ht="8.25" customHeight="1">
      <c r="B43" s="229"/>
      <c r="C43" s="206"/>
      <c r="D43" s="206"/>
      <c r="E43" s="206"/>
      <c r="F43" s="206"/>
      <c r="G43" s="206"/>
      <c r="H43" s="206"/>
      <c r="I43" s="206"/>
      <c r="J43" s="260"/>
    </row>
    <row r="44" spans="2:18">
      <c r="B44" s="236"/>
      <c r="C44" s="237"/>
      <c r="D44" s="1013"/>
      <c r="E44" s="238"/>
      <c r="F44" s="238"/>
      <c r="G44" s="238"/>
      <c r="H44" s="238"/>
      <c r="I44" s="238"/>
      <c r="J44" s="239"/>
      <c r="K44" s="214"/>
      <c r="L44" s="214"/>
      <c r="M44" s="214"/>
      <c r="N44" s="215"/>
      <c r="O44" s="215"/>
      <c r="P44" s="215"/>
      <c r="Q44" s="215"/>
      <c r="R44" s="216"/>
    </row>
    <row r="45" spans="2:18">
      <c r="B45" s="240" t="s">
        <v>162</v>
      </c>
      <c r="C45" s="217"/>
      <c r="D45" s="217"/>
      <c r="E45" s="218"/>
      <c r="F45" s="206"/>
      <c r="G45" s="220" t="s">
        <v>157</v>
      </c>
      <c r="H45" s="221"/>
      <c r="I45" s="206"/>
      <c r="J45" s="241"/>
      <c r="K45" s="222"/>
      <c r="L45" s="206"/>
      <c r="M45" s="206"/>
      <c r="N45" s="221"/>
      <c r="O45" s="221"/>
      <c r="P45" s="221"/>
      <c r="Q45" s="221"/>
      <c r="R45" s="221"/>
    </row>
    <row r="46" spans="2:18">
      <c r="B46" s="242"/>
      <c r="C46" s="218"/>
      <c r="D46" s="218"/>
      <c r="E46" s="218"/>
      <c r="F46" s="206"/>
      <c r="G46" s="206"/>
      <c r="H46" s="221"/>
      <c r="I46" s="223"/>
      <c r="J46" s="241"/>
      <c r="K46" s="221"/>
      <c r="L46" s="221"/>
      <c r="M46" s="221"/>
      <c r="N46" s="221"/>
      <c r="O46" s="221"/>
      <c r="P46" s="221"/>
      <c r="Q46" s="221"/>
      <c r="R46" s="221"/>
    </row>
    <row r="47" spans="2:18">
      <c r="B47" s="242"/>
      <c r="C47" s="218"/>
      <c r="D47" s="218"/>
      <c r="E47" s="218"/>
      <c r="F47" s="206"/>
      <c r="G47" s="206"/>
      <c r="H47" s="221"/>
      <c r="I47" s="223"/>
      <c r="J47" s="241"/>
      <c r="K47" s="221"/>
      <c r="L47" s="221"/>
      <c r="M47" s="221"/>
      <c r="N47" s="221"/>
      <c r="O47" s="221"/>
      <c r="P47" s="221"/>
      <c r="Q47" s="221"/>
      <c r="R47" s="221"/>
    </row>
    <row r="48" spans="2:18">
      <c r="B48" s="242"/>
      <c r="C48" s="218"/>
      <c r="D48" s="218"/>
      <c r="E48" s="218"/>
      <c r="F48" s="206"/>
      <c r="G48" s="206"/>
      <c r="H48" s="221"/>
      <c r="I48" s="223"/>
      <c r="J48" s="241"/>
      <c r="K48" s="221"/>
      <c r="L48" s="221"/>
      <c r="M48" s="221"/>
      <c r="N48" s="221"/>
      <c r="O48" s="221"/>
      <c r="P48" s="221"/>
      <c r="Q48" s="221"/>
      <c r="R48" s="221"/>
    </row>
    <row r="49" spans="2:18">
      <c r="B49" s="242"/>
      <c r="C49" s="218"/>
      <c r="D49" s="218"/>
      <c r="E49" s="218"/>
      <c r="F49" s="206"/>
      <c r="G49" s="206"/>
      <c r="H49" s="221"/>
      <c r="I49" s="223"/>
      <c r="J49" s="241"/>
      <c r="K49" s="221"/>
      <c r="L49" s="221"/>
      <c r="M49" s="221"/>
      <c r="N49" s="221"/>
      <c r="O49" s="221"/>
      <c r="P49" s="221"/>
      <c r="Q49" s="221"/>
      <c r="R49" s="221"/>
    </row>
    <row r="50" spans="2:18">
      <c r="B50" s="243"/>
      <c r="C50" s="224"/>
      <c r="D50" s="224"/>
      <c r="E50" s="214"/>
      <c r="F50" s="206"/>
      <c r="G50" s="206"/>
      <c r="H50" s="214"/>
      <c r="I50" s="214"/>
      <c r="J50" s="244"/>
      <c r="K50" s="214"/>
      <c r="L50" s="214"/>
      <c r="M50" s="214"/>
      <c r="N50" s="214"/>
      <c r="O50" s="214"/>
      <c r="P50" s="214"/>
      <c r="Q50" s="214"/>
      <c r="R50" s="216"/>
    </row>
    <row r="51" spans="2:18">
      <c r="B51" s="243"/>
      <c r="C51" s="224"/>
      <c r="D51" s="224"/>
      <c r="E51" s="214"/>
      <c r="F51" s="206"/>
      <c r="G51" s="206"/>
      <c r="H51" s="214"/>
      <c r="I51" s="214"/>
      <c r="J51" s="244"/>
      <c r="K51" s="214"/>
      <c r="L51" s="214"/>
      <c r="M51" s="214"/>
      <c r="N51" s="214"/>
      <c r="O51" s="214"/>
      <c r="P51" s="214"/>
      <c r="Q51" s="214"/>
      <c r="R51" s="216"/>
    </row>
    <row r="52" spans="2:18">
      <c r="B52" s="1675" t="str">
        <f>+'Planilla de Avance'!F113</f>
        <v>Ing. Gabriel Daza Chavez</v>
      </c>
      <c r="C52" s="1676"/>
      <c r="D52" s="1676"/>
      <c r="E52" s="1676"/>
      <c r="F52" s="1676"/>
      <c r="G52" s="206"/>
      <c r="H52" s="206"/>
      <c r="I52" s="1106" t="str">
        <f>+'Planilla de Avance'!J113</f>
        <v>Ing. Herlan Rene Ramos Estrada</v>
      </c>
      <c r="J52" s="246"/>
      <c r="K52" s="227"/>
      <c r="L52" s="227"/>
      <c r="M52" s="227"/>
      <c r="N52" s="227"/>
      <c r="O52" s="206"/>
      <c r="P52" s="227"/>
      <c r="Q52" s="227"/>
      <c r="R52" s="227"/>
    </row>
    <row r="53" spans="2:18">
      <c r="B53" s="1673" t="str">
        <f>+'Planilla de Avance'!F114</f>
        <v>SUPERINTENDENTE DE OBRA</v>
      </c>
      <c r="C53" s="1674"/>
      <c r="D53" s="1674"/>
      <c r="E53" s="1674"/>
      <c r="F53" s="1674"/>
      <c r="G53" s="206"/>
      <c r="H53" s="206"/>
      <c r="I53" s="224" t="str">
        <f>+'Planilla de Avance'!J114</f>
        <v>SUPERVISOR DE OBRA</v>
      </c>
      <c r="J53" s="246"/>
      <c r="K53" s="224"/>
      <c r="L53" s="224"/>
      <c r="M53" s="224"/>
      <c r="N53" s="224"/>
      <c r="O53" s="206"/>
      <c r="P53" s="224"/>
      <c r="Q53" s="224"/>
      <c r="R53" s="224"/>
    </row>
    <row r="54" spans="2:18" ht="29.25" customHeight="1">
      <c r="B54" s="1671" t="str">
        <f>+'Planilla de Avance'!F115</f>
        <v>EMPRESA ESTRATÉGICA BOLIVIANA DE CONSTRUCCIÓN
Y CONSERVACIÓN DE INFRAESTRUCTURA CIVIL (EBC)</v>
      </c>
      <c r="C54" s="1672"/>
      <c r="D54" s="1672"/>
      <c r="E54" s="1672"/>
      <c r="F54" s="1672"/>
      <c r="G54" s="248"/>
      <c r="H54" s="248"/>
      <c r="I54" s="1010" t="str">
        <f>+'Planilla de Avance'!J115</f>
        <v>ABC - REGIONAL TARIJA</v>
      </c>
      <c r="J54" s="249"/>
      <c r="K54" s="224"/>
      <c r="L54" s="224"/>
      <c r="M54" s="224"/>
      <c r="N54" s="224"/>
      <c r="O54" s="206"/>
      <c r="P54" s="224"/>
      <c r="Q54" s="224"/>
      <c r="R54" s="224"/>
    </row>
    <row r="60" spans="2:18">
      <c r="E60" s="209"/>
    </row>
  </sheetData>
  <mergeCells count="18">
    <mergeCell ref="F8:G8"/>
    <mergeCell ref="D9:D10"/>
    <mergeCell ref="E9:E10"/>
    <mergeCell ref="F9:H9"/>
    <mergeCell ref="B2:D2"/>
    <mergeCell ref="E3:I3"/>
    <mergeCell ref="E4:I5"/>
    <mergeCell ref="I9:I10"/>
    <mergeCell ref="B9:B10"/>
    <mergeCell ref="C9:C10"/>
    <mergeCell ref="E6:I7"/>
    <mergeCell ref="B7:D7"/>
    <mergeCell ref="B54:F54"/>
    <mergeCell ref="B53:F53"/>
    <mergeCell ref="B52:F52"/>
    <mergeCell ref="B41:E41"/>
    <mergeCell ref="J9:J10"/>
    <mergeCell ref="B42:E42"/>
  </mergeCells>
  <printOptions horizontalCentered="1" verticalCentered="1"/>
  <pageMargins left="0.59055118110236227" right="0.39370078740157483" top="0.59055118110236227" bottom="0.59055118110236227" header="0" footer="0"/>
  <pageSetup scale="78" orientation="portrait" horizontalDpi="4294967295" verticalDpi="4294967295" r:id="rId1"/>
  <headerFooter alignWithMargins="0"/>
  <rowBreaks count="1" manualBreakCount="1">
    <brk id="85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R56"/>
  <sheetViews>
    <sheetView showGridLines="0" view="pageBreakPreview" topLeftCell="A16" zoomScaleNormal="75" zoomScaleSheetLayoutView="100" workbookViewId="0">
      <selection activeCell="F15" sqref="F15"/>
    </sheetView>
  </sheetViews>
  <sheetFormatPr baseColWidth="10" defaultColWidth="11.44140625" defaultRowHeight="13.8"/>
  <cols>
    <col min="1" max="1" width="1.44140625" style="205" customWidth="1"/>
    <col min="2" max="2" width="8.88671875" style="205" customWidth="1"/>
    <col min="3" max="3" width="13" style="205" customWidth="1"/>
    <col min="4" max="4" width="11.88671875" style="205" customWidth="1"/>
    <col min="5" max="5" width="10.5546875" style="205" customWidth="1"/>
    <col min="6" max="8" width="12.6640625" style="205" customWidth="1"/>
    <col min="9" max="9" width="15" style="205" customWidth="1"/>
    <col min="10" max="10" width="22.44140625" style="205" customWidth="1"/>
    <col min="11" max="12" width="12.5546875" style="205" bestFit="1" customWidth="1"/>
    <col min="13" max="13" width="13.88671875" style="205" hidden="1" customWidth="1"/>
    <col min="14" max="14" width="28.44140625" style="205" customWidth="1"/>
    <col min="15" max="16384" width="11.44140625" style="205"/>
  </cols>
  <sheetData>
    <row r="2" spans="2:15" ht="18" customHeight="1">
      <c r="B2" s="1682"/>
      <c r="C2" s="1703"/>
      <c r="D2" s="1704"/>
      <c r="E2" s="1400"/>
      <c r="F2" s="1400"/>
      <c r="G2" s="1400"/>
      <c r="H2" s="1400"/>
      <c r="I2" s="1401"/>
      <c r="J2" s="1009"/>
    </row>
    <row r="3" spans="2:15" ht="18" customHeight="1">
      <c r="B3" s="229"/>
      <c r="C3" s="206"/>
      <c r="D3" s="231"/>
      <c r="E3" s="207"/>
      <c r="F3" s="207"/>
      <c r="G3" s="1402" t="str">
        <f>+Certificado!$C$1</f>
        <v>CERTIFICADO DE PAGO Nº 6</v>
      </c>
      <c r="H3" s="207"/>
      <c r="I3" s="207"/>
      <c r="J3" s="233"/>
    </row>
    <row r="4" spans="2:15" ht="18" customHeight="1">
      <c r="B4" s="229"/>
      <c r="C4" s="206"/>
      <c r="D4" s="232"/>
      <c r="E4" s="1688" t="str">
        <f>+Datos!B2</f>
        <v>PROYECTO: CONSTRUCCION Y REHABILITACION TRAMO CARRETERO 
VILLA MONTES - LA VERTIENTE - PALO MARCADO</v>
      </c>
      <c r="F4" s="1689"/>
      <c r="G4" s="1689"/>
      <c r="H4" s="1689"/>
      <c r="I4" s="1690"/>
      <c r="J4" s="234"/>
    </row>
    <row r="5" spans="2:15" ht="18" customHeight="1">
      <c r="B5" s="230"/>
      <c r="C5" s="208"/>
      <c r="D5" s="232"/>
      <c r="E5" s="1688"/>
      <c r="F5" s="1689"/>
      <c r="G5" s="1689"/>
      <c r="H5" s="1689"/>
      <c r="I5" s="1690"/>
      <c r="J5" s="1021"/>
    </row>
    <row r="6" spans="2:15" ht="18" customHeight="1">
      <c r="B6" s="1705"/>
      <c r="C6" s="1706"/>
      <c r="D6" s="1707"/>
      <c r="E6" s="1691" t="s">
        <v>690</v>
      </c>
      <c r="F6" s="1692"/>
      <c r="G6" s="1692"/>
      <c r="H6" s="1692"/>
      <c r="I6" s="1693"/>
      <c r="J6" s="1021"/>
    </row>
    <row r="7" spans="2:15" ht="18" customHeight="1">
      <c r="B7" s="1708" t="s">
        <v>155</v>
      </c>
      <c r="C7" s="1709"/>
      <c r="D7" s="1710"/>
      <c r="E7" s="1694"/>
      <c r="F7" s="1695"/>
      <c r="G7" s="1695"/>
      <c r="H7" s="1695"/>
      <c r="I7" s="1696"/>
      <c r="J7" s="1014" t="s">
        <v>241</v>
      </c>
    </row>
    <row r="8" spans="2:15" ht="27.75" customHeight="1">
      <c r="B8" s="254" t="s">
        <v>194</v>
      </c>
      <c r="C8" s="228"/>
      <c r="D8" s="782">
        <f>+Certificado!$K$16</f>
        <v>108397839.64</v>
      </c>
      <c r="E8" s="228"/>
      <c r="F8" s="1680" t="s">
        <v>458</v>
      </c>
      <c r="G8" s="1680"/>
      <c r="H8" s="235">
        <f>ROUND(D8*0.07,2)</f>
        <v>7587848.7699999996</v>
      </c>
      <c r="I8" s="228"/>
      <c r="J8" s="255"/>
    </row>
    <row r="9" spans="2:15" ht="19.5" customHeight="1">
      <c r="B9" s="1681" t="s">
        <v>609</v>
      </c>
      <c r="C9" s="1679" t="s">
        <v>193</v>
      </c>
      <c r="D9" s="1681" t="s">
        <v>639</v>
      </c>
      <c r="E9" s="1681" t="s">
        <v>603</v>
      </c>
      <c r="F9" s="1681" t="s">
        <v>607</v>
      </c>
      <c r="G9" s="1681"/>
      <c r="H9" s="1681"/>
      <c r="I9" s="1681" t="s">
        <v>608</v>
      </c>
      <c r="J9" s="1679" t="s">
        <v>161</v>
      </c>
    </row>
    <row r="10" spans="2:15" ht="33" customHeight="1">
      <c r="B10" s="1681"/>
      <c r="C10" s="1679"/>
      <c r="D10" s="1681"/>
      <c r="E10" s="1681"/>
      <c r="F10" s="1015" t="s">
        <v>604</v>
      </c>
      <c r="G10" s="1015" t="s">
        <v>605</v>
      </c>
      <c r="H10" s="1015" t="s">
        <v>606</v>
      </c>
      <c r="I10" s="1681"/>
      <c r="J10" s="1679"/>
    </row>
    <row r="11" spans="2:15" ht="18" customHeight="1">
      <c r="B11" s="250" t="s">
        <v>610</v>
      </c>
      <c r="C11" s="1082"/>
      <c r="D11" s="210"/>
      <c r="E11" s="784"/>
      <c r="F11" s="263"/>
      <c r="G11" s="264"/>
      <c r="H11" s="265"/>
      <c r="I11" s="261">
        <f>+H8</f>
        <v>7587848.7699999996</v>
      </c>
      <c r="J11" s="752"/>
      <c r="L11" s="209"/>
      <c r="M11" s="209"/>
      <c r="N11" s="209"/>
      <c r="O11" s="209"/>
    </row>
    <row r="12" spans="2:15" ht="18" customHeight="1">
      <c r="B12" s="251">
        <v>1</v>
      </c>
      <c r="C12" s="1082" t="s">
        <v>638</v>
      </c>
      <c r="D12" s="211">
        <f>+'Avance Financiero'!C12</f>
        <v>230575.22</v>
      </c>
      <c r="E12" s="784">
        <v>7.0000000000000007E-2</v>
      </c>
      <c r="F12" s="266">
        <f t="shared" ref="F12:F17" si="0">+H11</f>
        <v>0</v>
      </c>
      <c r="G12" s="173">
        <f t="shared" ref="G12:G15" si="1">ROUND(D12*E12,2)</f>
        <v>16140.27</v>
      </c>
      <c r="H12" s="267">
        <f t="shared" ref="H12:H17" si="2">+G12+H11</f>
        <v>16140.27</v>
      </c>
      <c r="I12" s="262">
        <f t="shared" ref="I12:I17" si="3">+I11-G12</f>
        <v>7571708.5</v>
      </c>
      <c r="J12" s="256"/>
      <c r="L12" s="209"/>
      <c r="M12" s="209"/>
      <c r="N12" s="209"/>
      <c r="O12" s="209"/>
    </row>
    <row r="13" spans="2:15" ht="18" customHeight="1">
      <c r="B13" s="251">
        <v>2</v>
      </c>
      <c r="C13" s="1082">
        <v>44105</v>
      </c>
      <c r="D13" s="211">
        <f>+'Avance Financiero'!C13</f>
        <v>515942.20000000007</v>
      </c>
      <c r="E13" s="784">
        <v>7.0000000000000007E-2</v>
      </c>
      <c r="F13" s="266">
        <f t="shared" si="0"/>
        <v>16140.27</v>
      </c>
      <c r="G13" s="173">
        <f t="shared" si="1"/>
        <v>36115.949999999997</v>
      </c>
      <c r="H13" s="267">
        <f t="shared" si="2"/>
        <v>52256.22</v>
      </c>
      <c r="I13" s="262">
        <f t="shared" si="3"/>
        <v>7535592.5499999998</v>
      </c>
      <c r="J13" s="256"/>
      <c r="L13" s="209"/>
      <c r="M13" s="209"/>
      <c r="N13" s="209"/>
      <c r="O13" s="209"/>
    </row>
    <row r="14" spans="2:15" ht="18" customHeight="1">
      <c r="B14" s="251">
        <v>3</v>
      </c>
      <c r="C14" s="1082">
        <v>44136</v>
      </c>
      <c r="D14" s="211">
        <f>+'Avance Financiero'!C14</f>
        <v>778326.78</v>
      </c>
      <c r="E14" s="784">
        <v>7.0000000000000007E-2</v>
      </c>
      <c r="F14" s="266">
        <f t="shared" si="0"/>
        <v>52256.22</v>
      </c>
      <c r="G14" s="173">
        <f t="shared" si="1"/>
        <v>54482.87</v>
      </c>
      <c r="H14" s="267">
        <f t="shared" si="2"/>
        <v>106739.09</v>
      </c>
      <c r="I14" s="262">
        <f t="shared" si="3"/>
        <v>7481109.6799999997</v>
      </c>
      <c r="J14" s="256"/>
      <c r="L14" s="209"/>
      <c r="M14" s="209"/>
      <c r="N14" s="209"/>
      <c r="O14" s="209"/>
    </row>
    <row r="15" spans="2:15" ht="18" customHeight="1">
      <c r="B15" s="251">
        <v>4</v>
      </c>
      <c r="C15" s="1082" t="s">
        <v>652</v>
      </c>
      <c r="D15" s="211">
        <f>+'Avance Financiero'!C15</f>
        <v>86910.98</v>
      </c>
      <c r="E15" s="784">
        <v>7.0000000000000007E-2</v>
      </c>
      <c r="F15" s="266">
        <f t="shared" si="0"/>
        <v>106739.09</v>
      </c>
      <c r="G15" s="173">
        <f t="shared" si="1"/>
        <v>6083.77</v>
      </c>
      <c r="H15" s="267">
        <f t="shared" si="2"/>
        <v>112822.86</v>
      </c>
      <c r="I15" s="262">
        <f t="shared" si="3"/>
        <v>7475025.9100000001</v>
      </c>
      <c r="J15" s="256"/>
      <c r="L15" s="209"/>
      <c r="M15" s="209"/>
      <c r="N15" s="209"/>
      <c r="O15" s="209"/>
    </row>
    <row r="16" spans="2:15" ht="18" customHeight="1">
      <c r="B16" s="251">
        <v>5</v>
      </c>
      <c r="C16" s="1082">
        <v>44256</v>
      </c>
      <c r="D16" s="211">
        <f>+'Avance Financiero'!C16</f>
        <v>38094.980000000003</v>
      </c>
      <c r="E16" s="784">
        <v>7.0000000000000007E-2</v>
      </c>
      <c r="F16" s="266">
        <f t="shared" si="0"/>
        <v>112822.86</v>
      </c>
      <c r="G16" s="173">
        <f>ROUND(D16*E16,2)</f>
        <v>2666.65</v>
      </c>
      <c r="H16" s="267">
        <f t="shared" si="2"/>
        <v>115489.51</v>
      </c>
      <c r="I16" s="262">
        <f t="shared" si="3"/>
        <v>7472359.2599999998</v>
      </c>
      <c r="J16" s="256"/>
      <c r="L16" s="209"/>
      <c r="M16" s="209"/>
      <c r="N16" s="209"/>
      <c r="O16" s="209"/>
    </row>
    <row r="17" spans="2:15" ht="18" customHeight="1">
      <c r="B17" s="251">
        <v>6</v>
      </c>
      <c r="C17" s="1082">
        <v>44287</v>
      </c>
      <c r="D17" s="211">
        <f>+'Avance Financiero'!C17</f>
        <v>81632.100000000006</v>
      </c>
      <c r="E17" s="784">
        <v>7.0000000000000007E-2</v>
      </c>
      <c r="F17" s="266">
        <f t="shared" si="0"/>
        <v>115489.51</v>
      </c>
      <c r="G17" s="173">
        <f>ROUND(D17*E17,2)</f>
        <v>5714.25</v>
      </c>
      <c r="H17" s="267">
        <f t="shared" si="2"/>
        <v>121203.76</v>
      </c>
      <c r="I17" s="262">
        <f t="shared" si="3"/>
        <v>7466645.0099999998</v>
      </c>
      <c r="J17" s="256"/>
      <c r="K17" s="1212">
        <f>+I17/D8</f>
        <v>6.8881861804603026E-2</v>
      </c>
      <c r="L17" s="1212"/>
      <c r="M17" s="1212"/>
      <c r="N17" s="1226"/>
      <c r="O17" s="209"/>
    </row>
    <row r="18" spans="2:15" ht="18" customHeight="1">
      <c r="B18" s="251"/>
      <c r="C18" s="1082"/>
      <c r="D18" s="211"/>
      <c r="E18" s="784"/>
      <c r="F18" s="266"/>
      <c r="G18" s="173"/>
      <c r="H18" s="267"/>
      <c r="I18" s="262"/>
      <c r="J18" s="257"/>
      <c r="L18" s="209"/>
      <c r="M18" s="209"/>
      <c r="N18" s="209"/>
      <c r="O18" s="209"/>
    </row>
    <row r="19" spans="2:15" ht="18" customHeight="1">
      <c r="B19" s="251"/>
      <c r="C19" s="1082"/>
      <c r="D19" s="211"/>
      <c r="E19" s="524"/>
      <c r="F19" s="266"/>
      <c r="G19" s="268"/>
      <c r="H19" s="267"/>
      <c r="I19" s="262"/>
      <c r="J19" s="257"/>
      <c r="L19" s="209"/>
      <c r="M19" s="209"/>
      <c r="N19" s="209"/>
      <c r="O19" s="209"/>
    </row>
    <row r="20" spans="2:15" ht="18" customHeight="1">
      <c r="B20" s="251"/>
      <c r="C20" s="1082"/>
      <c r="D20" s="211"/>
      <c r="E20" s="524"/>
      <c r="F20" s="266"/>
      <c r="G20" s="268"/>
      <c r="H20" s="267"/>
      <c r="I20" s="262"/>
      <c r="J20" s="257"/>
      <c r="L20" s="209"/>
      <c r="M20" s="209"/>
      <c r="N20" s="209"/>
      <c r="O20" s="209"/>
    </row>
    <row r="21" spans="2:15" ht="18" customHeight="1">
      <c r="B21" s="251"/>
      <c r="C21" s="1082"/>
      <c r="D21" s="211"/>
      <c r="E21" s="524"/>
      <c r="F21" s="266"/>
      <c r="G21" s="269"/>
      <c r="H21" s="267"/>
      <c r="I21" s="262"/>
      <c r="J21" s="257"/>
      <c r="L21" s="209"/>
      <c r="M21" s="209"/>
      <c r="N21" s="209"/>
      <c r="O21" s="209"/>
    </row>
    <row r="22" spans="2:15" ht="18" customHeight="1">
      <c r="B22" s="251"/>
      <c r="C22" s="1082"/>
      <c r="D22" s="211"/>
      <c r="E22" s="524"/>
      <c r="F22" s="266"/>
      <c r="G22" s="269"/>
      <c r="H22" s="267"/>
      <c r="I22" s="262"/>
      <c r="J22" s="257"/>
      <c r="L22" s="209"/>
      <c r="M22" s="209"/>
      <c r="N22" s="209"/>
      <c r="O22" s="209"/>
    </row>
    <row r="23" spans="2:15" ht="18" customHeight="1">
      <c r="B23" s="251"/>
      <c r="C23" s="1082"/>
      <c r="D23" s="155"/>
      <c r="E23" s="524"/>
      <c r="F23" s="266"/>
      <c r="G23" s="269"/>
      <c r="H23" s="267"/>
      <c r="I23" s="262"/>
      <c r="J23" s="257"/>
      <c r="L23" s="209"/>
      <c r="M23" s="209"/>
      <c r="N23" s="209"/>
      <c r="O23" s="209"/>
    </row>
    <row r="24" spans="2:15" ht="18" customHeight="1">
      <c r="B24" s="251"/>
      <c r="C24" s="1082"/>
      <c r="D24" s="212"/>
      <c r="E24" s="524"/>
      <c r="F24" s="266"/>
      <c r="G24" s="269"/>
      <c r="H24" s="267"/>
      <c r="I24" s="262"/>
      <c r="J24" s="257"/>
      <c r="L24" s="209"/>
      <c r="M24" s="209"/>
      <c r="N24" s="209"/>
      <c r="O24" s="209"/>
    </row>
    <row r="25" spans="2:15" ht="18" customHeight="1">
      <c r="B25" s="251"/>
      <c r="C25" s="1082"/>
      <c r="D25" s="212"/>
      <c r="E25" s="524"/>
      <c r="F25" s="266"/>
      <c r="G25" s="269"/>
      <c r="H25" s="267"/>
      <c r="I25" s="262"/>
      <c r="J25" s="258"/>
      <c r="L25" s="209"/>
      <c r="M25" s="209"/>
      <c r="N25" s="209"/>
      <c r="O25" s="209"/>
    </row>
    <row r="26" spans="2:15" ht="18" customHeight="1">
      <c r="B26" s="251"/>
      <c r="C26" s="1082"/>
      <c r="D26" s="212"/>
      <c r="E26" s="524"/>
      <c r="F26" s="266"/>
      <c r="G26" s="269"/>
      <c r="H26" s="267"/>
      <c r="I26" s="262"/>
      <c r="J26" s="257"/>
      <c r="L26" s="209"/>
    </row>
    <row r="27" spans="2:15" ht="18" customHeight="1">
      <c r="B27" s="251"/>
      <c r="C27" s="1082"/>
      <c r="D27" s="212"/>
      <c r="E27" s="524"/>
      <c r="F27" s="266"/>
      <c r="G27" s="269"/>
      <c r="H27" s="267"/>
      <c r="I27" s="262"/>
      <c r="J27" s="257"/>
    </row>
    <row r="28" spans="2:15" ht="18" customHeight="1">
      <c r="B28" s="251"/>
      <c r="C28" s="1082"/>
      <c r="D28" s="212"/>
      <c r="E28" s="524"/>
      <c r="F28" s="266"/>
      <c r="G28" s="269"/>
      <c r="H28" s="267"/>
      <c r="I28" s="262"/>
      <c r="J28" s="257"/>
    </row>
    <row r="29" spans="2:15" ht="18" customHeight="1">
      <c r="B29" s="251"/>
      <c r="C29" s="1082"/>
      <c r="D29" s="212"/>
      <c r="E29" s="524"/>
      <c r="F29" s="266"/>
      <c r="G29" s="269"/>
      <c r="H29" s="267"/>
      <c r="I29" s="262"/>
      <c r="J29" s="257"/>
    </row>
    <row r="30" spans="2:15" ht="18" customHeight="1">
      <c r="B30" s="251"/>
      <c r="C30" s="1082"/>
      <c r="D30" s="213"/>
      <c r="E30" s="524"/>
      <c r="F30" s="266"/>
      <c r="G30" s="270"/>
      <c r="H30" s="267"/>
      <c r="I30" s="262"/>
      <c r="J30" s="259"/>
    </row>
    <row r="31" spans="2:15" ht="18" customHeight="1">
      <c r="B31" s="251"/>
      <c r="C31" s="1082"/>
      <c r="D31" s="213"/>
      <c r="E31" s="524"/>
      <c r="F31" s="266"/>
      <c r="G31" s="270"/>
      <c r="H31" s="267"/>
      <c r="I31" s="262"/>
      <c r="J31" s="259"/>
    </row>
    <row r="32" spans="2:15" ht="18" customHeight="1">
      <c r="B32" s="251"/>
      <c r="C32" s="252"/>
      <c r="D32" s="213"/>
      <c r="E32" s="525"/>
      <c r="F32" s="266"/>
      <c r="G32" s="270"/>
      <c r="H32" s="267"/>
      <c r="I32" s="262"/>
      <c r="J32" s="259"/>
    </row>
    <row r="33" spans="2:18" ht="18" customHeight="1">
      <c r="B33" s="251"/>
      <c r="C33" s="252"/>
      <c r="D33" s="213"/>
      <c r="E33" s="526"/>
      <c r="F33" s="266"/>
      <c r="G33" s="270"/>
      <c r="H33" s="267"/>
      <c r="I33" s="262"/>
      <c r="J33" s="259"/>
    </row>
    <row r="34" spans="2:18" ht="18" customHeight="1">
      <c r="B34" s="251"/>
      <c r="C34" s="252"/>
      <c r="D34" s="213"/>
      <c r="E34" s="526"/>
      <c r="F34" s="266"/>
      <c r="G34" s="270"/>
      <c r="H34" s="267"/>
      <c r="I34" s="262"/>
      <c r="J34" s="259"/>
    </row>
    <row r="35" spans="2:18" ht="18" customHeight="1">
      <c r="B35" s="251"/>
      <c r="C35" s="252"/>
      <c r="D35" s="213"/>
      <c r="E35" s="526"/>
      <c r="F35" s="266"/>
      <c r="G35" s="270"/>
      <c r="H35" s="267"/>
      <c r="I35" s="262"/>
      <c r="J35" s="259"/>
    </row>
    <row r="36" spans="2:18" ht="18" customHeight="1">
      <c r="B36" s="251"/>
      <c r="C36" s="252"/>
      <c r="D36" s="213"/>
      <c r="E36" s="526"/>
      <c r="F36" s="266"/>
      <c r="G36" s="270"/>
      <c r="H36" s="267"/>
      <c r="I36" s="262"/>
      <c r="J36" s="259"/>
    </row>
    <row r="37" spans="2:18" ht="18" customHeight="1">
      <c r="B37" s="253"/>
      <c r="C37" s="252"/>
      <c r="D37" s="213"/>
      <c r="E37" s="526"/>
      <c r="F37" s="266"/>
      <c r="G37" s="270"/>
      <c r="H37" s="267"/>
      <c r="I37" s="262"/>
      <c r="J37" s="259"/>
    </row>
    <row r="38" spans="2:18" ht="18" customHeight="1">
      <c r="B38" s="253"/>
      <c r="C38" s="252"/>
      <c r="D38" s="213"/>
      <c r="E38" s="526"/>
      <c r="F38" s="266"/>
      <c r="G38" s="270"/>
      <c r="H38" s="267"/>
      <c r="I38" s="262"/>
      <c r="J38" s="259"/>
    </row>
    <row r="39" spans="2:18" ht="17.100000000000001" customHeight="1">
      <c r="B39" s="1677" t="s">
        <v>294</v>
      </c>
      <c r="C39" s="1702"/>
      <c r="D39" s="1702"/>
      <c r="E39" s="1702"/>
      <c r="F39" s="275">
        <f>MAX(F11:F38)</f>
        <v>115489.51</v>
      </c>
      <c r="G39" s="276">
        <f>+H39-F39</f>
        <v>5714.25</v>
      </c>
      <c r="H39" s="277">
        <f>MAX(H11:H38)</f>
        <v>121203.76</v>
      </c>
      <c r="I39" s="278">
        <f>H8-H39</f>
        <v>7466645.0099999998</v>
      </c>
      <c r="J39" s="274"/>
    </row>
    <row r="40" spans="2:18" ht="17.100000000000001" customHeight="1">
      <c r="B40" s="1677" t="s">
        <v>663</v>
      </c>
      <c r="C40" s="1702"/>
      <c r="D40" s="1702"/>
      <c r="E40" s="1702"/>
      <c r="F40" s="1425">
        <f>+F39/$D$8</f>
        <v>1.0654226171255086E-3</v>
      </c>
      <c r="G40" s="1425">
        <f>+G39/$D$8</f>
        <v>5.2715533990138477E-5</v>
      </c>
      <c r="H40" s="1425">
        <f>+H39/$D$8</f>
        <v>1.118138151115647E-3</v>
      </c>
      <c r="I40" s="1316">
        <f>+I39/$D$8</f>
        <v>6.8881861804603026E-2</v>
      </c>
      <c r="J40" s="274"/>
    </row>
    <row r="41" spans="2:18" ht="8.25" customHeight="1">
      <c r="B41" s="229"/>
      <c r="C41" s="206"/>
      <c r="D41" s="206"/>
      <c r="E41" s="206"/>
      <c r="F41" s="206"/>
      <c r="G41" s="206"/>
      <c r="H41" s="206"/>
      <c r="I41" s="206"/>
      <c r="J41" s="260"/>
    </row>
    <row r="42" spans="2:18">
      <c r="B42" s="236"/>
      <c r="C42" s="237"/>
      <c r="D42" s="238"/>
      <c r="E42" s="237"/>
      <c r="F42" s="238"/>
      <c r="G42" s="238"/>
      <c r="H42" s="238"/>
      <c r="I42" s="238"/>
      <c r="J42" s="239"/>
      <c r="K42" s="214"/>
      <c r="L42" s="214"/>
      <c r="M42" s="214"/>
      <c r="N42" s="215"/>
      <c r="O42" s="215"/>
      <c r="P42" s="215"/>
      <c r="Q42" s="215"/>
      <c r="R42" s="216"/>
    </row>
    <row r="43" spans="2:18">
      <c r="B43" s="240" t="s">
        <v>162</v>
      </c>
      <c r="C43" s="217"/>
      <c r="D43" s="218"/>
      <c r="E43" s="219"/>
      <c r="F43" s="206"/>
      <c r="G43" s="220" t="s">
        <v>157</v>
      </c>
      <c r="H43" s="221"/>
      <c r="I43" s="206"/>
      <c r="J43" s="241"/>
      <c r="K43" s="222"/>
      <c r="L43" s="206"/>
      <c r="M43" s="206"/>
      <c r="N43" s="221"/>
      <c r="O43" s="221"/>
      <c r="P43" s="221"/>
      <c r="Q43" s="221"/>
      <c r="R43" s="221"/>
    </row>
    <row r="44" spans="2:18">
      <c r="B44" s="242"/>
      <c r="C44" s="218"/>
      <c r="D44" s="218"/>
      <c r="E44" s="221"/>
      <c r="F44" s="206"/>
      <c r="G44" s="206"/>
      <c r="H44" s="221"/>
      <c r="I44" s="223"/>
      <c r="J44" s="241"/>
      <c r="K44" s="221"/>
      <c r="L44" s="221"/>
      <c r="M44" s="221"/>
      <c r="N44" s="221"/>
      <c r="O44" s="221"/>
      <c r="P44" s="221"/>
      <c r="Q44" s="221"/>
      <c r="R44" s="221"/>
    </row>
    <row r="45" spans="2:18">
      <c r="B45" s="242"/>
      <c r="C45" s="218"/>
      <c r="D45" s="218"/>
      <c r="E45" s="221"/>
      <c r="F45" s="206"/>
      <c r="G45" s="206"/>
      <c r="H45" s="221"/>
      <c r="I45" s="223"/>
      <c r="J45" s="241"/>
      <c r="K45" s="221"/>
      <c r="L45" s="221"/>
      <c r="M45" s="221"/>
      <c r="N45" s="221"/>
      <c r="O45" s="221"/>
      <c r="P45" s="221"/>
      <c r="Q45" s="221"/>
      <c r="R45" s="221"/>
    </row>
    <row r="46" spans="2:18">
      <c r="B46" s="243"/>
      <c r="C46" s="224"/>
      <c r="D46" s="214"/>
      <c r="E46" s="224"/>
      <c r="F46" s="206"/>
      <c r="G46" s="206"/>
      <c r="H46" s="214"/>
      <c r="I46" s="214"/>
      <c r="J46" s="244"/>
      <c r="K46" s="214"/>
      <c r="L46" s="214"/>
      <c r="M46" s="214"/>
      <c r="N46" s="214"/>
      <c r="O46" s="214"/>
      <c r="P46" s="214"/>
      <c r="Q46" s="214"/>
      <c r="R46" s="216"/>
    </row>
    <row r="47" spans="2:18">
      <c r="B47" s="243"/>
      <c r="C47" s="224"/>
      <c r="D47" s="214"/>
      <c r="E47" s="224"/>
      <c r="F47" s="206"/>
      <c r="G47" s="206"/>
      <c r="H47" s="214"/>
      <c r="I47" s="214"/>
      <c r="J47" s="244"/>
      <c r="K47" s="214"/>
      <c r="L47" s="214"/>
      <c r="M47" s="214"/>
      <c r="N47" s="214"/>
      <c r="O47" s="214"/>
      <c r="P47" s="214"/>
      <c r="Q47" s="214"/>
      <c r="R47" s="216"/>
    </row>
    <row r="48" spans="2:18">
      <c r="B48" s="245"/>
      <c r="C48" s="225"/>
      <c r="D48" s="1106" t="str">
        <f>+'Planilla de Avance'!F113</f>
        <v>Ing. Gabriel Daza Chavez</v>
      </c>
      <c r="E48" s="151"/>
      <c r="F48" s="226"/>
      <c r="G48" s="206"/>
      <c r="H48" s="206"/>
      <c r="I48" s="1106" t="str">
        <f>+'Planilla de Avance'!J113</f>
        <v>Ing. Herlan Rene Ramos Estrada</v>
      </c>
      <c r="J48" s="246"/>
      <c r="K48" s="227"/>
      <c r="L48" s="227"/>
      <c r="M48" s="227"/>
      <c r="N48" s="227"/>
      <c r="O48" s="206"/>
      <c r="P48" s="227"/>
      <c r="Q48" s="227"/>
      <c r="R48" s="227"/>
    </row>
    <row r="49" spans="2:18">
      <c r="B49" s="247"/>
      <c r="C49" s="214"/>
      <c r="D49" s="224" t="str">
        <f>+'Planilla de Avance'!F114</f>
        <v>SUPERINTENDENTE DE OBRA</v>
      </c>
      <c r="E49" s="151"/>
      <c r="F49" s="226"/>
      <c r="G49" s="206"/>
      <c r="H49" s="206"/>
      <c r="I49" s="224" t="str">
        <f>+'Planilla de Avance'!J114</f>
        <v>SUPERVISOR DE OBRA</v>
      </c>
      <c r="J49" s="246"/>
      <c r="K49" s="224"/>
      <c r="L49" s="224"/>
      <c r="M49" s="224"/>
      <c r="N49" s="224"/>
      <c r="O49" s="206"/>
      <c r="P49" s="224"/>
      <c r="Q49" s="224"/>
      <c r="R49" s="224"/>
    </row>
    <row r="50" spans="2:18" ht="33" customHeight="1">
      <c r="B50" s="1700" t="str">
        <f>+'Planilla de Avance'!F115</f>
        <v>EMPRESA ESTRATÉGICA BOLIVIANA DE CONSTRUCCIÓN
Y CONSERVACIÓN DE INFRAESTRUCTURA CIVIL (EBC)</v>
      </c>
      <c r="C50" s="1701"/>
      <c r="D50" s="1701"/>
      <c r="E50" s="1701"/>
      <c r="F50" s="1701"/>
      <c r="G50" s="248"/>
      <c r="H50" s="248"/>
      <c r="I50" s="1010" t="str">
        <f>+'Planilla de Avance'!J115</f>
        <v>ABC - REGIONAL TARIJA</v>
      </c>
      <c r="J50" s="249"/>
      <c r="K50" s="224"/>
      <c r="L50" s="224"/>
      <c r="M50" s="224"/>
      <c r="N50" s="224"/>
      <c r="O50" s="206"/>
      <c r="P50" s="224"/>
      <c r="Q50" s="224"/>
      <c r="R50" s="224"/>
    </row>
    <row r="56" spans="2:18">
      <c r="D56" s="209"/>
    </row>
  </sheetData>
  <mergeCells count="16">
    <mergeCell ref="B50:F50"/>
    <mergeCell ref="J9:J10"/>
    <mergeCell ref="I9:I10"/>
    <mergeCell ref="B39:E39"/>
    <mergeCell ref="B2:D2"/>
    <mergeCell ref="B6:D6"/>
    <mergeCell ref="F8:G8"/>
    <mergeCell ref="E6:I7"/>
    <mergeCell ref="E4:I5"/>
    <mergeCell ref="B7:D7"/>
    <mergeCell ref="B9:B10"/>
    <mergeCell ref="C9:C10"/>
    <mergeCell ref="D9:D10"/>
    <mergeCell ref="E9:E10"/>
    <mergeCell ref="F9:H9"/>
    <mergeCell ref="B40:E40"/>
  </mergeCells>
  <printOptions horizontalCentered="1" verticalCentered="1"/>
  <pageMargins left="0.59055118110236227" right="0.39370078740157483" top="0.59055118110236227" bottom="0.59055118110236227" header="0" footer="0"/>
  <pageSetup scale="80" orientation="portrait" horizontalDpi="4294967295" verticalDpi="4294967295" r:id="rId1"/>
  <headerFooter alignWithMargins="0"/>
  <rowBreaks count="1" manualBreakCount="1">
    <brk id="81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92D050"/>
  </sheetPr>
  <dimension ref="B1:P43"/>
  <sheetViews>
    <sheetView showGridLines="0" view="pageBreakPreview" topLeftCell="A7" zoomScale="85" zoomScaleNormal="75" zoomScaleSheetLayoutView="85" workbookViewId="0">
      <selection activeCell="F15" sqref="F15"/>
    </sheetView>
  </sheetViews>
  <sheetFormatPr baseColWidth="10" defaultColWidth="11.44140625" defaultRowHeight="13.8"/>
  <cols>
    <col min="1" max="1" width="1.44140625" style="638" customWidth="1"/>
    <col min="2" max="3" width="20.6640625" style="638" customWidth="1"/>
    <col min="4" max="4" width="5.6640625" style="638" customWidth="1"/>
    <col min="5" max="5" width="17" style="638" customWidth="1"/>
    <col min="6" max="7" width="25.6640625" style="638" customWidth="1"/>
    <col min="8" max="8" width="40.6640625" style="638" customWidth="1"/>
    <col min="9" max="10" width="12.5546875" style="638" bestFit="1" customWidth="1"/>
    <col min="11" max="11" width="13.88671875" style="638" customWidth="1"/>
    <col min="12" max="12" width="28.44140625" style="638" customWidth="1"/>
    <col min="13" max="13" width="0" style="638" hidden="1" customWidth="1"/>
    <col min="14" max="16384" width="11.44140625" style="638"/>
  </cols>
  <sheetData>
    <row r="1" spans="2:15" ht="14.4" thickBot="1"/>
    <row r="2" spans="2:15">
      <c r="B2" s="655"/>
      <c r="C2" s="656"/>
      <c r="D2" s="1711" t="str">
        <f>+Datos!C22</f>
        <v>CERTIFICADO DE PAGO Nº 6</v>
      </c>
      <c r="E2" s="1712"/>
      <c r="F2" s="1712"/>
      <c r="G2" s="1713"/>
      <c r="H2" s="657"/>
    </row>
    <row r="3" spans="2:15">
      <c r="B3" s="958"/>
      <c r="C3" s="959"/>
      <c r="D3" s="1685"/>
      <c r="E3" s="1686"/>
      <c r="F3" s="1686"/>
      <c r="G3" s="1687"/>
      <c r="H3" s="660"/>
    </row>
    <row r="4" spans="2:15">
      <c r="B4" s="958"/>
      <c r="C4" s="959"/>
      <c r="D4" s="1724" t="s">
        <v>671</v>
      </c>
      <c r="E4" s="1725"/>
      <c r="F4" s="1725"/>
      <c r="G4" s="1726"/>
      <c r="H4" s="660"/>
    </row>
    <row r="5" spans="2:15">
      <c r="B5" s="658"/>
      <c r="C5" s="639"/>
      <c r="D5" s="1724"/>
      <c r="E5" s="1725"/>
      <c r="F5" s="1725"/>
      <c r="G5" s="1726"/>
      <c r="H5" s="659"/>
    </row>
    <row r="6" spans="2:15" ht="15" customHeight="1">
      <c r="B6" s="658"/>
      <c r="C6" s="639"/>
      <c r="D6" s="1730" t="s">
        <v>415</v>
      </c>
      <c r="E6" s="1731"/>
      <c r="F6" s="1731"/>
      <c r="G6" s="1732"/>
      <c r="H6" s="660"/>
    </row>
    <row r="7" spans="2:15" ht="19.5" customHeight="1">
      <c r="B7" s="1716" t="s">
        <v>155</v>
      </c>
      <c r="C7" s="1717"/>
      <c r="D7" s="1733"/>
      <c r="E7" s="1734"/>
      <c r="F7" s="1734"/>
      <c r="G7" s="1735"/>
      <c r="H7" s="1143" t="s">
        <v>241</v>
      </c>
    </row>
    <row r="8" spans="2:15" ht="15" customHeight="1">
      <c r="B8" s="786"/>
      <c r="C8" s="787"/>
      <c r="D8" s="642"/>
      <c r="E8" s="642"/>
      <c r="F8" s="643"/>
      <c r="G8" s="642"/>
      <c r="H8" s="661"/>
    </row>
    <row r="9" spans="2:15" ht="15" customHeight="1">
      <c r="B9" s="785"/>
      <c r="C9" s="788"/>
      <c r="D9" s="641"/>
      <c r="E9" s="641"/>
      <c r="F9" s="644"/>
      <c r="G9" s="641"/>
      <c r="H9" s="662"/>
    </row>
    <row r="10" spans="2:15" ht="39.9" customHeight="1">
      <c r="B10" s="663" t="s">
        <v>413</v>
      </c>
      <c r="C10" s="1714" t="s">
        <v>193</v>
      </c>
      <c r="D10" s="1714"/>
      <c r="E10" s="1715"/>
      <c r="F10" s="1135" t="s">
        <v>416</v>
      </c>
      <c r="G10" s="1135" t="s">
        <v>414</v>
      </c>
      <c r="H10" s="1136" t="s">
        <v>161</v>
      </c>
    </row>
    <row r="11" spans="2:15">
      <c r="B11" s="664" t="s">
        <v>610</v>
      </c>
      <c r="C11" s="1718">
        <v>43726</v>
      </c>
      <c r="D11" s="1719"/>
      <c r="E11" s="1720"/>
      <c r="F11" s="1436">
        <v>0</v>
      </c>
      <c r="G11" s="1436">
        <v>0</v>
      </c>
      <c r="H11" s="711"/>
      <c r="J11" s="645"/>
      <c r="K11" s="645"/>
      <c r="L11" s="645"/>
      <c r="M11" s="645"/>
    </row>
    <row r="12" spans="2:15">
      <c r="B12" s="665">
        <v>1</v>
      </c>
      <c r="C12" s="1727">
        <v>44075</v>
      </c>
      <c r="D12" s="1728"/>
      <c r="E12" s="1729"/>
      <c r="F12" s="1437">
        <v>0</v>
      </c>
      <c r="G12" s="1437">
        <v>0</v>
      </c>
      <c r="H12" s="724"/>
      <c r="J12" s="645"/>
      <c r="K12" s="645"/>
      <c r="L12" s="645"/>
      <c r="M12" s="645"/>
    </row>
    <row r="13" spans="2:15">
      <c r="B13" s="665">
        <v>2</v>
      </c>
      <c r="C13" s="1727">
        <v>44105</v>
      </c>
      <c r="D13" s="1728"/>
      <c r="E13" s="1729"/>
      <c r="F13" s="1437">
        <v>0</v>
      </c>
      <c r="G13" s="1437">
        <v>0</v>
      </c>
      <c r="H13" s="724"/>
      <c r="J13" s="645"/>
      <c r="K13" s="645" t="s">
        <v>424</v>
      </c>
      <c r="L13" s="645">
        <v>42035</v>
      </c>
      <c r="M13" s="645">
        <v>15000</v>
      </c>
      <c r="N13" s="638">
        <v>75000</v>
      </c>
      <c r="O13" s="638" t="s">
        <v>431</v>
      </c>
    </row>
    <row r="14" spans="2:15">
      <c r="B14" s="665">
        <v>3</v>
      </c>
      <c r="C14" s="1727">
        <v>44136</v>
      </c>
      <c r="D14" s="1728"/>
      <c r="E14" s="1729"/>
      <c r="F14" s="1437">
        <v>0</v>
      </c>
      <c r="G14" s="1437">
        <v>0</v>
      </c>
      <c r="H14" s="724"/>
      <c r="J14" s="645"/>
      <c r="K14" s="645" t="s">
        <v>424</v>
      </c>
      <c r="L14" s="645">
        <v>42035</v>
      </c>
      <c r="M14" s="645">
        <v>15000</v>
      </c>
      <c r="N14" s="638">
        <v>90000</v>
      </c>
      <c r="O14" s="638" t="s">
        <v>432</v>
      </c>
    </row>
    <row r="15" spans="2:15">
      <c r="B15" s="665">
        <v>4</v>
      </c>
      <c r="C15" s="1727" t="s">
        <v>652</v>
      </c>
      <c r="D15" s="1728"/>
      <c r="E15" s="1729"/>
      <c r="F15" s="1437">
        <v>0</v>
      </c>
      <c r="G15" s="1437">
        <v>0</v>
      </c>
      <c r="H15" s="724"/>
      <c r="J15" s="645"/>
      <c r="K15" s="645" t="s">
        <v>424</v>
      </c>
      <c r="L15" s="645">
        <v>42124</v>
      </c>
      <c r="M15" s="645">
        <v>15000</v>
      </c>
      <c r="N15" s="638">
        <v>105000</v>
      </c>
      <c r="O15" s="638" t="s">
        <v>431</v>
      </c>
    </row>
    <row r="16" spans="2:15">
      <c r="B16" s="665">
        <v>5</v>
      </c>
      <c r="C16" s="1727">
        <v>44256</v>
      </c>
      <c r="D16" s="1728"/>
      <c r="E16" s="1729"/>
      <c r="F16" s="1437">
        <v>0</v>
      </c>
      <c r="G16" s="1437">
        <v>0</v>
      </c>
      <c r="H16" s="724"/>
      <c r="J16" s="645"/>
      <c r="K16" s="645" t="s">
        <v>424</v>
      </c>
      <c r="L16" s="645">
        <v>42124</v>
      </c>
      <c r="M16" s="645">
        <v>15000</v>
      </c>
      <c r="N16" s="638">
        <v>120000</v>
      </c>
      <c r="O16" s="638" t="s">
        <v>432</v>
      </c>
    </row>
    <row r="17" spans="2:16">
      <c r="B17" s="665">
        <v>6</v>
      </c>
      <c r="C17" s="1727">
        <v>44287</v>
      </c>
      <c r="D17" s="1728"/>
      <c r="E17" s="1729"/>
      <c r="F17" s="1437">
        <v>0</v>
      </c>
      <c r="G17" s="1437">
        <v>0</v>
      </c>
      <c r="H17" s="724"/>
      <c r="J17" s="645"/>
      <c r="K17" s="645"/>
      <c r="L17" s="645"/>
      <c r="M17" s="645"/>
    </row>
    <row r="18" spans="2:16">
      <c r="B18" s="665"/>
      <c r="C18" s="705"/>
      <c r="D18" s="674"/>
      <c r="E18" s="706"/>
      <c r="F18" s="1438"/>
      <c r="G18" s="1437"/>
      <c r="H18" s="734"/>
      <c r="J18" s="645"/>
      <c r="K18" s="645"/>
      <c r="L18" s="645"/>
      <c r="M18" s="645"/>
    </row>
    <row r="19" spans="2:16">
      <c r="B19" s="665"/>
      <c r="C19" s="705"/>
      <c r="D19" s="674"/>
      <c r="E19" s="706"/>
      <c r="F19" s="1438"/>
      <c r="G19" s="1437"/>
      <c r="H19" s="734"/>
      <c r="J19" s="645"/>
      <c r="K19" s="645"/>
      <c r="L19" s="645"/>
      <c r="M19" s="645"/>
    </row>
    <row r="20" spans="2:16">
      <c r="B20" s="665"/>
      <c r="C20" s="705"/>
      <c r="D20" s="1340"/>
      <c r="E20" s="706"/>
      <c r="F20" s="1438"/>
      <c r="G20" s="1437"/>
      <c r="H20" s="734"/>
      <c r="J20" s="645"/>
      <c r="K20" s="645"/>
      <c r="L20" s="645"/>
      <c r="M20" s="645"/>
    </row>
    <row r="21" spans="2:16">
      <c r="B21" s="665"/>
      <c r="C21" s="705"/>
      <c r="D21" s="674"/>
      <c r="E21" s="706"/>
      <c r="F21" s="1438"/>
      <c r="G21" s="1437"/>
      <c r="H21" s="734"/>
      <c r="J21" s="645"/>
      <c r="K21" s="645"/>
      <c r="L21" s="645"/>
      <c r="M21" s="645"/>
    </row>
    <row r="22" spans="2:16">
      <c r="B22" s="665"/>
      <c r="C22" s="705"/>
      <c r="D22" s="748"/>
      <c r="E22" s="706"/>
      <c r="F22" s="1438"/>
      <c r="G22" s="1437"/>
      <c r="H22" s="734"/>
      <c r="J22" s="645"/>
      <c r="K22" s="645">
        <v>43726</v>
      </c>
      <c r="L22" s="645"/>
      <c r="M22" s="645"/>
    </row>
    <row r="23" spans="2:16">
      <c r="B23" s="665"/>
      <c r="C23" s="705"/>
      <c r="D23" s="674"/>
      <c r="E23" s="706"/>
      <c r="F23" s="1438"/>
      <c r="G23" s="1437"/>
      <c r="H23" s="734"/>
      <c r="J23" s="645"/>
      <c r="K23" s="645" t="s">
        <v>652</v>
      </c>
      <c r="L23" s="645"/>
      <c r="M23" s="645"/>
    </row>
    <row r="24" spans="2:16">
      <c r="B24" s="665"/>
      <c r="C24" s="705"/>
      <c r="D24" s="674"/>
      <c r="E24" s="706"/>
      <c r="F24" s="1438"/>
      <c r="G24" s="1437"/>
      <c r="H24" s="735"/>
      <c r="J24" s="645"/>
      <c r="K24" s="645">
        <v>44256</v>
      </c>
      <c r="L24" s="645"/>
      <c r="M24" s="645"/>
    </row>
    <row r="25" spans="2:16">
      <c r="B25" s="665"/>
      <c r="C25" s="705"/>
      <c r="D25" s="674"/>
      <c r="E25" s="706"/>
      <c r="F25" s="1438"/>
      <c r="G25" s="1437"/>
      <c r="H25" s="735"/>
      <c r="J25" s="645"/>
      <c r="K25" s="645"/>
      <c r="L25" s="645"/>
      <c r="M25" s="645"/>
    </row>
    <row r="26" spans="2:16">
      <c r="B26" s="665"/>
      <c r="C26" s="705"/>
      <c r="D26" s="674"/>
      <c r="E26" s="706"/>
      <c r="F26" s="1438"/>
      <c r="G26" s="1437"/>
      <c r="H26" s="735"/>
      <c r="J26" s="645"/>
      <c r="K26" s="645"/>
      <c r="L26" s="645"/>
      <c r="M26" s="645"/>
    </row>
    <row r="27" spans="2:16">
      <c r="B27" s="665"/>
      <c r="C27" s="705"/>
      <c r="D27" s="674"/>
      <c r="E27" s="706"/>
      <c r="F27" s="1438"/>
      <c r="G27" s="1437"/>
      <c r="H27" s="735"/>
      <c r="J27" s="645"/>
      <c r="K27" s="645"/>
      <c r="L27" s="645"/>
      <c r="M27" s="645"/>
    </row>
    <row r="28" spans="2:16">
      <c r="B28" s="665"/>
      <c r="C28" s="705"/>
      <c r="D28" s="674"/>
      <c r="E28" s="706"/>
      <c r="F28" s="1438"/>
      <c r="G28" s="1437"/>
      <c r="H28" s="735"/>
      <c r="J28" s="645"/>
      <c r="K28" s="645"/>
      <c r="L28" s="645"/>
      <c r="M28" s="645"/>
    </row>
    <row r="29" spans="2:16">
      <c r="B29" s="720"/>
      <c r="C29" s="721"/>
      <c r="D29" s="722"/>
      <c r="E29" s="723"/>
      <c r="F29" s="1439"/>
      <c r="G29" s="1440"/>
      <c r="H29" s="736"/>
    </row>
    <row r="30" spans="2:16">
      <c r="B30" s="1137"/>
      <c r="C30" s="1138"/>
      <c r="D30" s="1139"/>
      <c r="E30" s="1140" t="s">
        <v>426</v>
      </c>
      <c r="F30" s="1441">
        <v>0</v>
      </c>
      <c r="G30" s="1442">
        <v>0</v>
      </c>
      <c r="H30" s="1141"/>
    </row>
    <row r="31" spans="2:16" ht="15" customHeight="1">
      <c r="B31" s="666"/>
      <c r="C31" s="646"/>
      <c r="D31" s="646"/>
      <c r="E31" s="646"/>
      <c r="F31" s="667"/>
      <c r="G31" s="646"/>
      <c r="H31" s="668"/>
      <c r="I31" s="647"/>
      <c r="J31" s="647"/>
      <c r="K31" s="647"/>
      <c r="L31" s="648"/>
      <c r="M31" s="648"/>
      <c r="N31" s="648"/>
      <c r="O31" s="648"/>
      <c r="P31" s="649"/>
    </row>
    <row r="32" spans="2:16" ht="15" customHeight="1">
      <c r="B32" s="670" t="s">
        <v>162</v>
      </c>
      <c r="C32" s="652"/>
      <c r="D32" s="652"/>
      <c r="E32" s="652"/>
      <c r="F32" s="647" t="s">
        <v>157</v>
      </c>
      <c r="G32" s="652"/>
      <c r="H32" s="672"/>
      <c r="I32" s="647"/>
      <c r="J32" s="647"/>
      <c r="K32" s="647"/>
      <c r="L32" s="648"/>
      <c r="M32" s="648"/>
      <c r="N32" s="648"/>
      <c r="O32" s="648"/>
      <c r="P32" s="649"/>
    </row>
    <row r="33" spans="2:16" ht="15" customHeight="1">
      <c r="B33" s="671"/>
      <c r="C33" s="652"/>
      <c r="D33" s="652"/>
      <c r="E33" s="652"/>
      <c r="F33" s="647"/>
      <c r="G33" s="652"/>
      <c r="H33" s="672"/>
      <c r="I33" s="647"/>
      <c r="J33" s="647"/>
      <c r="K33" s="647"/>
      <c r="L33" s="648"/>
      <c r="M33" s="648"/>
      <c r="N33" s="648"/>
      <c r="O33" s="648"/>
      <c r="P33" s="649"/>
    </row>
    <row r="34" spans="2:16" ht="15" customHeight="1">
      <c r="B34" s="670"/>
      <c r="C34" s="650"/>
      <c r="D34" s="650"/>
      <c r="E34" s="650"/>
      <c r="F34" s="650"/>
      <c r="G34" s="651"/>
      <c r="H34" s="669"/>
      <c r="I34" s="651"/>
      <c r="J34" s="651"/>
      <c r="K34" s="651"/>
      <c r="L34" s="651"/>
      <c r="M34" s="651"/>
      <c r="N34" s="651"/>
      <c r="O34" s="651"/>
      <c r="P34" s="651"/>
    </row>
    <row r="35" spans="2:16" ht="15" customHeight="1">
      <c r="B35" s="671"/>
      <c r="C35" s="652"/>
      <c r="D35" s="652"/>
      <c r="E35" s="652"/>
      <c r="F35" s="647"/>
      <c r="G35" s="652"/>
      <c r="H35" s="672"/>
      <c r="I35" s="647"/>
      <c r="J35" s="647"/>
      <c r="K35" s="647"/>
      <c r="L35" s="647"/>
      <c r="M35" s="647"/>
      <c r="N35" s="647"/>
      <c r="O35" s="647"/>
      <c r="P35" s="649"/>
    </row>
    <row r="36" spans="2:16" ht="15" customHeight="1">
      <c r="B36" s="1144"/>
      <c r="C36" s="1723" t="str">
        <f>+'Planilla de Avance'!F113</f>
        <v>Ing. Gabriel Daza Chavez</v>
      </c>
      <c r="D36" s="1723"/>
      <c r="E36" s="1723"/>
      <c r="F36" s="640"/>
      <c r="G36" s="653" t="str">
        <f>+'Planilla de Avance'!J113</f>
        <v>Ing. Herlan Rene Ramos Estrada</v>
      </c>
      <c r="H36" s="673"/>
      <c r="I36" s="654"/>
      <c r="J36" s="654"/>
      <c r="K36" s="654"/>
      <c r="L36" s="654"/>
      <c r="M36" s="640"/>
      <c r="N36" s="654"/>
      <c r="O36" s="654"/>
      <c r="P36" s="654"/>
    </row>
    <row r="37" spans="2:16" ht="15" customHeight="1">
      <c r="B37" s="676"/>
      <c r="C37" s="1722" t="str">
        <f>+'Planilla de Avance'!F114</f>
        <v>SUPERINTENDENTE DE OBRA</v>
      </c>
      <c r="D37" s="1722"/>
      <c r="E37" s="1722"/>
      <c r="F37" s="640"/>
      <c r="G37" s="677" t="str">
        <f>+'Planilla de Avance'!J114</f>
        <v>SUPERVISOR DE OBRA</v>
      </c>
      <c r="H37" s="673"/>
      <c r="I37" s="652"/>
      <c r="J37" s="652"/>
      <c r="K37" s="652"/>
      <c r="L37" s="652"/>
      <c r="M37" s="640"/>
      <c r="N37" s="652"/>
      <c r="O37" s="652"/>
      <c r="P37" s="652"/>
    </row>
    <row r="38" spans="2:16" ht="34.5" customHeight="1" thickBot="1">
      <c r="B38" s="1142"/>
      <c r="C38" s="1721" t="str">
        <f>+'Planilla de Avance'!F115</f>
        <v>EMPRESA ESTRATÉGICA BOLIVIANA DE CONSTRUCCIÓN
Y CONSERVACIÓN DE INFRAESTRUCTURA CIVIL (EBC)</v>
      </c>
      <c r="D38" s="1721"/>
      <c r="E38" s="1721"/>
      <c r="F38" s="675"/>
      <c r="G38" s="1145" t="str">
        <f>+'Planilla de Avance'!J115</f>
        <v>ABC - REGIONAL TARIJA</v>
      </c>
      <c r="H38" s="678"/>
    </row>
    <row r="43" spans="2:16">
      <c r="F43" s="645"/>
    </row>
  </sheetData>
  <mergeCells count="15">
    <mergeCell ref="D2:G3"/>
    <mergeCell ref="C10:E10"/>
    <mergeCell ref="B7:C7"/>
    <mergeCell ref="C11:E11"/>
    <mergeCell ref="C38:E38"/>
    <mergeCell ref="C37:E37"/>
    <mergeCell ref="C36:E36"/>
    <mergeCell ref="D4:G5"/>
    <mergeCell ref="C16:E16"/>
    <mergeCell ref="C15:E15"/>
    <mergeCell ref="C14:E14"/>
    <mergeCell ref="C13:E13"/>
    <mergeCell ref="C12:E12"/>
    <mergeCell ref="D6:G7"/>
    <mergeCell ref="C17:E17"/>
  </mergeCells>
  <printOptions horizontalCentered="1"/>
  <pageMargins left="0.59055118110236227" right="0.59055118110236227" top="0.78740157480314965" bottom="0.59055118110236227" header="0" footer="0"/>
  <pageSetup scale="80" orientation="landscape" r:id="rId1"/>
  <headerFooter alignWithMargins="0"/>
  <rowBreaks count="1" manualBreakCount="1">
    <brk id="68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view="pageBreakPreview" zoomScale="115" zoomScaleNormal="100" zoomScaleSheetLayoutView="115" workbookViewId="0">
      <selection activeCell="D14" sqref="D14"/>
    </sheetView>
  </sheetViews>
  <sheetFormatPr baseColWidth="10" defaultColWidth="11.44140625" defaultRowHeight="13.8"/>
  <cols>
    <col min="1" max="1" width="8.44140625" style="636" customWidth="1"/>
    <col min="2" max="2" width="22" style="636" customWidth="1"/>
    <col min="3" max="3" width="39.109375" style="636" customWidth="1"/>
    <col min="4" max="4" width="32.5546875" style="636" customWidth="1"/>
    <col min="5" max="6" width="16.5546875" style="636" customWidth="1"/>
    <col min="7" max="7" width="24.33203125" style="636" customWidth="1"/>
    <col min="8" max="12" width="11.44140625" style="636"/>
    <col min="13" max="13" width="0" style="636" hidden="1" customWidth="1"/>
    <col min="14" max="16384" width="11.44140625" style="636"/>
  </cols>
  <sheetData>
    <row r="1" spans="1:7" ht="21" customHeight="1">
      <c r="A1" s="1114"/>
      <c r="B1" s="1115"/>
      <c r="C1" s="1114"/>
      <c r="D1" s="1127"/>
      <c r="E1" s="1127"/>
      <c r="F1" s="1115"/>
      <c r="G1" s="1117"/>
    </row>
    <row r="2" spans="1:7" ht="21" customHeight="1">
      <c r="A2" s="1119"/>
      <c r="B2" s="1120"/>
      <c r="C2" s="1739" t="s">
        <v>409</v>
      </c>
      <c r="D2" s="1740"/>
      <c r="E2" s="1740"/>
      <c r="F2" s="1741"/>
      <c r="G2" s="1121"/>
    </row>
    <row r="3" spans="1:7" ht="21" customHeight="1">
      <c r="A3" s="712"/>
      <c r="B3" s="714"/>
      <c r="C3" s="712"/>
      <c r="D3" s="713"/>
      <c r="E3" s="713"/>
      <c r="F3" s="714"/>
      <c r="G3" s="1118"/>
    </row>
    <row r="4" spans="1:7" ht="21" customHeight="1">
      <c r="A4" s="712"/>
      <c r="B4" s="714"/>
      <c r="C4" s="1745" t="str">
        <f>+Datos!B2</f>
        <v>PROYECTO: CONSTRUCCION Y REHABILITACION TRAMO CARRETERO 
VILLA MONTES - LA VERTIENTE - PALO MARCADO</v>
      </c>
      <c r="D4" s="1746"/>
      <c r="E4" s="1746"/>
      <c r="F4" s="1747"/>
      <c r="G4" s="1118"/>
    </row>
    <row r="5" spans="1:7" ht="21" customHeight="1">
      <c r="A5" s="1736" t="s">
        <v>155</v>
      </c>
      <c r="B5" s="1737"/>
      <c r="C5" s="715"/>
      <c r="D5" s="1128"/>
      <c r="E5" s="1128"/>
      <c r="F5" s="1116"/>
      <c r="G5" s="1122" t="s">
        <v>241</v>
      </c>
    </row>
    <row r="6" spans="1:7" ht="54.75" customHeight="1">
      <c r="A6" s="1126" t="s">
        <v>402</v>
      </c>
      <c r="B6" s="1126" t="s">
        <v>410</v>
      </c>
      <c r="C6" s="1126" t="s">
        <v>403</v>
      </c>
      <c r="D6" s="1126" t="s">
        <v>404</v>
      </c>
      <c r="E6" s="1126" t="s">
        <v>411</v>
      </c>
      <c r="F6" s="1126" t="s">
        <v>405</v>
      </c>
      <c r="G6" s="1126" t="s">
        <v>406</v>
      </c>
    </row>
    <row r="7" spans="1:7" ht="30" customHeight="1">
      <c r="A7" s="960">
        <v>1</v>
      </c>
      <c r="B7" s="960" t="s">
        <v>408</v>
      </c>
      <c r="C7" s="1125" t="s">
        <v>407</v>
      </c>
      <c r="D7" s="1125" t="str">
        <f>+Datos!B15</f>
        <v>Ing. Gabriel Daza Chavez</v>
      </c>
      <c r="E7" s="1036">
        <v>43878</v>
      </c>
      <c r="F7" s="1036">
        <f>+Certificado!D21</f>
        <v>44459</v>
      </c>
      <c r="G7" s="960" t="s">
        <v>640</v>
      </c>
    </row>
    <row r="8" spans="1:7" ht="30" customHeight="1">
      <c r="A8" s="637">
        <v>2</v>
      </c>
      <c r="B8" s="637" t="s">
        <v>408</v>
      </c>
      <c r="C8" s="1123" t="s">
        <v>412</v>
      </c>
      <c r="D8" s="1123" t="s">
        <v>612</v>
      </c>
      <c r="E8" s="1037"/>
      <c r="F8" s="637"/>
      <c r="G8" s="637"/>
    </row>
    <row r="9" spans="1:7" ht="30" customHeight="1">
      <c r="A9" s="637">
        <v>3</v>
      </c>
      <c r="B9" s="637" t="s">
        <v>408</v>
      </c>
      <c r="C9" s="1123" t="s">
        <v>615</v>
      </c>
      <c r="D9" s="1123" t="s">
        <v>616</v>
      </c>
      <c r="E9" s="1037"/>
      <c r="F9" s="637"/>
      <c r="G9" s="637"/>
    </row>
    <row r="10" spans="1:7" ht="30" customHeight="1">
      <c r="A10" s="637">
        <v>4</v>
      </c>
      <c r="B10" s="637" t="s">
        <v>408</v>
      </c>
      <c r="C10" s="1123" t="s">
        <v>614</v>
      </c>
      <c r="D10" s="1123" t="s">
        <v>617</v>
      </c>
      <c r="E10" s="1037">
        <v>44075</v>
      </c>
      <c r="F10" s="1037">
        <v>44313</v>
      </c>
      <c r="G10" s="637" t="s">
        <v>703</v>
      </c>
    </row>
    <row r="11" spans="1:7" ht="30" customHeight="1">
      <c r="A11" s="637">
        <v>5</v>
      </c>
      <c r="B11" s="637" t="s">
        <v>408</v>
      </c>
      <c r="C11" s="1123" t="s">
        <v>455</v>
      </c>
      <c r="D11" s="1123" t="s">
        <v>613</v>
      </c>
      <c r="E11" s="1037">
        <v>43878</v>
      </c>
      <c r="F11" s="1037">
        <f>+Certificado!D21</f>
        <v>44459</v>
      </c>
      <c r="G11" s="637" t="s">
        <v>640</v>
      </c>
    </row>
    <row r="12" spans="1:7" ht="30" customHeight="1">
      <c r="A12" s="961">
        <v>6</v>
      </c>
      <c r="B12" s="961" t="s">
        <v>620</v>
      </c>
      <c r="C12" s="1124" t="s">
        <v>618</v>
      </c>
      <c r="D12" s="1124" t="s">
        <v>619</v>
      </c>
      <c r="E12" s="1038">
        <v>44075</v>
      </c>
      <c r="F12" s="1038">
        <f>+Certificado!D21</f>
        <v>44459</v>
      </c>
      <c r="G12" s="961" t="s">
        <v>640</v>
      </c>
    </row>
    <row r="13" spans="1:7">
      <c r="A13" s="712"/>
      <c r="B13" s="713"/>
      <c r="C13" s="713"/>
      <c r="D13" s="713"/>
      <c r="E13" s="713"/>
      <c r="F13" s="713"/>
      <c r="G13" s="714"/>
    </row>
    <row r="14" spans="1:7">
      <c r="A14" s="712"/>
      <c r="B14" s="713"/>
      <c r="C14" s="713"/>
      <c r="D14" s="713"/>
      <c r="E14" s="713"/>
      <c r="F14" s="713"/>
      <c r="G14" s="714"/>
    </row>
    <row r="15" spans="1:7">
      <c r="A15" s="712"/>
      <c r="B15" s="713"/>
      <c r="C15" s="713"/>
      <c r="D15" s="713"/>
      <c r="E15" s="713"/>
      <c r="F15" s="713"/>
      <c r="G15" s="714"/>
    </row>
    <row r="16" spans="1:7">
      <c r="A16" s="712"/>
      <c r="B16" s="713"/>
      <c r="C16" s="713"/>
      <c r="D16" s="713"/>
      <c r="E16" s="713"/>
      <c r="F16" s="713"/>
      <c r="G16" s="714"/>
    </row>
    <row r="17" spans="1:17">
      <c r="A17" s="712"/>
      <c r="B17" s="713"/>
      <c r="C17" s="713"/>
      <c r="D17" s="713"/>
      <c r="E17" s="713"/>
      <c r="F17" s="713"/>
      <c r="G17" s="714"/>
    </row>
    <row r="18" spans="1:17">
      <c r="A18" s="712"/>
      <c r="B18" s="713"/>
      <c r="C18" s="713"/>
      <c r="D18" s="713"/>
      <c r="E18" s="713"/>
      <c r="F18" s="713"/>
      <c r="G18" s="714"/>
    </row>
    <row r="19" spans="1:17">
      <c r="A19" s="712"/>
      <c r="B19" s="713"/>
      <c r="C19" s="713"/>
      <c r="D19" s="713"/>
      <c r="E19" s="713"/>
      <c r="F19" s="713"/>
      <c r="G19" s="714"/>
    </row>
    <row r="20" spans="1:17">
      <c r="A20" s="712"/>
      <c r="B20" s="713"/>
      <c r="C20" s="713"/>
      <c r="D20" s="713"/>
      <c r="E20" s="713"/>
      <c r="F20" s="713"/>
      <c r="G20" s="714"/>
    </row>
    <row r="21" spans="1:17">
      <c r="A21" s="712"/>
      <c r="B21" s="713"/>
      <c r="C21" s="713"/>
      <c r="D21" s="713"/>
      <c r="E21" s="713"/>
      <c r="F21" s="713"/>
      <c r="G21" s="714"/>
    </row>
    <row r="22" spans="1:17">
      <c r="A22" s="712"/>
      <c r="B22" s="713"/>
      <c r="C22" s="713"/>
      <c r="D22" s="713"/>
      <c r="E22" s="713"/>
      <c r="F22" s="713"/>
      <c r="G22" s="714"/>
    </row>
    <row r="23" spans="1:17">
      <c r="A23" s="712"/>
      <c r="B23" s="713"/>
      <c r="C23" s="713"/>
      <c r="D23" s="713"/>
      <c r="E23" s="713"/>
      <c r="F23" s="713"/>
      <c r="G23" s="714"/>
    </row>
    <row r="24" spans="1:17">
      <c r="A24" s="712"/>
      <c r="B24" s="713"/>
      <c r="C24" s="713"/>
      <c r="D24" s="713"/>
      <c r="E24" s="713"/>
      <c r="F24" s="713"/>
      <c r="G24" s="714"/>
    </row>
    <row r="25" spans="1:17">
      <c r="A25" s="712"/>
      <c r="B25" s="1455" t="str">
        <f>+'Planilla de Avance'!F113</f>
        <v>Ing. Gabriel Daza Chavez</v>
      </c>
      <c r="C25" s="1455"/>
      <c r="D25" s="1455" t="str">
        <f>+Datos!B7</f>
        <v>Ing. Herlan Rene Ramos Estrada</v>
      </c>
      <c r="E25" s="1455"/>
      <c r="F25" s="1455" t="str">
        <f>+Datos!B10</f>
        <v>Ing. Franz Reynaldo Salazar Martinez</v>
      </c>
      <c r="G25" s="1742"/>
      <c r="H25" s="32" t="e">
        <f>+'Planilla de Avance'!J113:L113</f>
        <v>#VALUE!</v>
      </c>
      <c r="J25" s="19"/>
      <c r="K25" s="32"/>
      <c r="L25" s="32"/>
      <c r="M25" s="32"/>
      <c r="N25" s="32"/>
      <c r="P25" s="32"/>
      <c r="Q25" s="32"/>
    </row>
    <row r="26" spans="1:17">
      <c r="A26" s="712"/>
      <c r="B26" s="1456" t="str">
        <f>+'Planilla de Avance'!F114</f>
        <v>SUPERINTENDENTE DE OBRA</v>
      </c>
      <c r="C26" s="1456"/>
      <c r="D26" s="1456" t="str">
        <f>+Datos!B8</f>
        <v>SUPERVISOR DE OBRA</v>
      </c>
      <c r="E26" s="1456"/>
      <c r="F26" s="1456" t="str">
        <f>+Datos!B11</f>
        <v>FISCAL DE OBRA</v>
      </c>
      <c r="G26" s="1743"/>
      <c r="H26" s="32"/>
      <c r="J26" s="19"/>
      <c r="K26" s="32"/>
      <c r="L26" s="32"/>
      <c r="M26" s="32"/>
      <c r="N26" s="32"/>
      <c r="P26" s="32"/>
      <c r="Q26" s="32"/>
    </row>
    <row r="27" spans="1:17" ht="32.25" customHeight="1">
      <c r="A27" s="715"/>
      <c r="B27" s="1738" t="str">
        <f>+'Planilla de Avance'!F115</f>
        <v>EMPRESA ESTRATÉGICA BOLIVIANA DE CONSTRUCCIÓN
Y CONSERVACIÓN DE INFRAESTRUCTURA CIVIL (EBC)</v>
      </c>
      <c r="C27" s="1738"/>
      <c r="D27" s="1451" t="str">
        <f>+Datos!B9</f>
        <v>ABC - REGIONAL TARIJA</v>
      </c>
      <c r="E27" s="1451"/>
      <c r="F27" s="1451" t="str">
        <f>+Datos!B12</f>
        <v>ABC - REGIONAL TARIJA</v>
      </c>
      <c r="G27" s="1744"/>
      <c r="H27" s="300"/>
      <c r="J27" s="19"/>
      <c r="K27" s="300"/>
      <c r="L27" s="300"/>
      <c r="M27" s="300"/>
      <c r="N27" s="300"/>
      <c r="P27" s="300"/>
      <c r="Q27" s="300"/>
    </row>
    <row r="30" spans="1:17">
      <c r="B30" s="636" t="s">
        <v>430</v>
      </c>
    </row>
  </sheetData>
  <mergeCells count="12">
    <mergeCell ref="C2:F2"/>
    <mergeCell ref="F25:G25"/>
    <mergeCell ref="F26:G26"/>
    <mergeCell ref="F27:G27"/>
    <mergeCell ref="C4:F4"/>
    <mergeCell ref="A5:B5"/>
    <mergeCell ref="B25:C25"/>
    <mergeCell ref="B26:C26"/>
    <mergeCell ref="B27:C27"/>
    <mergeCell ref="D25:E25"/>
    <mergeCell ref="D26:E26"/>
    <mergeCell ref="D27:E27"/>
  </mergeCells>
  <printOptions horizontalCentered="1"/>
  <pageMargins left="0.59055118110236227" right="0.59055118110236227" top="0.98425196850393704" bottom="0.78740157480314965" header="0.31496062992125984" footer="0.31496062992125984"/>
  <pageSetup scale="78" orientation="landscape" horizontalDpi="4294967295" verticalDpi="4294967295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92D050"/>
  </sheetPr>
  <dimension ref="A1:Y219"/>
  <sheetViews>
    <sheetView showGridLines="0" view="pageBreakPreview" topLeftCell="H94" zoomScale="145" zoomScaleNormal="85" zoomScaleSheetLayoutView="145" workbookViewId="0">
      <selection activeCell="P10" sqref="P10"/>
    </sheetView>
  </sheetViews>
  <sheetFormatPr baseColWidth="10" defaultColWidth="12.6640625" defaultRowHeight="10.199999999999999"/>
  <cols>
    <col min="1" max="4" width="0" style="19" hidden="1" customWidth="1"/>
    <col min="5" max="5" width="3.88671875" style="20" bestFit="1" customWidth="1"/>
    <col min="6" max="6" width="51.6640625" style="19" customWidth="1"/>
    <col min="7" max="7" width="6.6640625" style="20" customWidth="1"/>
    <col min="8" max="8" width="10.33203125" style="20" customWidth="1"/>
    <col min="9" max="9" width="10.33203125" style="19" customWidth="1"/>
    <col min="10" max="10" width="12.6640625" style="19"/>
    <col min="11" max="11" width="10.6640625" style="19" customWidth="1"/>
    <col min="12" max="12" width="12.6640625" style="19"/>
    <col min="13" max="13" width="10.6640625" style="19" customWidth="1"/>
    <col min="14" max="14" width="12.6640625" style="19"/>
    <col min="15" max="15" width="10.6640625" style="19" customWidth="1"/>
    <col min="16" max="16" width="12.6640625" style="19"/>
    <col min="17" max="17" width="11" style="19" customWidth="1"/>
    <col min="18" max="18" width="12.6640625" style="19"/>
    <col min="19" max="21" width="6.6640625" style="19" customWidth="1"/>
    <col min="22" max="22" width="12.6640625" style="19"/>
    <col min="23" max="23" width="6.33203125" style="106" customWidth="1"/>
    <col min="24" max="16384" width="12.6640625" style="19"/>
  </cols>
  <sheetData>
    <row r="1" spans="1:25">
      <c r="J1" s="897">
        <f>+J104</f>
        <v>108397839.64</v>
      </c>
      <c r="L1" s="897">
        <f>+L104</f>
        <v>1649850.16</v>
      </c>
      <c r="N1" s="897">
        <f>+N104</f>
        <v>81632.100000000006</v>
      </c>
      <c r="P1" s="897">
        <f>+P104</f>
        <v>1731482.2599999998</v>
      </c>
      <c r="R1" s="897">
        <f>+R104</f>
        <v>106666357.38000001</v>
      </c>
    </row>
    <row r="2" spans="1:25" ht="15" customHeight="1">
      <c r="E2" s="284"/>
      <c r="F2" s="796"/>
      <c r="G2" s="1755" t="s">
        <v>238</v>
      </c>
      <c r="H2" s="1756"/>
      <c r="I2" s="1756"/>
      <c r="J2" s="1756"/>
      <c r="K2" s="1756"/>
      <c r="L2" s="1756"/>
      <c r="M2" s="1756"/>
      <c r="N2" s="1756"/>
      <c r="O2" s="1756"/>
      <c r="P2" s="1757"/>
      <c r="Q2" s="1758"/>
      <c r="R2" s="1759"/>
      <c r="S2" s="1759"/>
      <c r="T2" s="1759"/>
      <c r="U2" s="1760"/>
      <c r="V2" s="420"/>
    </row>
    <row r="3" spans="1:25" ht="15" customHeight="1">
      <c r="E3" s="1167"/>
      <c r="F3" s="1168"/>
      <c r="G3" s="1761" t="str">
        <f>+Datos!C24</f>
        <v>ABRIL 2021</v>
      </c>
      <c r="H3" s="1762"/>
      <c r="I3" s="1762"/>
      <c r="J3" s="1762"/>
      <c r="K3" s="1762"/>
      <c r="L3" s="1762"/>
      <c r="M3" s="1762"/>
      <c r="N3" s="1762"/>
      <c r="O3" s="1762"/>
      <c r="P3" s="1763"/>
      <c r="Q3" s="1169"/>
      <c r="R3" s="420"/>
      <c r="S3" s="420"/>
      <c r="T3" s="420"/>
      <c r="U3" s="1170"/>
      <c r="V3" s="420"/>
    </row>
    <row r="4" spans="1:25" ht="15" customHeight="1">
      <c r="E4" s="92"/>
      <c r="F4" s="1171" t="s">
        <v>155</v>
      </c>
      <c r="G4" s="1752" t="str">
        <f>+Certificado!C4</f>
        <v>PROYECTO: CONSTRUCCION Y REHABILITACION TRAMO CARRETERO 
VILLA MONTES - LA VERTIENTE - PALO MARCADO</v>
      </c>
      <c r="H4" s="1753"/>
      <c r="I4" s="1753"/>
      <c r="J4" s="1753"/>
      <c r="K4" s="1753"/>
      <c r="L4" s="1753"/>
      <c r="M4" s="1753"/>
      <c r="N4" s="1753"/>
      <c r="O4" s="1753"/>
      <c r="P4" s="1754"/>
      <c r="Q4" s="1160"/>
      <c r="S4" s="1162" t="s">
        <v>241</v>
      </c>
      <c r="T4" s="635"/>
      <c r="U4" s="1161"/>
      <c r="V4" s="898"/>
    </row>
    <row r="5" spans="1:25" ht="15" customHeight="1">
      <c r="E5" s="779"/>
      <c r="F5" s="780"/>
      <c r="G5" s="1749" t="s">
        <v>163</v>
      </c>
      <c r="H5" s="1750"/>
      <c r="I5" s="1750"/>
      <c r="J5" s="1750"/>
      <c r="K5" s="1750"/>
      <c r="L5" s="1750"/>
      <c r="M5" s="1750"/>
      <c r="N5" s="1750"/>
      <c r="O5" s="1750"/>
      <c r="P5" s="1751"/>
      <c r="Q5" s="1157"/>
      <c r="R5" s="1158"/>
      <c r="S5" s="1158"/>
      <c r="T5" s="1158"/>
      <c r="U5" s="1159"/>
      <c r="V5" s="1235"/>
    </row>
    <row r="6" spans="1:25" ht="12" customHeight="1">
      <c r="E6" s="631"/>
      <c r="F6" s="789"/>
      <c r="G6" s="790"/>
      <c r="H6" s="632"/>
      <c r="I6" s="632"/>
      <c r="J6" s="632"/>
      <c r="K6" s="632"/>
      <c r="L6" s="632"/>
      <c r="M6" s="632"/>
      <c r="N6" s="632"/>
      <c r="O6" s="632"/>
      <c r="P6" s="632"/>
      <c r="Q6" s="633"/>
      <c r="R6" s="633"/>
      <c r="S6" s="633"/>
      <c r="T6" s="633"/>
      <c r="U6" s="634"/>
      <c r="V6" s="898"/>
    </row>
    <row r="7" spans="1:25" s="77" customFormat="1" ht="15" customHeight="1">
      <c r="E7" s="1766" t="s">
        <v>2</v>
      </c>
      <c r="F7" s="1767" t="s">
        <v>595</v>
      </c>
      <c r="G7" s="1771" t="s">
        <v>395</v>
      </c>
      <c r="H7" s="1768" t="s">
        <v>665</v>
      </c>
      <c r="I7" s="1769"/>
      <c r="J7" s="1770"/>
      <c r="K7" s="1765" t="s">
        <v>397</v>
      </c>
      <c r="L7" s="1765"/>
      <c r="M7" s="1765" t="s">
        <v>398</v>
      </c>
      <c r="N7" s="1765"/>
      <c r="O7" s="1765" t="s">
        <v>399</v>
      </c>
      <c r="P7" s="1765"/>
      <c r="Q7" s="1765" t="s">
        <v>400</v>
      </c>
      <c r="R7" s="1765"/>
      <c r="S7" s="1764" t="s">
        <v>187</v>
      </c>
      <c r="T7" s="1764"/>
      <c r="U7" s="1764"/>
      <c r="V7" s="899"/>
      <c r="W7" s="107"/>
    </row>
    <row r="8" spans="1:25" s="77" customFormat="1" ht="21.9" customHeight="1">
      <c r="E8" s="1766"/>
      <c r="F8" s="1767"/>
      <c r="G8" s="1772"/>
      <c r="H8" s="1292" t="s">
        <v>380</v>
      </c>
      <c r="I8" s="1292" t="s">
        <v>396</v>
      </c>
      <c r="J8" s="1292" t="s">
        <v>191</v>
      </c>
      <c r="K8" s="1293" t="s">
        <v>380</v>
      </c>
      <c r="L8" s="1294" t="s">
        <v>191</v>
      </c>
      <c r="M8" s="1293" t="s">
        <v>380</v>
      </c>
      <c r="N8" s="1293" t="s">
        <v>191</v>
      </c>
      <c r="O8" s="1293" t="s">
        <v>380</v>
      </c>
      <c r="P8" s="1294" t="s">
        <v>191</v>
      </c>
      <c r="Q8" s="1293" t="s">
        <v>380</v>
      </c>
      <c r="R8" s="1294" t="s">
        <v>191</v>
      </c>
      <c r="S8" s="1294" t="s">
        <v>401</v>
      </c>
      <c r="T8" s="1294" t="s">
        <v>272</v>
      </c>
      <c r="U8" s="1294" t="s">
        <v>637</v>
      </c>
      <c r="V8" s="901"/>
      <c r="W8" s="107"/>
    </row>
    <row r="9" spans="1:25" ht="13.5" customHeight="1">
      <c r="A9" s="888"/>
      <c r="B9" s="889"/>
      <c r="C9" s="889">
        <v>0</v>
      </c>
      <c r="D9" s="890"/>
      <c r="E9" s="936" t="s">
        <v>597</v>
      </c>
      <c r="F9" s="902" t="s">
        <v>286</v>
      </c>
      <c r="G9" s="903"/>
      <c r="H9" s="904"/>
      <c r="I9" s="904"/>
      <c r="J9" s="904"/>
      <c r="K9" s="893"/>
      <c r="L9" s="905"/>
      <c r="M9" s="893"/>
      <c r="N9" s="893"/>
      <c r="O9" s="893"/>
      <c r="P9" s="905"/>
      <c r="Q9" s="893"/>
      <c r="R9" s="905"/>
      <c r="S9" s="905"/>
      <c r="T9" s="905"/>
      <c r="U9" s="906"/>
      <c r="V9" s="1073" t="s">
        <v>637</v>
      </c>
    </row>
    <row r="10" spans="1:25" ht="13.8">
      <c r="A10" s="888">
        <f>+IF(B10&gt;0,B10+C9,IF(C10&gt;C9,C10,0))</f>
        <v>1</v>
      </c>
      <c r="B10" s="889">
        <f>+IF(M10&gt;=0.01,1,0)</f>
        <v>1</v>
      </c>
      <c r="C10" s="891">
        <f>+B10+C9</f>
        <v>1</v>
      </c>
      <c r="D10" s="892" t="str">
        <f>+E9&amp;". "&amp;F9</f>
        <v>1. MOVIMIENTO DE TIERRAS</v>
      </c>
      <c r="E10" s="937">
        <v>1</v>
      </c>
      <c r="F10" s="772" t="s">
        <v>511</v>
      </c>
      <c r="G10" s="769" t="s">
        <v>446</v>
      </c>
      <c r="H10" s="63">
        <v>94.18</v>
      </c>
      <c r="I10" s="766">
        <v>5442.14</v>
      </c>
      <c r="J10" s="66">
        <f>ROUND(H10*I10,2)</f>
        <v>512540.75</v>
      </c>
      <c r="K10" s="61">
        <f>+'Cant. Ejec,'!K6</f>
        <v>57.6</v>
      </c>
      <c r="L10" s="61">
        <f>+'Cant. Ejec,'!L6</f>
        <v>313472.3</v>
      </c>
      <c r="M10" s="1374">
        <f>+'Cant. Ejec,'!M6</f>
        <v>15</v>
      </c>
      <c r="N10" s="1375">
        <f>+ROUND(I10*M10,2)</f>
        <v>81632.100000000006</v>
      </c>
      <c r="O10" s="61">
        <f>K10+M10</f>
        <v>72.599999999999994</v>
      </c>
      <c r="P10" s="73">
        <f>L10+N10</f>
        <v>395104.4</v>
      </c>
      <c r="Q10" s="61">
        <f>H10-O10</f>
        <v>21.580000000000013</v>
      </c>
      <c r="R10" s="73">
        <f>+J10-P10</f>
        <v>117436.34999999998</v>
      </c>
      <c r="S10" s="935">
        <f>(N10/J10)</f>
        <v>0.15926948247529588</v>
      </c>
      <c r="T10" s="1075">
        <f>(P10/J10)</f>
        <v>0.77087412074064354</v>
      </c>
      <c r="U10" s="1078">
        <f>(R10/J10)</f>
        <v>0.2291258792593564</v>
      </c>
      <c r="V10" s="900">
        <f>1-U10</f>
        <v>0.77087412074064354</v>
      </c>
      <c r="W10" s="306" t="str">
        <f t="shared" ref="W10:W41" si="0">IF((P10+R10)=J10,"ok","MAL")</f>
        <v>ok</v>
      </c>
      <c r="X10" s="19">
        <v>10.6</v>
      </c>
      <c r="Y10" s="753">
        <f>+X10-Q10</f>
        <v>-10.980000000000013</v>
      </c>
    </row>
    <row r="11" spans="1:25" ht="13.5" customHeight="1">
      <c r="A11" s="888">
        <f t="shared" ref="A11:A74" si="1">+IF(B11&gt;0,B11+C10,IF(C11&gt;C10,C11,0))</f>
        <v>0</v>
      </c>
      <c r="B11" s="889">
        <f t="shared" ref="B11:B74" si="2">+IF(M11&gt;=0.01,1,0)</f>
        <v>0</v>
      </c>
      <c r="C11" s="891">
        <f t="shared" ref="C11:C74" si="3">+B11+C10</f>
        <v>1</v>
      </c>
      <c r="D11" s="892"/>
      <c r="E11" s="948"/>
      <c r="F11" s="949" t="s">
        <v>447</v>
      </c>
      <c r="G11" s="950"/>
      <c r="H11" s="951"/>
      <c r="I11" s="952"/>
      <c r="J11" s="953">
        <f>SUM(J10)</f>
        <v>512540.75</v>
      </c>
      <c r="K11" s="954"/>
      <c r="L11" s="953">
        <f>SUM(L10)</f>
        <v>313472.3</v>
      </c>
      <c r="M11" s="955"/>
      <c r="N11" s="953">
        <f>SUM(N10)</f>
        <v>81632.100000000006</v>
      </c>
      <c r="O11" s="954"/>
      <c r="P11" s="953">
        <f>SUM(P10)</f>
        <v>395104.4</v>
      </c>
      <c r="Q11" s="955"/>
      <c r="R11" s="953">
        <f>SUM(R10)</f>
        <v>117436.34999999998</v>
      </c>
      <c r="S11" s="976">
        <f>(N11/J11)</f>
        <v>0.15926948247529588</v>
      </c>
      <c r="T11" s="1076">
        <f>(P11/J11)</f>
        <v>0.77087412074064354</v>
      </c>
      <c r="U11" s="1079">
        <f>(R11/J11)</f>
        <v>0.2291258792593564</v>
      </c>
      <c r="V11" s="900">
        <f t="shared" ref="V11:V74" si="4">1-U11</f>
        <v>0.77087412074064354</v>
      </c>
      <c r="W11" s="306" t="str">
        <f t="shared" si="0"/>
        <v>ok</v>
      </c>
      <c r="Y11" s="753"/>
    </row>
    <row r="12" spans="1:25" ht="13.5" customHeight="1">
      <c r="A12" s="888">
        <f t="shared" si="1"/>
        <v>0</v>
      </c>
      <c r="B12" s="889">
        <f t="shared" si="2"/>
        <v>0</v>
      </c>
      <c r="C12" s="891">
        <f t="shared" si="3"/>
        <v>1</v>
      </c>
      <c r="D12" s="892"/>
      <c r="E12" s="936" t="s">
        <v>598</v>
      </c>
      <c r="F12" s="902" t="s">
        <v>523</v>
      </c>
      <c r="G12" s="907"/>
      <c r="H12" s="908"/>
      <c r="I12" s="908"/>
      <c r="J12" s="895"/>
      <c r="K12" s="894"/>
      <c r="L12" s="894"/>
      <c r="M12" s="894"/>
      <c r="N12" s="894"/>
      <c r="O12" s="894"/>
      <c r="P12" s="894"/>
      <c r="Q12" s="894"/>
      <c r="R12" s="894"/>
      <c r="S12" s="909"/>
      <c r="T12" s="909"/>
      <c r="U12" s="910"/>
      <c r="V12" s="900">
        <f t="shared" si="4"/>
        <v>1</v>
      </c>
      <c r="W12" s="306" t="str">
        <f t="shared" si="0"/>
        <v>ok</v>
      </c>
      <c r="Y12" s="753"/>
    </row>
    <row r="13" spans="1:25" ht="13.8">
      <c r="A13" s="888">
        <f t="shared" si="1"/>
        <v>0</v>
      </c>
      <c r="B13" s="889">
        <f t="shared" si="2"/>
        <v>0</v>
      </c>
      <c r="C13" s="891">
        <f t="shared" si="3"/>
        <v>1</v>
      </c>
      <c r="D13" s="892" t="str">
        <f>+E12&amp;". "&amp;F12</f>
        <v>2. PAVIMENTACION</v>
      </c>
      <c r="E13" s="937">
        <v>2</v>
      </c>
      <c r="F13" s="772" t="s">
        <v>512</v>
      </c>
      <c r="G13" s="925" t="s">
        <v>288</v>
      </c>
      <c r="H13" s="926">
        <v>266002</v>
      </c>
      <c r="I13" s="927">
        <v>1.46</v>
      </c>
      <c r="J13" s="66">
        <f t="shared" ref="J13:J22" si="5">ROUND(H13*I13,2)</f>
        <v>388362.92</v>
      </c>
      <c r="K13" s="61">
        <f>+'Cant. Ejec,'!K8</f>
        <v>0</v>
      </c>
      <c r="L13" s="71">
        <f t="shared" ref="L13:L22" si="6">+ROUND(K13*I13,2)</f>
        <v>0</v>
      </c>
      <c r="M13" s="1374">
        <f>+'Cant. Ejec,'!M8</f>
        <v>0</v>
      </c>
      <c r="N13" s="1375">
        <f t="shared" ref="N13:N22" si="7">+ROUND(I13*M13,2)</f>
        <v>0</v>
      </c>
      <c r="O13" s="61">
        <f t="shared" ref="O13:O22" si="8">K13+M13</f>
        <v>0</v>
      </c>
      <c r="P13" s="73">
        <f t="shared" ref="P13:P22" si="9">L13+N13</f>
        <v>0</v>
      </c>
      <c r="Q13" s="61">
        <f t="shared" ref="Q13:Q22" si="10">H13-O13</f>
        <v>266002</v>
      </c>
      <c r="R13" s="73">
        <f t="shared" ref="R13:R22" si="11">+J13-P13</f>
        <v>388362.92</v>
      </c>
      <c r="S13" s="792">
        <f>(N13/J13)</f>
        <v>0</v>
      </c>
      <c r="T13" s="792">
        <f t="shared" ref="T13:T23" si="12">(P13/J13)</f>
        <v>0</v>
      </c>
      <c r="U13" s="795">
        <f t="shared" ref="U13:U23" si="13">(R13/J13)</f>
        <v>1</v>
      </c>
      <c r="V13" s="900">
        <f t="shared" si="4"/>
        <v>0</v>
      </c>
      <c r="W13" s="306" t="str">
        <f t="shared" si="0"/>
        <v>ok</v>
      </c>
      <c r="Y13" s="753"/>
    </row>
    <row r="14" spans="1:25" ht="13.8">
      <c r="A14" s="888">
        <f t="shared" si="1"/>
        <v>0</v>
      </c>
      <c r="B14" s="889">
        <f t="shared" si="2"/>
        <v>0</v>
      </c>
      <c r="C14" s="891">
        <f t="shared" si="3"/>
        <v>1</v>
      </c>
      <c r="D14" s="892" t="str">
        <f>+D13</f>
        <v>2. PAVIMENTACION</v>
      </c>
      <c r="E14" s="937">
        <v>3</v>
      </c>
      <c r="F14" s="772" t="s">
        <v>513</v>
      </c>
      <c r="G14" s="925" t="s">
        <v>287</v>
      </c>
      <c r="H14" s="926">
        <v>34368.400000000001</v>
      </c>
      <c r="I14" s="927">
        <v>96.9</v>
      </c>
      <c r="J14" s="66">
        <f t="shared" si="5"/>
        <v>3330297.96</v>
      </c>
      <c r="K14" s="61">
        <f>+'Cant. Ejec,'!K9</f>
        <v>0</v>
      </c>
      <c r="L14" s="71">
        <f t="shared" si="6"/>
        <v>0</v>
      </c>
      <c r="M14" s="1376">
        <f>+'Cant. Ejec,'!M9</f>
        <v>0</v>
      </c>
      <c r="N14" s="1377">
        <f t="shared" si="7"/>
        <v>0</v>
      </c>
      <c r="O14" s="61">
        <f t="shared" si="8"/>
        <v>0</v>
      </c>
      <c r="P14" s="896">
        <f t="shared" si="9"/>
        <v>0</v>
      </c>
      <c r="Q14" s="61">
        <f>H14-O14</f>
        <v>34368.400000000001</v>
      </c>
      <c r="R14" s="896">
        <f t="shared" si="11"/>
        <v>3330297.96</v>
      </c>
      <c r="S14" s="792">
        <f t="shared" ref="S14:S23" si="14">(N14/J14)</f>
        <v>0</v>
      </c>
      <c r="T14" s="792">
        <f t="shared" si="12"/>
        <v>0</v>
      </c>
      <c r="U14" s="795">
        <f t="shared" si="13"/>
        <v>1</v>
      </c>
      <c r="V14" s="900">
        <f t="shared" si="4"/>
        <v>0</v>
      </c>
      <c r="W14" s="306" t="str">
        <f t="shared" si="0"/>
        <v>ok</v>
      </c>
      <c r="Y14" s="753"/>
    </row>
    <row r="15" spans="1:25" ht="13.8">
      <c r="A15" s="888">
        <f t="shared" si="1"/>
        <v>0</v>
      </c>
      <c r="B15" s="889">
        <f t="shared" si="2"/>
        <v>0</v>
      </c>
      <c r="C15" s="891">
        <f t="shared" si="3"/>
        <v>1</v>
      </c>
      <c r="D15" s="892" t="str">
        <f t="shared" ref="D15:D22" si="15">+D14</f>
        <v>2. PAVIMENTACION</v>
      </c>
      <c r="E15" s="937">
        <v>4</v>
      </c>
      <c r="F15" s="772" t="s">
        <v>514</v>
      </c>
      <c r="G15" s="925" t="s">
        <v>287</v>
      </c>
      <c r="H15" s="956">
        <v>18832</v>
      </c>
      <c r="I15" s="927">
        <v>96.9</v>
      </c>
      <c r="J15" s="66">
        <f t="shared" si="5"/>
        <v>1824820.8</v>
      </c>
      <c r="K15" s="61">
        <f>+'Cant. Ejec,'!K10</f>
        <v>0</v>
      </c>
      <c r="L15" s="71">
        <f t="shared" si="6"/>
        <v>0</v>
      </c>
      <c r="M15" s="1376">
        <f>+'Cant. Ejec,'!M10</f>
        <v>0</v>
      </c>
      <c r="N15" s="1377">
        <f t="shared" si="7"/>
        <v>0</v>
      </c>
      <c r="O15" s="61">
        <f t="shared" si="8"/>
        <v>0</v>
      </c>
      <c r="P15" s="896">
        <f t="shared" si="9"/>
        <v>0</v>
      </c>
      <c r="Q15" s="61">
        <f t="shared" si="10"/>
        <v>18832</v>
      </c>
      <c r="R15" s="896">
        <f t="shared" si="11"/>
        <v>1824820.8</v>
      </c>
      <c r="S15" s="792">
        <f t="shared" si="14"/>
        <v>0</v>
      </c>
      <c r="T15" s="792">
        <f t="shared" si="12"/>
        <v>0</v>
      </c>
      <c r="U15" s="795">
        <f t="shared" si="13"/>
        <v>1</v>
      </c>
      <c r="V15" s="900">
        <f t="shared" si="4"/>
        <v>0</v>
      </c>
      <c r="W15" s="306" t="str">
        <f t="shared" si="0"/>
        <v>ok</v>
      </c>
      <c r="Y15" s="753"/>
    </row>
    <row r="16" spans="1:25" ht="13.8">
      <c r="A16" s="888">
        <f t="shared" si="1"/>
        <v>0</v>
      </c>
      <c r="B16" s="889">
        <f t="shared" si="2"/>
        <v>0</v>
      </c>
      <c r="C16" s="891">
        <f t="shared" si="3"/>
        <v>1</v>
      </c>
      <c r="D16" s="892" t="str">
        <f t="shared" si="15"/>
        <v>2. PAVIMENTACION</v>
      </c>
      <c r="E16" s="937">
        <v>5</v>
      </c>
      <c r="F16" s="772" t="s">
        <v>515</v>
      </c>
      <c r="G16" s="925" t="s">
        <v>647</v>
      </c>
      <c r="H16" s="926">
        <v>439169.3</v>
      </c>
      <c r="I16" s="927">
        <v>3.74</v>
      </c>
      <c r="J16" s="66">
        <f t="shared" si="5"/>
        <v>1642493.18</v>
      </c>
      <c r="K16" s="61">
        <f>+'Cant. Ejec,'!K11</f>
        <v>346422.9</v>
      </c>
      <c r="L16" s="71">
        <f t="shared" si="6"/>
        <v>1295621.6499999999</v>
      </c>
      <c r="M16" s="1376">
        <f>+'Cant. Ejec,'!M11</f>
        <v>0</v>
      </c>
      <c r="N16" s="1377">
        <f t="shared" si="7"/>
        <v>0</v>
      </c>
      <c r="O16" s="61">
        <f t="shared" si="8"/>
        <v>346422.9</v>
      </c>
      <c r="P16" s="896">
        <f t="shared" si="9"/>
        <v>1295621.6499999999</v>
      </c>
      <c r="Q16" s="61">
        <f t="shared" si="10"/>
        <v>92746.399999999965</v>
      </c>
      <c r="R16" s="896">
        <f t="shared" si="11"/>
        <v>346871.53</v>
      </c>
      <c r="S16" s="792">
        <f t="shared" si="14"/>
        <v>0</v>
      </c>
      <c r="T16" s="792">
        <f t="shared" si="12"/>
        <v>0.78881402113340893</v>
      </c>
      <c r="U16" s="795">
        <f t="shared" si="13"/>
        <v>0.21118597886659113</v>
      </c>
      <c r="V16" s="900">
        <f t="shared" si="4"/>
        <v>0.78881402113340893</v>
      </c>
      <c r="W16" s="306" t="str">
        <f t="shared" si="0"/>
        <v>ok</v>
      </c>
      <c r="Y16" s="753"/>
    </row>
    <row r="17" spans="1:25" ht="13.8">
      <c r="A17" s="888">
        <f t="shared" si="1"/>
        <v>0</v>
      </c>
      <c r="B17" s="889">
        <f t="shared" si="2"/>
        <v>0</v>
      </c>
      <c r="C17" s="891">
        <f t="shared" si="3"/>
        <v>1</v>
      </c>
      <c r="D17" s="892" t="str">
        <f t="shared" si="15"/>
        <v>2. PAVIMENTACION</v>
      </c>
      <c r="E17" s="937">
        <v>6</v>
      </c>
      <c r="F17" s="772" t="s">
        <v>516</v>
      </c>
      <c r="G17" s="925" t="s">
        <v>287</v>
      </c>
      <c r="H17" s="926">
        <v>41713.949999999997</v>
      </c>
      <c r="I17" s="927">
        <v>191.25</v>
      </c>
      <c r="J17" s="66">
        <f t="shared" si="5"/>
        <v>7977792.9400000004</v>
      </c>
      <c r="K17" s="61">
        <f>+'Cant. Ejec,'!K12</f>
        <v>0</v>
      </c>
      <c r="L17" s="71">
        <f t="shared" si="6"/>
        <v>0</v>
      </c>
      <c r="M17" s="1376">
        <f>+'Cant. Ejec,'!M12</f>
        <v>0</v>
      </c>
      <c r="N17" s="1377">
        <f t="shared" si="7"/>
        <v>0</v>
      </c>
      <c r="O17" s="61">
        <f t="shared" si="8"/>
        <v>0</v>
      </c>
      <c r="P17" s="896">
        <f t="shared" si="9"/>
        <v>0</v>
      </c>
      <c r="Q17" s="61">
        <f t="shared" si="10"/>
        <v>41713.949999999997</v>
      </c>
      <c r="R17" s="896">
        <f t="shared" si="11"/>
        <v>7977792.9400000004</v>
      </c>
      <c r="S17" s="792">
        <f t="shared" si="14"/>
        <v>0</v>
      </c>
      <c r="T17" s="792">
        <f t="shared" si="12"/>
        <v>0</v>
      </c>
      <c r="U17" s="795">
        <f t="shared" si="13"/>
        <v>1</v>
      </c>
      <c r="V17" s="900">
        <f t="shared" si="4"/>
        <v>0</v>
      </c>
      <c r="W17" s="306" t="str">
        <f t="shared" si="0"/>
        <v>ok</v>
      </c>
      <c r="Y17" s="753"/>
    </row>
    <row r="18" spans="1:25" ht="13.8">
      <c r="A18" s="888">
        <f t="shared" si="1"/>
        <v>0</v>
      </c>
      <c r="B18" s="889">
        <f t="shared" si="2"/>
        <v>0</v>
      </c>
      <c r="C18" s="891">
        <f t="shared" si="3"/>
        <v>1</v>
      </c>
      <c r="D18" s="892" t="str">
        <f t="shared" si="15"/>
        <v>2. PAVIMENTACION</v>
      </c>
      <c r="E18" s="937">
        <v>7</v>
      </c>
      <c r="F18" s="772" t="s">
        <v>517</v>
      </c>
      <c r="G18" s="925" t="s">
        <v>287</v>
      </c>
      <c r="H18" s="926">
        <v>17411.04</v>
      </c>
      <c r="I18" s="927">
        <v>594.04999999999995</v>
      </c>
      <c r="J18" s="66">
        <f t="shared" si="5"/>
        <v>10343028.310000001</v>
      </c>
      <c r="K18" s="61">
        <f>+'Cant. Ejec,'!K13</f>
        <v>0</v>
      </c>
      <c r="L18" s="71">
        <f t="shared" si="6"/>
        <v>0</v>
      </c>
      <c r="M18" s="1376">
        <f>+'Cant. Ejec,'!M13</f>
        <v>0</v>
      </c>
      <c r="N18" s="1377">
        <f t="shared" si="7"/>
        <v>0</v>
      </c>
      <c r="O18" s="61">
        <f t="shared" si="8"/>
        <v>0</v>
      </c>
      <c r="P18" s="896">
        <f t="shared" si="9"/>
        <v>0</v>
      </c>
      <c r="Q18" s="61">
        <f t="shared" si="10"/>
        <v>17411.04</v>
      </c>
      <c r="R18" s="896">
        <f t="shared" si="11"/>
        <v>10343028.310000001</v>
      </c>
      <c r="S18" s="792">
        <f t="shared" si="14"/>
        <v>0</v>
      </c>
      <c r="T18" s="792">
        <f t="shared" si="12"/>
        <v>0</v>
      </c>
      <c r="U18" s="795">
        <f t="shared" si="13"/>
        <v>1</v>
      </c>
      <c r="V18" s="900">
        <f t="shared" si="4"/>
        <v>0</v>
      </c>
      <c r="W18" s="306" t="str">
        <f t="shared" si="0"/>
        <v>ok</v>
      </c>
      <c r="Y18" s="753"/>
    </row>
    <row r="19" spans="1:25" ht="13.8">
      <c r="A19" s="888">
        <f t="shared" si="1"/>
        <v>0</v>
      </c>
      <c r="B19" s="889">
        <f t="shared" si="2"/>
        <v>0</v>
      </c>
      <c r="C19" s="891">
        <f t="shared" si="3"/>
        <v>1</v>
      </c>
      <c r="D19" s="892" t="str">
        <f t="shared" si="15"/>
        <v>2. PAVIMENTACION</v>
      </c>
      <c r="E19" s="937">
        <v>8</v>
      </c>
      <c r="F19" s="772" t="s">
        <v>518</v>
      </c>
      <c r="G19" s="925" t="s">
        <v>174</v>
      </c>
      <c r="H19" s="926">
        <v>399003</v>
      </c>
      <c r="I19" s="927">
        <v>12.04</v>
      </c>
      <c r="J19" s="66">
        <f t="shared" si="5"/>
        <v>4803996.12</v>
      </c>
      <c r="K19" s="61">
        <f>+'Cant. Ejec,'!K14</f>
        <v>0</v>
      </c>
      <c r="L19" s="71">
        <f t="shared" si="6"/>
        <v>0</v>
      </c>
      <c r="M19" s="1376">
        <f>+'Cant. Ejec,'!M14</f>
        <v>0</v>
      </c>
      <c r="N19" s="1377">
        <f t="shared" si="7"/>
        <v>0</v>
      </c>
      <c r="O19" s="61">
        <f t="shared" si="8"/>
        <v>0</v>
      </c>
      <c r="P19" s="896">
        <f t="shared" si="9"/>
        <v>0</v>
      </c>
      <c r="Q19" s="61">
        <f t="shared" si="10"/>
        <v>399003</v>
      </c>
      <c r="R19" s="896">
        <f t="shared" si="11"/>
        <v>4803996.12</v>
      </c>
      <c r="S19" s="792">
        <f t="shared" si="14"/>
        <v>0</v>
      </c>
      <c r="T19" s="792">
        <f t="shared" si="12"/>
        <v>0</v>
      </c>
      <c r="U19" s="795">
        <f t="shared" si="13"/>
        <v>1</v>
      </c>
      <c r="V19" s="900">
        <f t="shared" si="4"/>
        <v>0</v>
      </c>
      <c r="W19" s="306" t="str">
        <f t="shared" si="0"/>
        <v>ok</v>
      </c>
      <c r="X19" s="19">
        <v>23</v>
      </c>
      <c r="Y19" s="753">
        <f>SUM(W19:X19)</f>
        <v>23</v>
      </c>
    </row>
    <row r="20" spans="1:25" ht="15" customHeight="1">
      <c r="A20" s="888">
        <f t="shared" si="1"/>
        <v>0</v>
      </c>
      <c r="B20" s="889">
        <f t="shared" si="2"/>
        <v>0</v>
      </c>
      <c r="C20" s="891">
        <f t="shared" si="3"/>
        <v>1</v>
      </c>
      <c r="D20" s="892" t="str">
        <f t="shared" si="15"/>
        <v>2. PAVIMENTACION</v>
      </c>
      <c r="E20" s="937">
        <v>9</v>
      </c>
      <c r="F20" s="772" t="s">
        <v>519</v>
      </c>
      <c r="G20" s="925" t="s">
        <v>520</v>
      </c>
      <c r="H20" s="926">
        <v>2437.5500000000002</v>
      </c>
      <c r="I20" s="927">
        <v>9167.4599999999991</v>
      </c>
      <c r="J20" s="66">
        <f>ROUND(H20*I20,2)</f>
        <v>22346142.120000001</v>
      </c>
      <c r="K20" s="61">
        <f>+'Cant. Ejec,'!K15</f>
        <v>0</v>
      </c>
      <c r="L20" s="71">
        <f t="shared" si="6"/>
        <v>0</v>
      </c>
      <c r="M20" s="1376">
        <f>+'Cant. Ejec,'!M15</f>
        <v>0</v>
      </c>
      <c r="N20" s="1377">
        <f t="shared" si="7"/>
        <v>0</v>
      </c>
      <c r="O20" s="61">
        <f t="shared" si="8"/>
        <v>0</v>
      </c>
      <c r="P20" s="896">
        <f t="shared" si="9"/>
        <v>0</v>
      </c>
      <c r="Q20" s="61">
        <f t="shared" si="10"/>
        <v>2437.5500000000002</v>
      </c>
      <c r="R20" s="896">
        <f t="shared" si="11"/>
        <v>22346142.120000001</v>
      </c>
      <c r="S20" s="792">
        <f t="shared" si="14"/>
        <v>0</v>
      </c>
      <c r="T20" s="792">
        <f t="shared" si="12"/>
        <v>0</v>
      </c>
      <c r="U20" s="795">
        <f t="shared" si="13"/>
        <v>1</v>
      </c>
      <c r="V20" s="900">
        <f t="shared" si="4"/>
        <v>0</v>
      </c>
      <c r="W20" s="306" t="str">
        <f t="shared" si="0"/>
        <v>ok</v>
      </c>
      <c r="Y20" s="753">
        <f>SUM(N20:X20)</f>
        <v>22348580.670000002</v>
      </c>
    </row>
    <row r="21" spans="1:25" ht="13.8">
      <c r="A21" s="888">
        <f t="shared" si="1"/>
        <v>0</v>
      </c>
      <c r="B21" s="889">
        <f t="shared" si="2"/>
        <v>0</v>
      </c>
      <c r="C21" s="891">
        <f t="shared" si="3"/>
        <v>1</v>
      </c>
      <c r="D21" s="892" t="str">
        <f t="shared" si="15"/>
        <v>2. PAVIMENTACION</v>
      </c>
      <c r="E21" s="937">
        <v>10</v>
      </c>
      <c r="F21" s="772" t="s">
        <v>521</v>
      </c>
      <c r="G21" s="925" t="s">
        <v>647</v>
      </c>
      <c r="H21" s="926">
        <v>510143.47</v>
      </c>
      <c r="I21" s="927">
        <v>2.72</v>
      </c>
      <c r="J21" s="66">
        <f t="shared" si="5"/>
        <v>1387590.24</v>
      </c>
      <c r="K21" s="61">
        <f>+'Cant. Ejec,'!K16</f>
        <v>0</v>
      </c>
      <c r="L21" s="71">
        <f t="shared" si="6"/>
        <v>0</v>
      </c>
      <c r="M21" s="1376">
        <f>+'Cant. Ejec,'!M16</f>
        <v>0</v>
      </c>
      <c r="N21" s="1377">
        <f t="shared" si="7"/>
        <v>0</v>
      </c>
      <c r="O21" s="61">
        <f t="shared" si="8"/>
        <v>0</v>
      </c>
      <c r="P21" s="896">
        <f t="shared" si="9"/>
        <v>0</v>
      </c>
      <c r="Q21" s="61">
        <f t="shared" si="10"/>
        <v>510143.47</v>
      </c>
      <c r="R21" s="896">
        <f t="shared" si="11"/>
        <v>1387590.24</v>
      </c>
      <c r="S21" s="792">
        <f t="shared" si="14"/>
        <v>0</v>
      </c>
      <c r="T21" s="792">
        <f t="shared" si="12"/>
        <v>0</v>
      </c>
      <c r="U21" s="795">
        <f t="shared" si="13"/>
        <v>1</v>
      </c>
      <c r="V21" s="900">
        <f t="shared" si="4"/>
        <v>0</v>
      </c>
      <c r="W21" s="306" t="str">
        <f t="shared" si="0"/>
        <v>ok</v>
      </c>
      <c r="Y21" s="753"/>
    </row>
    <row r="22" spans="1:25" ht="13.8">
      <c r="A22" s="888">
        <f t="shared" si="1"/>
        <v>0</v>
      </c>
      <c r="B22" s="889">
        <f t="shared" si="2"/>
        <v>0</v>
      </c>
      <c r="C22" s="891">
        <f t="shared" si="3"/>
        <v>1</v>
      </c>
      <c r="D22" s="892" t="str">
        <f t="shared" si="15"/>
        <v>2. PAVIMENTACION</v>
      </c>
      <c r="E22" s="937">
        <v>11</v>
      </c>
      <c r="F22" s="772" t="s">
        <v>522</v>
      </c>
      <c r="G22" s="925" t="s">
        <v>647</v>
      </c>
      <c r="H22" s="926">
        <v>1222218.74</v>
      </c>
      <c r="I22" s="927">
        <v>2.72</v>
      </c>
      <c r="J22" s="66">
        <f t="shared" si="5"/>
        <v>3324434.97</v>
      </c>
      <c r="K22" s="61">
        <f>+'Cant. Ejec,'!K17</f>
        <v>0</v>
      </c>
      <c r="L22" s="71">
        <f t="shared" si="6"/>
        <v>0</v>
      </c>
      <c r="M22" s="1376">
        <f>+'Cant. Ejec,'!M17</f>
        <v>0</v>
      </c>
      <c r="N22" s="1377">
        <f t="shared" si="7"/>
        <v>0</v>
      </c>
      <c r="O22" s="61">
        <f t="shared" si="8"/>
        <v>0</v>
      </c>
      <c r="P22" s="896">
        <f t="shared" si="9"/>
        <v>0</v>
      </c>
      <c r="Q22" s="61">
        <f t="shared" si="10"/>
        <v>1222218.74</v>
      </c>
      <c r="R22" s="896">
        <f t="shared" si="11"/>
        <v>3324434.97</v>
      </c>
      <c r="S22" s="932">
        <f t="shared" si="14"/>
        <v>0</v>
      </c>
      <c r="T22" s="932">
        <f t="shared" si="12"/>
        <v>0</v>
      </c>
      <c r="U22" s="933">
        <f t="shared" si="13"/>
        <v>1</v>
      </c>
      <c r="V22" s="900">
        <f t="shared" si="4"/>
        <v>0</v>
      </c>
      <c r="W22" s="306" t="str">
        <f t="shared" si="0"/>
        <v>ok</v>
      </c>
      <c r="Y22" s="753"/>
    </row>
    <row r="23" spans="1:25" ht="13.5" customHeight="1">
      <c r="A23" s="888">
        <f t="shared" si="1"/>
        <v>0</v>
      </c>
      <c r="B23" s="889">
        <f t="shared" si="2"/>
        <v>0</v>
      </c>
      <c r="C23" s="891">
        <f t="shared" si="3"/>
        <v>1</v>
      </c>
      <c r="D23" s="892"/>
      <c r="E23" s="948"/>
      <c r="F23" s="949" t="s">
        <v>447</v>
      </c>
      <c r="G23" s="950"/>
      <c r="H23" s="951"/>
      <c r="I23" s="952"/>
      <c r="J23" s="953">
        <f>SUM(J13:J22)</f>
        <v>57368959.560000002</v>
      </c>
      <c r="K23" s="954"/>
      <c r="L23" s="953">
        <f>SUM(L13:L22)</f>
        <v>1295621.6499999999</v>
      </c>
      <c r="M23" s="955"/>
      <c r="N23" s="953">
        <f>SUM(N13:N22)</f>
        <v>0</v>
      </c>
      <c r="O23" s="954"/>
      <c r="P23" s="953">
        <f>SUM(P13:P22)</f>
        <v>1295621.6499999999</v>
      </c>
      <c r="Q23" s="955"/>
      <c r="R23" s="953">
        <f>SUM(R13:R22)</f>
        <v>56073337.910000004</v>
      </c>
      <c r="S23" s="976">
        <f t="shared" si="14"/>
        <v>0</v>
      </c>
      <c r="T23" s="1076">
        <f t="shared" si="12"/>
        <v>2.2584018604084301E-2</v>
      </c>
      <c r="U23" s="1079">
        <f t="shared" si="13"/>
        <v>0.97741598139591568</v>
      </c>
      <c r="V23" s="900">
        <f t="shared" si="4"/>
        <v>2.2584018604084322E-2</v>
      </c>
      <c r="W23" s="306" t="str">
        <f t="shared" si="0"/>
        <v>ok</v>
      </c>
      <c r="Y23" s="753"/>
    </row>
    <row r="24" spans="1:25" ht="13.5" customHeight="1">
      <c r="A24" s="888">
        <f t="shared" si="1"/>
        <v>0</v>
      </c>
      <c r="B24" s="889">
        <f t="shared" si="2"/>
        <v>0</v>
      </c>
      <c r="C24" s="891">
        <f t="shared" si="3"/>
        <v>1</v>
      </c>
      <c r="D24" s="892"/>
      <c r="E24" s="936" t="s">
        <v>596</v>
      </c>
      <c r="F24" s="902" t="s">
        <v>524</v>
      </c>
      <c r="G24" s="907"/>
      <c r="H24" s="908"/>
      <c r="I24" s="908"/>
      <c r="J24" s="895"/>
      <c r="K24" s="894"/>
      <c r="L24" s="894"/>
      <c r="M24" s="894"/>
      <c r="N24" s="894"/>
      <c r="O24" s="894"/>
      <c r="P24" s="894"/>
      <c r="Q24" s="894"/>
      <c r="R24" s="894"/>
      <c r="S24" s="909"/>
      <c r="T24" s="909"/>
      <c r="U24" s="910"/>
      <c r="V24" s="900">
        <f t="shared" si="4"/>
        <v>1</v>
      </c>
      <c r="W24" s="306" t="str">
        <f t="shared" si="0"/>
        <v>ok</v>
      </c>
      <c r="Y24" s="753"/>
    </row>
    <row r="25" spans="1:25" ht="13.8">
      <c r="A25" s="888">
        <f t="shared" si="1"/>
        <v>0</v>
      </c>
      <c r="B25" s="889">
        <f t="shared" si="2"/>
        <v>0</v>
      </c>
      <c r="C25" s="891">
        <f t="shared" si="3"/>
        <v>1</v>
      </c>
      <c r="D25" s="892" t="str">
        <f t="shared" ref="D25:D33" si="16">+E24&amp;". "&amp;F24</f>
        <v>3. REHABILITACION Y MANTENIMIENTO</v>
      </c>
      <c r="E25" s="937">
        <v>12</v>
      </c>
      <c r="F25" s="772" t="s">
        <v>525</v>
      </c>
      <c r="G25" s="925" t="s">
        <v>290</v>
      </c>
      <c r="H25" s="926">
        <v>61360</v>
      </c>
      <c r="I25" s="927">
        <v>18.399999999999999</v>
      </c>
      <c r="J25" s="66">
        <f t="shared" ref="J25:J30" si="17">ROUND(H25*I25,2)</f>
        <v>1129024</v>
      </c>
      <c r="K25" s="61">
        <f>+'Cant. Ejec,'!K19</f>
        <v>0</v>
      </c>
      <c r="L25" s="71">
        <f t="shared" ref="L25:L30" si="18">+ROUND(K25*I25,2)</f>
        <v>0</v>
      </c>
      <c r="M25" s="1376">
        <f>+'Cant. Ejec,'!M19</f>
        <v>0</v>
      </c>
      <c r="N25" s="1377">
        <f t="shared" ref="N25:N30" si="19">+ROUND(I25*M25,2)</f>
        <v>0</v>
      </c>
      <c r="O25" s="61">
        <f t="shared" ref="O25:O30" si="20">K25+M25</f>
        <v>0</v>
      </c>
      <c r="P25" s="896">
        <f t="shared" ref="P25:P30" si="21">L25+N25</f>
        <v>0</v>
      </c>
      <c r="Q25" s="61">
        <f t="shared" ref="Q25:Q30" si="22">H25-O25</f>
        <v>61360</v>
      </c>
      <c r="R25" s="896">
        <f t="shared" ref="R25:R30" si="23">+J25-P25</f>
        <v>1129024</v>
      </c>
      <c r="S25" s="792">
        <f t="shared" ref="S25:S31" si="24">(N25/J25)</f>
        <v>0</v>
      </c>
      <c r="T25" s="792">
        <f t="shared" ref="T25:T31" si="25">(P25/J25)</f>
        <v>0</v>
      </c>
      <c r="U25" s="795">
        <f t="shared" ref="U25:U31" si="26">(R25/J25)</f>
        <v>1</v>
      </c>
      <c r="V25" s="900">
        <f t="shared" si="4"/>
        <v>0</v>
      </c>
      <c r="W25" s="306" t="str">
        <f t="shared" si="0"/>
        <v>ok</v>
      </c>
      <c r="Y25" s="753"/>
    </row>
    <row r="26" spans="1:25" ht="13.8">
      <c r="A26" s="888">
        <f t="shared" si="1"/>
        <v>0</v>
      </c>
      <c r="B26" s="889">
        <f t="shared" si="2"/>
        <v>0</v>
      </c>
      <c r="C26" s="891">
        <f t="shared" si="3"/>
        <v>1</v>
      </c>
      <c r="D26" s="892" t="str">
        <f>+D25</f>
        <v>3. REHABILITACION Y MANTENIMIENTO</v>
      </c>
      <c r="E26" s="937">
        <v>13</v>
      </c>
      <c r="F26" s="772" t="s">
        <v>526</v>
      </c>
      <c r="G26" s="925" t="s">
        <v>288</v>
      </c>
      <c r="H26" s="926">
        <v>9907</v>
      </c>
      <c r="I26" s="927">
        <v>129.19</v>
      </c>
      <c r="J26" s="66">
        <f t="shared" si="17"/>
        <v>1279885.33</v>
      </c>
      <c r="K26" s="61">
        <f>+'Cant. Ejec,'!K20</f>
        <v>0</v>
      </c>
      <c r="L26" s="71">
        <f t="shared" si="18"/>
        <v>0</v>
      </c>
      <c r="M26" s="1376">
        <f>+'Cant. Ejec,'!M20</f>
        <v>0</v>
      </c>
      <c r="N26" s="1377">
        <f t="shared" si="19"/>
        <v>0</v>
      </c>
      <c r="O26" s="61">
        <f t="shared" si="20"/>
        <v>0</v>
      </c>
      <c r="P26" s="896">
        <f t="shared" si="21"/>
        <v>0</v>
      </c>
      <c r="Q26" s="61">
        <f t="shared" si="22"/>
        <v>9907</v>
      </c>
      <c r="R26" s="896">
        <f t="shared" si="23"/>
        <v>1279885.33</v>
      </c>
      <c r="S26" s="792">
        <f t="shared" si="24"/>
        <v>0</v>
      </c>
      <c r="T26" s="792">
        <f t="shared" si="25"/>
        <v>0</v>
      </c>
      <c r="U26" s="795">
        <f t="shared" si="26"/>
        <v>1</v>
      </c>
      <c r="V26" s="900">
        <f t="shared" si="4"/>
        <v>0</v>
      </c>
      <c r="W26" s="306" t="str">
        <f t="shared" si="0"/>
        <v>ok</v>
      </c>
      <c r="Y26" s="753"/>
    </row>
    <row r="27" spans="1:25" ht="13.8">
      <c r="A27" s="888">
        <f t="shared" si="1"/>
        <v>0</v>
      </c>
      <c r="B27" s="889">
        <f t="shared" si="2"/>
        <v>0</v>
      </c>
      <c r="C27" s="891">
        <f t="shared" si="3"/>
        <v>1</v>
      </c>
      <c r="D27" s="892" t="str">
        <f t="shared" ref="D27:D30" si="27">+D26</f>
        <v>3. REHABILITACION Y MANTENIMIENTO</v>
      </c>
      <c r="E27" s="937">
        <v>14</v>
      </c>
      <c r="F27" s="775" t="s">
        <v>527</v>
      </c>
      <c r="G27" s="771" t="s">
        <v>520</v>
      </c>
      <c r="H27" s="36">
        <v>6.14</v>
      </c>
      <c r="I27" s="765">
        <v>8520.98</v>
      </c>
      <c r="J27" s="66">
        <f t="shared" si="17"/>
        <v>52318.82</v>
      </c>
      <c r="K27" s="61">
        <f>+'Cant. Ejec,'!K21</f>
        <v>0</v>
      </c>
      <c r="L27" s="71">
        <f t="shared" si="18"/>
        <v>0</v>
      </c>
      <c r="M27" s="1376">
        <f>+'Cant. Ejec,'!M21</f>
        <v>0</v>
      </c>
      <c r="N27" s="1377">
        <f t="shared" si="19"/>
        <v>0</v>
      </c>
      <c r="O27" s="61">
        <f t="shared" si="20"/>
        <v>0</v>
      </c>
      <c r="P27" s="896">
        <f t="shared" si="21"/>
        <v>0</v>
      </c>
      <c r="Q27" s="61">
        <f t="shared" si="22"/>
        <v>6.14</v>
      </c>
      <c r="R27" s="896">
        <f t="shared" si="23"/>
        <v>52318.82</v>
      </c>
      <c r="S27" s="792">
        <f t="shared" si="24"/>
        <v>0</v>
      </c>
      <c r="T27" s="792">
        <f t="shared" si="25"/>
        <v>0</v>
      </c>
      <c r="U27" s="795">
        <f t="shared" si="26"/>
        <v>1</v>
      </c>
      <c r="V27" s="900">
        <f t="shared" si="4"/>
        <v>0</v>
      </c>
      <c r="W27" s="306" t="str">
        <f t="shared" si="0"/>
        <v>ok</v>
      </c>
      <c r="X27" s="19">
        <v>109039.37000000001</v>
      </c>
      <c r="Y27" s="753">
        <f t="shared" ref="Y27:Y77" si="28">+X27-Q27</f>
        <v>109033.23000000001</v>
      </c>
    </row>
    <row r="28" spans="1:25" ht="13.8">
      <c r="A28" s="888">
        <f t="shared" si="1"/>
        <v>0</v>
      </c>
      <c r="B28" s="889">
        <f t="shared" si="2"/>
        <v>0</v>
      </c>
      <c r="C28" s="891">
        <f t="shared" si="3"/>
        <v>1</v>
      </c>
      <c r="D28" s="892" t="str">
        <f t="shared" si="27"/>
        <v>3. REHABILITACION Y MANTENIMIENTO</v>
      </c>
      <c r="E28" s="937">
        <v>15</v>
      </c>
      <c r="F28" s="768" t="s">
        <v>528</v>
      </c>
      <c r="G28" s="771" t="s">
        <v>520</v>
      </c>
      <c r="H28" s="36">
        <v>69.349999999999994</v>
      </c>
      <c r="I28" s="765">
        <v>8520.98</v>
      </c>
      <c r="J28" s="66">
        <f t="shared" si="17"/>
        <v>590929.96</v>
      </c>
      <c r="K28" s="61">
        <f>+'Cant. Ejec,'!K22</f>
        <v>0</v>
      </c>
      <c r="L28" s="71">
        <f t="shared" si="18"/>
        <v>0</v>
      </c>
      <c r="M28" s="1376">
        <f>+'Cant. Ejec,'!M22</f>
        <v>0</v>
      </c>
      <c r="N28" s="1377">
        <f t="shared" si="19"/>
        <v>0</v>
      </c>
      <c r="O28" s="61">
        <f t="shared" si="20"/>
        <v>0</v>
      </c>
      <c r="P28" s="896">
        <f t="shared" si="21"/>
        <v>0</v>
      </c>
      <c r="Q28" s="61">
        <f t="shared" si="22"/>
        <v>69.349999999999994</v>
      </c>
      <c r="R28" s="896">
        <f t="shared" si="23"/>
        <v>590929.96</v>
      </c>
      <c r="S28" s="792">
        <f t="shared" si="24"/>
        <v>0</v>
      </c>
      <c r="T28" s="792">
        <f t="shared" si="25"/>
        <v>0</v>
      </c>
      <c r="U28" s="795">
        <f t="shared" si="26"/>
        <v>1</v>
      </c>
      <c r="V28" s="900">
        <f t="shared" si="4"/>
        <v>0</v>
      </c>
      <c r="W28" s="306" t="str">
        <f t="shared" si="0"/>
        <v>ok</v>
      </c>
      <c r="X28" s="19">
        <v>7944.42</v>
      </c>
      <c r="Y28" s="753">
        <f t="shared" si="28"/>
        <v>7875.07</v>
      </c>
    </row>
    <row r="29" spans="1:25" ht="13.8">
      <c r="A29" s="888">
        <f t="shared" si="1"/>
        <v>0</v>
      </c>
      <c r="B29" s="889">
        <f t="shared" si="2"/>
        <v>0</v>
      </c>
      <c r="C29" s="891">
        <f t="shared" si="3"/>
        <v>1</v>
      </c>
      <c r="D29" s="892" t="str">
        <f t="shared" si="27"/>
        <v>3. REHABILITACION Y MANTENIMIENTO</v>
      </c>
      <c r="E29" s="937">
        <v>16</v>
      </c>
      <c r="F29" s="768" t="s">
        <v>529</v>
      </c>
      <c r="G29" s="771" t="s">
        <v>288</v>
      </c>
      <c r="H29" s="36">
        <v>180894</v>
      </c>
      <c r="I29" s="765">
        <v>65.069999999999993</v>
      </c>
      <c r="J29" s="66">
        <f t="shared" si="17"/>
        <v>11770772.58</v>
      </c>
      <c r="K29" s="61">
        <f>+'Cant. Ejec,'!K23</f>
        <v>0</v>
      </c>
      <c r="L29" s="71">
        <f t="shared" si="18"/>
        <v>0</v>
      </c>
      <c r="M29" s="1376">
        <f>+'Cant. Ejec,'!M23</f>
        <v>0</v>
      </c>
      <c r="N29" s="1377">
        <f t="shared" si="19"/>
        <v>0</v>
      </c>
      <c r="O29" s="61">
        <f t="shared" si="20"/>
        <v>0</v>
      </c>
      <c r="P29" s="896">
        <f t="shared" si="21"/>
        <v>0</v>
      </c>
      <c r="Q29" s="61">
        <f t="shared" si="22"/>
        <v>180894</v>
      </c>
      <c r="R29" s="896">
        <f t="shared" si="23"/>
        <v>11770772.58</v>
      </c>
      <c r="S29" s="792">
        <f t="shared" si="24"/>
        <v>0</v>
      </c>
      <c r="T29" s="792">
        <f t="shared" si="25"/>
        <v>0</v>
      </c>
      <c r="U29" s="795">
        <f t="shared" si="26"/>
        <v>1</v>
      </c>
      <c r="V29" s="900">
        <f t="shared" si="4"/>
        <v>0</v>
      </c>
      <c r="W29" s="306" t="str">
        <f t="shared" si="0"/>
        <v>ok</v>
      </c>
      <c r="X29" s="19">
        <v>90669.700000000012</v>
      </c>
      <c r="Y29" s="753">
        <f t="shared" si="28"/>
        <v>-90224.299999999988</v>
      </c>
    </row>
    <row r="30" spans="1:25" ht="13.8">
      <c r="A30" s="888">
        <f t="shared" si="1"/>
        <v>0</v>
      </c>
      <c r="B30" s="889">
        <f t="shared" si="2"/>
        <v>0</v>
      </c>
      <c r="C30" s="891">
        <f t="shared" si="3"/>
        <v>1</v>
      </c>
      <c r="D30" s="892" t="str">
        <f t="shared" si="27"/>
        <v>3. REHABILITACION Y MANTENIMIENTO</v>
      </c>
      <c r="E30" s="939">
        <v>17</v>
      </c>
      <c r="F30" s="773" t="s">
        <v>530</v>
      </c>
      <c r="G30" s="774" t="s">
        <v>288</v>
      </c>
      <c r="H30" s="46">
        <v>99120</v>
      </c>
      <c r="I30" s="767">
        <v>36.15</v>
      </c>
      <c r="J30" s="68">
        <f t="shared" si="17"/>
        <v>3583188</v>
      </c>
      <c r="K30" s="61">
        <f>+'Cant. Ejec,'!K24</f>
        <v>0</v>
      </c>
      <c r="L30" s="930">
        <f t="shared" si="18"/>
        <v>0</v>
      </c>
      <c r="M30" s="1378">
        <f>+'Cant. Ejec,'!M24</f>
        <v>0</v>
      </c>
      <c r="N30" s="1379">
        <f t="shared" si="19"/>
        <v>0</v>
      </c>
      <c r="O30" s="929">
        <f t="shared" si="20"/>
        <v>0</v>
      </c>
      <c r="P30" s="96">
        <f t="shared" si="21"/>
        <v>0</v>
      </c>
      <c r="Q30" s="929">
        <f t="shared" si="22"/>
        <v>99120</v>
      </c>
      <c r="R30" s="96">
        <f t="shared" si="23"/>
        <v>3583188</v>
      </c>
      <c r="S30" s="932">
        <f t="shared" si="24"/>
        <v>0</v>
      </c>
      <c r="T30" s="932">
        <f t="shared" si="25"/>
        <v>0</v>
      </c>
      <c r="U30" s="933">
        <f t="shared" si="26"/>
        <v>1</v>
      </c>
      <c r="V30" s="900">
        <f t="shared" si="4"/>
        <v>0</v>
      </c>
      <c r="W30" s="306" t="str">
        <f t="shared" si="0"/>
        <v>ok</v>
      </c>
      <c r="X30" s="19">
        <v>614495.43000000005</v>
      </c>
      <c r="Y30" s="753">
        <f t="shared" si="28"/>
        <v>515375.43000000005</v>
      </c>
    </row>
    <row r="31" spans="1:25" ht="13.5" customHeight="1">
      <c r="A31" s="888">
        <f t="shared" si="1"/>
        <v>0</v>
      </c>
      <c r="B31" s="889">
        <f t="shared" si="2"/>
        <v>0</v>
      </c>
      <c r="C31" s="891">
        <f t="shared" si="3"/>
        <v>1</v>
      </c>
      <c r="D31" s="892"/>
      <c r="E31" s="948"/>
      <c r="F31" s="949" t="s">
        <v>447</v>
      </c>
      <c r="G31" s="950"/>
      <c r="H31" s="951"/>
      <c r="I31" s="952"/>
      <c r="J31" s="953">
        <f>SUM(J25:J30)</f>
        <v>18406118.689999998</v>
      </c>
      <c r="K31" s="954"/>
      <c r="L31" s="953">
        <f>SUM(L25:L30)</f>
        <v>0</v>
      </c>
      <c r="M31" s="955"/>
      <c r="N31" s="953">
        <f>SUM(N25:N30)</f>
        <v>0</v>
      </c>
      <c r="O31" s="954"/>
      <c r="P31" s="953">
        <f>SUM(P25:P30)</f>
        <v>0</v>
      </c>
      <c r="Q31" s="955"/>
      <c r="R31" s="953">
        <f>SUM(R25:R30)</f>
        <v>18406118.689999998</v>
      </c>
      <c r="S31" s="976">
        <f t="shared" si="24"/>
        <v>0</v>
      </c>
      <c r="T31" s="1076">
        <f t="shared" si="25"/>
        <v>0</v>
      </c>
      <c r="U31" s="1079">
        <f t="shared" si="26"/>
        <v>1</v>
      </c>
      <c r="V31" s="900">
        <f t="shared" si="4"/>
        <v>0</v>
      </c>
      <c r="W31" s="306" t="str">
        <f t="shared" si="0"/>
        <v>ok</v>
      </c>
      <c r="X31" s="19">
        <v>38577</v>
      </c>
      <c r="Y31" s="753">
        <f t="shared" si="28"/>
        <v>38577</v>
      </c>
    </row>
    <row r="32" spans="1:25" s="77" customFormat="1" ht="13.5" customHeight="1">
      <c r="A32" s="888">
        <f t="shared" si="1"/>
        <v>0</v>
      </c>
      <c r="B32" s="889">
        <f t="shared" si="2"/>
        <v>0</v>
      </c>
      <c r="C32" s="891">
        <f t="shared" si="3"/>
        <v>1</v>
      </c>
      <c r="D32" s="892"/>
      <c r="E32" s="936">
        <v>4</v>
      </c>
      <c r="F32" s="902" t="s">
        <v>289</v>
      </c>
      <c r="G32" s="907"/>
      <c r="H32" s="908"/>
      <c r="I32" s="908"/>
      <c r="J32" s="895"/>
      <c r="K32" s="894"/>
      <c r="L32" s="894"/>
      <c r="M32" s="894"/>
      <c r="N32" s="894"/>
      <c r="O32" s="894"/>
      <c r="P32" s="894"/>
      <c r="Q32" s="894"/>
      <c r="R32" s="894"/>
      <c r="S32" s="909"/>
      <c r="T32" s="909"/>
      <c r="U32" s="910"/>
      <c r="V32" s="900">
        <f t="shared" si="4"/>
        <v>1</v>
      </c>
      <c r="W32" s="306" t="str">
        <f t="shared" si="0"/>
        <v>ok</v>
      </c>
      <c r="Y32" s="791">
        <f>+X32-Q11</f>
        <v>0</v>
      </c>
    </row>
    <row r="33" spans="1:25" ht="13.8">
      <c r="A33" s="888">
        <f t="shared" si="1"/>
        <v>0</v>
      </c>
      <c r="B33" s="889">
        <f t="shared" si="2"/>
        <v>0</v>
      </c>
      <c r="C33" s="891">
        <f t="shared" si="3"/>
        <v>1</v>
      </c>
      <c r="D33" s="892" t="str">
        <f t="shared" si="16"/>
        <v>4. OBRAS DE DRENAJE</v>
      </c>
      <c r="E33" s="937">
        <v>18</v>
      </c>
      <c r="F33" s="772" t="s">
        <v>531</v>
      </c>
      <c r="G33" s="794" t="s">
        <v>446</v>
      </c>
      <c r="H33" s="63">
        <v>5</v>
      </c>
      <c r="I33" s="63">
        <v>5170.03</v>
      </c>
      <c r="J33" s="64">
        <f>ROUND(H33*I33,2)</f>
        <v>25850.15</v>
      </c>
      <c r="K33" s="61">
        <f>+'Cant. Ejec,'!K26</f>
        <v>0</v>
      </c>
      <c r="L33" s="71">
        <f t="shared" ref="L33:L72" si="29">+ROUND(K33*I33,2)</f>
        <v>0</v>
      </c>
      <c r="M33" s="1376">
        <f>+'Cant. Ejec,'!M26</f>
        <v>0</v>
      </c>
      <c r="N33" s="1375">
        <f t="shared" ref="N33:N72" si="30">+ROUND(I33*M33,2)</f>
        <v>0</v>
      </c>
      <c r="O33" s="61">
        <f t="shared" ref="O33:O38" si="31">K33+M33</f>
        <v>0</v>
      </c>
      <c r="P33" s="896">
        <f t="shared" ref="P33:P38" si="32">L33+N33</f>
        <v>0</v>
      </c>
      <c r="Q33" s="61">
        <f t="shared" ref="Q33:Q72" si="33">H33-O33</f>
        <v>5</v>
      </c>
      <c r="R33" s="896">
        <f t="shared" ref="R33:R72" si="34">+J33-P33</f>
        <v>25850.15</v>
      </c>
      <c r="S33" s="792">
        <f t="shared" ref="S33:S73" si="35">(N33/J33)</f>
        <v>0</v>
      </c>
      <c r="T33" s="792">
        <f t="shared" ref="T33:T58" si="36">(P33/J33)</f>
        <v>0</v>
      </c>
      <c r="U33" s="795">
        <f t="shared" ref="U33:U73" si="37">(R33/J33)</f>
        <v>1</v>
      </c>
      <c r="V33" s="900">
        <f t="shared" si="4"/>
        <v>0</v>
      </c>
      <c r="W33" s="306" t="str">
        <f t="shared" si="0"/>
        <v>ok</v>
      </c>
      <c r="Y33" s="753">
        <f>+X33-Q12</f>
        <v>0</v>
      </c>
    </row>
    <row r="34" spans="1:25" ht="13.8">
      <c r="A34" s="888">
        <f t="shared" si="1"/>
        <v>0</v>
      </c>
      <c r="B34" s="889">
        <f t="shared" si="2"/>
        <v>0</v>
      </c>
      <c r="C34" s="891">
        <f t="shared" si="3"/>
        <v>1</v>
      </c>
      <c r="D34" s="892" t="str">
        <f>+D33</f>
        <v>4. OBRAS DE DRENAJE</v>
      </c>
      <c r="E34" s="937">
        <v>19</v>
      </c>
      <c r="F34" s="772" t="s">
        <v>532</v>
      </c>
      <c r="G34" s="934" t="s">
        <v>287</v>
      </c>
      <c r="H34" s="36">
        <v>15078</v>
      </c>
      <c r="I34" s="36">
        <v>34.61</v>
      </c>
      <c r="J34" s="66">
        <f t="shared" ref="J34:J72" si="38">ROUND(H34*I34,2)</f>
        <v>521849.58</v>
      </c>
      <c r="K34" s="61">
        <f>+'Cant. Ejec,'!K27</f>
        <v>0</v>
      </c>
      <c r="L34" s="71">
        <f t="shared" si="29"/>
        <v>0</v>
      </c>
      <c r="M34" s="1376">
        <f>+'Cant. Ejec,'!M27</f>
        <v>0</v>
      </c>
      <c r="N34" s="1377">
        <f t="shared" si="30"/>
        <v>0</v>
      </c>
      <c r="O34" s="61">
        <f t="shared" si="31"/>
        <v>0</v>
      </c>
      <c r="P34" s="896">
        <f t="shared" si="32"/>
        <v>0</v>
      </c>
      <c r="Q34" s="61">
        <f t="shared" si="33"/>
        <v>15078</v>
      </c>
      <c r="R34" s="896">
        <f t="shared" si="34"/>
        <v>521849.58</v>
      </c>
      <c r="S34" s="792">
        <f t="shared" si="35"/>
        <v>0</v>
      </c>
      <c r="T34" s="792">
        <f t="shared" si="36"/>
        <v>0</v>
      </c>
      <c r="U34" s="795">
        <f t="shared" si="37"/>
        <v>1</v>
      </c>
      <c r="V34" s="900">
        <f t="shared" si="4"/>
        <v>0</v>
      </c>
      <c r="W34" s="306" t="str">
        <f t="shared" si="0"/>
        <v>ok</v>
      </c>
      <c r="X34" s="19">
        <v>66957</v>
      </c>
      <c r="Y34" s="753">
        <f t="shared" si="28"/>
        <v>51879</v>
      </c>
    </row>
    <row r="35" spans="1:25" ht="13.8">
      <c r="A35" s="888">
        <f t="shared" si="1"/>
        <v>0</v>
      </c>
      <c r="B35" s="889">
        <f t="shared" si="2"/>
        <v>0</v>
      </c>
      <c r="C35" s="891">
        <f t="shared" si="3"/>
        <v>1</v>
      </c>
      <c r="D35" s="892" t="str">
        <f t="shared" ref="D35:D72" si="39">+D34</f>
        <v>4. OBRAS DE DRENAJE</v>
      </c>
      <c r="E35" s="937">
        <v>20</v>
      </c>
      <c r="F35" s="768" t="s">
        <v>533</v>
      </c>
      <c r="G35" s="934" t="s">
        <v>287</v>
      </c>
      <c r="H35" s="36">
        <v>4958</v>
      </c>
      <c r="I35" s="36">
        <v>72.510000000000005</v>
      </c>
      <c r="J35" s="66">
        <f t="shared" si="38"/>
        <v>359504.58</v>
      </c>
      <c r="K35" s="61">
        <f>+'Cant. Ejec,'!K28</f>
        <v>0</v>
      </c>
      <c r="L35" s="71">
        <f t="shared" si="29"/>
        <v>0</v>
      </c>
      <c r="M35" s="1376">
        <f>+'Cant. Ejec,'!M28</f>
        <v>0</v>
      </c>
      <c r="N35" s="1377">
        <f t="shared" si="30"/>
        <v>0</v>
      </c>
      <c r="O35" s="61">
        <f t="shared" si="31"/>
        <v>0</v>
      </c>
      <c r="P35" s="896">
        <f t="shared" si="32"/>
        <v>0</v>
      </c>
      <c r="Q35" s="61">
        <f t="shared" si="33"/>
        <v>4958</v>
      </c>
      <c r="R35" s="896">
        <f t="shared" si="34"/>
        <v>359504.58</v>
      </c>
      <c r="S35" s="792">
        <f t="shared" si="35"/>
        <v>0</v>
      </c>
      <c r="T35" s="792">
        <f t="shared" si="36"/>
        <v>0</v>
      </c>
      <c r="U35" s="795">
        <f t="shared" si="37"/>
        <v>1</v>
      </c>
      <c r="V35" s="900">
        <f t="shared" si="4"/>
        <v>0</v>
      </c>
      <c r="W35" s="306" t="str">
        <f t="shared" si="0"/>
        <v>ok</v>
      </c>
      <c r="X35" s="19">
        <v>31321.13</v>
      </c>
      <c r="Y35" s="753">
        <f t="shared" si="28"/>
        <v>26363.13</v>
      </c>
    </row>
    <row r="36" spans="1:25" ht="15" customHeight="1">
      <c r="A36" s="888">
        <f t="shared" si="1"/>
        <v>0</v>
      </c>
      <c r="B36" s="889">
        <f t="shared" si="2"/>
        <v>0</v>
      </c>
      <c r="C36" s="891">
        <f t="shared" si="3"/>
        <v>1</v>
      </c>
      <c r="D36" s="892" t="str">
        <f t="shared" si="39"/>
        <v>4. OBRAS DE DRENAJE</v>
      </c>
      <c r="E36" s="937">
        <v>21</v>
      </c>
      <c r="F36" s="768" t="s">
        <v>534</v>
      </c>
      <c r="G36" s="934" t="s">
        <v>287</v>
      </c>
      <c r="H36" s="36">
        <v>1786</v>
      </c>
      <c r="I36" s="36">
        <v>2112.84</v>
      </c>
      <c r="J36" s="66">
        <f t="shared" si="38"/>
        <v>3773532.24</v>
      </c>
      <c r="K36" s="61">
        <f>+'Cant. Ejec,'!K29</f>
        <v>0</v>
      </c>
      <c r="L36" s="71">
        <f t="shared" si="29"/>
        <v>0</v>
      </c>
      <c r="M36" s="1376">
        <f>+'Cant. Ejec,'!M29</f>
        <v>0</v>
      </c>
      <c r="N36" s="1377">
        <f t="shared" si="30"/>
        <v>0</v>
      </c>
      <c r="O36" s="61">
        <f t="shared" si="31"/>
        <v>0</v>
      </c>
      <c r="P36" s="896">
        <f t="shared" si="32"/>
        <v>0</v>
      </c>
      <c r="Q36" s="61">
        <f t="shared" si="33"/>
        <v>1786</v>
      </c>
      <c r="R36" s="896">
        <f t="shared" si="34"/>
        <v>3773532.24</v>
      </c>
      <c r="S36" s="792">
        <f t="shared" si="35"/>
        <v>0</v>
      </c>
      <c r="T36" s="792">
        <f t="shared" si="36"/>
        <v>0</v>
      </c>
      <c r="U36" s="795">
        <f t="shared" si="37"/>
        <v>1</v>
      </c>
      <c r="V36" s="900">
        <f t="shared" si="4"/>
        <v>0</v>
      </c>
      <c r="W36" s="306" t="str">
        <f t="shared" si="0"/>
        <v>ok</v>
      </c>
      <c r="X36" s="19">
        <v>7612</v>
      </c>
      <c r="Y36" s="753">
        <f t="shared" si="28"/>
        <v>5826</v>
      </c>
    </row>
    <row r="37" spans="1:25" ht="13.8">
      <c r="A37" s="888">
        <f t="shared" si="1"/>
        <v>0</v>
      </c>
      <c r="B37" s="889">
        <f t="shared" si="2"/>
        <v>0</v>
      </c>
      <c r="C37" s="891">
        <f t="shared" si="3"/>
        <v>1</v>
      </c>
      <c r="D37" s="892" t="str">
        <f t="shared" si="39"/>
        <v>4. OBRAS DE DRENAJE</v>
      </c>
      <c r="E37" s="937">
        <v>22</v>
      </c>
      <c r="F37" s="775" t="s">
        <v>535</v>
      </c>
      <c r="G37" s="934" t="s">
        <v>292</v>
      </c>
      <c r="H37" s="36">
        <v>224933</v>
      </c>
      <c r="I37" s="36">
        <v>17.21</v>
      </c>
      <c r="J37" s="66">
        <f t="shared" si="38"/>
        <v>3871096.93</v>
      </c>
      <c r="K37" s="61">
        <f>+'Cant. Ejec,'!K30</f>
        <v>0</v>
      </c>
      <c r="L37" s="71">
        <f t="shared" si="29"/>
        <v>0</v>
      </c>
      <c r="M37" s="1376">
        <f>+'Cant. Ejec,'!M30</f>
        <v>0</v>
      </c>
      <c r="N37" s="1377">
        <f t="shared" si="30"/>
        <v>0</v>
      </c>
      <c r="O37" s="61">
        <f t="shared" si="31"/>
        <v>0</v>
      </c>
      <c r="P37" s="896">
        <f t="shared" si="32"/>
        <v>0</v>
      </c>
      <c r="Q37" s="61">
        <f t="shared" si="33"/>
        <v>224933</v>
      </c>
      <c r="R37" s="896">
        <f t="shared" si="34"/>
        <v>3871096.93</v>
      </c>
      <c r="S37" s="792">
        <f t="shared" si="35"/>
        <v>0</v>
      </c>
      <c r="T37" s="792">
        <f t="shared" si="36"/>
        <v>0</v>
      </c>
      <c r="U37" s="795">
        <f t="shared" si="37"/>
        <v>1</v>
      </c>
      <c r="V37" s="900">
        <f t="shared" si="4"/>
        <v>0</v>
      </c>
      <c r="W37" s="306" t="str">
        <f t="shared" si="0"/>
        <v>ok</v>
      </c>
      <c r="X37" s="19">
        <v>164595.1</v>
      </c>
      <c r="Y37" s="753">
        <f t="shared" si="28"/>
        <v>-60337.899999999994</v>
      </c>
    </row>
    <row r="38" spans="1:25" ht="15" customHeight="1">
      <c r="A38" s="888">
        <f t="shared" si="1"/>
        <v>0</v>
      </c>
      <c r="B38" s="889">
        <f t="shared" si="2"/>
        <v>0</v>
      </c>
      <c r="C38" s="891">
        <f t="shared" si="3"/>
        <v>1</v>
      </c>
      <c r="D38" s="892" t="str">
        <f t="shared" si="39"/>
        <v>4. OBRAS DE DRENAJE</v>
      </c>
      <c r="E38" s="937">
        <v>23</v>
      </c>
      <c r="F38" s="768" t="s">
        <v>536</v>
      </c>
      <c r="G38" s="934" t="s">
        <v>287</v>
      </c>
      <c r="H38" s="36">
        <v>20</v>
      </c>
      <c r="I38" s="38">
        <v>1634.17</v>
      </c>
      <c r="J38" s="66">
        <f t="shared" si="38"/>
        <v>32683.4</v>
      </c>
      <c r="K38" s="61">
        <f>+'Cant. Ejec,'!K31</f>
        <v>0</v>
      </c>
      <c r="L38" s="71">
        <f t="shared" si="29"/>
        <v>0</v>
      </c>
      <c r="M38" s="1376">
        <f>+'Cant. Ejec,'!M31</f>
        <v>0</v>
      </c>
      <c r="N38" s="1377">
        <f t="shared" si="30"/>
        <v>0</v>
      </c>
      <c r="O38" s="61">
        <f t="shared" si="31"/>
        <v>0</v>
      </c>
      <c r="P38" s="896">
        <f t="shared" si="32"/>
        <v>0</v>
      </c>
      <c r="Q38" s="61">
        <f t="shared" si="33"/>
        <v>20</v>
      </c>
      <c r="R38" s="896">
        <f t="shared" si="34"/>
        <v>32683.4</v>
      </c>
      <c r="S38" s="792">
        <f t="shared" si="35"/>
        <v>0</v>
      </c>
      <c r="T38" s="792">
        <f t="shared" si="36"/>
        <v>0</v>
      </c>
      <c r="U38" s="795">
        <f t="shared" si="37"/>
        <v>1</v>
      </c>
      <c r="V38" s="900">
        <f t="shared" si="4"/>
        <v>0</v>
      </c>
      <c r="W38" s="306" t="str">
        <f t="shared" si="0"/>
        <v>ok</v>
      </c>
      <c r="X38" s="19">
        <v>164595.1</v>
      </c>
      <c r="Y38" s="753">
        <f t="shared" si="28"/>
        <v>164575.1</v>
      </c>
    </row>
    <row r="39" spans="1:25" ht="15" customHeight="1">
      <c r="A39" s="888">
        <f t="shared" si="1"/>
        <v>0</v>
      </c>
      <c r="B39" s="889">
        <f t="shared" si="2"/>
        <v>0</v>
      </c>
      <c r="C39" s="891">
        <f t="shared" si="3"/>
        <v>1</v>
      </c>
      <c r="D39" s="892" t="str">
        <f t="shared" si="39"/>
        <v>4. OBRAS DE DRENAJE</v>
      </c>
      <c r="E39" s="937">
        <v>24</v>
      </c>
      <c r="F39" s="768" t="s">
        <v>537</v>
      </c>
      <c r="G39" s="934" t="s">
        <v>287</v>
      </c>
      <c r="H39" s="36">
        <v>116</v>
      </c>
      <c r="I39" s="38">
        <v>1729.01</v>
      </c>
      <c r="J39" s="66">
        <f t="shared" si="38"/>
        <v>200565.16</v>
      </c>
      <c r="K39" s="61">
        <f>+'Cant. Ejec,'!K32</f>
        <v>0</v>
      </c>
      <c r="L39" s="71">
        <f t="shared" si="29"/>
        <v>0</v>
      </c>
      <c r="M39" s="1376">
        <f>+'Cant. Ejec,'!M32</f>
        <v>0</v>
      </c>
      <c r="N39" s="1377">
        <f t="shared" si="30"/>
        <v>0</v>
      </c>
      <c r="O39" s="61">
        <f t="shared" ref="O39:O72" si="40">K39+M39</f>
        <v>0</v>
      </c>
      <c r="P39" s="896">
        <f t="shared" ref="P39:P72" si="41">L39+N39</f>
        <v>0</v>
      </c>
      <c r="Q39" s="61">
        <f t="shared" si="33"/>
        <v>116</v>
      </c>
      <c r="R39" s="896">
        <f t="shared" si="34"/>
        <v>200565.16</v>
      </c>
      <c r="S39" s="792">
        <f t="shared" si="35"/>
        <v>0</v>
      </c>
      <c r="T39" s="792">
        <f t="shared" si="36"/>
        <v>0</v>
      </c>
      <c r="U39" s="795">
        <f t="shared" si="37"/>
        <v>1</v>
      </c>
      <c r="V39" s="900">
        <f t="shared" si="4"/>
        <v>0</v>
      </c>
      <c r="W39" s="306" t="str">
        <f t="shared" si="0"/>
        <v>ok</v>
      </c>
      <c r="X39" s="19">
        <v>6090</v>
      </c>
      <c r="Y39" s="753">
        <f t="shared" si="28"/>
        <v>5974</v>
      </c>
    </row>
    <row r="40" spans="1:25" ht="15" customHeight="1">
      <c r="A40" s="888">
        <f t="shared" si="1"/>
        <v>0</v>
      </c>
      <c r="B40" s="889">
        <f t="shared" si="2"/>
        <v>0</v>
      </c>
      <c r="C40" s="891">
        <f t="shared" si="3"/>
        <v>1</v>
      </c>
      <c r="D40" s="892" t="str">
        <f t="shared" si="39"/>
        <v>4. OBRAS DE DRENAJE</v>
      </c>
      <c r="E40" s="937">
        <v>25</v>
      </c>
      <c r="F40" s="768" t="s">
        <v>538</v>
      </c>
      <c r="G40" s="934" t="s">
        <v>290</v>
      </c>
      <c r="H40" s="36">
        <v>63</v>
      </c>
      <c r="I40" s="38">
        <v>2244.69</v>
      </c>
      <c r="J40" s="66">
        <f t="shared" si="38"/>
        <v>141415.47</v>
      </c>
      <c r="K40" s="61">
        <f>+'Cant. Ejec,'!K33</f>
        <v>0</v>
      </c>
      <c r="L40" s="71">
        <f t="shared" si="29"/>
        <v>0</v>
      </c>
      <c r="M40" s="1376">
        <f>+'Cant. Ejec,'!M33</f>
        <v>0</v>
      </c>
      <c r="N40" s="1377">
        <f t="shared" si="30"/>
        <v>0</v>
      </c>
      <c r="O40" s="61">
        <f t="shared" si="40"/>
        <v>0</v>
      </c>
      <c r="P40" s="896">
        <f t="shared" si="41"/>
        <v>0</v>
      </c>
      <c r="Q40" s="61">
        <f t="shared" si="33"/>
        <v>63</v>
      </c>
      <c r="R40" s="896">
        <f t="shared" si="34"/>
        <v>141415.47</v>
      </c>
      <c r="S40" s="792">
        <f t="shared" si="35"/>
        <v>0</v>
      </c>
      <c r="T40" s="792">
        <f t="shared" si="36"/>
        <v>0</v>
      </c>
      <c r="U40" s="795">
        <f t="shared" si="37"/>
        <v>1</v>
      </c>
      <c r="V40" s="900">
        <f t="shared" si="4"/>
        <v>0</v>
      </c>
      <c r="W40" s="306" t="str">
        <f t="shared" si="0"/>
        <v>ok</v>
      </c>
      <c r="X40" s="19">
        <v>181054.6</v>
      </c>
      <c r="Y40" s="753">
        <f t="shared" si="28"/>
        <v>180991.6</v>
      </c>
    </row>
    <row r="41" spans="1:25" ht="15" customHeight="1">
      <c r="A41" s="888">
        <f t="shared" si="1"/>
        <v>0</v>
      </c>
      <c r="B41" s="889">
        <f t="shared" si="2"/>
        <v>0</v>
      </c>
      <c r="C41" s="891">
        <f t="shared" si="3"/>
        <v>1</v>
      </c>
      <c r="D41" s="892" t="str">
        <f t="shared" si="39"/>
        <v>4. OBRAS DE DRENAJE</v>
      </c>
      <c r="E41" s="937">
        <v>26</v>
      </c>
      <c r="F41" s="775" t="s">
        <v>539</v>
      </c>
      <c r="G41" s="934" t="s">
        <v>287</v>
      </c>
      <c r="H41" s="36">
        <v>52</v>
      </c>
      <c r="I41" s="36">
        <v>1393.68</v>
      </c>
      <c r="J41" s="66">
        <f t="shared" si="38"/>
        <v>72471.360000000001</v>
      </c>
      <c r="K41" s="61">
        <f>+'Cant. Ejec,'!K34</f>
        <v>0</v>
      </c>
      <c r="L41" s="71">
        <f t="shared" si="29"/>
        <v>0</v>
      </c>
      <c r="M41" s="1376">
        <f>+'Cant. Ejec,'!M34</f>
        <v>0</v>
      </c>
      <c r="N41" s="1377">
        <f t="shared" si="30"/>
        <v>0</v>
      </c>
      <c r="O41" s="61">
        <f t="shared" si="40"/>
        <v>0</v>
      </c>
      <c r="P41" s="896">
        <f t="shared" si="41"/>
        <v>0</v>
      </c>
      <c r="Q41" s="61">
        <f t="shared" si="33"/>
        <v>52</v>
      </c>
      <c r="R41" s="896">
        <f t="shared" si="34"/>
        <v>72471.360000000001</v>
      </c>
      <c r="S41" s="792">
        <f t="shared" si="35"/>
        <v>0</v>
      </c>
      <c r="T41" s="792">
        <f t="shared" si="36"/>
        <v>0</v>
      </c>
      <c r="U41" s="795">
        <f t="shared" si="37"/>
        <v>1</v>
      </c>
      <c r="V41" s="900">
        <f t="shared" si="4"/>
        <v>0</v>
      </c>
      <c r="W41" s="306" t="str">
        <f t="shared" si="0"/>
        <v>ok</v>
      </c>
      <c r="X41" s="19">
        <v>65838.05</v>
      </c>
      <c r="Y41" s="753">
        <f t="shared" si="28"/>
        <v>65786.05</v>
      </c>
    </row>
    <row r="42" spans="1:25" ht="15" customHeight="1">
      <c r="A42" s="888">
        <f t="shared" si="1"/>
        <v>0</v>
      </c>
      <c r="B42" s="889">
        <f t="shared" si="2"/>
        <v>0</v>
      </c>
      <c r="C42" s="891">
        <f t="shared" si="3"/>
        <v>1</v>
      </c>
      <c r="D42" s="892" t="str">
        <f t="shared" si="39"/>
        <v>4. OBRAS DE DRENAJE</v>
      </c>
      <c r="E42" s="937">
        <v>27</v>
      </c>
      <c r="F42" s="768" t="s">
        <v>540</v>
      </c>
      <c r="G42" s="934" t="s">
        <v>287</v>
      </c>
      <c r="H42" s="36">
        <v>959</v>
      </c>
      <c r="I42" s="36">
        <v>1483.78</v>
      </c>
      <c r="J42" s="66">
        <f t="shared" si="38"/>
        <v>1422945.02</v>
      </c>
      <c r="K42" s="61">
        <f>+'Cant. Ejec,'!K35</f>
        <v>0</v>
      </c>
      <c r="L42" s="71">
        <f t="shared" si="29"/>
        <v>0</v>
      </c>
      <c r="M42" s="1376">
        <f>+'Cant. Ejec,'!M35</f>
        <v>0</v>
      </c>
      <c r="N42" s="1377">
        <f t="shared" si="30"/>
        <v>0</v>
      </c>
      <c r="O42" s="61">
        <f t="shared" si="40"/>
        <v>0</v>
      </c>
      <c r="P42" s="896">
        <f t="shared" si="41"/>
        <v>0</v>
      </c>
      <c r="Q42" s="61">
        <f t="shared" si="33"/>
        <v>959</v>
      </c>
      <c r="R42" s="896">
        <f t="shared" si="34"/>
        <v>1422945.02</v>
      </c>
      <c r="S42" s="792">
        <f t="shared" si="35"/>
        <v>0</v>
      </c>
      <c r="T42" s="792">
        <f t="shared" si="36"/>
        <v>0</v>
      </c>
      <c r="U42" s="795">
        <f t="shared" si="37"/>
        <v>1</v>
      </c>
      <c r="V42" s="900">
        <f t="shared" si="4"/>
        <v>0</v>
      </c>
      <c r="W42" s="306" t="str">
        <f t="shared" ref="W42:W73" si="42">IF((P42+R42)=J42,"ok","MAL")</f>
        <v>ok</v>
      </c>
      <c r="Y42" s="753">
        <f t="shared" si="28"/>
        <v>-959</v>
      </c>
    </row>
    <row r="43" spans="1:25" ht="15" customHeight="1">
      <c r="A43" s="888">
        <f t="shared" si="1"/>
        <v>0</v>
      </c>
      <c r="B43" s="889">
        <f t="shared" si="2"/>
        <v>0</v>
      </c>
      <c r="C43" s="891">
        <f t="shared" si="3"/>
        <v>1</v>
      </c>
      <c r="D43" s="892" t="str">
        <f t="shared" si="39"/>
        <v>4. OBRAS DE DRENAJE</v>
      </c>
      <c r="E43" s="937">
        <v>28</v>
      </c>
      <c r="F43" s="768" t="s">
        <v>541</v>
      </c>
      <c r="G43" s="934" t="s">
        <v>287</v>
      </c>
      <c r="H43" s="36">
        <v>1578</v>
      </c>
      <c r="I43" s="36">
        <v>1483.78</v>
      </c>
      <c r="J43" s="66">
        <f t="shared" si="38"/>
        <v>2341404.84</v>
      </c>
      <c r="K43" s="61">
        <f>+'Cant. Ejec,'!K36</f>
        <v>0</v>
      </c>
      <c r="L43" s="71">
        <f t="shared" si="29"/>
        <v>0</v>
      </c>
      <c r="M43" s="1376">
        <f>+'Cant. Ejec,'!M36</f>
        <v>0</v>
      </c>
      <c r="N43" s="1377">
        <f t="shared" si="30"/>
        <v>0</v>
      </c>
      <c r="O43" s="61">
        <f t="shared" si="40"/>
        <v>0</v>
      </c>
      <c r="P43" s="896">
        <f t="shared" si="41"/>
        <v>0</v>
      </c>
      <c r="Q43" s="61">
        <f t="shared" si="33"/>
        <v>1578</v>
      </c>
      <c r="R43" s="896">
        <f t="shared" si="34"/>
        <v>2341404.84</v>
      </c>
      <c r="S43" s="792">
        <f t="shared" si="35"/>
        <v>0</v>
      </c>
      <c r="T43" s="792">
        <f t="shared" si="36"/>
        <v>0</v>
      </c>
      <c r="U43" s="795">
        <f t="shared" si="37"/>
        <v>1</v>
      </c>
      <c r="V43" s="900">
        <f t="shared" si="4"/>
        <v>0</v>
      </c>
      <c r="W43" s="306" t="str">
        <f t="shared" si="42"/>
        <v>ok</v>
      </c>
      <c r="Y43" s="753">
        <f t="shared" si="28"/>
        <v>-1578</v>
      </c>
    </row>
    <row r="44" spans="1:25" ht="15" customHeight="1">
      <c r="A44" s="888">
        <f t="shared" si="1"/>
        <v>0</v>
      </c>
      <c r="B44" s="889">
        <f t="shared" si="2"/>
        <v>0</v>
      </c>
      <c r="C44" s="891">
        <f t="shared" si="3"/>
        <v>1</v>
      </c>
      <c r="D44" s="892" t="str">
        <f t="shared" si="39"/>
        <v>4. OBRAS DE DRENAJE</v>
      </c>
      <c r="E44" s="937">
        <v>29</v>
      </c>
      <c r="F44" s="775" t="s">
        <v>542</v>
      </c>
      <c r="G44" s="934" t="s">
        <v>287</v>
      </c>
      <c r="H44" s="36">
        <v>182</v>
      </c>
      <c r="I44" s="36">
        <v>1483.78</v>
      </c>
      <c r="J44" s="66">
        <f t="shared" si="38"/>
        <v>270047.96000000002</v>
      </c>
      <c r="K44" s="61">
        <f>+'Cant. Ejec,'!K37</f>
        <v>0</v>
      </c>
      <c r="L44" s="71">
        <f t="shared" si="29"/>
        <v>0</v>
      </c>
      <c r="M44" s="1376">
        <f>+'Cant. Ejec,'!M37</f>
        <v>0</v>
      </c>
      <c r="N44" s="1377">
        <f t="shared" si="30"/>
        <v>0</v>
      </c>
      <c r="O44" s="61">
        <f t="shared" si="40"/>
        <v>0</v>
      </c>
      <c r="P44" s="896">
        <f t="shared" si="41"/>
        <v>0</v>
      </c>
      <c r="Q44" s="61">
        <f t="shared" si="33"/>
        <v>182</v>
      </c>
      <c r="R44" s="896">
        <f t="shared" si="34"/>
        <v>270047.96000000002</v>
      </c>
      <c r="S44" s="792">
        <f t="shared" si="35"/>
        <v>0</v>
      </c>
      <c r="T44" s="792">
        <f t="shared" si="36"/>
        <v>0</v>
      </c>
      <c r="U44" s="795">
        <f t="shared" si="37"/>
        <v>1</v>
      </c>
      <c r="V44" s="900">
        <f t="shared" si="4"/>
        <v>0</v>
      </c>
      <c r="W44" s="306" t="str">
        <f t="shared" si="42"/>
        <v>ok</v>
      </c>
      <c r="X44" s="19">
        <v>0</v>
      </c>
      <c r="Y44" s="753">
        <f t="shared" si="28"/>
        <v>-182</v>
      </c>
    </row>
    <row r="45" spans="1:25" ht="15" customHeight="1">
      <c r="A45" s="888">
        <f t="shared" si="1"/>
        <v>0</v>
      </c>
      <c r="B45" s="889">
        <f t="shared" si="2"/>
        <v>0</v>
      </c>
      <c r="C45" s="891">
        <f t="shared" si="3"/>
        <v>1</v>
      </c>
      <c r="D45" s="892" t="str">
        <f t="shared" si="39"/>
        <v>4. OBRAS DE DRENAJE</v>
      </c>
      <c r="E45" s="937">
        <v>30</v>
      </c>
      <c r="F45" s="768" t="s">
        <v>543</v>
      </c>
      <c r="G45" s="934" t="s">
        <v>287</v>
      </c>
      <c r="H45" s="36">
        <v>324</v>
      </c>
      <c r="I45" s="38">
        <v>1483.78</v>
      </c>
      <c r="J45" s="66">
        <f t="shared" si="38"/>
        <v>480744.72</v>
      </c>
      <c r="K45" s="61">
        <f>+'Cant. Ejec,'!K38</f>
        <v>0</v>
      </c>
      <c r="L45" s="71">
        <f t="shared" si="29"/>
        <v>0</v>
      </c>
      <c r="M45" s="1376">
        <f>+'Cant. Ejec,'!M38</f>
        <v>0</v>
      </c>
      <c r="N45" s="1377">
        <f t="shared" si="30"/>
        <v>0</v>
      </c>
      <c r="O45" s="61">
        <f t="shared" si="40"/>
        <v>0</v>
      </c>
      <c r="P45" s="896">
        <f t="shared" si="41"/>
        <v>0</v>
      </c>
      <c r="Q45" s="61">
        <f t="shared" si="33"/>
        <v>324</v>
      </c>
      <c r="R45" s="896">
        <f t="shared" si="34"/>
        <v>480744.72</v>
      </c>
      <c r="S45" s="792">
        <f t="shared" si="35"/>
        <v>0</v>
      </c>
      <c r="T45" s="792">
        <f t="shared" si="36"/>
        <v>0</v>
      </c>
      <c r="U45" s="795">
        <f t="shared" si="37"/>
        <v>1</v>
      </c>
      <c r="V45" s="900">
        <f t="shared" si="4"/>
        <v>0</v>
      </c>
      <c r="W45" s="306" t="str">
        <f t="shared" si="42"/>
        <v>ok</v>
      </c>
      <c r="X45" s="19">
        <v>235</v>
      </c>
      <c r="Y45" s="753">
        <f t="shared" si="28"/>
        <v>-89</v>
      </c>
    </row>
    <row r="46" spans="1:25" ht="15" customHeight="1">
      <c r="A46" s="888">
        <f t="shared" si="1"/>
        <v>0</v>
      </c>
      <c r="B46" s="889">
        <f t="shared" si="2"/>
        <v>0</v>
      </c>
      <c r="C46" s="891">
        <f t="shared" si="3"/>
        <v>1</v>
      </c>
      <c r="D46" s="892" t="str">
        <f t="shared" si="39"/>
        <v>4. OBRAS DE DRENAJE</v>
      </c>
      <c r="E46" s="937">
        <v>31</v>
      </c>
      <c r="F46" s="768" t="s">
        <v>544</v>
      </c>
      <c r="G46" s="934" t="s">
        <v>287</v>
      </c>
      <c r="H46" s="36">
        <v>915</v>
      </c>
      <c r="I46" s="36">
        <v>1483.78</v>
      </c>
      <c r="J46" s="66">
        <f t="shared" si="38"/>
        <v>1357658.7</v>
      </c>
      <c r="K46" s="61">
        <f>+'Cant. Ejec,'!K39</f>
        <v>0</v>
      </c>
      <c r="L46" s="71">
        <f t="shared" si="29"/>
        <v>0</v>
      </c>
      <c r="M46" s="1376">
        <f>+'Cant. Ejec,'!M39</f>
        <v>0</v>
      </c>
      <c r="N46" s="1377">
        <f t="shared" si="30"/>
        <v>0</v>
      </c>
      <c r="O46" s="61">
        <f t="shared" si="40"/>
        <v>0</v>
      </c>
      <c r="P46" s="896">
        <f t="shared" si="41"/>
        <v>0</v>
      </c>
      <c r="Q46" s="61">
        <f t="shared" si="33"/>
        <v>915</v>
      </c>
      <c r="R46" s="896">
        <f t="shared" si="34"/>
        <v>1357658.7</v>
      </c>
      <c r="S46" s="792">
        <f t="shared" si="35"/>
        <v>0</v>
      </c>
      <c r="T46" s="792">
        <f t="shared" si="36"/>
        <v>0</v>
      </c>
      <c r="U46" s="795">
        <f t="shared" si="37"/>
        <v>1</v>
      </c>
      <c r="V46" s="900">
        <f t="shared" si="4"/>
        <v>0</v>
      </c>
      <c r="W46" s="306" t="str">
        <f t="shared" si="42"/>
        <v>ok</v>
      </c>
      <c r="X46" s="19">
        <v>470</v>
      </c>
      <c r="Y46" s="753">
        <f t="shared" si="28"/>
        <v>-445</v>
      </c>
    </row>
    <row r="47" spans="1:25" ht="15" customHeight="1">
      <c r="A47" s="888">
        <f t="shared" si="1"/>
        <v>0</v>
      </c>
      <c r="B47" s="889">
        <f t="shared" si="2"/>
        <v>0</v>
      </c>
      <c r="C47" s="891">
        <f t="shared" si="3"/>
        <v>1</v>
      </c>
      <c r="D47" s="892" t="str">
        <f t="shared" si="39"/>
        <v>4. OBRAS DE DRENAJE</v>
      </c>
      <c r="E47" s="937">
        <v>32</v>
      </c>
      <c r="F47" s="768" t="s">
        <v>545</v>
      </c>
      <c r="G47" s="934" t="s">
        <v>287</v>
      </c>
      <c r="H47" s="36">
        <v>173</v>
      </c>
      <c r="I47" s="36">
        <v>1483.78</v>
      </c>
      <c r="J47" s="66">
        <f t="shared" si="38"/>
        <v>256693.94</v>
      </c>
      <c r="K47" s="61">
        <f>+'Cant. Ejec,'!K40</f>
        <v>0</v>
      </c>
      <c r="L47" s="71">
        <f t="shared" si="29"/>
        <v>0</v>
      </c>
      <c r="M47" s="1376">
        <f>+'Cant. Ejec,'!M40</f>
        <v>0</v>
      </c>
      <c r="N47" s="1377">
        <f t="shared" si="30"/>
        <v>0</v>
      </c>
      <c r="O47" s="61">
        <f t="shared" si="40"/>
        <v>0</v>
      </c>
      <c r="P47" s="896">
        <f t="shared" si="41"/>
        <v>0</v>
      </c>
      <c r="Q47" s="61">
        <f t="shared" si="33"/>
        <v>173</v>
      </c>
      <c r="R47" s="896">
        <f t="shared" si="34"/>
        <v>256693.94</v>
      </c>
      <c r="S47" s="792">
        <f t="shared" si="35"/>
        <v>0</v>
      </c>
      <c r="T47" s="792">
        <f t="shared" si="36"/>
        <v>0</v>
      </c>
      <c r="U47" s="795">
        <f t="shared" si="37"/>
        <v>1</v>
      </c>
      <c r="V47" s="900">
        <f t="shared" si="4"/>
        <v>0</v>
      </c>
      <c r="W47" s="306" t="str">
        <f t="shared" si="42"/>
        <v>ok</v>
      </c>
      <c r="Y47" s="753"/>
    </row>
    <row r="48" spans="1:25" ht="15" customHeight="1">
      <c r="A48" s="888">
        <f t="shared" si="1"/>
        <v>0</v>
      </c>
      <c r="B48" s="889">
        <f t="shared" si="2"/>
        <v>0</v>
      </c>
      <c r="C48" s="891">
        <f t="shared" si="3"/>
        <v>1</v>
      </c>
      <c r="D48" s="892" t="str">
        <f t="shared" si="39"/>
        <v>4. OBRAS DE DRENAJE</v>
      </c>
      <c r="E48" s="937">
        <v>33</v>
      </c>
      <c r="F48" s="768" t="s">
        <v>546</v>
      </c>
      <c r="G48" s="934" t="s">
        <v>290</v>
      </c>
      <c r="H48" s="36">
        <v>1320</v>
      </c>
      <c r="I48" s="36">
        <v>298.16000000000003</v>
      </c>
      <c r="J48" s="66">
        <f t="shared" si="38"/>
        <v>393571.2</v>
      </c>
      <c r="K48" s="61">
        <f>+'Cant. Ejec,'!K41</f>
        <v>0</v>
      </c>
      <c r="L48" s="71">
        <f t="shared" si="29"/>
        <v>0</v>
      </c>
      <c r="M48" s="1376">
        <f>+'Cant. Ejec,'!M41</f>
        <v>0</v>
      </c>
      <c r="N48" s="1377">
        <f t="shared" si="30"/>
        <v>0</v>
      </c>
      <c r="O48" s="61">
        <f t="shared" si="40"/>
        <v>0</v>
      </c>
      <c r="P48" s="896">
        <f t="shared" si="41"/>
        <v>0</v>
      </c>
      <c r="Q48" s="61">
        <f t="shared" si="33"/>
        <v>1320</v>
      </c>
      <c r="R48" s="896">
        <f t="shared" si="34"/>
        <v>393571.2</v>
      </c>
      <c r="S48" s="792">
        <f t="shared" si="35"/>
        <v>0</v>
      </c>
      <c r="T48" s="792">
        <f t="shared" si="36"/>
        <v>0</v>
      </c>
      <c r="U48" s="795">
        <f t="shared" si="37"/>
        <v>1</v>
      </c>
      <c r="V48" s="900">
        <f t="shared" si="4"/>
        <v>0</v>
      </c>
      <c r="W48" s="306" t="str">
        <f t="shared" si="42"/>
        <v>ok</v>
      </c>
      <c r="X48" s="19">
        <v>639</v>
      </c>
      <c r="Y48" s="753">
        <f t="shared" si="28"/>
        <v>-681</v>
      </c>
    </row>
    <row r="49" spans="1:25" ht="15" customHeight="1">
      <c r="A49" s="888">
        <f t="shared" si="1"/>
        <v>0</v>
      </c>
      <c r="B49" s="889">
        <f t="shared" si="2"/>
        <v>0</v>
      </c>
      <c r="C49" s="891">
        <f t="shared" si="3"/>
        <v>1</v>
      </c>
      <c r="D49" s="892" t="str">
        <f t="shared" si="39"/>
        <v>4. OBRAS DE DRENAJE</v>
      </c>
      <c r="E49" s="937">
        <v>34</v>
      </c>
      <c r="F49" s="768" t="s">
        <v>547</v>
      </c>
      <c r="G49" s="934" t="s">
        <v>290</v>
      </c>
      <c r="H49" s="36">
        <v>14</v>
      </c>
      <c r="I49" s="36">
        <v>1943.4</v>
      </c>
      <c r="J49" s="66">
        <f t="shared" si="38"/>
        <v>27207.599999999999</v>
      </c>
      <c r="K49" s="61">
        <f>+'Cant. Ejec,'!K42</f>
        <v>0</v>
      </c>
      <c r="L49" s="71">
        <f t="shared" si="29"/>
        <v>0</v>
      </c>
      <c r="M49" s="1376">
        <f>+'Cant. Ejec,'!M42</f>
        <v>0</v>
      </c>
      <c r="N49" s="1377">
        <f t="shared" si="30"/>
        <v>0</v>
      </c>
      <c r="O49" s="61">
        <f t="shared" si="40"/>
        <v>0</v>
      </c>
      <c r="P49" s="896">
        <f t="shared" si="41"/>
        <v>0</v>
      </c>
      <c r="Q49" s="61">
        <f t="shared" si="33"/>
        <v>14</v>
      </c>
      <c r="R49" s="896">
        <f t="shared" si="34"/>
        <v>27207.599999999999</v>
      </c>
      <c r="S49" s="792">
        <f t="shared" si="35"/>
        <v>0</v>
      </c>
      <c r="T49" s="792">
        <f t="shared" si="36"/>
        <v>0</v>
      </c>
      <c r="U49" s="795">
        <f t="shared" si="37"/>
        <v>1</v>
      </c>
      <c r="V49" s="900">
        <f t="shared" si="4"/>
        <v>0</v>
      </c>
      <c r="W49" s="306" t="str">
        <f t="shared" si="42"/>
        <v>ok</v>
      </c>
      <c r="X49" s="19">
        <v>67223.95</v>
      </c>
      <c r="Y49" s="753">
        <f t="shared" si="28"/>
        <v>67209.95</v>
      </c>
    </row>
    <row r="50" spans="1:25" ht="13.8">
      <c r="A50" s="888">
        <f t="shared" si="1"/>
        <v>0</v>
      </c>
      <c r="B50" s="889">
        <f t="shared" si="2"/>
        <v>0</v>
      </c>
      <c r="C50" s="891">
        <f t="shared" si="3"/>
        <v>1</v>
      </c>
      <c r="D50" s="892" t="str">
        <f t="shared" si="39"/>
        <v>4. OBRAS DE DRENAJE</v>
      </c>
      <c r="E50" s="937">
        <v>35</v>
      </c>
      <c r="F50" s="768" t="s">
        <v>548</v>
      </c>
      <c r="G50" s="934" t="s">
        <v>287</v>
      </c>
      <c r="H50" s="36">
        <v>8800</v>
      </c>
      <c r="I50" s="36">
        <v>34.61</v>
      </c>
      <c r="J50" s="66">
        <f t="shared" si="38"/>
        <v>304568</v>
      </c>
      <c r="K50" s="61">
        <f>+'Cant. Ejec,'!K43</f>
        <v>0</v>
      </c>
      <c r="L50" s="71">
        <f t="shared" si="29"/>
        <v>0</v>
      </c>
      <c r="M50" s="1376">
        <f>+'Cant. Ejec,'!M43</f>
        <v>0</v>
      </c>
      <c r="N50" s="1377">
        <f t="shared" si="30"/>
        <v>0</v>
      </c>
      <c r="O50" s="61">
        <f t="shared" si="40"/>
        <v>0</v>
      </c>
      <c r="P50" s="896">
        <f t="shared" si="41"/>
        <v>0</v>
      </c>
      <c r="Q50" s="61">
        <f t="shared" si="33"/>
        <v>8800</v>
      </c>
      <c r="R50" s="896">
        <f t="shared" si="34"/>
        <v>304568</v>
      </c>
      <c r="S50" s="792">
        <f t="shared" si="35"/>
        <v>0</v>
      </c>
      <c r="T50" s="792">
        <f t="shared" si="36"/>
        <v>0</v>
      </c>
      <c r="U50" s="795">
        <f t="shared" si="37"/>
        <v>1</v>
      </c>
      <c r="V50" s="900">
        <f t="shared" si="4"/>
        <v>0</v>
      </c>
      <c r="W50" s="306" t="str">
        <f t="shared" si="42"/>
        <v>ok</v>
      </c>
      <c r="X50" s="19">
        <v>766.59</v>
      </c>
      <c r="Y50" s="753">
        <f t="shared" si="28"/>
        <v>-8033.41</v>
      </c>
    </row>
    <row r="51" spans="1:25" ht="13.8">
      <c r="A51" s="888">
        <f t="shared" si="1"/>
        <v>0</v>
      </c>
      <c r="B51" s="889">
        <f t="shared" si="2"/>
        <v>0</v>
      </c>
      <c r="C51" s="891">
        <f t="shared" si="3"/>
        <v>1</v>
      </c>
      <c r="D51" s="892" t="str">
        <f t="shared" si="39"/>
        <v>4. OBRAS DE DRENAJE</v>
      </c>
      <c r="E51" s="937">
        <v>36</v>
      </c>
      <c r="F51" s="768" t="s">
        <v>549</v>
      </c>
      <c r="G51" s="934" t="s">
        <v>288</v>
      </c>
      <c r="H51" s="36">
        <v>1200</v>
      </c>
      <c r="I51" s="36">
        <v>106.62</v>
      </c>
      <c r="J51" s="66">
        <f t="shared" si="38"/>
        <v>127944</v>
      </c>
      <c r="K51" s="61">
        <f>+'Cant. Ejec,'!K44</f>
        <v>0</v>
      </c>
      <c r="L51" s="71">
        <f t="shared" si="29"/>
        <v>0</v>
      </c>
      <c r="M51" s="1376">
        <f>+'Cant. Ejec,'!M44</f>
        <v>0</v>
      </c>
      <c r="N51" s="1377">
        <f t="shared" si="30"/>
        <v>0</v>
      </c>
      <c r="O51" s="61">
        <f t="shared" si="40"/>
        <v>0</v>
      </c>
      <c r="P51" s="896">
        <f t="shared" si="41"/>
        <v>0</v>
      </c>
      <c r="Q51" s="61">
        <f t="shared" si="33"/>
        <v>1200</v>
      </c>
      <c r="R51" s="896">
        <f t="shared" si="34"/>
        <v>127944</v>
      </c>
      <c r="S51" s="792">
        <f t="shared" si="35"/>
        <v>0</v>
      </c>
      <c r="T51" s="792">
        <f t="shared" si="36"/>
        <v>0</v>
      </c>
      <c r="U51" s="795">
        <f t="shared" si="37"/>
        <v>1</v>
      </c>
      <c r="V51" s="900">
        <f t="shared" si="4"/>
        <v>0</v>
      </c>
      <c r="W51" s="306" t="str">
        <f t="shared" si="42"/>
        <v>ok</v>
      </c>
      <c r="X51" s="19">
        <v>130.56</v>
      </c>
      <c r="Y51" s="753">
        <f t="shared" si="28"/>
        <v>-1069.44</v>
      </c>
    </row>
    <row r="52" spans="1:25" ht="13.8">
      <c r="A52" s="888">
        <f t="shared" si="1"/>
        <v>0</v>
      </c>
      <c r="B52" s="889">
        <f t="shared" si="2"/>
        <v>0</v>
      </c>
      <c r="C52" s="891">
        <f t="shared" si="3"/>
        <v>1</v>
      </c>
      <c r="D52" s="892" t="str">
        <f t="shared" si="39"/>
        <v>4. OBRAS DE DRENAJE</v>
      </c>
      <c r="E52" s="937">
        <v>37</v>
      </c>
      <c r="F52" s="768" t="s">
        <v>550</v>
      </c>
      <c r="G52" s="934" t="s">
        <v>287</v>
      </c>
      <c r="H52" s="36">
        <v>44</v>
      </c>
      <c r="I52" s="36">
        <v>761.21</v>
      </c>
      <c r="J52" s="66">
        <f t="shared" si="38"/>
        <v>33493.24</v>
      </c>
      <c r="K52" s="61">
        <f>+'Cant. Ejec,'!K45</f>
        <v>0</v>
      </c>
      <c r="L52" s="71">
        <f t="shared" si="29"/>
        <v>0</v>
      </c>
      <c r="M52" s="1376">
        <f>+'Cant. Ejec,'!M45</f>
        <v>0</v>
      </c>
      <c r="N52" s="1377">
        <f t="shared" si="30"/>
        <v>0</v>
      </c>
      <c r="O52" s="61">
        <f t="shared" si="40"/>
        <v>0</v>
      </c>
      <c r="P52" s="896">
        <f t="shared" si="41"/>
        <v>0</v>
      </c>
      <c r="Q52" s="61">
        <f t="shared" si="33"/>
        <v>44</v>
      </c>
      <c r="R52" s="896">
        <f t="shared" si="34"/>
        <v>33493.24</v>
      </c>
      <c r="S52" s="792">
        <f t="shared" si="35"/>
        <v>0</v>
      </c>
      <c r="T52" s="792">
        <f t="shared" si="36"/>
        <v>0</v>
      </c>
      <c r="U52" s="795">
        <f t="shared" si="37"/>
        <v>1</v>
      </c>
      <c r="V52" s="900">
        <f t="shared" si="4"/>
        <v>0</v>
      </c>
      <c r="W52" s="306" t="str">
        <f t="shared" si="42"/>
        <v>ok</v>
      </c>
      <c r="X52" s="19">
        <v>6503.2</v>
      </c>
      <c r="Y52" s="753">
        <f t="shared" si="28"/>
        <v>6459.2</v>
      </c>
    </row>
    <row r="53" spans="1:25" ht="13.8">
      <c r="A53" s="888">
        <f t="shared" si="1"/>
        <v>0</v>
      </c>
      <c r="B53" s="889">
        <f t="shared" si="2"/>
        <v>0</v>
      </c>
      <c r="C53" s="891">
        <f t="shared" si="3"/>
        <v>1</v>
      </c>
      <c r="D53" s="892" t="str">
        <f t="shared" si="39"/>
        <v>4. OBRAS DE DRENAJE</v>
      </c>
      <c r="E53" s="937">
        <v>38</v>
      </c>
      <c r="F53" s="768" t="s">
        <v>551</v>
      </c>
      <c r="G53" s="934" t="s">
        <v>287</v>
      </c>
      <c r="H53" s="36">
        <v>8</v>
      </c>
      <c r="I53" s="36">
        <v>941.82</v>
      </c>
      <c r="J53" s="66">
        <f t="shared" si="38"/>
        <v>7534.56</v>
      </c>
      <c r="K53" s="61">
        <f>+'Cant. Ejec,'!K46</f>
        <v>0</v>
      </c>
      <c r="L53" s="71">
        <f t="shared" si="29"/>
        <v>0</v>
      </c>
      <c r="M53" s="1376">
        <f>+'Cant. Ejec,'!M46</f>
        <v>0</v>
      </c>
      <c r="N53" s="1377">
        <f t="shared" si="30"/>
        <v>0</v>
      </c>
      <c r="O53" s="61">
        <f t="shared" si="40"/>
        <v>0</v>
      </c>
      <c r="P53" s="896">
        <f t="shared" si="41"/>
        <v>0</v>
      </c>
      <c r="Q53" s="61">
        <f t="shared" si="33"/>
        <v>8</v>
      </c>
      <c r="R53" s="896">
        <f t="shared" si="34"/>
        <v>7534.56</v>
      </c>
      <c r="S53" s="792">
        <f t="shared" si="35"/>
        <v>0</v>
      </c>
      <c r="T53" s="792">
        <f t="shared" si="36"/>
        <v>0</v>
      </c>
      <c r="U53" s="795">
        <f t="shared" si="37"/>
        <v>1</v>
      </c>
      <c r="V53" s="900">
        <f t="shared" si="4"/>
        <v>0</v>
      </c>
      <c r="W53" s="306" t="str">
        <f t="shared" si="42"/>
        <v>ok</v>
      </c>
      <c r="X53" s="19">
        <v>460</v>
      </c>
      <c r="Y53" s="753">
        <f t="shared" si="28"/>
        <v>452</v>
      </c>
    </row>
    <row r="54" spans="1:25" ht="13.8">
      <c r="A54" s="888">
        <f t="shared" si="1"/>
        <v>0</v>
      </c>
      <c r="B54" s="889">
        <f t="shared" si="2"/>
        <v>0</v>
      </c>
      <c r="C54" s="891">
        <f t="shared" si="3"/>
        <v>1</v>
      </c>
      <c r="D54" s="892" t="str">
        <f t="shared" si="39"/>
        <v>4. OBRAS DE DRENAJE</v>
      </c>
      <c r="E54" s="937">
        <v>39</v>
      </c>
      <c r="F54" s="768" t="s">
        <v>552</v>
      </c>
      <c r="G54" s="934" t="s">
        <v>287</v>
      </c>
      <c r="H54" s="36">
        <v>4</v>
      </c>
      <c r="I54" s="36">
        <v>110.15</v>
      </c>
      <c r="J54" s="66">
        <f t="shared" si="38"/>
        <v>440.6</v>
      </c>
      <c r="K54" s="61">
        <f>+'Cant. Ejec,'!K47</f>
        <v>0</v>
      </c>
      <c r="L54" s="71">
        <f t="shared" si="29"/>
        <v>0</v>
      </c>
      <c r="M54" s="1376">
        <f>+'Cant. Ejec,'!M47</f>
        <v>0</v>
      </c>
      <c r="N54" s="1377">
        <f t="shared" si="30"/>
        <v>0</v>
      </c>
      <c r="O54" s="61">
        <f t="shared" si="40"/>
        <v>0</v>
      </c>
      <c r="P54" s="896">
        <f t="shared" si="41"/>
        <v>0</v>
      </c>
      <c r="Q54" s="61">
        <f t="shared" si="33"/>
        <v>4</v>
      </c>
      <c r="R54" s="896">
        <f t="shared" si="34"/>
        <v>440.6</v>
      </c>
      <c r="S54" s="792">
        <f t="shared" si="35"/>
        <v>0</v>
      </c>
      <c r="T54" s="792">
        <f t="shared" si="36"/>
        <v>0</v>
      </c>
      <c r="U54" s="795">
        <f t="shared" si="37"/>
        <v>1</v>
      </c>
      <c r="V54" s="900">
        <f t="shared" si="4"/>
        <v>0</v>
      </c>
      <c r="W54" s="306" t="str">
        <f t="shared" si="42"/>
        <v>ok</v>
      </c>
      <c r="X54" s="19">
        <v>356</v>
      </c>
      <c r="Y54" s="753">
        <f t="shared" si="28"/>
        <v>352</v>
      </c>
    </row>
    <row r="55" spans="1:25" ht="13.8">
      <c r="A55" s="888">
        <f t="shared" si="1"/>
        <v>0</v>
      </c>
      <c r="B55" s="889">
        <f t="shared" si="2"/>
        <v>0</v>
      </c>
      <c r="C55" s="891">
        <f t="shared" si="3"/>
        <v>1</v>
      </c>
      <c r="D55" s="892" t="str">
        <f t="shared" si="39"/>
        <v>4. OBRAS DE DRENAJE</v>
      </c>
      <c r="E55" s="937">
        <v>40</v>
      </c>
      <c r="F55" s="768" t="s">
        <v>553</v>
      </c>
      <c r="G55" s="934" t="s">
        <v>288</v>
      </c>
      <c r="H55" s="36">
        <v>4</v>
      </c>
      <c r="I55" s="36">
        <v>107.87</v>
      </c>
      <c r="J55" s="66">
        <f t="shared" si="38"/>
        <v>431.48</v>
      </c>
      <c r="K55" s="61">
        <f>+'Cant. Ejec,'!K48</f>
        <v>0</v>
      </c>
      <c r="L55" s="71">
        <f t="shared" si="29"/>
        <v>0</v>
      </c>
      <c r="M55" s="1376">
        <f>+'Cant. Ejec,'!M48</f>
        <v>0</v>
      </c>
      <c r="N55" s="1377">
        <f t="shared" si="30"/>
        <v>0</v>
      </c>
      <c r="O55" s="61">
        <f t="shared" si="40"/>
        <v>0</v>
      </c>
      <c r="P55" s="896">
        <f t="shared" si="41"/>
        <v>0</v>
      </c>
      <c r="Q55" s="61">
        <f t="shared" si="33"/>
        <v>4</v>
      </c>
      <c r="R55" s="896">
        <f t="shared" si="34"/>
        <v>431.48</v>
      </c>
      <c r="S55" s="792">
        <f t="shared" si="35"/>
        <v>0</v>
      </c>
      <c r="T55" s="792">
        <f t="shared" si="36"/>
        <v>0</v>
      </c>
      <c r="U55" s="795">
        <f t="shared" si="37"/>
        <v>1</v>
      </c>
      <c r="V55" s="900">
        <f t="shared" si="4"/>
        <v>0</v>
      </c>
      <c r="W55" s="306" t="str">
        <f t="shared" si="42"/>
        <v>ok</v>
      </c>
      <c r="X55" s="19">
        <v>4013.73</v>
      </c>
      <c r="Y55" s="753">
        <f t="shared" si="28"/>
        <v>4009.73</v>
      </c>
    </row>
    <row r="56" spans="1:25" ht="13.8">
      <c r="A56" s="888">
        <f t="shared" si="1"/>
        <v>0</v>
      </c>
      <c r="B56" s="889">
        <f t="shared" si="2"/>
        <v>0</v>
      </c>
      <c r="C56" s="891">
        <f t="shared" si="3"/>
        <v>1</v>
      </c>
      <c r="D56" s="892" t="str">
        <f t="shared" si="39"/>
        <v>4. OBRAS DE DRENAJE</v>
      </c>
      <c r="E56" s="939">
        <v>41</v>
      </c>
      <c r="F56" s="773" t="s">
        <v>549</v>
      </c>
      <c r="G56" s="1384" t="s">
        <v>288</v>
      </c>
      <c r="H56" s="46">
        <v>132</v>
      </c>
      <c r="I56" s="46">
        <v>127.01</v>
      </c>
      <c r="J56" s="68">
        <f t="shared" si="38"/>
        <v>16765.32</v>
      </c>
      <c r="K56" s="929">
        <f>+'Cant. Ejec,'!K49</f>
        <v>0</v>
      </c>
      <c r="L56" s="930">
        <f t="shared" si="29"/>
        <v>0</v>
      </c>
      <c r="M56" s="1376">
        <f>+'Cant. Ejec,'!M49</f>
        <v>0</v>
      </c>
      <c r="N56" s="1379">
        <f t="shared" si="30"/>
        <v>0</v>
      </c>
      <c r="O56" s="929">
        <f t="shared" si="40"/>
        <v>0</v>
      </c>
      <c r="P56" s="96">
        <f t="shared" si="41"/>
        <v>0</v>
      </c>
      <c r="Q56" s="929">
        <f t="shared" si="33"/>
        <v>132</v>
      </c>
      <c r="R56" s="96">
        <f t="shared" si="34"/>
        <v>16765.32</v>
      </c>
      <c r="S56" s="932">
        <f t="shared" si="35"/>
        <v>0</v>
      </c>
      <c r="T56" s="932">
        <f t="shared" si="36"/>
        <v>0</v>
      </c>
      <c r="U56" s="933">
        <f t="shared" si="37"/>
        <v>1</v>
      </c>
      <c r="V56" s="900">
        <f t="shared" si="4"/>
        <v>0</v>
      </c>
      <c r="W56" s="306" t="str">
        <f t="shared" si="42"/>
        <v>ok</v>
      </c>
      <c r="X56" s="19">
        <v>50</v>
      </c>
      <c r="Y56" s="753">
        <f t="shared" si="28"/>
        <v>-82</v>
      </c>
    </row>
    <row r="57" spans="1:25" ht="13.8">
      <c r="A57" s="888">
        <f t="shared" si="1"/>
        <v>0</v>
      </c>
      <c r="B57" s="889">
        <f t="shared" si="2"/>
        <v>0</v>
      </c>
      <c r="C57" s="891">
        <f t="shared" si="3"/>
        <v>1</v>
      </c>
      <c r="D57" s="892" t="str">
        <f t="shared" si="39"/>
        <v>4. OBRAS DE DRENAJE</v>
      </c>
      <c r="E57" s="937">
        <v>42</v>
      </c>
      <c r="F57" s="768" t="s">
        <v>554</v>
      </c>
      <c r="G57" s="934" t="s">
        <v>288</v>
      </c>
      <c r="H57" s="36">
        <v>27</v>
      </c>
      <c r="I57" s="38">
        <v>174.55</v>
      </c>
      <c r="J57" s="66">
        <f t="shared" si="38"/>
        <v>4712.8500000000004</v>
      </c>
      <c r="K57" s="1385">
        <f>+'Cant. Ejec,'!K50</f>
        <v>0</v>
      </c>
      <c r="L57" s="71">
        <f t="shared" si="29"/>
        <v>0</v>
      </c>
      <c r="M57" s="1376">
        <f>+'Cant. Ejec,'!M50</f>
        <v>0</v>
      </c>
      <c r="N57" s="1382">
        <f t="shared" si="30"/>
        <v>0</v>
      </c>
      <c r="O57" s="1385">
        <f t="shared" si="40"/>
        <v>0</v>
      </c>
      <c r="P57" s="37">
        <f t="shared" si="41"/>
        <v>0</v>
      </c>
      <c r="Q57" s="1385">
        <f t="shared" si="33"/>
        <v>27</v>
      </c>
      <c r="R57" s="37">
        <f t="shared" si="34"/>
        <v>4712.8500000000004</v>
      </c>
      <c r="S57" s="1386">
        <f t="shared" si="35"/>
        <v>0</v>
      </c>
      <c r="T57" s="1386">
        <f t="shared" si="36"/>
        <v>0</v>
      </c>
      <c r="U57" s="1387">
        <f t="shared" si="37"/>
        <v>1</v>
      </c>
      <c r="V57" s="900">
        <f t="shared" si="4"/>
        <v>0</v>
      </c>
      <c r="W57" s="306" t="str">
        <f t="shared" si="42"/>
        <v>ok</v>
      </c>
      <c r="X57" s="19">
        <v>1091.2</v>
      </c>
      <c r="Y57" s="753">
        <f t="shared" si="28"/>
        <v>1064.2</v>
      </c>
    </row>
    <row r="58" spans="1:25" ht="13.8">
      <c r="A58" s="888">
        <f t="shared" si="1"/>
        <v>0</v>
      </c>
      <c r="B58" s="889">
        <f t="shared" si="2"/>
        <v>0</v>
      </c>
      <c r="C58" s="891">
        <f t="shared" si="3"/>
        <v>1</v>
      </c>
      <c r="D58" s="892" t="str">
        <f t="shared" si="39"/>
        <v>4. OBRAS DE DRENAJE</v>
      </c>
      <c r="E58" s="939">
        <v>43</v>
      </c>
      <c r="F58" s="773" t="s">
        <v>555</v>
      </c>
      <c r="G58" s="1384" t="s">
        <v>287</v>
      </c>
      <c r="H58" s="46">
        <v>66</v>
      </c>
      <c r="I58" s="78">
        <v>72.510000000000005</v>
      </c>
      <c r="J58" s="68">
        <f t="shared" si="38"/>
        <v>4785.66</v>
      </c>
      <c r="K58" s="1388">
        <f>+'Cant. Ejec,'!K51</f>
        <v>0</v>
      </c>
      <c r="L58" s="930">
        <f t="shared" si="29"/>
        <v>0</v>
      </c>
      <c r="M58" s="1376">
        <f>+'Cant. Ejec,'!M51</f>
        <v>0</v>
      </c>
      <c r="N58" s="1389">
        <f t="shared" si="30"/>
        <v>0</v>
      </c>
      <c r="O58" s="1388">
        <f t="shared" si="40"/>
        <v>0</v>
      </c>
      <c r="P58" s="47">
        <f t="shared" si="41"/>
        <v>0</v>
      </c>
      <c r="Q58" s="1388">
        <f t="shared" si="33"/>
        <v>66</v>
      </c>
      <c r="R58" s="47">
        <f t="shared" si="34"/>
        <v>4785.66</v>
      </c>
      <c r="S58" s="1390">
        <f t="shared" si="35"/>
        <v>0</v>
      </c>
      <c r="T58" s="1390">
        <f t="shared" si="36"/>
        <v>0</v>
      </c>
      <c r="U58" s="1391">
        <f t="shared" si="37"/>
        <v>1</v>
      </c>
      <c r="V58" s="900">
        <f t="shared" si="4"/>
        <v>0</v>
      </c>
      <c r="W58" s="306" t="str">
        <f t="shared" si="42"/>
        <v>ok</v>
      </c>
      <c r="X58" s="19">
        <v>284.8</v>
      </c>
      <c r="Y58" s="753">
        <f t="shared" si="28"/>
        <v>218.8</v>
      </c>
    </row>
    <row r="59" spans="1:25" ht="13.8">
      <c r="A59" s="888">
        <f t="shared" si="1"/>
        <v>0</v>
      </c>
      <c r="B59" s="889">
        <f t="shared" si="2"/>
        <v>0</v>
      </c>
      <c r="C59" s="891">
        <f t="shared" si="3"/>
        <v>1</v>
      </c>
      <c r="D59" s="892" t="str">
        <f t="shared" si="39"/>
        <v>4. OBRAS DE DRENAJE</v>
      </c>
      <c r="E59" s="1247">
        <v>44</v>
      </c>
      <c r="F59" s="1248" t="s">
        <v>556</v>
      </c>
      <c r="G59" s="1249" t="s">
        <v>288</v>
      </c>
      <c r="H59" s="520">
        <v>4400</v>
      </c>
      <c r="I59" s="1250">
        <v>33.590000000000003</v>
      </c>
      <c r="J59" s="1251">
        <f t="shared" si="38"/>
        <v>147796</v>
      </c>
      <c r="K59" s="1252">
        <f>+'Cant. Ejec,'!K52</f>
        <v>0</v>
      </c>
      <c r="L59" s="1253">
        <f t="shared" si="29"/>
        <v>0</v>
      </c>
      <c r="M59" s="1376">
        <f>+'Cant. Ejec,'!M52</f>
        <v>0</v>
      </c>
      <c r="N59" s="1380">
        <f t="shared" si="30"/>
        <v>0</v>
      </c>
      <c r="O59" s="1252">
        <f t="shared" si="40"/>
        <v>0</v>
      </c>
      <c r="P59" s="978">
        <f t="shared" si="41"/>
        <v>0</v>
      </c>
      <c r="Q59" s="1252">
        <f t="shared" si="33"/>
        <v>4400</v>
      </c>
      <c r="R59" s="978">
        <f t="shared" si="34"/>
        <v>147796</v>
      </c>
      <c r="S59" s="1254">
        <f t="shared" si="35"/>
        <v>0</v>
      </c>
      <c r="T59" s="1254">
        <f t="shared" ref="T59:T73" si="43">(P59/J59)</f>
        <v>0</v>
      </c>
      <c r="U59" s="1255">
        <f t="shared" si="37"/>
        <v>1</v>
      </c>
      <c r="V59" s="900">
        <f t="shared" si="4"/>
        <v>0</v>
      </c>
      <c r="W59" s="306" t="str">
        <f t="shared" si="42"/>
        <v>ok</v>
      </c>
      <c r="X59" s="19">
        <v>446.6</v>
      </c>
      <c r="Y59" s="753">
        <f t="shared" si="28"/>
        <v>-3953.4</v>
      </c>
    </row>
    <row r="60" spans="1:25" ht="13.8">
      <c r="A60" s="888">
        <f t="shared" si="1"/>
        <v>0</v>
      </c>
      <c r="B60" s="889">
        <f t="shared" si="2"/>
        <v>0</v>
      </c>
      <c r="C60" s="891">
        <f t="shared" si="3"/>
        <v>1</v>
      </c>
      <c r="D60" s="892" t="str">
        <f t="shared" si="39"/>
        <v>4. OBRAS DE DRENAJE</v>
      </c>
      <c r="E60" s="1243">
        <v>45</v>
      </c>
      <c r="F60" s="772" t="s">
        <v>557</v>
      </c>
      <c r="G60" s="1244" t="s">
        <v>288</v>
      </c>
      <c r="H60" s="926">
        <v>6072</v>
      </c>
      <c r="I60" s="926">
        <v>33.82</v>
      </c>
      <c r="J60" s="1245">
        <f>ROUND(H60*I60,2)</f>
        <v>205355.04</v>
      </c>
      <c r="K60" s="61">
        <f>+'Cant. Ejec,'!K53</f>
        <v>0</v>
      </c>
      <c r="L60" s="1246">
        <f t="shared" si="29"/>
        <v>0</v>
      </c>
      <c r="M60" s="1376">
        <f>+'Cant. Ejec,'!M53</f>
        <v>0</v>
      </c>
      <c r="N60" s="1377">
        <f t="shared" si="30"/>
        <v>0</v>
      </c>
      <c r="O60" s="61">
        <f t="shared" si="40"/>
        <v>0</v>
      </c>
      <c r="P60" s="896">
        <f t="shared" si="41"/>
        <v>0</v>
      </c>
      <c r="Q60" s="61">
        <f t="shared" si="33"/>
        <v>6072</v>
      </c>
      <c r="R60" s="896">
        <f t="shared" si="34"/>
        <v>205355.04</v>
      </c>
      <c r="S60" s="792">
        <f t="shared" si="35"/>
        <v>0</v>
      </c>
      <c r="T60" s="792">
        <f t="shared" si="43"/>
        <v>0</v>
      </c>
      <c r="U60" s="795">
        <f t="shared" si="37"/>
        <v>1</v>
      </c>
      <c r="V60" s="900">
        <f t="shared" si="4"/>
        <v>0</v>
      </c>
      <c r="W60" s="306" t="str">
        <f t="shared" si="42"/>
        <v>ok</v>
      </c>
      <c r="X60" s="19">
        <v>426.92</v>
      </c>
      <c r="Y60" s="753">
        <f t="shared" si="28"/>
        <v>-5645.08</v>
      </c>
    </row>
    <row r="61" spans="1:25" ht="13.8">
      <c r="A61" s="888">
        <f t="shared" si="1"/>
        <v>0</v>
      </c>
      <c r="B61" s="889">
        <f t="shared" si="2"/>
        <v>0</v>
      </c>
      <c r="C61" s="891">
        <f t="shared" si="3"/>
        <v>1</v>
      </c>
      <c r="D61" s="892" t="str">
        <f t="shared" si="39"/>
        <v>4. OBRAS DE DRENAJE</v>
      </c>
      <c r="E61" s="937">
        <v>46</v>
      </c>
      <c r="F61" s="775" t="s">
        <v>558</v>
      </c>
      <c r="G61" s="934" t="s">
        <v>288</v>
      </c>
      <c r="H61" s="36">
        <v>2200</v>
      </c>
      <c r="I61" s="36">
        <v>18.82</v>
      </c>
      <c r="J61" s="66">
        <f>ROUND(H61*I61,2)</f>
        <v>41404</v>
      </c>
      <c r="K61" s="61">
        <f>+'Cant. Ejec,'!K54</f>
        <v>0</v>
      </c>
      <c r="L61" s="71">
        <f t="shared" si="29"/>
        <v>0</v>
      </c>
      <c r="M61" s="1376">
        <f>+'Cant. Ejec,'!M54</f>
        <v>0</v>
      </c>
      <c r="N61" s="1377">
        <f t="shared" si="30"/>
        <v>0</v>
      </c>
      <c r="O61" s="61">
        <f t="shared" si="40"/>
        <v>0</v>
      </c>
      <c r="P61" s="896">
        <f t="shared" si="41"/>
        <v>0</v>
      </c>
      <c r="Q61" s="61">
        <f t="shared" si="33"/>
        <v>2200</v>
      </c>
      <c r="R61" s="896">
        <f t="shared" si="34"/>
        <v>41404</v>
      </c>
      <c r="S61" s="792">
        <f t="shared" si="35"/>
        <v>0</v>
      </c>
      <c r="T61" s="792">
        <f t="shared" si="43"/>
        <v>0</v>
      </c>
      <c r="U61" s="795">
        <f t="shared" si="37"/>
        <v>1</v>
      </c>
      <c r="V61" s="900">
        <f t="shared" si="4"/>
        <v>0</v>
      </c>
      <c r="W61" s="306" t="str">
        <f t="shared" si="42"/>
        <v>ok</v>
      </c>
      <c r="X61" s="19">
        <v>23.016500000000001</v>
      </c>
      <c r="Y61" s="753">
        <f t="shared" si="28"/>
        <v>-2176.9834999999998</v>
      </c>
    </row>
    <row r="62" spans="1:25" ht="13.8">
      <c r="A62" s="888">
        <f t="shared" si="1"/>
        <v>0</v>
      </c>
      <c r="B62" s="889">
        <f t="shared" si="2"/>
        <v>0</v>
      </c>
      <c r="C62" s="891">
        <f t="shared" si="3"/>
        <v>1</v>
      </c>
      <c r="D62" s="892" t="str">
        <f t="shared" si="39"/>
        <v>4. OBRAS DE DRENAJE</v>
      </c>
      <c r="E62" s="937">
        <v>47</v>
      </c>
      <c r="F62" s="768" t="s">
        <v>559</v>
      </c>
      <c r="G62" s="934" t="s">
        <v>287</v>
      </c>
      <c r="H62" s="36">
        <v>44</v>
      </c>
      <c r="I62" s="36">
        <v>85.23</v>
      </c>
      <c r="J62" s="66">
        <f t="shared" si="38"/>
        <v>3750.12</v>
      </c>
      <c r="K62" s="61">
        <f>+'Cant. Ejec,'!K55</f>
        <v>0</v>
      </c>
      <c r="L62" s="71">
        <f t="shared" si="29"/>
        <v>0</v>
      </c>
      <c r="M62" s="1376">
        <f>+'Cant. Ejec,'!M55</f>
        <v>0</v>
      </c>
      <c r="N62" s="1377">
        <f t="shared" si="30"/>
        <v>0</v>
      </c>
      <c r="O62" s="61">
        <f t="shared" si="40"/>
        <v>0</v>
      </c>
      <c r="P62" s="896">
        <f t="shared" si="41"/>
        <v>0</v>
      </c>
      <c r="Q62" s="61">
        <f t="shared" si="33"/>
        <v>44</v>
      </c>
      <c r="R62" s="896">
        <f t="shared" si="34"/>
        <v>3750.12</v>
      </c>
      <c r="S62" s="792">
        <f t="shared" si="35"/>
        <v>0</v>
      </c>
      <c r="T62" s="792">
        <f t="shared" si="43"/>
        <v>0</v>
      </c>
      <c r="U62" s="795">
        <f t="shared" si="37"/>
        <v>1</v>
      </c>
      <c r="V62" s="900">
        <f t="shared" si="4"/>
        <v>0</v>
      </c>
      <c r="W62" s="306" t="str">
        <f t="shared" si="42"/>
        <v>ok</v>
      </c>
      <c r="Y62" s="753">
        <f t="shared" si="28"/>
        <v>-44</v>
      </c>
    </row>
    <row r="63" spans="1:25" ht="13.8">
      <c r="A63" s="888">
        <f t="shared" si="1"/>
        <v>0</v>
      </c>
      <c r="B63" s="889">
        <f t="shared" si="2"/>
        <v>0</v>
      </c>
      <c r="C63" s="891">
        <f t="shared" si="3"/>
        <v>1</v>
      </c>
      <c r="D63" s="892" t="str">
        <f t="shared" si="39"/>
        <v>4. OBRAS DE DRENAJE</v>
      </c>
      <c r="E63" s="937">
        <v>48</v>
      </c>
      <c r="F63" s="768" t="s">
        <v>560</v>
      </c>
      <c r="G63" s="934" t="s">
        <v>290</v>
      </c>
      <c r="H63" s="36">
        <v>55</v>
      </c>
      <c r="I63" s="36">
        <v>130.9</v>
      </c>
      <c r="J63" s="66">
        <f t="shared" si="38"/>
        <v>7199.5</v>
      </c>
      <c r="K63" s="61">
        <f>+'Cant. Ejec,'!K56</f>
        <v>0</v>
      </c>
      <c r="L63" s="71">
        <f t="shared" si="29"/>
        <v>0</v>
      </c>
      <c r="M63" s="1376">
        <f>+'Cant. Ejec,'!M56</f>
        <v>0</v>
      </c>
      <c r="N63" s="1377">
        <f t="shared" si="30"/>
        <v>0</v>
      </c>
      <c r="O63" s="61">
        <f t="shared" si="40"/>
        <v>0</v>
      </c>
      <c r="P63" s="896">
        <f t="shared" si="41"/>
        <v>0</v>
      </c>
      <c r="Q63" s="61">
        <f t="shared" si="33"/>
        <v>55</v>
      </c>
      <c r="R63" s="896">
        <f t="shared" si="34"/>
        <v>7199.5</v>
      </c>
      <c r="S63" s="792">
        <f t="shared" si="35"/>
        <v>0</v>
      </c>
      <c r="T63" s="792">
        <f t="shared" si="43"/>
        <v>0</v>
      </c>
      <c r="U63" s="795">
        <f t="shared" si="37"/>
        <v>1</v>
      </c>
      <c r="V63" s="900">
        <f t="shared" si="4"/>
        <v>0</v>
      </c>
      <c r="W63" s="306" t="str">
        <f t="shared" si="42"/>
        <v>ok</v>
      </c>
      <c r="Y63" s="753">
        <f t="shared" si="28"/>
        <v>-55</v>
      </c>
    </row>
    <row r="64" spans="1:25" s="30" customFormat="1" ht="13.8">
      <c r="A64" s="888">
        <f t="shared" si="1"/>
        <v>0</v>
      </c>
      <c r="B64" s="889">
        <f t="shared" si="2"/>
        <v>0</v>
      </c>
      <c r="C64" s="891">
        <f t="shared" si="3"/>
        <v>1</v>
      </c>
      <c r="D64" s="892" t="str">
        <f t="shared" si="39"/>
        <v>4. OBRAS DE DRENAJE</v>
      </c>
      <c r="E64" s="937">
        <v>49</v>
      </c>
      <c r="F64" s="775" t="s">
        <v>561</v>
      </c>
      <c r="G64" s="934" t="s">
        <v>287</v>
      </c>
      <c r="H64" s="36">
        <v>66</v>
      </c>
      <c r="I64" s="38">
        <v>104.01</v>
      </c>
      <c r="J64" s="66">
        <f t="shared" si="38"/>
        <v>6864.66</v>
      </c>
      <c r="K64" s="61">
        <f>+'Cant. Ejec,'!K57</f>
        <v>0</v>
      </c>
      <c r="L64" s="71">
        <f t="shared" si="29"/>
        <v>0</v>
      </c>
      <c r="M64" s="1376">
        <f>+'Cant. Ejec,'!M57</f>
        <v>0</v>
      </c>
      <c r="N64" s="1377">
        <f t="shared" si="30"/>
        <v>0</v>
      </c>
      <c r="O64" s="61">
        <f t="shared" si="40"/>
        <v>0</v>
      </c>
      <c r="P64" s="896">
        <f t="shared" si="41"/>
        <v>0</v>
      </c>
      <c r="Q64" s="61">
        <f t="shared" si="33"/>
        <v>66</v>
      </c>
      <c r="R64" s="896">
        <f t="shared" si="34"/>
        <v>6864.66</v>
      </c>
      <c r="S64" s="792">
        <f t="shared" si="35"/>
        <v>0</v>
      </c>
      <c r="T64" s="792">
        <f t="shared" si="43"/>
        <v>0</v>
      </c>
      <c r="U64" s="795">
        <f t="shared" si="37"/>
        <v>1</v>
      </c>
      <c r="V64" s="900">
        <f t="shared" si="4"/>
        <v>0</v>
      </c>
      <c r="W64" s="306" t="str">
        <f t="shared" si="42"/>
        <v>ok</v>
      </c>
      <c r="X64" s="30">
        <v>2315</v>
      </c>
      <c r="Y64" s="793">
        <f t="shared" si="28"/>
        <v>2249</v>
      </c>
    </row>
    <row r="65" spans="1:25" s="30" customFormat="1" ht="13.8">
      <c r="A65" s="888">
        <f t="shared" si="1"/>
        <v>0</v>
      </c>
      <c r="B65" s="889">
        <f t="shared" si="2"/>
        <v>0</v>
      </c>
      <c r="C65" s="891">
        <f t="shared" si="3"/>
        <v>1</v>
      </c>
      <c r="D65" s="892" t="str">
        <f t="shared" si="39"/>
        <v>4. OBRAS DE DRENAJE</v>
      </c>
      <c r="E65" s="937">
        <v>50</v>
      </c>
      <c r="F65" s="775" t="s">
        <v>562</v>
      </c>
      <c r="G65" s="934" t="s">
        <v>287</v>
      </c>
      <c r="H65" s="36">
        <v>11</v>
      </c>
      <c r="I65" s="38">
        <v>286.33</v>
      </c>
      <c r="J65" s="66">
        <f t="shared" si="38"/>
        <v>3149.63</v>
      </c>
      <c r="K65" s="61">
        <f>+'Cant. Ejec,'!K58</f>
        <v>0</v>
      </c>
      <c r="L65" s="71">
        <f t="shared" si="29"/>
        <v>0</v>
      </c>
      <c r="M65" s="1376">
        <f>+'Cant. Ejec,'!M58</f>
        <v>0</v>
      </c>
      <c r="N65" s="1377">
        <f t="shared" si="30"/>
        <v>0</v>
      </c>
      <c r="O65" s="61">
        <f t="shared" si="40"/>
        <v>0</v>
      </c>
      <c r="P65" s="896">
        <f t="shared" si="41"/>
        <v>0</v>
      </c>
      <c r="Q65" s="61">
        <f t="shared" si="33"/>
        <v>11</v>
      </c>
      <c r="R65" s="896">
        <f t="shared" si="34"/>
        <v>3149.63</v>
      </c>
      <c r="S65" s="792">
        <f t="shared" si="35"/>
        <v>0</v>
      </c>
      <c r="T65" s="792">
        <f t="shared" si="43"/>
        <v>0</v>
      </c>
      <c r="U65" s="795">
        <f t="shared" si="37"/>
        <v>1</v>
      </c>
      <c r="V65" s="900">
        <f t="shared" si="4"/>
        <v>0</v>
      </c>
      <c r="W65" s="306" t="str">
        <f t="shared" si="42"/>
        <v>ok</v>
      </c>
      <c r="X65" s="30">
        <v>2422.52</v>
      </c>
      <c r="Y65" s="793">
        <f t="shared" si="28"/>
        <v>2411.52</v>
      </c>
    </row>
    <row r="66" spans="1:25" s="30" customFormat="1" ht="13.8">
      <c r="A66" s="888">
        <f t="shared" si="1"/>
        <v>0</v>
      </c>
      <c r="B66" s="889">
        <f t="shared" si="2"/>
        <v>0</v>
      </c>
      <c r="C66" s="891">
        <f t="shared" si="3"/>
        <v>1</v>
      </c>
      <c r="D66" s="892" t="str">
        <f t="shared" si="39"/>
        <v>4. OBRAS DE DRENAJE</v>
      </c>
      <c r="E66" s="937">
        <v>51</v>
      </c>
      <c r="F66" s="768" t="s">
        <v>563</v>
      </c>
      <c r="G66" s="934" t="s">
        <v>287</v>
      </c>
      <c r="H66" s="36">
        <v>11</v>
      </c>
      <c r="I66" s="38">
        <v>120.83</v>
      </c>
      <c r="J66" s="66">
        <f t="shared" si="38"/>
        <v>1329.13</v>
      </c>
      <c r="K66" s="61">
        <f>+'Cant. Ejec,'!K59</f>
        <v>0</v>
      </c>
      <c r="L66" s="71">
        <f t="shared" si="29"/>
        <v>0</v>
      </c>
      <c r="M66" s="1376">
        <f>+'Cant. Ejec,'!M59</f>
        <v>0</v>
      </c>
      <c r="N66" s="1377">
        <f t="shared" si="30"/>
        <v>0</v>
      </c>
      <c r="O66" s="61">
        <f t="shared" si="40"/>
        <v>0</v>
      </c>
      <c r="P66" s="896">
        <f t="shared" si="41"/>
        <v>0</v>
      </c>
      <c r="Q66" s="61">
        <f t="shared" si="33"/>
        <v>11</v>
      </c>
      <c r="R66" s="896">
        <f t="shared" si="34"/>
        <v>1329.13</v>
      </c>
      <c r="S66" s="792">
        <f t="shared" si="35"/>
        <v>0</v>
      </c>
      <c r="T66" s="792">
        <f t="shared" si="43"/>
        <v>0</v>
      </c>
      <c r="U66" s="795">
        <f t="shared" si="37"/>
        <v>1</v>
      </c>
      <c r="V66" s="900">
        <f t="shared" si="4"/>
        <v>0</v>
      </c>
      <c r="W66" s="306" t="str">
        <f t="shared" si="42"/>
        <v>ok</v>
      </c>
      <c r="Y66" s="793"/>
    </row>
    <row r="67" spans="1:25" s="30" customFormat="1" ht="13.8">
      <c r="A67" s="888">
        <f t="shared" si="1"/>
        <v>0</v>
      </c>
      <c r="B67" s="889">
        <f t="shared" si="2"/>
        <v>0</v>
      </c>
      <c r="C67" s="891">
        <f t="shared" si="3"/>
        <v>1</v>
      </c>
      <c r="D67" s="892" t="str">
        <f t="shared" si="39"/>
        <v>4. OBRAS DE DRENAJE</v>
      </c>
      <c r="E67" s="937">
        <v>52</v>
      </c>
      <c r="F67" s="768" t="s">
        <v>564</v>
      </c>
      <c r="G67" s="934" t="s">
        <v>287</v>
      </c>
      <c r="H67" s="36">
        <v>11</v>
      </c>
      <c r="I67" s="38">
        <v>104.01</v>
      </c>
      <c r="J67" s="66">
        <f t="shared" si="38"/>
        <v>1144.1099999999999</v>
      </c>
      <c r="K67" s="61">
        <f>+'Cant. Ejec,'!K60</f>
        <v>0</v>
      </c>
      <c r="L67" s="71">
        <f t="shared" si="29"/>
        <v>0</v>
      </c>
      <c r="M67" s="1376">
        <f>+'Cant. Ejec,'!M60</f>
        <v>0</v>
      </c>
      <c r="N67" s="1377">
        <f t="shared" si="30"/>
        <v>0</v>
      </c>
      <c r="O67" s="61">
        <f t="shared" si="40"/>
        <v>0</v>
      </c>
      <c r="P67" s="896">
        <f t="shared" si="41"/>
        <v>0</v>
      </c>
      <c r="Q67" s="61">
        <f t="shared" si="33"/>
        <v>11</v>
      </c>
      <c r="R67" s="896">
        <f t="shared" si="34"/>
        <v>1144.1099999999999</v>
      </c>
      <c r="S67" s="792">
        <f t="shared" si="35"/>
        <v>0</v>
      </c>
      <c r="T67" s="792">
        <f t="shared" si="43"/>
        <v>0</v>
      </c>
      <c r="U67" s="795">
        <f t="shared" si="37"/>
        <v>1</v>
      </c>
      <c r="V67" s="900">
        <f t="shared" si="4"/>
        <v>0</v>
      </c>
      <c r="W67" s="306" t="str">
        <f t="shared" si="42"/>
        <v>ok</v>
      </c>
      <c r="Y67" s="793"/>
    </row>
    <row r="68" spans="1:25" s="30" customFormat="1" ht="13.8">
      <c r="A68" s="888">
        <f t="shared" si="1"/>
        <v>0</v>
      </c>
      <c r="B68" s="889">
        <f t="shared" si="2"/>
        <v>0</v>
      </c>
      <c r="C68" s="891">
        <f t="shared" si="3"/>
        <v>1</v>
      </c>
      <c r="D68" s="892" t="str">
        <f t="shared" si="39"/>
        <v>4. OBRAS DE DRENAJE</v>
      </c>
      <c r="E68" s="937">
        <v>53</v>
      </c>
      <c r="F68" s="775" t="s">
        <v>565</v>
      </c>
      <c r="G68" s="934" t="s">
        <v>287</v>
      </c>
      <c r="H68" s="36">
        <v>11</v>
      </c>
      <c r="I68" s="38">
        <v>104.01</v>
      </c>
      <c r="J68" s="66">
        <f t="shared" si="38"/>
        <v>1144.1099999999999</v>
      </c>
      <c r="K68" s="61">
        <f>+'Cant. Ejec,'!K61</f>
        <v>0</v>
      </c>
      <c r="L68" s="71">
        <f t="shared" si="29"/>
        <v>0</v>
      </c>
      <c r="M68" s="1376">
        <f>+'Cant. Ejec,'!M61</f>
        <v>0</v>
      </c>
      <c r="N68" s="1377">
        <f t="shared" si="30"/>
        <v>0</v>
      </c>
      <c r="O68" s="61">
        <f t="shared" si="40"/>
        <v>0</v>
      </c>
      <c r="P68" s="896">
        <f t="shared" si="41"/>
        <v>0</v>
      </c>
      <c r="Q68" s="61">
        <f t="shared" si="33"/>
        <v>11</v>
      </c>
      <c r="R68" s="896">
        <f t="shared" si="34"/>
        <v>1144.1099999999999</v>
      </c>
      <c r="S68" s="792">
        <f t="shared" si="35"/>
        <v>0</v>
      </c>
      <c r="T68" s="792">
        <f t="shared" si="43"/>
        <v>0</v>
      </c>
      <c r="U68" s="795">
        <f t="shared" si="37"/>
        <v>1</v>
      </c>
      <c r="V68" s="900">
        <f t="shared" si="4"/>
        <v>0</v>
      </c>
      <c r="W68" s="306" t="str">
        <f t="shared" si="42"/>
        <v>ok</v>
      </c>
      <c r="Y68" s="793"/>
    </row>
    <row r="69" spans="1:25" s="30" customFormat="1" ht="13.8">
      <c r="A69" s="888">
        <f t="shared" si="1"/>
        <v>0</v>
      </c>
      <c r="B69" s="889">
        <f t="shared" si="2"/>
        <v>0</v>
      </c>
      <c r="C69" s="891">
        <f t="shared" si="3"/>
        <v>1</v>
      </c>
      <c r="D69" s="892" t="str">
        <f t="shared" si="39"/>
        <v>4. OBRAS DE DRENAJE</v>
      </c>
      <c r="E69" s="937">
        <v>54</v>
      </c>
      <c r="F69" s="775" t="s">
        <v>566</v>
      </c>
      <c r="G69" s="934" t="s">
        <v>288</v>
      </c>
      <c r="H69" s="36">
        <v>1600</v>
      </c>
      <c r="I69" s="38">
        <v>7.53</v>
      </c>
      <c r="J69" s="66">
        <f t="shared" si="38"/>
        <v>12048</v>
      </c>
      <c r="K69" s="61">
        <f>+'Cant. Ejec,'!K62</f>
        <v>0</v>
      </c>
      <c r="L69" s="71">
        <f t="shared" si="29"/>
        <v>0</v>
      </c>
      <c r="M69" s="1376">
        <f>+'Cant. Ejec,'!M62</f>
        <v>0</v>
      </c>
      <c r="N69" s="1377">
        <f t="shared" si="30"/>
        <v>0</v>
      </c>
      <c r="O69" s="61">
        <f t="shared" si="40"/>
        <v>0</v>
      </c>
      <c r="P69" s="896">
        <f t="shared" si="41"/>
        <v>0</v>
      </c>
      <c r="Q69" s="61">
        <f t="shared" si="33"/>
        <v>1600</v>
      </c>
      <c r="R69" s="896">
        <f t="shared" si="34"/>
        <v>12048</v>
      </c>
      <c r="S69" s="792">
        <f t="shared" si="35"/>
        <v>0</v>
      </c>
      <c r="T69" s="792">
        <f t="shared" si="43"/>
        <v>0</v>
      </c>
      <c r="U69" s="795">
        <f t="shared" si="37"/>
        <v>1</v>
      </c>
      <c r="V69" s="900">
        <f t="shared" si="4"/>
        <v>0</v>
      </c>
      <c r="W69" s="306" t="str">
        <f t="shared" si="42"/>
        <v>ok</v>
      </c>
      <c r="Y69" s="793"/>
    </row>
    <row r="70" spans="1:25" s="30" customFormat="1" ht="13.8">
      <c r="A70" s="888">
        <f t="shared" si="1"/>
        <v>0</v>
      </c>
      <c r="B70" s="889">
        <f t="shared" si="2"/>
        <v>0</v>
      </c>
      <c r="C70" s="891">
        <f t="shared" si="3"/>
        <v>1</v>
      </c>
      <c r="D70" s="892" t="str">
        <f t="shared" si="39"/>
        <v>4. OBRAS DE DRENAJE</v>
      </c>
      <c r="E70" s="937">
        <v>55</v>
      </c>
      <c r="F70" s="768" t="s">
        <v>567</v>
      </c>
      <c r="G70" s="934" t="s">
        <v>290</v>
      </c>
      <c r="H70" s="36">
        <v>17</v>
      </c>
      <c r="I70" s="38">
        <v>104.01</v>
      </c>
      <c r="J70" s="66">
        <f t="shared" si="38"/>
        <v>1768.17</v>
      </c>
      <c r="K70" s="61">
        <f>+'Cant. Ejec,'!K63</f>
        <v>0</v>
      </c>
      <c r="L70" s="71">
        <f t="shared" si="29"/>
        <v>0</v>
      </c>
      <c r="M70" s="1376">
        <f>+'Cant. Ejec,'!M63</f>
        <v>0</v>
      </c>
      <c r="N70" s="1377">
        <f t="shared" si="30"/>
        <v>0</v>
      </c>
      <c r="O70" s="61">
        <f t="shared" si="40"/>
        <v>0</v>
      </c>
      <c r="P70" s="896">
        <f t="shared" si="41"/>
        <v>0</v>
      </c>
      <c r="Q70" s="61">
        <f t="shared" si="33"/>
        <v>17</v>
      </c>
      <c r="R70" s="896">
        <f t="shared" si="34"/>
        <v>1768.17</v>
      </c>
      <c r="S70" s="792">
        <f t="shared" si="35"/>
        <v>0</v>
      </c>
      <c r="T70" s="792">
        <f t="shared" si="43"/>
        <v>0</v>
      </c>
      <c r="U70" s="795">
        <f t="shared" si="37"/>
        <v>1</v>
      </c>
      <c r="V70" s="900">
        <f t="shared" si="4"/>
        <v>0</v>
      </c>
      <c r="W70" s="306" t="str">
        <f t="shared" si="42"/>
        <v>ok</v>
      </c>
      <c r="Y70" s="793"/>
    </row>
    <row r="71" spans="1:25" s="30" customFormat="1" ht="13.8">
      <c r="A71" s="888">
        <f t="shared" si="1"/>
        <v>0</v>
      </c>
      <c r="B71" s="889">
        <f t="shared" si="2"/>
        <v>0</v>
      </c>
      <c r="C71" s="891">
        <f t="shared" si="3"/>
        <v>1</v>
      </c>
      <c r="D71" s="892" t="str">
        <f t="shared" si="39"/>
        <v>4. OBRAS DE DRENAJE</v>
      </c>
      <c r="E71" s="937">
        <v>56</v>
      </c>
      <c r="F71" s="768" t="s">
        <v>568</v>
      </c>
      <c r="G71" s="934" t="s">
        <v>290</v>
      </c>
      <c r="H71" s="36">
        <v>8250</v>
      </c>
      <c r="I71" s="38">
        <v>26.74</v>
      </c>
      <c r="J71" s="66">
        <f t="shared" si="38"/>
        <v>220605</v>
      </c>
      <c r="K71" s="61">
        <f>+'Cant. Ejec,'!K64</f>
        <v>0</v>
      </c>
      <c r="L71" s="71">
        <f t="shared" si="29"/>
        <v>0</v>
      </c>
      <c r="M71" s="1376">
        <f>+'Cant. Ejec,'!M64</f>
        <v>0</v>
      </c>
      <c r="N71" s="1377">
        <f t="shared" si="30"/>
        <v>0</v>
      </c>
      <c r="O71" s="61">
        <f t="shared" si="40"/>
        <v>0</v>
      </c>
      <c r="P71" s="896">
        <f t="shared" si="41"/>
        <v>0</v>
      </c>
      <c r="Q71" s="61">
        <f t="shared" si="33"/>
        <v>8250</v>
      </c>
      <c r="R71" s="896">
        <f t="shared" si="34"/>
        <v>220605</v>
      </c>
      <c r="S71" s="792">
        <f t="shared" si="35"/>
        <v>0</v>
      </c>
      <c r="T71" s="792">
        <f t="shared" si="43"/>
        <v>0</v>
      </c>
      <c r="U71" s="795">
        <f t="shared" si="37"/>
        <v>1</v>
      </c>
      <c r="V71" s="900">
        <f t="shared" si="4"/>
        <v>0</v>
      </c>
      <c r="W71" s="306" t="str">
        <f t="shared" si="42"/>
        <v>ok</v>
      </c>
      <c r="Y71" s="793"/>
    </row>
    <row r="72" spans="1:25" s="30" customFormat="1" ht="13.8">
      <c r="A72" s="888">
        <f t="shared" si="1"/>
        <v>0</v>
      </c>
      <c r="B72" s="889">
        <f t="shared" si="2"/>
        <v>0</v>
      </c>
      <c r="C72" s="891">
        <f t="shared" si="3"/>
        <v>1</v>
      </c>
      <c r="D72" s="892" t="str">
        <f t="shared" si="39"/>
        <v>4. OBRAS DE DRENAJE</v>
      </c>
      <c r="E72" s="937">
        <v>57</v>
      </c>
      <c r="F72" s="775" t="s">
        <v>569</v>
      </c>
      <c r="G72" s="934" t="s">
        <v>647</v>
      </c>
      <c r="H72" s="36">
        <v>27500</v>
      </c>
      <c r="I72" s="38">
        <v>2.72</v>
      </c>
      <c r="J72" s="66">
        <f t="shared" si="38"/>
        <v>74800</v>
      </c>
      <c r="K72" s="61">
        <f>+'Cant. Ejec,'!K65</f>
        <v>0</v>
      </c>
      <c r="L72" s="71">
        <f t="shared" si="29"/>
        <v>0</v>
      </c>
      <c r="M72" s="1376">
        <f>+'Cant. Ejec,'!M65</f>
        <v>0</v>
      </c>
      <c r="N72" s="1381">
        <f t="shared" si="30"/>
        <v>0</v>
      </c>
      <c r="O72" s="61">
        <f t="shared" si="40"/>
        <v>0</v>
      </c>
      <c r="P72" s="896">
        <f t="shared" si="41"/>
        <v>0</v>
      </c>
      <c r="Q72" s="61">
        <f t="shared" si="33"/>
        <v>27500</v>
      </c>
      <c r="R72" s="896">
        <f t="shared" si="34"/>
        <v>74800</v>
      </c>
      <c r="S72" s="932">
        <f t="shared" si="35"/>
        <v>0</v>
      </c>
      <c r="T72" s="932">
        <f t="shared" si="43"/>
        <v>0</v>
      </c>
      <c r="U72" s="933">
        <f t="shared" si="37"/>
        <v>1</v>
      </c>
      <c r="V72" s="900">
        <f t="shared" si="4"/>
        <v>0</v>
      </c>
      <c r="W72" s="306" t="str">
        <f t="shared" si="42"/>
        <v>ok</v>
      </c>
      <c r="Y72" s="793"/>
    </row>
    <row r="73" spans="1:25" s="30" customFormat="1" ht="13.5" customHeight="1">
      <c r="A73" s="888">
        <f t="shared" si="1"/>
        <v>0</v>
      </c>
      <c r="B73" s="889">
        <f t="shared" si="2"/>
        <v>0</v>
      </c>
      <c r="C73" s="891">
        <f t="shared" si="3"/>
        <v>1</v>
      </c>
      <c r="D73" s="892"/>
      <c r="E73" s="948"/>
      <c r="F73" s="949" t="s">
        <v>447</v>
      </c>
      <c r="G73" s="950"/>
      <c r="H73" s="951"/>
      <c r="I73" s="952"/>
      <c r="J73" s="953">
        <f>SUM(J33:J72)</f>
        <v>16778276.030000001</v>
      </c>
      <c r="K73" s="954"/>
      <c r="L73" s="953">
        <f>SUM(L33:L72)</f>
        <v>0</v>
      </c>
      <c r="M73" s="955"/>
      <c r="N73" s="953">
        <f>SUM(N33:N72)</f>
        <v>0</v>
      </c>
      <c r="O73" s="954"/>
      <c r="P73" s="953">
        <f>SUM(P33:P72)</f>
        <v>0</v>
      </c>
      <c r="Q73" s="955"/>
      <c r="R73" s="953">
        <f>SUM(R33:R72)</f>
        <v>16778276.030000001</v>
      </c>
      <c r="S73" s="976">
        <f t="shared" si="35"/>
        <v>0</v>
      </c>
      <c r="T73" s="1076">
        <f t="shared" si="43"/>
        <v>0</v>
      </c>
      <c r="U73" s="1079">
        <f t="shared" si="37"/>
        <v>1</v>
      </c>
      <c r="V73" s="900">
        <f t="shared" si="4"/>
        <v>0</v>
      </c>
      <c r="W73" s="306" t="str">
        <f t="shared" si="42"/>
        <v>ok</v>
      </c>
      <c r="Y73" s="793"/>
    </row>
    <row r="74" spans="1:25" s="30" customFormat="1" ht="13.5" customHeight="1">
      <c r="A74" s="888">
        <f t="shared" si="1"/>
        <v>0</v>
      </c>
      <c r="B74" s="889">
        <f t="shared" si="2"/>
        <v>0</v>
      </c>
      <c r="C74" s="891">
        <f t="shared" si="3"/>
        <v>1</v>
      </c>
      <c r="D74" s="892"/>
      <c r="E74" s="938">
        <v>5</v>
      </c>
      <c r="F74" s="914" t="s">
        <v>570</v>
      </c>
      <c r="G74" s="911"/>
      <c r="H74" s="912"/>
      <c r="I74" s="912"/>
      <c r="J74" s="912"/>
      <c r="K74" s="894"/>
      <c r="L74" s="894"/>
      <c r="M74" s="894"/>
      <c r="N74" s="894"/>
      <c r="O74" s="894"/>
      <c r="P74" s="894"/>
      <c r="Q74" s="894"/>
      <c r="R74" s="894"/>
      <c r="S74" s="894"/>
      <c r="T74" s="894"/>
      <c r="U74" s="913"/>
      <c r="V74" s="900">
        <f t="shared" si="4"/>
        <v>1</v>
      </c>
      <c r="W74" s="306" t="str">
        <f t="shared" ref="W74:W104" si="44">IF((P74+R74)=J74,"ok","MAL")</f>
        <v>ok</v>
      </c>
      <c r="Y74" s="793"/>
    </row>
    <row r="75" spans="1:25" ht="15" customHeight="1">
      <c r="A75" s="888">
        <f t="shared" ref="A75:A101" si="45">+IF(B75&gt;0,B75+C74,IF(C75&gt;C74,C75,0))</f>
        <v>0</v>
      </c>
      <c r="B75" s="889">
        <f t="shared" ref="B75:B101" si="46">+IF(M75&gt;=0.01,1,0)</f>
        <v>0</v>
      </c>
      <c r="C75" s="891">
        <f t="shared" ref="C75:C101" si="47">+B75+C74</f>
        <v>1</v>
      </c>
      <c r="D75" s="892" t="str">
        <f t="shared" ref="D75:D96" si="48">+E74&amp;". "&amp;F74</f>
        <v>5. SEÑALIZACION Y SEGURIDAD VIAL</v>
      </c>
      <c r="E75" s="937">
        <v>58</v>
      </c>
      <c r="F75" s="768" t="s">
        <v>571</v>
      </c>
      <c r="G75" s="769" t="s">
        <v>290</v>
      </c>
      <c r="H75" s="63">
        <v>14232</v>
      </c>
      <c r="I75" s="766">
        <v>659.99</v>
      </c>
      <c r="J75" s="66">
        <f t="shared" ref="J75:J90" si="49">ROUND(H75*I75,2)</f>
        <v>9392977.6799999997</v>
      </c>
      <c r="K75" s="63">
        <f>+'Cant. Ejec,'!K67</f>
        <v>0</v>
      </c>
      <c r="L75" s="71">
        <f t="shared" ref="L75:L90" si="50">+ROUND(K75*I75,2)</f>
        <v>0</v>
      </c>
      <c r="M75" s="1376">
        <f>+'Cant. Ejec,'!M67</f>
        <v>0</v>
      </c>
      <c r="N75" s="1375">
        <f t="shared" ref="N75:N90" si="51">+ROUND(I75*M75,2)</f>
        <v>0</v>
      </c>
      <c r="O75" s="61">
        <f t="shared" ref="O75:O76" si="52">K75+M75</f>
        <v>0</v>
      </c>
      <c r="P75" s="73">
        <f t="shared" ref="P75" si="53">L75+N75</f>
        <v>0</v>
      </c>
      <c r="Q75" s="61">
        <f t="shared" ref="Q75:Q90" si="54">H75-O75</f>
        <v>14232</v>
      </c>
      <c r="R75" s="896">
        <f t="shared" ref="R75:R90" si="55">+J75-P75</f>
        <v>9392977.6799999997</v>
      </c>
      <c r="S75" s="792">
        <f t="shared" ref="S75:S91" si="56">(N75/J75)</f>
        <v>0</v>
      </c>
      <c r="T75" s="792">
        <f t="shared" ref="T75:T91" si="57">(P75/J75)</f>
        <v>0</v>
      </c>
      <c r="U75" s="795">
        <f t="shared" ref="U75:U91" si="58">(R75/J75)</f>
        <v>1</v>
      </c>
      <c r="V75" s="900">
        <f t="shared" ref="V75:V104" si="59">1-U75</f>
        <v>0</v>
      </c>
      <c r="W75" s="306" t="str">
        <f t="shared" si="44"/>
        <v>ok</v>
      </c>
      <c r="Y75" s="753">
        <f>+X75-Q75</f>
        <v>-14232</v>
      </c>
    </row>
    <row r="76" spans="1:25" ht="15" customHeight="1">
      <c r="A76" s="888">
        <f t="shared" si="45"/>
        <v>0</v>
      </c>
      <c r="B76" s="889">
        <f t="shared" si="46"/>
        <v>0</v>
      </c>
      <c r="C76" s="891">
        <f t="shared" si="47"/>
        <v>1</v>
      </c>
      <c r="D76" s="892" t="str">
        <f>+D75</f>
        <v>5. SEÑALIZACION Y SEGURIDAD VIAL</v>
      </c>
      <c r="E76" s="939">
        <v>59</v>
      </c>
      <c r="F76" s="773" t="s">
        <v>448</v>
      </c>
      <c r="G76" s="774" t="s">
        <v>290</v>
      </c>
      <c r="H76" s="46">
        <v>31500</v>
      </c>
      <c r="I76" s="767">
        <v>8.27</v>
      </c>
      <c r="J76" s="66">
        <f t="shared" si="49"/>
        <v>260505</v>
      </c>
      <c r="K76" s="46">
        <f>+'Cant. Ejec,'!K68</f>
        <v>0</v>
      </c>
      <c r="L76" s="71">
        <f t="shared" si="50"/>
        <v>0</v>
      </c>
      <c r="M76" s="1376">
        <f>+'Cant. Ejec,'!M68</f>
        <v>0</v>
      </c>
      <c r="N76" s="1382">
        <f t="shared" si="51"/>
        <v>0</v>
      </c>
      <c r="O76" s="61">
        <f t="shared" si="52"/>
        <v>0</v>
      </c>
      <c r="P76" s="896">
        <f t="shared" ref="P76:P90" si="60">L76+N76</f>
        <v>0</v>
      </c>
      <c r="Q76" s="61">
        <f t="shared" si="54"/>
        <v>31500</v>
      </c>
      <c r="R76" s="896">
        <f t="shared" si="55"/>
        <v>260505</v>
      </c>
      <c r="S76" s="792">
        <f t="shared" si="56"/>
        <v>0</v>
      </c>
      <c r="T76" s="792">
        <f t="shared" si="57"/>
        <v>0</v>
      </c>
      <c r="U76" s="795">
        <f t="shared" si="58"/>
        <v>1</v>
      </c>
      <c r="V76" s="900">
        <f t="shared" si="59"/>
        <v>0</v>
      </c>
      <c r="W76" s="306" t="str">
        <f t="shared" si="44"/>
        <v>ok</v>
      </c>
      <c r="X76" s="19">
        <v>350.7</v>
      </c>
      <c r="Y76" s="753">
        <f t="shared" si="28"/>
        <v>-31149.3</v>
      </c>
    </row>
    <row r="77" spans="1:25" ht="15" customHeight="1">
      <c r="A77" s="888">
        <f t="shared" si="45"/>
        <v>0</v>
      </c>
      <c r="B77" s="889">
        <f t="shared" si="46"/>
        <v>0</v>
      </c>
      <c r="C77" s="891">
        <f t="shared" si="47"/>
        <v>1</v>
      </c>
      <c r="D77" s="892" t="str">
        <f t="shared" ref="D77:D90" si="61">+D76</f>
        <v>5. SEÑALIZACION Y SEGURIDAD VIAL</v>
      </c>
      <c r="E77" s="937">
        <v>60</v>
      </c>
      <c r="F77" s="768" t="s">
        <v>572</v>
      </c>
      <c r="G77" s="771" t="s">
        <v>290</v>
      </c>
      <c r="H77" s="36">
        <v>90000</v>
      </c>
      <c r="I77" s="765">
        <v>10.4</v>
      </c>
      <c r="J77" s="66">
        <f t="shared" si="49"/>
        <v>936000</v>
      </c>
      <c r="K77" s="36">
        <f>+'Cant. Ejec,'!K69</f>
        <v>0</v>
      </c>
      <c r="L77" s="71">
        <f t="shared" si="50"/>
        <v>0</v>
      </c>
      <c r="M77" s="1376">
        <f>+'Cant. Ejec,'!M69</f>
        <v>0</v>
      </c>
      <c r="N77" s="1382">
        <f t="shared" si="51"/>
        <v>0</v>
      </c>
      <c r="O77" s="61">
        <f t="shared" ref="O77:O90" si="62">K77+M77</f>
        <v>0</v>
      </c>
      <c r="P77" s="896">
        <f t="shared" si="60"/>
        <v>0</v>
      </c>
      <c r="Q77" s="61">
        <f t="shared" si="54"/>
        <v>90000</v>
      </c>
      <c r="R77" s="896">
        <f t="shared" si="55"/>
        <v>936000</v>
      </c>
      <c r="S77" s="792">
        <f t="shared" si="56"/>
        <v>0</v>
      </c>
      <c r="T77" s="792">
        <f t="shared" si="57"/>
        <v>0</v>
      </c>
      <c r="U77" s="795">
        <f t="shared" si="58"/>
        <v>1</v>
      </c>
      <c r="V77" s="900">
        <f t="shared" si="59"/>
        <v>0</v>
      </c>
      <c r="W77" s="306" t="str">
        <f t="shared" si="44"/>
        <v>ok</v>
      </c>
      <c r="X77" s="19">
        <v>68445.63</v>
      </c>
      <c r="Y77" s="753">
        <f t="shared" si="28"/>
        <v>-21554.369999999995</v>
      </c>
    </row>
    <row r="78" spans="1:25" ht="15" customHeight="1">
      <c r="A78" s="888">
        <f t="shared" si="45"/>
        <v>0</v>
      </c>
      <c r="B78" s="889">
        <f t="shared" si="46"/>
        <v>0</v>
      </c>
      <c r="C78" s="891">
        <f t="shared" si="47"/>
        <v>1</v>
      </c>
      <c r="D78" s="892" t="str">
        <f t="shared" si="61"/>
        <v>5. SEÑALIZACION Y SEGURIDAD VIAL</v>
      </c>
      <c r="E78" s="937">
        <v>61</v>
      </c>
      <c r="F78" s="768" t="s">
        <v>573</v>
      </c>
      <c r="G78" s="771" t="s">
        <v>288</v>
      </c>
      <c r="H78" s="36">
        <v>250</v>
      </c>
      <c r="I78" s="765">
        <v>72.150000000000006</v>
      </c>
      <c r="J78" s="66">
        <f t="shared" si="49"/>
        <v>18037.5</v>
      </c>
      <c r="K78" s="36">
        <f>+'Cant. Ejec,'!K70</f>
        <v>0</v>
      </c>
      <c r="L78" s="71">
        <f t="shared" si="50"/>
        <v>0</v>
      </c>
      <c r="M78" s="1376">
        <f>+'Cant. Ejec,'!M70</f>
        <v>0</v>
      </c>
      <c r="N78" s="1382">
        <f t="shared" si="51"/>
        <v>0</v>
      </c>
      <c r="O78" s="61">
        <f t="shared" si="62"/>
        <v>0</v>
      </c>
      <c r="P78" s="896">
        <f t="shared" si="60"/>
        <v>0</v>
      </c>
      <c r="Q78" s="61">
        <f t="shared" si="54"/>
        <v>250</v>
      </c>
      <c r="R78" s="896">
        <f t="shared" si="55"/>
        <v>18037.5</v>
      </c>
      <c r="S78" s="792">
        <f t="shared" si="56"/>
        <v>0</v>
      </c>
      <c r="T78" s="792">
        <f t="shared" si="57"/>
        <v>0</v>
      </c>
      <c r="U78" s="795">
        <f t="shared" si="58"/>
        <v>1</v>
      </c>
      <c r="V78" s="900">
        <f t="shared" si="59"/>
        <v>0</v>
      </c>
      <c r="W78" s="306" t="str">
        <f t="shared" si="44"/>
        <v>ok</v>
      </c>
      <c r="X78" s="19">
        <v>123</v>
      </c>
      <c r="Y78" s="753">
        <f t="shared" ref="Y78:Y91" si="63">+X78-Q78</f>
        <v>-127</v>
      </c>
    </row>
    <row r="79" spans="1:25" ht="15" customHeight="1">
      <c r="A79" s="888">
        <f t="shared" si="45"/>
        <v>0</v>
      </c>
      <c r="B79" s="889">
        <f t="shared" si="46"/>
        <v>0</v>
      </c>
      <c r="C79" s="891">
        <f t="shared" si="47"/>
        <v>1</v>
      </c>
      <c r="D79" s="892" t="str">
        <f t="shared" si="61"/>
        <v>5. SEÑALIZACION Y SEGURIDAD VIAL</v>
      </c>
      <c r="E79" s="937">
        <v>62</v>
      </c>
      <c r="F79" s="768" t="s">
        <v>574</v>
      </c>
      <c r="G79" s="771" t="s">
        <v>575</v>
      </c>
      <c r="H79" s="36">
        <v>180</v>
      </c>
      <c r="I79" s="765">
        <v>1283.31</v>
      </c>
      <c r="J79" s="66">
        <f t="shared" si="49"/>
        <v>230995.8</v>
      </c>
      <c r="K79" s="36">
        <f>+'Cant. Ejec,'!K71</f>
        <v>0</v>
      </c>
      <c r="L79" s="71">
        <f t="shared" si="50"/>
        <v>0</v>
      </c>
      <c r="M79" s="1376">
        <f>+'Cant. Ejec,'!M71</f>
        <v>0</v>
      </c>
      <c r="N79" s="1382">
        <f t="shared" si="51"/>
        <v>0</v>
      </c>
      <c r="O79" s="61">
        <f t="shared" si="62"/>
        <v>0</v>
      </c>
      <c r="P79" s="896">
        <f t="shared" si="60"/>
        <v>0</v>
      </c>
      <c r="Q79" s="61">
        <f t="shared" si="54"/>
        <v>180</v>
      </c>
      <c r="R79" s="896">
        <f t="shared" si="55"/>
        <v>230995.8</v>
      </c>
      <c r="S79" s="792">
        <f t="shared" si="56"/>
        <v>0</v>
      </c>
      <c r="T79" s="792">
        <f t="shared" si="57"/>
        <v>0</v>
      </c>
      <c r="U79" s="795">
        <f t="shared" si="58"/>
        <v>1</v>
      </c>
      <c r="V79" s="900">
        <f t="shared" si="59"/>
        <v>0</v>
      </c>
      <c r="W79" s="306" t="str">
        <f t="shared" si="44"/>
        <v>ok</v>
      </c>
      <c r="Y79" s="753"/>
    </row>
    <row r="80" spans="1:25" ht="15" customHeight="1">
      <c r="A80" s="888">
        <f t="shared" si="45"/>
        <v>0</v>
      </c>
      <c r="B80" s="889">
        <f t="shared" si="46"/>
        <v>0</v>
      </c>
      <c r="C80" s="891">
        <f t="shared" si="47"/>
        <v>1</v>
      </c>
      <c r="D80" s="892" t="str">
        <f t="shared" si="61"/>
        <v>5. SEÑALIZACION Y SEGURIDAD VIAL</v>
      </c>
      <c r="E80" s="937">
        <v>63</v>
      </c>
      <c r="F80" s="768" t="s">
        <v>576</v>
      </c>
      <c r="G80" s="771" t="s">
        <v>575</v>
      </c>
      <c r="H80" s="36">
        <v>30</v>
      </c>
      <c r="I80" s="765">
        <v>1283.31</v>
      </c>
      <c r="J80" s="66">
        <f t="shared" si="49"/>
        <v>38499.300000000003</v>
      </c>
      <c r="K80" s="36">
        <f>+'Cant. Ejec,'!K72</f>
        <v>0</v>
      </c>
      <c r="L80" s="71">
        <f t="shared" si="50"/>
        <v>0</v>
      </c>
      <c r="M80" s="1376">
        <f>+'Cant. Ejec,'!M72</f>
        <v>0</v>
      </c>
      <c r="N80" s="1382">
        <f t="shared" si="51"/>
        <v>0</v>
      </c>
      <c r="O80" s="61">
        <f t="shared" si="62"/>
        <v>0</v>
      </c>
      <c r="P80" s="896">
        <f t="shared" si="60"/>
        <v>0</v>
      </c>
      <c r="Q80" s="61">
        <f t="shared" si="54"/>
        <v>30</v>
      </c>
      <c r="R80" s="896">
        <f t="shared" si="55"/>
        <v>38499.300000000003</v>
      </c>
      <c r="S80" s="792">
        <f t="shared" si="56"/>
        <v>0</v>
      </c>
      <c r="T80" s="792">
        <f t="shared" si="57"/>
        <v>0</v>
      </c>
      <c r="U80" s="795">
        <f t="shared" si="58"/>
        <v>1</v>
      </c>
      <c r="V80" s="900">
        <f t="shared" si="59"/>
        <v>0</v>
      </c>
      <c r="W80" s="306" t="str">
        <f t="shared" si="44"/>
        <v>ok</v>
      </c>
      <c r="Y80" s="753"/>
    </row>
    <row r="81" spans="1:25" ht="15" customHeight="1">
      <c r="A81" s="888">
        <f t="shared" si="45"/>
        <v>0</v>
      </c>
      <c r="B81" s="889">
        <f t="shared" si="46"/>
        <v>0</v>
      </c>
      <c r="C81" s="891">
        <f t="shared" si="47"/>
        <v>1</v>
      </c>
      <c r="D81" s="892" t="str">
        <f t="shared" si="61"/>
        <v>5. SEÑALIZACION Y SEGURIDAD VIAL</v>
      </c>
      <c r="E81" s="937">
        <v>64</v>
      </c>
      <c r="F81" s="768" t="s">
        <v>577</v>
      </c>
      <c r="G81" s="771" t="s">
        <v>575</v>
      </c>
      <c r="H81" s="36">
        <v>30</v>
      </c>
      <c r="I81" s="765">
        <v>1839.02</v>
      </c>
      <c r="J81" s="66">
        <f t="shared" si="49"/>
        <v>55170.6</v>
      </c>
      <c r="K81" s="36">
        <f>+'Cant. Ejec,'!K73</f>
        <v>0</v>
      </c>
      <c r="L81" s="71">
        <f t="shared" si="50"/>
        <v>0</v>
      </c>
      <c r="M81" s="1376">
        <f>+'Cant. Ejec,'!M73</f>
        <v>0</v>
      </c>
      <c r="N81" s="1382">
        <f t="shared" si="51"/>
        <v>0</v>
      </c>
      <c r="O81" s="61">
        <f t="shared" si="62"/>
        <v>0</v>
      </c>
      <c r="P81" s="896">
        <f t="shared" si="60"/>
        <v>0</v>
      </c>
      <c r="Q81" s="61">
        <f t="shared" si="54"/>
        <v>30</v>
      </c>
      <c r="R81" s="896">
        <f t="shared" si="55"/>
        <v>55170.6</v>
      </c>
      <c r="S81" s="792">
        <f t="shared" si="56"/>
        <v>0</v>
      </c>
      <c r="T81" s="792">
        <f t="shared" si="57"/>
        <v>0</v>
      </c>
      <c r="U81" s="795">
        <f t="shared" si="58"/>
        <v>1</v>
      </c>
      <c r="V81" s="900">
        <f t="shared" si="59"/>
        <v>0</v>
      </c>
      <c r="W81" s="306" t="str">
        <f t="shared" si="44"/>
        <v>ok</v>
      </c>
      <c r="X81" s="19">
        <v>98</v>
      </c>
      <c r="Y81" s="753">
        <f t="shared" si="63"/>
        <v>68</v>
      </c>
    </row>
    <row r="82" spans="1:25" ht="15" customHeight="1">
      <c r="A82" s="888">
        <f t="shared" si="45"/>
        <v>0</v>
      </c>
      <c r="B82" s="889">
        <f t="shared" si="46"/>
        <v>0</v>
      </c>
      <c r="C82" s="891">
        <f t="shared" si="47"/>
        <v>1</v>
      </c>
      <c r="D82" s="892" t="str">
        <f t="shared" si="61"/>
        <v>5. SEÑALIZACION Y SEGURIDAD VIAL</v>
      </c>
      <c r="E82" s="937">
        <v>65</v>
      </c>
      <c r="F82" s="768" t="s">
        <v>578</v>
      </c>
      <c r="G82" s="771" t="s">
        <v>575</v>
      </c>
      <c r="H82" s="36">
        <v>65</v>
      </c>
      <c r="I82" s="765">
        <v>1542.64</v>
      </c>
      <c r="J82" s="66">
        <f t="shared" si="49"/>
        <v>100271.6</v>
      </c>
      <c r="K82" s="36">
        <f>+'Cant. Ejec,'!K74</f>
        <v>0</v>
      </c>
      <c r="L82" s="71">
        <f t="shared" si="50"/>
        <v>0</v>
      </c>
      <c r="M82" s="1376">
        <f>+'Cant. Ejec,'!M74</f>
        <v>0</v>
      </c>
      <c r="N82" s="1382">
        <f t="shared" si="51"/>
        <v>0</v>
      </c>
      <c r="O82" s="61">
        <f t="shared" si="62"/>
        <v>0</v>
      </c>
      <c r="P82" s="896">
        <f t="shared" si="60"/>
        <v>0</v>
      </c>
      <c r="Q82" s="61">
        <f t="shared" si="54"/>
        <v>65</v>
      </c>
      <c r="R82" s="896">
        <f t="shared" si="55"/>
        <v>100271.6</v>
      </c>
      <c r="S82" s="792">
        <f t="shared" si="56"/>
        <v>0</v>
      </c>
      <c r="T82" s="792">
        <f t="shared" si="57"/>
        <v>0</v>
      </c>
      <c r="U82" s="795">
        <f t="shared" si="58"/>
        <v>1</v>
      </c>
      <c r="V82" s="900">
        <f t="shared" si="59"/>
        <v>0</v>
      </c>
      <c r="W82" s="306" t="str">
        <f t="shared" si="44"/>
        <v>ok</v>
      </c>
      <c r="X82" s="19">
        <v>30</v>
      </c>
      <c r="Y82" s="753">
        <f t="shared" si="63"/>
        <v>-35</v>
      </c>
    </row>
    <row r="83" spans="1:25" ht="15" customHeight="1">
      <c r="A83" s="888">
        <f t="shared" si="45"/>
        <v>0</v>
      </c>
      <c r="B83" s="889">
        <f t="shared" si="46"/>
        <v>0</v>
      </c>
      <c r="C83" s="891">
        <f t="shared" si="47"/>
        <v>1</v>
      </c>
      <c r="D83" s="892" t="str">
        <f t="shared" si="61"/>
        <v>5. SEÑALIZACION Y SEGURIDAD VIAL</v>
      </c>
      <c r="E83" s="937">
        <v>66</v>
      </c>
      <c r="F83" s="768" t="s">
        <v>579</v>
      </c>
      <c r="G83" s="771" t="s">
        <v>575</v>
      </c>
      <c r="H83" s="36">
        <v>2</v>
      </c>
      <c r="I83" s="765">
        <v>4225.3900000000003</v>
      </c>
      <c r="J83" s="66">
        <f t="shared" si="49"/>
        <v>8450.7800000000007</v>
      </c>
      <c r="K83" s="36">
        <f>+'Cant. Ejec,'!K75</f>
        <v>0</v>
      </c>
      <c r="L83" s="71">
        <f t="shared" si="50"/>
        <v>0</v>
      </c>
      <c r="M83" s="1376">
        <f>+'Cant. Ejec,'!M75</f>
        <v>0</v>
      </c>
      <c r="N83" s="1382">
        <f t="shared" si="51"/>
        <v>0</v>
      </c>
      <c r="O83" s="61">
        <f t="shared" si="62"/>
        <v>0</v>
      </c>
      <c r="P83" s="896">
        <f t="shared" si="60"/>
        <v>0</v>
      </c>
      <c r="Q83" s="61">
        <f t="shared" si="54"/>
        <v>2</v>
      </c>
      <c r="R83" s="896">
        <f t="shared" si="55"/>
        <v>8450.7800000000007</v>
      </c>
      <c r="S83" s="792">
        <f t="shared" si="56"/>
        <v>0</v>
      </c>
      <c r="T83" s="792">
        <f t="shared" si="57"/>
        <v>0</v>
      </c>
      <c r="U83" s="795">
        <f t="shared" si="58"/>
        <v>1</v>
      </c>
      <c r="V83" s="900">
        <f t="shared" si="59"/>
        <v>0</v>
      </c>
      <c r="W83" s="306" t="str">
        <f t="shared" si="44"/>
        <v>ok</v>
      </c>
      <c r="Y83" s="753">
        <f t="shared" si="63"/>
        <v>-2</v>
      </c>
    </row>
    <row r="84" spans="1:25" ht="15" customHeight="1">
      <c r="A84" s="888">
        <f t="shared" si="45"/>
        <v>0</v>
      </c>
      <c r="B84" s="889">
        <f t="shared" si="46"/>
        <v>0</v>
      </c>
      <c r="C84" s="891">
        <f t="shared" si="47"/>
        <v>1</v>
      </c>
      <c r="D84" s="892" t="str">
        <f t="shared" si="61"/>
        <v>5. SEÑALIZACION Y SEGURIDAD VIAL</v>
      </c>
      <c r="E84" s="937">
        <v>67</v>
      </c>
      <c r="F84" s="768" t="s">
        <v>580</v>
      </c>
      <c r="G84" s="771" t="s">
        <v>575</v>
      </c>
      <c r="H84" s="36">
        <v>6</v>
      </c>
      <c r="I84" s="765">
        <v>3521.48</v>
      </c>
      <c r="J84" s="66">
        <f t="shared" si="49"/>
        <v>21128.880000000001</v>
      </c>
      <c r="K84" s="36">
        <f>+'Cant. Ejec,'!K76</f>
        <v>0</v>
      </c>
      <c r="L84" s="71">
        <f t="shared" si="50"/>
        <v>0</v>
      </c>
      <c r="M84" s="1376">
        <f>+'Cant. Ejec,'!M76</f>
        <v>0</v>
      </c>
      <c r="N84" s="1382">
        <f t="shared" si="51"/>
        <v>0</v>
      </c>
      <c r="O84" s="61">
        <f t="shared" si="62"/>
        <v>0</v>
      </c>
      <c r="P84" s="896">
        <f t="shared" si="60"/>
        <v>0</v>
      </c>
      <c r="Q84" s="61">
        <f t="shared" si="54"/>
        <v>6</v>
      </c>
      <c r="R84" s="896">
        <f t="shared" si="55"/>
        <v>21128.880000000001</v>
      </c>
      <c r="S84" s="792">
        <f t="shared" si="56"/>
        <v>0</v>
      </c>
      <c r="T84" s="792">
        <f t="shared" si="57"/>
        <v>0</v>
      </c>
      <c r="U84" s="795">
        <f t="shared" si="58"/>
        <v>1</v>
      </c>
      <c r="V84" s="900">
        <f t="shared" si="59"/>
        <v>0</v>
      </c>
      <c r="W84" s="306" t="str">
        <f t="shared" si="44"/>
        <v>ok</v>
      </c>
      <c r="Y84" s="753">
        <f t="shared" si="63"/>
        <v>-6</v>
      </c>
    </row>
    <row r="85" spans="1:25" ht="15" customHeight="1">
      <c r="A85" s="888">
        <f t="shared" si="45"/>
        <v>0</v>
      </c>
      <c r="B85" s="889">
        <f t="shared" si="46"/>
        <v>0</v>
      </c>
      <c r="C85" s="891">
        <f t="shared" si="47"/>
        <v>1</v>
      </c>
      <c r="D85" s="892" t="str">
        <f t="shared" si="61"/>
        <v>5. SEÑALIZACION Y SEGURIDAD VIAL</v>
      </c>
      <c r="E85" s="937">
        <v>68</v>
      </c>
      <c r="F85" s="768" t="s">
        <v>581</v>
      </c>
      <c r="G85" s="771" t="s">
        <v>575</v>
      </c>
      <c r="H85" s="36">
        <v>4</v>
      </c>
      <c r="I85" s="765">
        <v>5040.4399999999996</v>
      </c>
      <c r="J85" s="66">
        <f t="shared" si="49"/>
        <v>20161.759999999998</v>
      </c>
      <c r="K85" s="36">
        <f>+'Cant. Ejec,'!K77</f>
        <v>0</v>
      </c>
      <c r="L85" s="71">
        <f t="shared" si="50"/>
        <v>0</v>
      </c>
      <c r="M85" s="1376">
        <f>+'Cant. Ejec,'!M77</f>
        <v>0</v>
      </c>
      <c r="N85" s="1382">
        <f t="shared" si="51"/>
        <v>0</v>
      </c>
      <c r="O85" s="61">
        <f t="shared" si="62"/>
        <v>0</v>
      </c>
      <c r="P85" s="896">
        <f t="shared" si="60"/>
        <v>0</v>
      </c>
      <c r="Q85" s="61">
        <f t="shared" si="54"/>
        <v>4</v>
      </c>
      <c r="R85" s="896">
        <f t="shared" si="55"/>
        <v>20161.759999999998</v>
      </c>
      <c r="S85" s="792">
        <f t="shared" si="56"/>
        <v>0</v>
      </c>
      <c r="T85" s="792">
        <f t="shared" si="57"/>
        <v>0</v>
      </c>
      <c r="U85" s="795">
        <f t="shared" si="58"/>
        <v>1</v>
      </c>
      <c r="V85" s="900">
        <f t="shared" si="59"/>
        <v>0</v>
      </c>
      <c r="W85" s="306" t="str">
        <f t="shared" si="44"/>
        <v>ok</v>
      </c>
      <c r="X85" s="19">
        <v>12495</v>
      </c>
      <c r="Y85" s="753">
        <f t="shared" si="63"/>
        <v>12491</v>
      </c>
    </row>
    <row r="86" spans="1:25" ht="15" customHeight="1">
      <c r="A86" s="888">
        <f t="shared" si="45"/>
        <v>0</v>
      </c>
      <c r="B86" s="889">
        <f t="shared" si="46"/>
        <v>0</v>
      </c>
      <c r="C86" s="891">
        <f t="shared" si="47"/>
        <v>1</v>
      </c>
      <c r="D86" s="892" t="str">
        <f t="shared" si="61"/>
        <v>5. SEÑALIZACION Y SEGURIDAD VIAL</v>
      </c>
      <c r="E86" s="937">
        <v>69</v>
      </c>
      <c r="F86" s="768" t="s">
        <v>582</v>
      </c>
      <c r="G86" s="771" t="s">
        <v>575</v>
      </c>
      <c r="H86" s="36">
        <v>1</v>
      </c>
      <c r="I86" s="765">
        <v>5892.53</v>
      </c>
      <c r="J86" s="66">
        <f t="shared" si="49"/>
        <v>5892.53</v>
      </c>
      <c r="K86" s="36">
        <f>+'Cant. Ejec,'!K78</f>
        <v>0</v>
      </c>
      <c r="L86" s="71">
        <f t="shared" si="50"/>
        <v>0</v>
      </c>
      <c r="M86" s="1376">
        <f>+'Cant. Ejec,'!M78</f>
        <v>0</v>
      </c>
      <c r="N86" s="1382">
        <f t="shared" si="51"/>
        <v>0</v>
      </c>
      <c r="O86" s="61">
        <f t="shared" si="62"/>
        <v>0</v>
      </c>
      <c r="P86" s="896">
        <f t="shared" si="60"/>
        <v>0</v>
      </c>
      <c r="Q86" s="61">
        <f t="shared" si="54"/>
        <v>1</v>
      </c>
      <c r="R86" s="896">
        <f t="shared" si="55"/>
        <v>5892.53</v>
      </c>
      <c r="S86" s="792">
        <f t="shared" si="56"/>
        <v>0</v>
      </c>
      <c r="T86" s="792">
        <f t="shared" si="57"/>
        <v>0</v>
      </c>
      <c r="U86" s="795">
        <f t="shared" si="58"/>
        <v>1</v>
      </c>
      <c r="V86" s="900">
        <f t="shared" si="59"/>
        <v>0</v>
      </c>
      <c r="W86" s="306" t="str">
        <f t="shared" si="44"/>
        <v>ok</v>
      </c>
      <c r="X86" s="19">
        <v>7064.4</v>
      </c>
      <c r="Y86" s="753">
        <f t="shared" si="63"/>
        <v>7063.4</v>
      </c>
    </row>
    <row r="87" spans="1:25" ht="15" customHeight="1">
      <c r="A87" s="888">
        <f t="shared" si="45"/>
        <v>0</v>
      </c>
      <c r="B87" s="889">
        <f t="shared" si="46"/>
        <v>0</v>
      </c>
      <c r="C87" s="891">
        <f t="shared" si="47"/>
        <v>1</v>
      </c>
      <c r="D87" s="892" t="str">
        <f t="shared" si="61"/>
        <v>5. SEÑALIZACION Y SEGURIDAD VIAL</v>
      </c>
      <c r="E87" s="937">
        <v>70</v>
      </c>
      <c r="F87" s="768" t="s">
        <v>583</v>
      </c>
      <c r="G87" s="771" t="s">
        <v>575</v>
      </c>
      <c r="H87" s="36">
        <v>8</v>
      </c>
      <c r="I87" s="765">
        <v>5216.41</v>
      </c>
      <c r="J87" s="66">
        <f t="shared" si="49"/>
        <v>41731.279999999999</v>
      </c>
      <c r="K87" s="36">
        <f>+'Cant. Ejec,'!K79</f>
        <v>0</v>
      </c>
      <c r="L87" s="71">
        <f t="shared" si="50"/>
        <v>0</v>
      </c>
      <c r="M87" s="1376">
        <f>+'Cant. Ejec,'!M79</f>
        <v>0</v>
      </c>
      <c r="N87" s="1382">
        <f t="shared" si="51"/>
        <v>0</v>
      </c>
      <c r="O87" s="61">
        <f t="shared" si="62"/>
        <v>0</v>
      </c>
      <c r="P87" s="896">
        <f t="shared" si="60"/>
        <v>0</v>
      </c>
      <c r="Q87" s="61">
        <f t="shared" si="54"/>
        <v>8</v>
      </c>
      <c r="R87" s="896">
        <f t="shared" si="55"/>
        <v>41731.279999999999</v>
      </c>
      <c r="S87" s="792">
        <f t="shared" si="56"/>
        <v>0</v>
      </c>
      <c r="T87" s="792">
        <f t="shared" si="57"/>
        <v>0</v>
      </c>
      <c r="U87" s="795">
        <f t="shared" si="58"/>
        <v>1</v>
      </c>
      <c r="V87" s="900">
        <f t="shared" si="59"/>
        <v>0</v>
      </c>
      <c r="W87" s="306" t="str">
        <f t="shared" si="44"/>
        <v>ok</v>
      </c>
      <c r="Y87" s="753">
        <f t="shared" si="63"/>
        <v>-8</v>
      </c>
    </row>
    <row r="88" spans="1:25" ht="15" customHeight="1">
      <c r="A88" s="888">
        <f t="shared" si="45"/>
        <v>0</v>
      </c>
      <c r="B88" s="889">
        <f t="shared" si="46"/>
        <v>0</v>
      </c>
      <c r="C88" s="891">
        <f t="shared" si="47"/>
        <v>1</v>
      </c>
      <c r="D88" s="892" t="str">
        <f t="shared" si="61"/>
        <v>5. SEÑALIZACION Y SEGURIDAD VIAL</v>
      </c>
      <c r="E88" s="937">
        <v>71</v>
      </c>
      <c r="F88" s="768" t="s">
        <v>584</v>
      </c>
      <c r="G88" s="771" t="s">
        <v>575</v>
      </c>
      <c r="H88" s="36">
        <v>22</v>
      </c>
      <c r="I88" s="765">
        <v>2141.4499999999998</v>
      </c>
      <c r="J88" s="66">
        <f t="shared" si="49"/>
        <v>47111.9</v>
      </c>
      <c r="K88" s="36">
        <f>+'Cant. Ejec,'!K80</f>
        <v>0</v>
      </c>
      <c r="L88" s="71">
        <f t="shared" si="50"/>
        <v>0</v>
      </c>
      <c r="M88" s="1376">
        <f>+'Cant. Ejec,'!M80</f>
        <v>0</v>
      </c>
      <c r="N88" s="1382">
        <f t="shared" si="51"/>
        <v>0</v>
      </c>
      <c r="O88" s="61">
        <f t="shared" si="62"/>
        <v>0</v>
      </c>
      <c r="P88" s="896">
        <f t="shared" si="60"/>
        <v>0</v>
      </c>
      <c r="Q88" s="61">
        <f t="shared" si="54"/>
        <v>22</v>
      </c>
      <c r="R88" s="896">
        <f t="shared" si="55"/>
        <v>47111.9</v>
      </c>
      <c r="S88" s="792">
        <f t="shared" si="56"/>
        <v>0</v>
      </c>
      <c r="T88" s="792">
        <f t="shared" si="57"/>
        <v>0</v>
      </c>
      <c r="U88" s="795">
        <f t="shared" si="58"/>
        <v>1</v>
      </c>
      <c r="V88" s="900">
        <f t="shared" si="59"/>
        <v>0</v>
      </c>
      <c r="W88" s="306" t="str">
        <f t="shared" si="44"/>
        <v>ok</v>
      </c>
      <c r="Y88" s="753">
        <f t="shared" si="63"/>
        <v>-22</v>
      </c>
    </row>
    <row r="89" spans="1:25" ht="15" customHeight="1">
      <c r="A89" s="888">
        <f t="shared" si="45"/>
        <v>0</v>
      </c>
      <c r="B89" s="889">
        <f t="shared" si="46"/>
        <v>0</v>
      </c>
      <c r="C89" s="891">
        <f t="shared" si="47"/>
        <v>1</v>
      </c>
      <c r="D89" s="892" t="str">
        <f t="shared" si="61"/>
        <v>5. SEÑALIZACION Y SEGURIDAD VIAL</v>
      </c>
      <c r="E89" s="937">
        <v>72</v>
      </c>
      <c r="F89" s="768" t="s">
        <v>585</v>
      </c>
      <c r="G89" s="771" t="s">
        <v>575</v>
      </c>
      <c r="H89" s="36">
        <v>16875</v>
      </c>
      <c r="I89" s="765">
        <v>52.22</v>
      </c>
      <c r="J89" s="66">
        <f t="shared" si="49"/>
        <v>881212.5</v>
      </c>
      <c r="K89" s="36">
        <f>+'Cant. Ejec,'!K81</f>
        <v>0</v>
      </c>
      <c r="L89" s="71">
        <f t="shared" si="50"/>
        <v>0</v>
      </c>
      <c r="M89" s="1376">
        <f>+'Cant. Ejec,'!M81</f>
        <v>0</v>
      </c>
      <c r="N89" s="1382">
        <f t="shared" si="51"/>
        <v>0</v>
      </c>
      <c r="O89" s="61">
        <f t="shared" si="62"/>
        <v>0</v>
      </c>
      <c r="P89" s="896">
        <f t="shared" si="60"/>
        <v>0</v>
      </c>
      <c r="Q89" s="61">
        <f t="shared" si="54"/>
        <v>16875</v>
      </c>
      <c r="R89" s="896">
        <f t="shared" si="55"/>
        <v>881212.5</v>
      </c>
      <c r="S89" s="792">
        <f t="shared" si="56"/>
        <v>0</v>
      </c>
      <c r="T89" s="792">
        <f t="shared" si="57"/>
        <v>0</v>
      </c>
      <c r="U89" s="795">
        <f t="shared" si="58"/>
        <v>1</v>
      </c>
      <c r="V89" s="900">
        <f t="shared" si="59"/>
        <v>0</v>
      </c>
      <c r="W89" s="306" t="str">
        <f t="shared" si="44"/>
        <v>ok</v>
      </c>
      <c r="X89" s="19">
        <v>69.53</v>
      </c>
      <c r="Y89" s="753">
        <f t="shared" si="63"/>
        <v>-16805.47</v>
      </c>
    </row>
    <row r="90" spans="1:25" ht="15" customHeight="1">
      <c r="A90" s="888">
        <f t="shared" si="45"/>
        <v>0</v>
      </c>
      <c r="B90" s="889">
        <f t="shared" si="46"/>
        <v>0</v>
      </c>
      <c r="C90" s="891">
        <f t="shared" si="47"/>
        <v>1</v>
      </c>
      <c r="D90" s="892" t="str">
        <f t="shared" si="61"/>
        <v>5. SEÑALIZACION Y SEGURIDAD VIAL</v>
      </c>
      <c r="E90" s="937">
        <v>73</v>
      </c>
      <c r="F90" s="768" t="s">
        <v>586</v>
      </c>
      <c r="G90" s="771" t="s">
        <v>291</v>
      </c>
      <c r="H90" s="36">
        <v>109</v>
      </c>
      <c r="I90" s="765">
        <v>56.7</v>
      </c>
      <c r="J90" s="66">
        <f t="shared" si="49"/>
        <v>6180.3</v>
      </c>
      <c r="K90" s="36">
        <f>+'Cant. Ejec,'!K82</f>
        <v>0</v>
      </c>
      <c r="L90" s="71">
        <f t="shared" si="50"/>
        <v>0</v>
      </c>
      <c r="M90" s="1376">
        <f>+'Cant. Ejec,'!M82</f>
        <v>0</v>
      </c>
      <c r="N90" s="1380">
        <f t="shared" si="51"/>
        <v>0</v>
      </c>
      <c r="O90" s="61">
        <f t="shared" si="62"/>
        <v>0</v>
      </c>
      <c r="P90" s="896">
        <f t="shared" si="60"/>
        <v>0</v>
      </c>
      <c r="Q90" s="61">
        <f t="shared" si="54"/>
        <v>109</v>
      </c>
      <c r="R90" s="896">
        <f t="shared" si="55"/>
        <v>6180.3</v>
      </c>
      <c r="S90" s="932">
        <f t="shared" si="56"/>
        <v>0</v>
      </c>
      <c r="T90" s="932">
        <f t="shared" si="57"/>
        <v>0</v>
      </c>
      <c r="U90" s="933">
        <f t="shared" si="58"/>
        <v>1</v>
      </c>
      <c r="V90" s="900">
        <f t="shared" si="59"/>
        <v>0</v>
      </c>
      <c r="W90" s="306" t="str">
        <f t="shared" si="44"/>
        <v>ok</v>
      </c>
      <c r="X90" s="19">
        <v>296433.56999999995</v>
      </c>
      <c r="Y90" s="753">
        <f t="shared" si="63"/>
        <v>296324.56999999995</v>
      </c>
    </row>
    <row r="91" spans="1:25" ht="13.5" customHeight="1">
      <c r="A91" s="888">
        <f t="shared" si="45"/>
        <v>0</v>
      </c>
      <c r="B91" s="889">
        <f t="shared" si="46"/>
        <v>0</v>
      </c>
      <c r="C91" s="891">
        <f t="shared" si="47"/>
        <v>1</v>
      </c>
      <c r="D91" s="892"/>
      <c r="E91" s="948"/>
      <c r="F91" s="949" t="s">
        <v>447</v>
      </c>
      <c r="G91" s="950"/>
      <c r="H91" s="951"/>
      <c r="I91" s="952"/>
      <c r="J91" s="953">
        <f>SUM(J75:J90)</f>
        <v>12064327.41</v>
      </c>
      <c r="K91" s="954"/>
      <c r="L91" s="953">
        <f>SUM(L75:L90)</f>
        <v>0</v>
      </c>
      <c r="M91" s="955"/>
      <c r="N91" s="953">
        <f>SUM(N75:N90)</f>
        <v>0</v>
      </c>
      <c r="O91" s="954"/>
      <c r="P91" s="953">
        <f>SUM(P75:P90)</f>
        <v>0</v>
      </c>
      <c r="Q91" s="955"/>
      <c r="R91" s="953">
        <f>SUM(R75:R90)</f>
        <v>12064327.41</v>
      </c>
      <c r="S91" s="976">
        <f t="shared" si="56"/>
        <v>0</v>
      </c>
      <c r="T91" s="1076">
        <f t="shared" si="57"/>
        <v>0</v>
      </c>
      <c r="U91" s="1079">
        <f t="shared" si="58"/>
        <v>1</v>
      </c>
      <c r="V91" s="900">
        <f t="shared" si="59"/>
        <v>0</v>
      </c>
      <c r="W91" s="306" t="str">
        <f t="shared" si="44"/>
        <v>ok</v>
      </c>
      <c r="X91" s="19">
        <v>153499.76</v>
      </c>
      <c r="Y91" s="753">
        <f t="shared" si="63"/>
        <v>153499.76</v>
      </c>
    </row>
    <row r="92" spans="1:25" ht="13.5" customHeight="1">
      <c r="A92" s="888">
        <f t="shared" si="45"/>
        <v>0</v>
      </c>
      <c r="B92" s="889">
        <f t="shared" si="46"/>
        <v>0</v>
      </c>
      <c r="C92" s="891">
        <f t="shared" si="47"/>
        <v>1</v>
      </c>
      <c r="D92" s="892"/>
      <c r="E92" s="938">
        <v>6</v>
      </c>
      <c r="F92" s="914" t="s">
        <v>451</v>
      </c>
      <c r="G92" s="911"/>
      <c r="H92" s="912"/>
      <c r="I92" s="912"/>
      <c r="J92" s="912"/>
      <c r="K92" s="894"/>
      <c r="L92" s="894"/>
      <c r="M92" s="894"/>
      <c r="N92" s="894"/>
      <c r="O92" s="894"/>
      <c r="P92" s="894"/>
      <c r="Q92" s="894"/>
      <c r="R92" s="894"/>
      <c r="S92" s="894"/>
      <c r="T92" s="894"/>
      <c r="U92" s="913"/>
      <c r="V92" s="900">
        <f t="shared" si="59"/>
        <v>1</v>
      </c>
      <c r="W92" s="306" t="str">
        <f t="shared" si="44"/>
        <v>ok</v>
      </c>
      <c r="Y92" s="753"/>
    </row>
    <row r="93" spans="1:25" ht="15" customHeight="1">
      <c r="A93" s="888">
        <f t="shared" si="45"/>
        <v>0</v>
      </c>
      <c r="B93" s="889">
        <f t="shared" si="46"/>
        <v>0</v>
      </c>
      <c r="C93" s="891">
        <f t="shared" si="47"/>
        <v>1</v>
      </c>
      <c r="D93" s="892" t="str">
        <f t="shared" si="48"/>
        <v>6. MEDIDAS DE MITIGACION AMBIENTAL</v>
      </c>
      <c r="E93" s="937">
        <v>74</v>
      </c>
      <c r="F93" s="768" t="s">
        <v>451</v>
      </c>
      <c r="G93" s="771" t="s">
        <v>293</v>
      </c>
      <c r="H93" s="36">
        <v>1</v>
      </c>
      <c r="I93" s="765">
        <v>1018905.14</v>
      </c>
      <c r="J93" s="66">
        <f>ROUND(H93*I93,2)</f>
        <v>1018905.14</v>
      </c>
      <c r="K93" s="36">
        <f>+'Cant. Ejec,'!K84</f>
        <v>0.04</v>
      </c>
      <c r="L93" s="71">
        <f>+ROUND(K93*I93,2)</f>
        <v>40756.21</v>
      </c>
      <c r="M93" s="1376">
        <f>+'Cant. Ejec,'!M84</f>
        <v>0</v>
      </c>
      <c r="N93" s="1383">
        <f>+ROUND(I93*M93,2)</f>
        <v>0</v>
      </c>
      <c r="O93" s="61">
        <f t="shared" ref="O93" si="64">K93+M93</f>
        <v>0.04</v>
      </c>
      <c r="P93" s="896">
        <f t="shared" ref="P93" si="65">L93+N93</f>
        <v>40756.21</v>
      </c>
      <c r="Q93" s="61">
        <f>H93-O93</f>
        <v>0.96</v>
      </c>
      <c r="R93" s="896">
        <f>+J93-P93</f>
        <v>978148.93</v>
      </c>
      <c r="S93" s="932">
        <f t="shared" ref="S93:S94" si="66">(N93/J93)</f>
        <v>0</v>
      </c>
      <c r="T93" s="932">
        <f t="shared" ref="T93:T94" si="67">(P93/J93)</f>
        <v>4.0000004318360781E-2</v>
      </c>
      <c r="U93" s="933">
        <f t="shared" ref="U93:U94" si="68">(R93/J93)</f>
        <v>0.9599999956816393</v>
      </c>
      <c r="V93" s="900">
        <f t="shared" si="59"/>
        <v>4.0000004318360705E-2</v>
      </c>
      <c r="W93" s="306" t="str">
        <f t="shared" si="44"/>
        <v>ok</v>
      </c>
      <c r="Y93" s="753"/>
    </row>
    <row r="94" spans="1:25" ht="13.5" customHeight="1">
      <c r="A94" s="888">
        <f t="shared" si="45"/>
        <v>0</v>
      </c>
      <c r="B94" s="889">
        <f t="shared" si="46"/>
        <v>0</v>
      </c>
      <c r="C94" s="891">
        <f t="shared" si="47"/>
        <v>1</v>
      </c>
      <c r="D94" s="892"/>
      <c r="E94" s="948"/>
      <c r="F94" s="949" t="s">
        <v>447</v>
      </c>
      <c r="G94" s="950"/>
      <c r="H94" s="951"/>
      <c r="I94" s="952"/>
      <c r="J94" s="953">
        <f>SUM(J93)</f>
        <v>1018905.14</v>
      </c>
      <c r="K94" s="954"/>
      <c r="L94" s="953">
        <f>SUM(L93)</f>
        <v>40756.21</v>
      </c>
      <c r="M94" s="955"/>
      <c r="N94" s="953">
        <f>SUM(N93)</f>
        <v>0</v>
      </c>
      <c r="O94" s="954"/>
      <c r="P94" s="953">
        <f>SUM(P93)</f>
        <v>40756.21</v>
      </c>
      <c r="Q94" s="955"/>
      <c r="R94" s="953">
        <f>SUM(R93)</f>
        <v>978148.93</v>
      </c>
      <c r="S94" s="976">
        <f t="shared" si="66"/>
        <v>0</v>
      </c>
      <c r="T94" s="1076">
        <f t="shared" si="67"/>
        <v>4.0000004318360781E-2</v>
      </c>
      <c r="U94" s="1079">
        <f t="shared" si="68"/>
        <v>0.9599999956816393</v>
      </c>
      <c r="V94" s="900">
        <f t="shared" si="59"/>
        <v>4.0000004318360705E-2</v>
      </c>
      <c r="W94" s="306" t="str">
        <f t="shared" si="44"/>
        <v>ok</v>
      </c>
      <c r="Y94" s="753"/>
    </row>
    <row r="95" spans="1:25" ht="13.5" customHeight="1">
      <c r="A95" s="888">
        <f t="shared" si="45"/>
        <v>0</v>
      </c>
      <c r="B95" s="889">
        <f t="shared" si="46"/>
        <v>0</v>
      </c>
      <c r="C95" s="891">
        <f t="shared" si="47"/>
        <v>1</v>
      </c>
      <c r="D95" s="892"/>
      <c r="E95" s="938">
        <v>7</v>
      </c>
      <c r="F95" s="914" t="s">
        <v>587</v>
      </c>
      <c r="G95" s="911"/>
      <c r="H95" s="912"/>
      <c r="I95" s="912"/>
      <c r="J95" s="912"/>
      <c r="K95" s="894"/>
      <c r="L95" s="894"/>
      <c r="M95" s="894"/>
      <c r="N95" s="894"/>
      <c r="O95" s="894"/>
      <c r="P95" s="894"/>
      <c r="Q95" s="894"/>
      <c r="R95" s="894"/>
      <c r="S95" s="894"/>
      <c r="T95" s="894"/>
      <c r="U95" s="913"/>
      <c r="V95" s="900">
        <f t="shared" si="59"/>
        <v>1</v>
      </c>
      <c r="W95" s="306" t="str">
        <f t="shared" si="44"/>
        <v>ok</v>
      </c>
      <c r="Y95" s="753"/>
    </row>
    <row r="96" spans="1:25" ht="15" customHeight="1">
      <c r="A96" s="888">
        <f t="shared" si="45"/>
        <v>0</v>
      </c>
      <c r="B96" s="889">
        <f t="shared" si="46"/>
        <v>0</v>
      </c>
      <c r="C96" s="891">
        <f t="shared" si="47"/>
        <v>1</v>
      </c>
      <c r="D96" s="892" t="str">
        <f t="shared" si="48"/>
        <v>7. SERVICIOS PARA EL INGENIERO</v>
      </c>
      <c r="E96" s="937">
        <v>75</v>
      </c>
      <c r="F96" s="768" t="s">
        <v>588</v>
      </c>
      <c r="G96" s="771" t="s">
        <v>449</v>
      </c>
      <c r="H96" s="36">
        <v>11316.9</v>
      </c>
      <c r="I96" s="765">
        <v>49.55</v>
      </c>
      <c r="J96" s="66">
        <f t="shared" ref="J96:J101" si="69">ROUND(H96*I96,2)</f>
        <v>560752.4</v>
      </c>
      <c r="K96" s="36">
        <f>+'Cant. Ejec,'!K86</f>
        <v>0</v>
      </c>
      <c r="L96" s="71">
        <f t="shared" ref="L96:L101" si="70">+ROUND(K96*I96,2)</f>
        <v>0</v>
      </c>
      <c r="M96" s="1376">
        <f>+'Cant. Ejec,'!M86</f>
        <v>0</v>
      </c>
      <c r="N96" s="1375">
        <f t="shared" ref="N96:N101" si="71">+ROUND(I96*M96,2)</f>
        <v>0</v>
      </c>
      <c r="O96" s="61">
        <f t="shared" ref="O96:O101" si="72">K96+M96</f>
        <v>0</v>
      </c>
      <c r="P96" s="896">
        <f t="shared" ref="P96:P101" si="73">L96+N96</f>
        <v>0</v>
      </c>
      <c r="Q96" s="61">
        <f t="shared" ref="Q96:Q101" si="74">H96-O96</f>
        <v>11316.9</v>
      </c>
      <c r="R96" s="896">
        <f t="shared" ref="R96:R101" si="75">+J96-P96</f>
        <v>560752.4</v>
      </c>
      <c r="S96" s="792">
        <f t="shared" ref="S96:S102" si="76">(N96/J96)</f>
        <v>0</v>
      </c>
      <c r="T96" s="792">
        <f t="shared" ref="T96:T101" si="77">(P96/J96)</f>
        <v>0</v>
      </c>
      <c r="U96" s="795">
        <f t="shared" ref="U96:U102" si="78">(R96/J96)</f>
        <v>1</v>
      </c>
      <c r="V96" s="900">
        <f t="shared" si="59"/>
        <v>0</v>
      </c>
      <c r="W96" s="306" t="str">
        <f t="shared" si="44"/>
        <v>ok</v>
      </c>
      <c r="Y96" s="753"/>
    </row>
    <row r="97" spans="1:25" ht="15" customHeight="1">
      <c r="A97" s="888">
        <f t="shared" si="45"/>
        <v>0</v>
      </c>
      <c r="B97" s="889">
        <f t="shared" si="46"/>
        <v>0</v>
      </c>
      <c r="C97" s="891">
        <f t="shared" si="47"/>
        <v>1</v>
      </c>
      <c r="D97" s="892" t="str">
        <f>+D96</f>
        <v>7. SERVICIOS PARA EL INGENIERO</v>
      </c>
      <c r="E97" s="937">
        <v>76</v>
      </c>
      <c r="F97" s="768" t="s">
        <v>589</v>
      </c>
      <c r="G97" s="771" t="s">
        <v>575</v>
      </c>
      <c r="H97" s="36">
        <v>1</v>
      </c>
      <c r="I97" s="765">
        <v>527727.62</v>
      </c>
      <c r="J97" s="66">
        <f t="shared" si="69"/>
        <v>527727.62</v>
      </c>
      <c r="K97" s="36">
        <f>+'Cant. Ejec,'!K87</f>
        <v>0</v>
      </c>
      <c r="L97" s="71">
        <f t="shared" si="70"/>
        <v>0</v>
      </c>
      <c r="M97" s="1376">
        <f>+'Cant. Ejec,'!M87</f>
        <v>0</v>
      </c>
      <c r="N97" s="1382">
        <f t="shared" si="71"/>
        <v>0</v>
      </c>
      <c r="O97" s="61">
        <f t="shared" si="72"/>
        <v>0</v>
      </c>
      <c r="P97" s="896">
        <f t="shared" si="73"/>
        <v>0</v>
      </c>
      <c r="Q97" s="61">
        <f t="shared" si="74"/>
        <v>1</v>
      </c>
      <c r="R97" s="896">
        <f t="shared" si="75"/>
        <v>527727.62</v>
      </c>
      <c r="S97" s="792">
        <f t="shared" si="76"/>
        <v>0</v>
      </c>
      <c r="T97" s="792">
        <f t="shared" si="77"/>
        <v>0</v>
      </c>
      <c r="U97" s="795">
        <f t="shared" si="78"/>
        <v>1</v>
      </c>
      <c r="V97" s="900">
        <f t="shared" si="59"/>
        <v>0</v>
      </c>
      <c r="W97" s="306" t="str">
        <f t="shared" si="44"/>
        <v>ok</v>
      </c>
      <c r="Y97" s="753"/>
    </row>
    <row r="98" spans="1:25" ht="15" customHeight="1">
      <c r="A98" s="888">
        <f t="shared" si="45"/>
        <v>0</v>
      </c>
      <c r="B98" s="889">
        <f t="shared" si="46"/>
        <v>0</v>
      </c>
      <c r="C98" s="891">
        <f t="shared" si="47"/>
        <v>1</v>
      </c>
      <c r="D98" s="892" t="str">
        <f t="shared" ref="D98:D101" si="79">+D97</f>
        <v>7. SERVICIOS PARA EL INGENIERO</v>
      </c>
      <c r="E98" s="937">
        <v>77</v>
      </c>
      <c r="F98" s="768" t="s">
        <v>590</v>
      </c>
      <c r="G98" s="771" t="s">
        <v>575</v>
      </c>
      <c r="H98" s="36">
        <v>2</v>
      </c>
      <c r="I98" s="765">
        <v>277857.94</v>
      </c>
      <c r="J98" s="66">
        <f t="shared" si="69"/>
        <v>555715.88</v>
      </c>
      <c r="K98" s="36">
        <f>+'Cant. Ejec,'!K88</f>
        <v>0</v>
      </c>
      <c r="L98" s="71">
        <f t="shared" si="70"/>
        <v>0</v>
      </c>
      <c r="M98" s="1376">
        <f>+'Cant. Ejec,'!M88</f>
        <v>0</v>
      </c>
      <c r="N98" s="1382">
        <f t="shared" si="71"/>
        <v>0</v>
      </c>
      <c r="O98" s="61">
        <f t="shared" si="72"/>
        <v>0</v>
      </c>
      <c r="P98" s="896">
        <f t="shared" si="73"/>
        <v>0</v>
      </c>
      <c r="Q98" s="61">
        <f t="shared" si="74"/>
        <v>2</v>
      </c>
      <c r="R98" s="896">
        <f t="shared" si="75"/>
        <v>555715.88</v>
      </c>
      <c r="S98" s="792">
        <f t="shared" si="76"/>
        <v>0</v>
      </c>
      <c r="T98" s="792">
        <f t="shared" si="77"/>
        <v>0</v>
      </c>
      <c r="U98" s="795">
        <f t="shared" si="78"/>
        <v>1</v>
      </c>
      <c r="V98" s="900">
        <f t="shared" si="59"/>
        <v>0</v>
      </c>
      <c r="W98" s="306" t="str">
        <f t="shared" si="44"/>
        <v>ok</v>
      </c>
      <c r="Y98" s="753"/>
    </row>
    <row r="99" spans="1:25" ht="15" customHeight="1">
      <c r="A99" s="888">
        <f t="shared" si="45"/>
        <v>0</v>
      </c>
      <c r="B99" s="889">
        <f t="shared" si="46"/>
        <v>0</v>
      </c>
      <c r="C99" s="891">
        <f t="shared" si="47"/>
        <v>1</v>
      </c>
      <c r="D99" s="892" t="str">
        <f t="shared" si="79"/>
        <v>7. SERVICIOS PARA EL INGENIERO</v>
      </c>
      <c r="E99" s="937">
        <v>78</v>
      </c>
      <c r="F99" s="768" t="s">
        <v>591</v>
      </c>
      <c r="G99" s="771" t="s">
        <v>450</v>
      </c>
      <c r="H99" s="36">
        <v>18</v>
      </c>
      <c r="I99" s="765">
        <v>1535.17</v>
      </c>
      <c r="J99" s="66">
        <f t="shared" si="69"/>
        <v>27633.06</v>
      </c>
      <c r="K99" s="36">
        <f>+'Cant. Ejec,'!K89</f>
        <v>0</v>
      </c>
      <c r="L99" s="71">
        <f t="shared" si="70"/>
        <v>0</v>
      </c>
      <c r="M99" s="1376">
        <f>+'Cant. Ejec,'!M89</f>
        <v>0</v>
      </c>
      <c r="N99" s="1382">
        <f t="shared" si="71"/>
        <v>0</v>
      </c>
      <c r="O99" s="61">
        <f t="shared" si="72"/>
        <v>0</v>
      </c>
      <c r="P99" s="896">
        <f t="shared" si="73"/>
        <v>0</v>
      </c>
      <c r="Q99" s="61">
        <f t="shared" si="74"/>
        <v>18</v>
      </c>
      <c r="R99" s="896">
        <f t="shared" si="75"/>
        <v>27633.06</v>
      </c>
      <c r="S99" s="792">
        <f t="shared" si="76"/>
        <v>0</v>
      </c>
      <c r="T99" s="792">
        <f t="shared" si="77"/>
        <v>0</v>
      </c>
      <c r="U99" s="795">
        <f t="shared" si="78"/>
        <v>1</v>
      </c>
      <c r="V99" s="900">
        <f t="shared" si="59"/>
        <v>0</v>
      </c>
      <c r="W99" s="306" t="str">
        <f t="shared" si="44"/>
        <v>ok</v>
      </c>
      <c r="Y99" s="753"/>
    </row>
    <row r="100" spans="1:25" ht="15" customHeight="1">
      <c r="A100" s="888">
        <f t="shared" si="45"/>
        <v>0</v>
      </c>
      <c r="B100" s="889">
        <f t="shared" si="46"/>
        <v>0</v>
      </c>
      <c r="C100" s="891">
        <f t="shared" si="47"/>
        <v>1</v>
      </c>
      <c r="D100" s="892" t="str">
        <f t="shared" si="79"/>
        <v>7. SERVICIOS PARA EL INGENIERO</v>
      </c>
      <c r="E100" s="937">
        <v>79</v>
      </c>
      <c r="F100" s="768" t="s">
        <v>592</v>
      </c>
      <c r="G100" s="771" t="s">
        <v>646</v>
      </c>
      <c r="H100" s="36">
        <v>33004.019999999997</v>
      </c>
      <c r="I100" s="765">
        <v>15.2</v>
      </c>
      <c r="J100" s="66">
        <f t="shared" si="69"/>
        <v>501661.1</v>
      </c>
      <c r="K100" s="36">
        <f>+'Cant. Ejec,'!K90</f>
        <v>0</v>
      </c>
      <c r="L100" s="71">
        <f t="shared" si="70"/>
        <v>0</v>
      </c>
      <c r="M100" s="1376">
        <f>+'Cant. Ejec,'!M90</f>
        <v>0</v>
      </c>
      <c r="N100" s="1382">
        <f t="shared" si="71"/>
        <v>0</v>
      </c>
      <c r="O100" s="61">
        <f t="shared" si="72"/>
        <v>0</v>
      </c>
      <c r="P100" s="896">
        <f t="shared" si="73"/>
        <v>0</v>
      </c>
      <c r="Q100" s="61">
        <f t="shared" si="74"/>
        <v>33004.019999999997</v>
      </c>
      <c r="R100" s="896">
        <f t="shared" si="75"/>
        <v>501661.1</v>
      </c>
      <c r="S100" s="792">
        <f>(N100/J100)</f>
        <v>0</v>
      </c>
      <c r="T100" s="792">
        <f>(P100/J100)</f>
        <v>0</v>
      </c>
      <c r="U100" s="795">
        <f t="shared" si="78"/>
        <v>1</v>
      </c>
      <c r="V100" s="900">
        <f t="shared" si="59"/>
        <v>0</v>
      </c>
      <c r="W100" s="306" t="str">
        <f t="shared" si="44"/>
        <v>ok</v>
      </c>
      <c r="Y100" s="753"/>
    </row>
    <row r="101" spans="1:25" ht="15" customHeight="1">
      <c r="A101" s="888">
        <f t="shared" si="45"/>
        <v>0</v>
      </c>
      <c r="B101" s="889">
        <f t="shared" si="46"/>
        <v>0</v>
      </c>
      <c r="C101" s="891">
        <f t="shared" si="47"/>
        <v>1</v>
      </c>
      <c r="D101" s="892" t="str">
        <f t="shared" si="79"/>
        <v>7. SERVICIOS PARA EL INGENIERO</v>
      </c>
      <c r="E101" s="937">
        <v>80</v>
      </c>
      <c r="F101" s="768" t="s">
        <v>593</v>
      </c>
      <c r="G101" s="771" t="s">
        <v>594</v>
      </c>
      <c r="H101" s="36">
        <v>540</v>
      </c>
      <c r="I101" s="765">
        <v>139.30000000000001</v>
      </c>
      <c r="J101" s="66">
        <f t="shared" si="69"/>
        <v>75222</v>
      </c>
      <c r="K101" s="36">
        <f>+'Cant. Ejec,'!K91</f>
        <v>0</v>
      </c>
      <c r="L101" s="71">
        <f t="shared" si="70"/>
        <v>0</v>
      </c>
      <c r="M101" s="1376">
        <f>+'Cant. Ejec,'!M91</f>
        <v>0</v>
      </c>
      <c r="N101" s="1380">
        <f t="shared" si="71"/>
        <v>0</v>
      </c>
      <c r="O101" s="61">
        <f t="shared" si="72"/>
        <v>0</v>
      </c>
      <c r="P101" s="896">
        <f t="shared" si="73"/>
        <v>0</v>
      </c>
      <c r="Q101" s="61">
        <f t="shared" si="74"/>
        <v>540</v>
      </c>
      <c r="R101" s="896">
        <f t="shared" si="75"/>
        <v>75222</v>
      </c>
      <c r="S101" s="932">
        <f t="shared" si="76"/>
        <v>0</v>
      </c>
      <c r="T101" s="932">
        <f t="shared" si="77"/>
        <v>0</v>
      </c>
      <c r="U101" s="933">
        <f t="shared" si="78"/>
        <v>1</v>
      </c>
      <c r="V101" s="900">
        <f t="shared" si="59"/>
        <v>0</v>
      </c>
      <c r="W101" s="306" t="str">
        <f t="shared" si="44"/>
        <v>ok</v>
      </c>
      <c r="Y101" s="753"/>
    </row>
    <row r="102" spans="1:25" ht="13.5" customHeight="1">
      <c r="A102" s="888"/>
      <c r="B102" s="889"/>
      <c r="C102" s="891"/>
      <c r="D102" s="892"/>
      <c r="E102" s="948"/>
      <c r="F102" s="949" t="s">
        <v>447</v>
      </c>
      <c r="G102" s="950"/>
      <c r="H102" s="951"/>
      <c r="I102" s="952"/>
      <c r="J102" s="953">
        <f>SUM(J96:J101)</f>
        <v>2248712.06</v>
      </c>
      <c r="K102" s="954"/>
      <c r="L102" s="953">
        <f>SUM(L96:L101)</f>
        <v>0</v>
      </c>
      <c r="M102" s="955"/>
      <c r="N102" s="953">
        <f>SUM(N96:N101)</f>
        <v>0</v>
      </c>
      <c r="O102" s="954"/>
      <c r="P102" s="953">
        <f>SUM(P96:P101)</f>
        <v>0</v>
      </c>
      <c r="Q102" s="955"/>
      <c r="R102" s="953">
        <f>SUM(R96:R101)</f>
        <v>2248712.06</v>
      </c>
      <c r="S102" s="976">
        <f t="shared" si="76"/>
        <v>0</v>
      </c>
      <c r="T102" s="1076">
        <f>(P102/J102)</f>
        <v>0</v>
      </c>
      <c r="U102" s="1079">
        <f t="shared" si="78"/>
        <v>1</v>
      </c>
      <c r="V102" s="900">
        <f t="shared" si="59"/>
        <v>0</v>
      </c>
      <c r="W102" s="306" t="str">
        <f t="shared" si="44"/>
        <v>ok</v>
      </c>
      <c r="Y102" s="753"/>
    </row>
    <row r="103" spans="1:25" ht="13.5" customHeight="1">
      <c r="A103" s="888"/>
      <c r="B103" s="889"/>
      <c r="C103" s="891"/>
      <c r="D103" s="892"/>
      <c r="E103" s="21"/>
      <c r="F103" s="623" t="s">
        <v>425</v>
      </c>
      <c r="G103" s="284"/>
      <c r="H103" s="624"/>
      <c r="I103" s="895"/>
      <c r="J103" s="770"/>
      <c r="K103" s="707"/>
      <c r="L103" s="707"/>
      <c r="M103" s="709"/>
      <c r="N103" s="707"/>
      <c r="O103" s="709"/>
      <c r="P103" s="915"/>
      <c r="Q103" s="916"/>
      <c r="R103" s="707"/>
      <c r="S103" s="710"/>
      <c r="T103" s="1074"/>
      <c r="U103" s="625"/>
      <c r="V103" s="900">
        <f t="shared" si="59"/>
        <v>1</v>
      </c>
      <c r="W103" s="306" t="str">
        <f t="shared" si="44"/>
        <v>ok</v>
      </c>
    </row>
    <row r="104" spans="1:25" s="77" customFormat="1" ht="13.5" customHeight="1">
      <c r="D104" s="892"/>
      <c r="E104" s="982"/>
      <c r="F104" s="983" t="s">
        <v>154</v>
      </c>
      <c r="G104" s="984"/>
      <c r="H104" s="985"/>
      <c r="I104" s="986"/>
      <c r="J104" s="1081">
        <f>+J11+J23+J31+J73+J91+J94+J102</f>
        <v>108397839.64</v>
      </c>
      <c r="K104" s="987"/>
      <c r="L104" s="1081">
        <f>+L11+L23+L31+L73+L91+L94+L102</f>
        <v>1649850.16</v>
      </c>
      <c r="M104" s="988"/>
      <c r="N104" s="1081">
        <f>+N11+N23+N31+N73+N91+N94+N102</f>
        <v>81632.100000000006</v>
      </c>
      <c r="O104" s="987"/>
      <c r="P104" s="986">
        <f>+P11+P23+P31+P73+P91+P94+P102</f>
        <v>1731482.2599999998</v>
      </c>
      <c r="Q104" s="988"/>
      <c r="R104" s="986">
        <f>+R11+R23+R31+R73+R91+R94+R102</f>
        <v>106666357.38000001</v>
      </c>
      <c r="S104" s="1080">
        <f>(N104/J104)</f>
        <v>7.5307866163300231E-4</v>
      </c>
      <c r="T104" s="1077">
        <f>(P104/J104)</f>
        <v>1.5973401921573569E-2</v>
      </c>
      <c r="U104" s="989">
        <f>(R104/J104)</f>
        <v>0.98402659807842652</v>
      </c>
      <c r="V104" s="900">
        <f t="shared" si="59"/>
        <v>1.5973401921573482E-2</v>
      </c>
      <c r="W104" s="306" t="str">
        <f t="shared" si="44"/>
        <v>ok</v>
      </c>
    </row>
    <row r="105" spans="1:25" ht="12.75" customHeight="1">
      <c r="D105" s="892"/>
      <c r="E105" s="22"/>
      <c r="F105" s="23"/>
      <c r="G105" s="24"/>
      <c r="H105" s="24"/>
      <c r="I105" s="31"/>
      <c r="J105" s="25"/>
      <c r="K105" s="26"/>
      <c r="L105" s="26"/>
      <c r="M105" s="27"/>
      <c r="N105" s="26"/>
      <c r="O105" s="28"/>
      <c r="P105" s="26"/>
      <c r="Q105" s="1454"/>
      <c r="R105" s="1454"/>
      <c r="S105" s="26"/>
      <c r="T105" s="26"/>
      <c r="U105" s="29"/>
      <c r="V105" s="27"/>
      <c r="X105" s="1234">
        <v>230575.22</v>
      </c>
    </row>
    <row r="106" spans="1:25" ht="12.75" customHeight="1">
      <c r="E106" s="22"/>
      <c r="F106" s="23"/>
      <c r="G106" s="24"/>
      <c r="H106" s="24"/>
      <c r="I106" s="31"/>
      <c r="J106" s="25"/>
      <c r="K106" s="26"/>
      <c r="L106" s="26"/>
      <c r="M106" s="27"/>
      <c r="N106" s="26"/>
      <c r="O106" s="28"/>
      <c r="P106" s="26"/>
      <c r="Q106" s="778"/>
      <c r="R106" s="778"/>
      <c r="S106" s="26"/>
      <c r="T106" s="26"/>
      <c r="U106" s="29"/>
      <c r="V106" s="27"/>
      <c r="X106" s="1234">
        <v>515492.2</v>
      </c>
    </row>
    <row r="107" spans="1:25" ht="12.75" customHeight="1">
      <c r="E107" s="22"/>
      <c r="F107" s="23"/>
      <c r="G107" s="24"/>
      <c r="H107" s="24"/>
      <c r="I107" s="31"/>
      <c r="J107" s="25"/>
      <c r="K107" s="26"/>
      <c r="L107" s="26"/>
      <c r="M107" s="27"/>
      <c r="N107" s="26"/>
      <c r="O107" s="28"/>
      <c r="P107" s="26"/>
      <c r="Q107" s="1365"/>
      <c r="R107" s="1365"/>
      <c r="S107" s="26"/>
      <c r="T107" s="26"/>
      <c r="U107" s="29"/>
      <c r="V107" s="27"/>
      <c r="X107" s="1234"/>
    </row>
    <row r="108" spans="1:25" ht="12.75" customHeight="1">
      <c r="E108" s="22"/>
      <c r="F108" s="23"/>
      <c r="G108" s="24"/>
      <c r="H108" s="24"/>
      <c r="I108" s="31"/>
      <c r="J108" s="25"/>
      <c r="K108" s="26"/>
      <c r="L108" s="26"/>
      <c r="M108" s="27"/>
      <c r="N108" s="26"/>
      <c r="O108" s="28"/>
      <c r="P108" s="26"/>
      <c r="Q108" s="1365"/>
      <c r="R108" s="1365"/>
      <c r="S108" s="26"/>
      <c r="T108" s="26"/>
      <c r="U108" s="29"/>
      <c r="V108" s="27"/>
      <c r="X108" s="1234"/>
    </row>
    <row r="109" spans="1:25" ht="12.75" customHeight="1">
      <c r="E109" s="22"/>
      <c r="F109" s="23"/>
      <c r="G109" s="24"/>
      <c r="H109" s="24"/>
      <c r="I109" s="31"/>
      <c r="J109" s="25"/>
      <c r="K109" s="26"/>
      <c r="L109" s="26"/>
      <c r="M109" s="27"/>
      <c r="N109" s="26"/>
      <c r="O109" s="28"/>
      <c r="P109" s="26"/>
      <c r="Q109" s="778"/>
      <c r="R109" s="778"/>
      <c r="S109" s="26"/>
      <c r="T109" s="26"/>
      <c r="U109" s="29"/>
      <c r="V109" s="27"/>
      <c r="X109" s="1234">
        <v>778326.78</v>
      </c>
    </row>
    <row r="110" spans="1:25" ht="12.75" customHeight="1">
      <c r="E110" s="22"/>
      <c r="F110" s="23"/>
      <c r="G110" s="24"/>
      <c r="H110" s="24"/>
      <c r="I110" s="31"/>
      <c r="J110" s="25"/>
      <c r="K110" s="26"/>
      <c r="L110" s="26"/>
      <c r="M110" s="27"/>
      <c r="N110" s="26"/>
      <c r="O110" s="28"/>
      <c r="P110" s="26"/>
      <c r="Q110" s="778"/>
      <c r="R110" s="778"/>
      <c r="S110" s="26"/>
      <c r="T110" s="26"/>
      <c r="U110" s="29"/>
      <c r="V110" s="27"/>
      <c r="X110" s="791">
        <f>SUM(X105:X109)</f>
        <v>1524394.2000000002</v>
      </c>
    </row>
    <row r="111" spans="1:25" ht="12.75" customHeight="1">
      <c r="E111" s="22"/>
      <c r="F111" s="23"/>
      <c r="G111" s="24"/>
      <c r="H111" s="24"/>
      <c r="I111" s="31"/>
      <c r="J111" s="25"/>
      <c r="K111" s="26"/>
      <c r="L111" s="26"/>
      <c r="M111" s="27"/>
      <c r="N111" s="26"/>
      <c r="O111" s="28"/>
      <c r="P111" s="26"/>
      <c r="Q111" s="778"/>
      <c r="R111" s="778"/>
      <c r="S111" s="26"/>
      <c r="T111" s="26"/>
      <c r="U111" s="29"/>
      <c r="V111" s="27"/>
    </row>
    <row r="112" spans="1:25" ht="12.75" customHeight="1">
      <c r="E112" s="92"/>
      <c r="F112" s="30"/>
      <c r="G112" s="781"/>
      <c r="H112" s="781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3"/>
      <c r="V112" s="32"/>
    </row>
    <row r="113" spans="5:22" ht="12.75" customHeight="1">
      <c r="E113" s="92"/>
      <c r="F113" s="991" t="str">
        <f>+Datos!B15</f>
        <v>Ing. Gabriel Daza Chavez</v>
      </c>
      <c r="G113" s="991"/>
      <c r="H113" s="991"/>
      <c r="I113" s="992"/>
      <c r="J113" s="1455" t="str">
        <f>+Datos!B7</f>
        <v>Ing. Herlan Rene Ramos Estrada</v>
      </c>
      <c r="K113" s="1455"/>
      <c r="L113" s="1455"/>
      <c r="M113" s="992"/>
      <c r="N113" s="992"/>
      <c r="O113" s="992"/>
      <c r="P113" s="30"/>
      <c r="Q113" s="1012" t="str">
        <f>+Datos!B10</f>
        <v>Ing. Franz Reynaldo Salazar Martinez</v>
      </c>
      <c r="R113" s="32"/>
      <c r="S113" s="32"/>
      <c r="T113" s="32"/>
      <c r="U113" s="33"/>
      <c r="V113" s="32"/>
    </row>
    <row r="114" spans="5:22" ht="12.75" customHeight="1">
      <c r="E114" s="92"/>
      <c r="F114" s="993" t="s">
        <v>158</v>
      </c>
      <c r="G114" s="991"/>
      <c r="H114" s="991"/>
      <c r="I114" s="992"/>
      <c r="J114" s="1456" t="str">
        <f>+Datos!B8</f>
        <v>SUPERVISOR DE OBRA</v>
      </c>
      <c r="K114" s="1456"/>
      <c r="L114" s="1456"/>
      <c r="M114" s="992"/>
      <c r="N114" s="992"/>
      <c r="O114" s="992"/>
      <c r="P114" s="30"/>
      <c r="Q114" s="1011" t="str">
        <f>+Datos!B11</f>
        <v>FISCAL DE OBRA</v>
      </c>
      <c r="R114" s="32"/>
      <c r="S114" s="32"/>
      <c r="T114" s="32"/>
      <c r="U114" s="33"/>
      <c r="V114" s="32"/>
    </row>
    <row r="115" spans="5:22" ht="23.25" customHeight="1">
      <c r="E115" s="92"/>
      <c r="F115" s="1236" t="s">
        <v>688</v>
      </c>
      <c r="G115" s="1217"/>
      <c r="H115" s="1217"/>
      <c r="I115" s="992"/>
      <c r="J115" s="1748" t="str">
        <f>+Datos!B9</f>
        <v>ABC - REGIONAL TARIJA</v>
      </c>
      <c r="K115" s="1748"/>
      <c r="L115" s="1748"/>
      <c r="M115" s="1237"/>
      <c r="N115" s="1237"/>
      <c r="O115" s="1237"/>
      <c r="P115" s="1238"/>
      <c r="Q115" s="1239" t="str">
        <f>+Datos!B12</f>
        <v>ABC - REGIONAL TARIJA</v>
      </c>
      <c r="R115" s="1240"/>
      <c r="S115" s="32"/>
      <c r="T115" s="32"/>
      <c r="U115" s="33"/>
      <c r="V115" s="32"/>
    </row>
    <row r="116" spans="5:22" ht="12.75" customHeight="1">
      <c r="E116" s="299"/>
      <c r="F116" s="1241"/>
      <c r="G116" s="1242"/>
      <c r="H116" s="1242"/>
      <c r="I116" s="300"/>
      <c r="J116" s="300"/>
      <c r="K116" s="300"/>
      <c r="L116" s="300"/>
      <c r="M116" s="300"/>
      <c r="N116" s="300"/>
      <c r="O116" s="300"/>
      <c r="P116" s="300"/>
      <c r="Q116" s="300"/>
      <c r="R116" s="300"/>
      <c r="S116" s="300"/>
      <c r="T116" s="300"/>
      <c r="U116" s="301"/>
      <c r="V116" s="34"/>
    </row>
    <row r="117" spans="5:22" ht="12.75" customHeight="1">
      <c r="I117" s="34"/>
      <c r="J117" s="34"/>
      <c r="K117" s="34"/>
      <c r="L117" s="34"/>
      <c r="M117" s="593"/>
      <c r="N117" s="401"/>
      <c r="O117" s="401"/>
      <c r="P117" s="594"/>
      <c r="Q117" s="34"/>
      <c r="R117" s="592"/>
      <c r="S117" s="34"/>
      <c r="T117" s="34"/>
      <c r="U117" s="34"/>
      <c r="V117" s="34"/>
    </row>
    <row r="118" spans="5:22" ht="12.75" customHeight="1">
      <c r="I118" s="34"/>
      <c r="J118" s="744"/>
      <c r="K118" s="34"/>
      <c r="L118" s="401"/>
      <c r="M118" s="593"/>
      <c r="N118" s="34"/>
      <c r="O118" s="34"/>
      <c r="P118" s="34"/>
      <c r="Q118" s="401"/>
      <c r="R118" s="592"/>
      <c r="S118" s="34"/>
      <c r="T118" s="34"/>
      <c r="U118" s="34"/>
      <c r="V118" s="34"/>
    </row>
    <row r="119" spans="5:22" ht="12.75" customHeight="1">
      <c r="I119" s="34"/>
      <c r="J119" s="745"/>
      <c r="K119" s="34"/>
      <c r="L119" s="34"/>
      <c r="M119" s="34"/>
      <c r="N119" s="34"/>
      <c r="O119" s="34"/>
      <c r="P119" s="594"/>
      <c r="Q119" s="592"/>
      <c r="R119" s="34"/>
      <c r="S119" s="34"/>
      <c r="T119" s="34"/>
      <c r="U119" s="34"/>
      <c r="V119" s="34"/>
    </row>
    <row r="120" spans="5:22" ht="12.75" customHeight="1">
      <c r="I120" s="34"/>
      <c r="J120" s="746"/>
      <c r="K120" s="34"/>
      <c r="L120" s="34"/>
      <c r="M120" s="34"/>
      <c r="N120" s="593"/>
      <c r="O120" s="34"/>
      <c r="P120" s="34"/>
      <c r="Q120" s="34"/>
      <c r="R120" s="34"/>
      <c r="S120" s="34"/>
      <c r="T120" s="34"/>
      <c r="U120" s="34"/>
      <c r="V120" s="34"/>
    </row>
    <row r="121" spans="5:22" ht="12.75" customHeight="1">
      <c r="I121" s="34"/>
      <c r="J121" s="34"/>
      <c r="K121" s="34"/>
      <c r="L121" s="34"/>
      <c r="M121" s="34"/>
      <c r="N121" s="593"/>
      <c r="O121" s="34"/>
      <c r="P121" s="593"/>
      <c r="Q121" s="34"/>
      <c r="R121" s="34"/>
      <c r="S121" s="34"/>
      <c r="T121" s="34"/>
      <c r="U121" s="34"/>
      <c r="V121" s="34"/>
    </row>
    <row r="122" spans="5:22" ht="12.75" customHeight="1">
      <c r="I122" s="34"/>
      <c r="J122" s="34"/>
      <c r="K122" s="34"/>
      <c r="L122" s="34"/>
      <c r="M122" s="34"/>
      <c r="N122" s="593"/>
      <c r="O122" s="594"/>
      <c r="P122" s="745"/>
      <c r="Q122" s="34"/>
      <c r="R122" s="34"/>
      <c r="S122" s="34"/>
      <c r="T122" s="34"/>
      <c r="U122" s="34"/>
      <c r="V122" s="34"/>
    </row>
    <row r="123" spans="5:22" ht="12.75" customHeight="1">
      <c r="I123" s="34"/>
      <c r="J123" s="34"/>
      <c r="K123" s="34"/>
      <c r="L123" s="34"/>
      <c r="M123" s="34"/>
      <c r="N123" s="593"/>
      <c r="O123" s="34"/>
      <c r="P123" s="34"/>
      <c r="Q123" s="34"/>
      <c r="R123" s="34"/>
      <c r="S123" s="34"/>
      <c r="T123" s="34"/>
      <c r="U123" s="34"/>
      <c r="V123" s="34"/>
    </row>
    <row r="124" spans="5:22" ht="12.75" customHeight="1">
      <c r="I124" s="34"/>
      <c r="J124" s="34"/>
      <c r="K124" s="34"/>
      <c r="L124" s="34"/>
      <c r="M124" s="34"/>
      <c r="N124" s="593"/>
      <c r="O124" s="34"/>
      <c r="P124" s="593"/>
      <c r="Q124" s="34"/>
      <c r="R124" s="34"/>
      <c r="S124" s="34"/>
      <c r="T124" s="34"/>
      <c r="U124" s="34"/>
      <c r="V124" s="34"/>
    </row>
    <row r="125" spans="5:22" ht="12.75" customHeight="1">
      <c r="I125" s="34"/>
      <c r="J125" s="34"/>
      <c r="K125" s="34"/>
      <c r="L125" s="34"/>
      <c r="M125" s="34"/>
      <c r="N125" s="401"/>
      <c r="O125" s="34"/>
      <c r="P125" s="34"/>
      <c r="Q125" s="34"/>
      <c r="R125" s="34"/>
      <c r="S125" s="34"/>
      <c r="T125" s="34"/>
      <c r="U125" s="34"/>
      <c r="V125" s="34"/>
    </row>
    <row r="126" spans="5:22" ht="12.75" customHeight="1">
      <c r="I126" s="34"/>
      <c r="J126" s="34"/>
      <c r="K126" s="34"/>
      <c r="L126" s="34"/>
      <c r="M126" s="34"/>
      <c r="N126" s="401"/>
      <c r="O126" s="34"/>
      <c r="P126" s="34"/>
      <c r="Q126" s="34"/>
      <c r="R126" s="34"/>
      <c r="S126" s="34"/>
      <c r="T126" s="34"/>
      <c r="U126" s="34"/>
      <c r="V126" s="34"/>
    </row>
    <row r="127" spans="5:22" ht="12.75" customHeight="1">
      <c r="I127" s="34"/>
      <c r="J127" s="34"/>
      <c r="K127" s="34"/>
      <c r="L127" s="593"/>
      <c r="M127" s="34"/>
      <c r="N127" s="593"/>
      <c r="O127" s="34"/>
      <c r="P127" s="34"/>
      <c r="Q127" s="34"/>
      <c r="R127" s="34"/>
      <c r="S127" s="34"/>
      <c r="T127" s="34"/>
      <c r="U127" s="34"/>
      <c r="V127" s="34"/>
    </row>
    <row r="128" spans="5:22" ht="12.75" customHeight="1">
      <c r="I128" s="34"/>
      <c r="J128" s="34"/>
      <c r="K128" s="34"/>
      <c r="L128" s="34"/>
      <c r="M128" s="34"/>
      <c r="N128" s="593"/>
      <c r="O128" s="34"/>
      <c r="P128" s="34"/>
      <c r="Q128" s="34"/>
      <c r="R128" s="34"/>
      <c r="S128" s="34"/>
      <c r="T128" s="34"/>
      <c r="U128" s="34"/>
      <c r="V128" s="34"/>
    </row>
    <row r="129" spans="9:22" ht="12.75" customHeight="1"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</row>
    <row r="130" spans="9:22" ht="12.75" customHeight="1"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</row>
    <row r="131" spans="9:22" ht="12.75" customHeight="1"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</row>
    <row r="132" spans="9:22" ht="12.75" customHeight="1"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</row>
    <row r="133" spans="9:22" ht="12.75" customHeight="1"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</row>
    <row r="134" spans="9:22" ht="12.75" customHeight="1"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</row>
    <row r="135" spans="9:22" ht="12.75" customHeight="1"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</row>
    <row r="136" spans="9:22" ht="12.75" customHeight="1"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</row>
    <row r="137" spans="9:22" ht="12.75" customHeight="1"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</row>
    <row r="138" spans="9:22" ht="12.75" customHeight="1"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</row>
    <row r="139" spans="9:22" ht="12.75" customHeight="1"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</row>
    <row r="140" spans="9:22" ht="12.75" customHeight="1"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</row>
    <row r="141" spans="9:22" ht="12.75" customHeight="1"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</row>
    <row r="142" spans="9:22" ht="12.75" customHeight="1"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</row>
    <row r="143" spans="9:22" ht="12.75" customHeight="1"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</row>
    <row r="144" spans="9:22" ht="12.75" customHeight="1"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</row>
    <row r="145" spans="9:22" ht="12.75" customHeight="1"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</row>
    <row r="146" spans="9:22" ht="12.75" customHeight="1"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</row>
    <row r="147" spans="9:22" ht="12.75" customHeight="1"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</row>
    <row r="148" spans="9:22" ht="12.75" customHeight="1"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</row>
    <row r="149" spans="9:22" ht="12.75" customHeight="1"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</row>
    <row r="150" spans="9:22" ht="12.75" customHeight="1"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</row>
    <row r="151" spans="9:22" ht="12.75" customHeight="1"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</row>
    <row r="152" spans="9:22" ht="12.75" customHeight="1"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</row>
    <row r="153" spans="9:22" ht="12.75" customHeight="1"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</row>
    <row r="154" spans="9:22" ht="12.75" customHeight="1"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</row>
    <row r="155" spans="9:22" ht="12.75" customHeight="1"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</row>
    <row r="156" spans="9:22" ht="12.75" customHeight="1"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</row>
    <row r="157" spans="9:22" ht="12.75" customHeight="1"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</row>
    <row r="158" spans="9:22" ht="12.75" customHeight="1"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</row>
    <row r="159" spans="9:22" ht="12.75" customHeight="1"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</row>
    <row r="160" spans="9:22" ht="12.75" customHeight="1"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</row>
    <row r="161" spans="9:22" ht="12.75" customHeight="1"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</row>
    <row r="162" spans="9:22" ht="12.75" customHeight="1"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</row>
    <row r="163" spans="9:22" ht="12.75" customHeight="1"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</row>
    <row r="164" spans="9:22" ht="12.75" customHeight="1"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</row>
    <row r="165" spans="9:22" ht="12.75" customHeight="1"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</row>
    <row r="166" spans="9:22" ht="12.75" customHeight="1"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</row>
    <row r="167" spans="9:22" ht="12.75" customHeight="1"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</row>
    <row r="168" spans="9:22" ht="12.75" customHeight="1"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</row>
    <row r="169" spans="9:22" ht="12.75" customHeight="1"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</row>
    <row r="170" spans="9:22" ht="12.75" customHeight="1"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</row>
    <row r="171" spans="9:22" ht="12.75" customHeight="1"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</row>
    <row r="172" spans="9:22" ht="12.75" customHeight="1"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</row>
    <row r="173" spans="9:22" ht="12.75" customHeight="1"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</row>
    <row r="174" spans="9:22" ht="12.75" customHeight="1"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</row>
    <row r="175" spans="9:22" ht="12.75" customHeight="1"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</row>
    <row r="176" spans="9:22" ht="12.75" customHeight="1"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</row>
    <row r="177" spans="9:22" ht="12.75" customHeight="1"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</row>
    <row r="178" spans="9:22" ht="12.75" customHeight="1"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</row>
    <row r="179" spans="9:22" ht="12.75" customHeight="1"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</row>
    <row r="180" spans="9:22" ht="12.75" customHeight="1"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</row>
    <row r="181" spans="9:22" ht="12.75" customHeight="1"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</row>
    <row r="182" spans="9:22" ht="12.75" customHeight="1"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</row>
    <row r="183" spans="9:22" ht="12.75" customHeight="1"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</row>
    <row r="184" spans="9:22" ht="12.75" customHeight="1"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</row>
    <row r="185" spans="9:22" ht="12.75" customHeight="1"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</row>
    <row r="186" spans="9:22" ht="12.75" customHeight="1"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</row>
    <row r="187" spans="9:22" ht="12.75" customHeight="1"/>
    <row r="188" spans="9:22" ht="12.75" customHeight="1"/>
    <row r="189" spans="9:22" ht="12.75" customHeight="1"/>
    <row r="190" spans="9:22" ht="12.75" customHeight="1"/>
    <row r="191" spans="9:22" ht="12.75" customHeight="1"/>
    <row r="192" spans="9:2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</sheetData>
  <mergeCells count="18">
    <mergeCell ref="E7:E8"/>
    <mergeCell ref="F7:F8"/>
    <mergeCell ref="K7:L7"/>
    <mergeCell ref="M7:N7"/>
    <mergeCell ref="H7:J7"/>
    <mergeCell ref="G7:G8"/>
    <mergeCell ref="G2:P2"/>
    <mergeCell ref="Q2:U2"/>
    <mergeCell ref="G3:P3"/>
    <mergeCell ref="J114:L114"/>
    <mergeCell ref="S7:U7"/>
    <mergeCell ref="Q7:R7"/>
    <mergeCell ref="O7:P7"/>
    <mergeCell ref="J115:L115"/>
    <mergeCell ref="J113:L113"/>
    <mergeCell ref="Q105:R105"/>
    <mergeCell ref="G5:P5"/>
    <mergeCell ref="G4:P4"/>
  </mergeCells>
  <phoneticPr fontId="35" type="noConversion"/>
  <conditionalFormatting sqref="U14:U22 U74 U12 V8:V104">
    <cfRule type="cellIs" dxfId="56" priority="80" operator="greaterThan">
      <formula>1</formula>
    </cfRule>
    <cfRule type="cellIs" dxfId="55" priority="81" operator="greaterThan">
      <formula>100</formula>
    </cfRule>
  </conditionalFormatting>
  <conditionalFormatting sqref="U24">
    <cfRule type="cellIs" dxfId="54" priority="78" operator="greaterThan">
      <formula>1</formula>
    </cfRule>
    <cfRule type="cellIs" dxfId="53" priority="79" operator="greaterThan">
      <formula>100</formula>
    </cfRule>
  </conditionalFormatting>
  <conditionalFormatting sqref="U13">
    <cfRule type="cellIs" dxfId="52" priority="76" operator="greaterThan">
      <formula>1</formula>
    </cfRule>
    <cfRule type="cellIs" dxfId="51" priority="77" operator="greaterThan">
      <formula>100</formula>
    </cfRule>
  </conditionalFormatting>
  <conditionalFormatting sqref="U25:U30">
    <cfRule type="cellIs" dxfId="50" priority="72" operator="greaterThan">
      <formula>1</formula>
    </cfRule>
    <cfRule type="cellIs" dxfId="49" priority="73" operator="greaterThan">
      <formula>100</formula>
    </cfRule>
  </conditionalFormatting>
  <conditionalFormatting sqref="U32">
    <cfRule type="cellIs" dxfId="48" priority="68" operator="greaterThan">
      <formula>1</formula>
    </cfRule>
    <cfRule type="cellIs" dxfId="47" priority="69" operator="greaterThan">
      <formula>100</formula>
    </cfRule>
  </conditionalFormatting>
  <conditionalFormatting sqref="U38:U72">
    <cfRule type="cellIs" dxfId="46" priority="66" operator="greaterThan">
      <formula>1</formula>
    </cfRule>
    <cfRule type="cellIs" dxfId="45" priority="67" operator="greaterThan">
      <formula>100</formula>
    </cfRule>
  </conditionalFormatting>
  <conditionalFormatting sqref="U33:U37">
    <cfRule type="cellIs" dxfId="44" priority="64" operator="greaterThan">
      <formula>1</formula>
    </cfRule>
    <cfRule type="cellIs" dxfId="43" priority="65" operator="greaterThan">
      <formula>100</formula>
    </cfRule>
  </conditionalFormatting>
  <conditionalFormatting sqref="U96:U101">
    <cfRule type="cellIs" dxfId="42" priority="44" operator="greaterThan">
      <formula>1</formula>
    </cfRule>
    <cfRule type="cellIs" dxfId="41" priority="45" operator="greaterThan">
      <formula>100</formula>
    </cfRule>
  </conditionalFormatting>
  <conditionalFormatting sqref="U75:U90">
    <cfRule type="cellIs" dxfId="40" priority="54" operator="greaterThan">
      <formula>1</formula>
    </cfRule>
    <cfRule type="cellIs" dxfId="39" priority="55" operator="greaterThan">
      <formula>100</formula>
    </cfRule>
  </conditionalFormatting>
  <conditionalFormatting sqref="U92">
    <cfRule type="cellIs" dxfId="38" priority="52" operator="greaterThan">
      <formula>1</formula>
    </cfRule>
    <cfRule type="cellIs" dxfId="37" priority="53" operator="greaterThan">
      <formula>100</formula>
    </cfRule>
  </conditionalFormatting>
  <conditionalFormatting sqref="U95">
    <cfRule type="cellIs" dxfId="36" priority="50" operator="greaterThan">
      <formula>1</formula>
    </cfRule>
    <cfRule type="cellIs" dxfId="35" priority="51" operator="greaterThan">
      <formula>100</formula>
    </cfRule>
  </conditionalFormatting>
  <conditionalFormatting sqref="U93">
    <cfRule type="cellIs" dxfId="34" priority="46" operator="greaterThan">
      <formula>1</formula>
    </cfRule>
    <cfRule type="cellIs" dxfId="33" priority="47" operator="greaterThan">
      <formula>100</formula>
    </cfRule>
  </conditionalFormatting>
  <conditionalFormatting sqref="U104">
    <cfRule type="cellIs" dxfId="32" priority="36" operator="greaterThan">
      <formula>1</formula>
    </cfRule>
    <cfRule type="cellIs" dxfId="31" priority="37" operator="greaterThan">
      <formula>100</formula>
    </cfRule>
  </conditionalFormatting>
  <conditionalFormatting sqref="U23">
    <cfRule type="cellIs" dxfId="30" priority="32" operator="greaterThan">
      <formula>1</formula>
    </cfRule>
    <cfRule type="cellIs" dxfId="29" priority="33" operator="greaterThan">
      <formula>100</formula>
    </cfRule>
  </conditionalFormatting>
  <conditionalFormatting sqref="U31">
    <cfRule type="cellIs" dxfId="28" priority="30" operator="greaterThan">
      <formula>1</formula>
    </cfRule>
    <cfRule type="cellIs" dxfId="27" priority="31" operator="greaterThan">
      <formula>100</formula>
    </cfRule>
  </conditionalFormatting>
  <conditionalFormatting sqref="U73">
    <cfRule type="cellIs" dxfId="26" priority="28" operator="greaterThan">
      <formula>1</formula>
    </cfRule>
    <cfRule type="cellIs" dxfId="25" priority="29" operator="greaterThan">
      <formula>100</formula>
    </cfRule>
  </conditionalFormatting>
  <conditionalFormatting sqref="U91">
    <cfRule type="cellIs" dxfId="24" priority="26" operator="greaterThan">
      <formula>1</formula>
    </cfRule>
    <cfRule type="cellIs" dxfId="23" priority="27" operator="greaterThan">
      <formula>100</formula>
    </cfRule>
  </conditionalFormatting>
  <conditionalFormatting sqref="U94">
    <cfRule type="cellIs" dxfId="22" priority="24" operator="greaterThan">
      <formula>1</formula>
    </cfRule>
    <cfRule type="cellIs" dxfId="21" priority="25" operator="greaterThan">
      <formula>100</formula>
    </cfRule>
  </conditionalFormatting>
  <conditionalFormatting sqref="U102">
    <cfRule type="cellIs" dxfId="20" priority="22" operator="greaterThan">
      <formula>1</formula>
    </cfRule>
    <cfRule type="cellIs" dxfId="19" priority="23" operator="greaterThan">
      <formula>100</formula>
    </cfRule>
  </conditionalFormatting>
  <conditionalFormatting sqref="S13:S23 S25:S31 S33:S73 S75:S91 S93:S94 S96:S102 S10:S11 S104">
    <cfRule type="cellIs" dxfId="18" priority="21" operator="equal">
      <formula>0</formula>
    </cfRule>
  </conditionalFormatting>
  <conditionalFormatting sqref="S23">
    <cfRule type="cellIs" priority="20" operator="equal">
      <formula>0</formula>
    </cfRule>
  </conditionalFormatting>
  <conditionalFormatting sqref="S23 S31 S73 S91 S94 S102 S11">
    <cfRule type="cellIs" dxfId="17" priority="19" operator="equal">
      <formula>0</formula>
    </cfRule>
  </conditionalFormatting>
  <conditionalFormatting sqref="T10:T11">
    <cfRule type="cellIs" dxfId="16" priority="18" operator="equal">
      <formula>0</formula>
    </cfRule>
  </conditionalFormatting>
  <conditionalFormatting sqref="T11">
    <cfRule type="cellIs" dxfId="15" priority="17" operator="equal">
      <formula>0</formula>
    </cfRule>
  </conditionalFormatting>
  <conditionalFormatting sqref="U10:U11">
    <cfRule type="cellIs" dxfId="14" priority="16" operator="equal">
      <formula>0</formula>
    </cfRule>
  </conditionalFormatting>
  <conditionalFormatting sqref="U11">
    <cfRule type="cellIs" dxfId="13" priority="15" operator="equal">
      <formula>0</formula>
    </cfRule>
  </conditionalFormatting>
  <conditionalFormatting sqref="T13:T23">
    <cfRule type="cellIs" dxfId="12" priority="14" operator="equal">
      <formula>0</formula>
    </cfRule>
  </conditionalFormatting>
  <conditionalFormatting sqref="T23">
    <cfRule type="cellIs" priority="13" operator="equal">
      <formula>0</formula>
    </cfRule>
  </conditionalFormatting>
  <conditionalFormatting sqref="T23">
    <cfRule type="cellIs" dxfId="11" priority="12" operator="equal">
      <formula>0</formula>
    </cfRule>
  </conditionalFormatting>
  <conditionalFormatting sqref="T25:T31">
    <cfRule type="cellIs" dxfId="10" priority="11" operator="equal">
      <formula>0</formula>
    </cfRule>
  </conditionalFormatting>
  <conditionalFormatting sqref="T31">
    <cfRule type="cellIs" dxfId="9" priority="10" operator="equal">
      <formula>0</formula>
    </cfRule>
  </conditionalFormatting>
  <conditionalFormatting sqref="T33:T73">
    <cfRule type="cellIs" dxfId="8" priority="9" operator="equal">
      <formula>0</formula>
    </cfRule>
  </conditionalFormatting>
  <conditionalFormatting sqref="T73">
    <cfRule type="cellIs" dxfId="7" priority="8" operator="equal">
      <formula>0</formula>
    </cfRule>
  </conditionalFormatting>
  <conditionalFormatting sqref="T75:T91">
    <cfRule type="cellIs" dxfId="6" priority="7" operator="equal">
      <formula>0</formula>
    </cfRule>
  </conditionalFormatting>
  <conditionalFormatting sqref="T91">
    <cfRule type="cellIs" dxfId="5" priority="6" operator="equal">
      <formula>0</formula>
    </cfRule>
  </conditionalFormatting>
  <conditionalFormatting sqref="T93:T94">
    <cfRule type="cellIs" dxfId="4" priority="5" operator="equal">
      <formula>0</formula>
    </cfRule>
  </conditionalFormatting>
  <conditionalFormatting sqref="T94">
    <cfRule type="cellIs" dxfId="3" priority="4" operator="equal">
      <formula>0</formula>
    </cfRule>
  </conditionalFormatting>
  <conditionalFormatting sqref="T96:T102">
    <cfRule type="cellIs" dxfId="2" priority="3" operator="equal">
      <formula>0</formula>
    </cfRule>
  </conditionalFormatting>
  <conditionalFormatting sqref="T102">
    <cfRule type="cellIs" dxfId="1" priority="2" operator="equal">
      <formula>0</formula>
    </cfRule>
  </conditionalFormatting>
  <conditionalFormatting sqref="S104">
    <cfRule type="cellIs" dxfId="0" priority="1" operator="equal">
      <formula>0</formula>
    </cfRule>
  </conditionalFormatting>
  <hyperlinks>
    <hyperlink ref="G2:P2" location="Certificado!A1" display="PLANILLA DE AVANCE DE OBRA"/>
  </hyperlinks>
  <printOptions horizontalCentered="1"/>
  <pageMargins left="0.19685039370078741" right="0.19685039370078741" top="0.6692913385826772" bottom="0.23622047244094491" header="0" footer="0"/>
  <pageSetup scale="63" fitToHeight="2" orientation="landscape" horizontalDpi="4294967295" verticalDpi="4294967295" r:id="rId1"/>
  <headerFooter alignWithMargins="0"/>
  <rowBreaks count="1" manualBreakCount="1">
    <brk id="59" min="4" max="20" man="1"/>
  </rowBreaks>
  <ignoredErrors>
    <ignoredError sqref="M104 O104 Q104 J33:J59 J75:J90 J93 J96:J101 J10:J19 J21:J30 J62:J72" unlockedFormula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121"/>
  <sheetViews>
    <sheetView showGridLines="0" tabSelected="1" view="pageBreakPreview" topLeftCell="A7" zoomScale="115" zoomScaleNormal="85" zoomScaleSheetLayoutView="115" workbookViewId="0">
      <selection activeCell="H26" sqref="H26"/>
    </sheetView>
  </sheetViews>
  <sheetFormatPr baseColWidth="10" defaultColWidth="11.44140625" defaultRowHeight="13.8"/>
  <cols>
    <col min="1" max="1" width="1.5546875" style="148" customWidth="1"/>
    <col min="2" max="2" width="6.109375" style="148" bestFit="1" customWidth="1"/>
    <col min="3" max="3" width="11.6640625" style="148" customWidth="1"/>
    <col min="4" max="5" width="13.88671875" style="148" customWidth="1"/>
    <col min="6" max="9" width="12.88671875" style="148" customWidth="1"/>
    <col min="10" max="12" width="11.109375" style="148" customWidth="1"/>
    <col min="13" max="13" width="11.109375" style="148" hidden="1" customWidth="1"/>
    <col min="14" max="15" width="11.5546875" style="148" customWidth="1"/>
    <col min="16" max="17" width="12.88671875" style="148" bestFit="1" customWidth="1"/>
    <col min="18" max="18" width="11.44140625" style="148"/>
    <col min="19" max="19" width="12" style="148" bestFit="1" customWidth="1"/>
    <col min="20" max="20" width="0" style="148" hidden="1" customWidth="1"/>
    <col min="21" max="21" width="12" style="148" hidden="1" customWidth="1"/>
    <col min="22" max="22" width="0" style="148" hidden="1" customWidth="1"/>
    <col min="23" max="16384" width="11.44140625" style="148"/>
  </cols>
  <sheetData>
    <row r="1" spans="1:22" ht="15" customHeight="1">
      <c r="C1" s="1777"/>
      <c r="D1" s="1778"/>
      <c r="E1" s="486"/>
      <c r="F1" s="172"/>
      <c r="G1" s="481"/>
      <c r="H1" s="481"/>
      <c r="I1" s="481"/>
      <c r="J1" s="481"/>
      <c r="K1" s="481"/>
      <c r="L1" s="486"/>
      <c r="M1" s="172"/>
      <c r="N1" s="481"/>
      <c r="O1" s="486"/>
      <c r="S1" s="148" t="s">
        <v>693</v>
      </c>
      <c r="U1" s="1403" t="s">
        <v>692</v>
      </c>
    </row>
    <row r="2" spans="1:22" ht="15" customHeight="1">
      <c r="C2" s="168"/>
      <c r="D2" s="154"/>
      <c r="E2" s="162"/>
      <c r="F2" s="170"/>
      <c r="G2" s="154"/>
      <c r="H2" s="154"/>
      <c r="I2" s="962" t="str">
        <f>+Certificado!C1</f>
        <v>CERTIFICADO DE PAGO Nº 6</v>
      </c>
      <c r="K2" s="154"/>
      <c r="L2" s="171"/>
      <c r="M2" s="170"/>
      <c r="N2" s="154"/>
      <c r="O2" s="171"/>
      <c r="S2" s="148">
        <v>0</v>
      </c>
      <c r="T2" s="1111">
        <v>43709</v>
      </c>
      <c r="U2" s="148">
        <v>0</v>
      </c>
      <c r="V2" s="1111">
        <v>43709</v>
      </c>
    </row>
    <row r="3" spans="1:22" ht="15" customHeight="1">
      <c r="C3" s="168"/>
      <c r="D3" s="154"/>
      <c r="E3" s="162"/>
      <c r="F3" s="1785" t="str">
        <f>+Certificado!C4</f>
        <v>PROYECTO: CONSTRUCCION Y REHABILITACION TRAMO CARRETERO 
VILLA MONTES - LA VERTIENTE - PALO MARCADO</v>
      </c>
      <c r="G3" s="1786"/>
      <c r="H3" s="1786"/>
      <c r="I3" s="1786"/>
      <c r="J3" s="1786"/>
      <c r="K3" s="1786"/>
      <c r="L3" s="1787"/>
      <c r="M3" s="170"/>
      <c r="N3" s="154"/>
      <c r="O3" s="171"/>
      <c r="S3" s="148">
        <v>0</v>
      </c>
      <c r="T3" s="1111">
        <v>43739</v>
      </c>
      <c r="U3" s="148">
        <v>0</v>
      </c>
      <c r="V3" s="1111">
        <v>43739</v>
      </c>
    </row>
    <row r="4" spans="1:22" ht="15" customHeight="1">
      <c r="C4" s="169"/>
      <c r="D4" s="759"/>
      <c r="E4" s="162"/>
      <c r="F4" s="1785"/>
      <c r="G4" s="1786"/>
      <c r="H4" s="1786"/>
      <c r="I4" s="1786"/>
      <c r="J4" s="1786"/>
      <c r="K4" s="1786"/>
      <c r="L4" s="1787"/>
      <c r="M4" s="738"/>
      <c r="N4" s="755"/>
      <c r="O4" s="739"/>
      <c r="S4" s="148">
        <v>0</v>
      </c>
      <c r="T4" s="1111">
        <v>43770</v>
      </c>
      <c r="U4" s="148">
        <v>0</v>
      </c>
      <c r="V4" s="1111">
        <v>43770</v>
      </c>
    </row>
    <row r="5" spans="1:22" ht="15" customHeight="1">
      <c r="C5" s="169"/>
      <c r="D5" s="759"/>
      <c r="E5" s="162"/>
      <c r="F5" s="1644" t="s">
        <v>433</v>
      </c>
      <c r="G5" s="1645"/>
      <c r="H5" s="1645"/>
      <c r="I5" s="1645"/>
      <c r="J5" s="1645"/>
      <c r="K5" s="1645"/>
      <c r="L5" s="1646"/>
      <c r="M5" s="168"/>
      <c r="N5" s="760"/>
      <c r="O5" s="761"/>
      <c r="P5" s="1289"/>
      <c r="S5" s="148">
        <v>0</v>
      </c>
      <c r="T5" s="1111">
        <v>43800</v>
      </c>
      <c r="U5" s="148">
        <v>0</v>
      </c>
      <c r="V5" s="1111">
        <v>43800</v>
      </c>
    </row>
    <row r="6" spans="1:22" ht="15" customHeight="1">
      <c r="C6" s="1788" t="s">
        <v>155</v>
      </c>
      <c r="D6" s="1789"/>
      <c r="E6" s="1790"/>
      <c r="F6" s="1793"/>
      <c r="G6" s="1794"/>
      <c r="H6" s="1794"/>
      <c r="I6" s="1794"/>
      <c r="J6" s="1794"/>
      <c r="K6" s="1794"/>
      <c r="L6" s="1795"/>
      <c r="M6" s="1788" t="s">
        <v>241</v>
      </c>
      <c r="N6" s="1789"/>
      <c r="O6" s="1790"/>
      <c r="S6" s="148">
        <v>0</v>
      </c>
      <c r="T6" s="1111">
        <v>43831</v>
      </c>
      <c r="U6" s="148">
        <v>0</v>
      </c>
      <c r="V6" s="1111">
        <v>43831</v>
      </c>
    </row>
    <row r="7" spans="1:22" ht="18" customHeight="1">
      <c r="A7" s="149"/>
      <c r="B7" s="149"/>
      <c r="C7" s="1404" t="s">
        <v>434</v>
      </c>
      <c r="D7" s="149"/>
      <c r="E7" s="1784">
        <f>+Certificado!K16</f>
        <v>108397839.64</v>
      </c>
      <c r="F7" s="1784"/>
      <c r="G7" s="742"/>
      <c r="H7" s="742"/>
      <c r="I7" s="742"/>
      <c r="J7" s="758"/>
      <c r="K7" s="758"/>
      <c r="L7" s="485"/>
      <c r="M7" s="485"/>
      <c r="N7" s="742"/>
      <c r="O7" s="162"/>
      <c r="S7" s="148">
        <v>0</v>
      </c>
      <c r="T7" s="1111">
        <v>43862</v>
      </c>
      <c r="U7" s="148">
        <v>0</v>
      </c>
      <c r="V7" s="1111">
        <v>43862</v>
      </c>
    </row>
    <row r="8" spans="1:22" ht="15" customHeight="1">
      <c r="B8" s="1775" t="s">
        <v>263</v>
      </c>
      <c r="C8" s="1779" t="s">
        <v>263</v>
      </c>
      <c r="D8" s="1773" t="s">
        <v>264</v>
      </c>
      <c r="E8" s="1774"/>
      <c r="F8" s="1773" t="s">
        <v>192</v>
      </c>
      <c r="G8" s="1791"/>
      <c r="H8" s="1773" t="s">
        <v>436</v>
      </c>
      <c r="I8" s="1791"/>
      <c r="J8" s="1773" t="s">
        <v>264</v>
      </c>
      <c r="K8" s="1774"/>
      <c r="L8" s="1791" t="s">
        <v>192</v>
      </c>
      <c r="M8" s="1774"/>
      <c r="N8" s="1773" t="s">
        <v>436</v>
      </c>
      <c r="O8" s="1774"/>
      <c r="S8" s="148">
        <v>0</v>
      </c>
      <c r="T8" s="1111">
        <v>43891</v>
      </c>
      <c r="U8" s="148">
        <v>0</v>
      </c>
      <c r="V8" s="1111">
        <v>43891</v>
      </c>
    </row>
    <row r="9" spans="1:22" ht="15" customHeight="1">
      <c r="B9" s="1775"/>
      <c r="C9" s="1780"/>
      <c r="D9" s="1782" t="s">
        <v>191</v>
      </c>
      <c r="E9" s="1783"/>
      <c r="F9" s="1782" t="s">
        <v>191</v>
      </c>
      <c r="G9" s="1792"/>
      <c r="H9" s="1782" t="s">
        <v>191</v>
      </c>
      <c r="I9" s="1792"/>
      <c r="J9" s="1782" t="s">
        <v>265</v>
      </c>
      <c r="K9" s="1783"/>
      <c r="L9" s="1782" t="s">
        <v>265</v>
      </c>
      <c r="M9" s="1783"/>
      <c r="N9" s="1782" t="s">
        <v>265</v>
      </c>
      <c r="O9" s="1783"/>
      <c r="S9" s="148">
        <v>0</v>
      </c>
      <c r="T9" s="1111">
        <v>43922</v>
      </c>
      <c r="U9" s="148">
        <v>0</v>
      </c>
      <c r="V9" s="1111">
        <v>43922</v>
      </c>
    </row>
    <row r="10" spans="1:22" ht="15" customHeight="1">
      <c r="B10" s="1775"/>
      <c r="C10" s="1781"/>
      <c r="D10" s="483" t="s">
        <v>266</v>
      </c>
      <c r="E10" s="484" t="s">
        <v>267</v>
      </c>
      <c r="F10" s="483" t="s">
        <v>266</v>
      </c>
      <c r="G10" s="756" t="s">
        <v>267</v>
      </c>
      <c r="H10" s="483" t="s">
        <v>266</v>
      </c>
      <c r="I10" s="756" t="s">
        <v>267</v>
      </c>
      <c r="J10" s="483" t="s">
        <v>266</v>
      </c>
      <c r="K10" s="484" t="s">
        <v>272</v>
      </c>
      <c r="L10" s="483" t="s">
        <v>266</v>
      </c>
      <c r="M10" s="484" t="s">
        <v>267</v>
      </c>
      <c r="N10" s="483" t="s">
        <v>266</v>
      </c>
      <c r="O10" s="484" t="s">
        <v>267</v>
      </c>
      <c r="S10" s="148">
        <v>0</v>
      </c>
      <c r="T10" s="1111">
        <v>43952</v>
      </c>
      <c r="U10" s="148">
        <v>0</v>
      </c>
      <c r="V10" s="1111">
        <v>43952</v>
      </c>
    </row>
    <row r="11" spans="1:22" ht="17.100000000000001" customHeight="1">
      <c r="B11" s="1291">
        <v>43726</v>
      </c>
      <c r="C11" s="963">
        <v>43726</v>
      </c>
      <c r="D11" s="967"/>
      <c r="E11" s="968"/>
      <c r="F11" s="967">
        <v>0</v>
      </c>
      <c r="G11" s="968">
        <f>+F11</f>
        <v>0</v>
      </c>
      <c r="H11" s="967">
        <v>21679567.93</v>
      </c>
      <c r="I11" s="968">
        <f>+H11</f>
        <v>21679567.93</v>
      </c>
      <c r="J11" s="997">
        <f t="shared" ref="J11:J21" si="0">D11/E$7</f>
        <v>0</v>
      </c>
      <c r="K11" s="998">
        <f>+J11</f>
        <v>0</v>
      </c>
      <c r="L11" s="997">
        <f t="shared" ref="L11" si="1">100*F11/E$7</f>
        <v>0</v>
      </c>
      <c r="M11" s="999">
        <v>0</v>
      </c>
      <c r="N11" s="1002">
        <f>H11/E$7</f>
        <v>0.20000000001845056</v>
      </c>
      <c r="O11" s="999">
        <f>+N11</f>
        <v>0.20000000001845056</v>
      </c>
      <c r="Q11" s="973"/>
      <c r="S11" s="148">
        <v>0</v>
      </c>
      <c r="T11" s="1111">
        <v>43983</v>
      </c>
      <c r="U11" s="148">
        <v>0</v>
      </c>
      <c r="V11" s="1111">
        <v>43983</v>
      </c>
    </row>
    <row r="12" spans="1:22" ht="17.100000000000001" customHeight="1">
      <c r="B12" s="1291">
        <v>44075</v>
      </c>
      <c r="C12" s="964">
        <v>44075</v>
      </c>
      <c r="D12" s="969">
        <v>230575.22</v>
      </c>
      <c r="E12" s="970">
        <f>+E11+D12</f>
        <v>230575.22</v>
      </c>
      <c r="F12" s="969">
        <f>+'Avance Financiero'!C12</f>
        <v>230575.22</v>
      </c>
      <c r="G12" s="970">
        <f>+G11+F12</f>
        <v>230575.22</v>
      </c>
      <c r="H12" s="969">
        <f>+'Avance Financiero'!Q12</f>
        <v>168319.91</v>
      </c>
      <c r="I12" s="970">
        <f>+I11+H12</f>
        <v>21847887.84</v>
      </c>
      <c r="J12" s="997">
        <f t="shared" si="0"/>
        <v>2.1271200677593135E-3</v>
      </c>
      <c r="K12" s="998">
        <f>+J12+K11</f>
        <v>2.1271200677593135E-3</v>
      </c>
      <c r="L12" s="997">
        <f>F12/E$7</f>
        <v>2.1271200677593135E-3</v>
      </c>
      <c r="M12" s="998">
        <f>+M11+L12</f>
        <v>2.1271200677593135E-3</v>
      </c>
      <c r="N12" s="997">
        <f t="shared" ref="N12:N17" si="2">+H12/$E$7</f>
        <v>1.5527976439291332E-3</v>
      </c>
      <c r="O12" s="998">
        <f>+O11+N12</f>
        <v>0.20155279766237968</v>
      </c>
      <c r="P12" s="973"/>
      <c r="Q12" s="973"/>
      <c r="S12" s="148">
        <v>0</v>
      </c>
      <c r="T12" s="1111">
        <v>44013</v>
      </c>
      <c r="U12" s="148">
        <v>0</v>
      </c>
      <c r="V12" s="1111">
        <v>44013</v>
      </c>
    </row>
    <row r="13" spans="1:22" ht="17.100000000000001" customHeight="1">
      <c r="B13" s="1291">
        <v>44105</v>
      </c>
      <c r="C13" s="964">
        <v>44105</v>
      </c>
      <c r="D13" s="969">
        <v>515942.20000000007</v>
      </c>
      <c r="E13" s="970">
        <f t="shared" ref="E13:E22" si="3">+E12+D13</f>
        <v>746517.42</v>
      </c>
      <c r="F13" s="969">
        <f>+'Avance Financiero'!C13</f>
        <v>515942.20000000007</v>
      </c>
      <c r="G13" s="970">
        <f>+G12+F13</f>
        <v>746517.42</v>
      </c>
      <c r="H13" s="969">
        <f>+'Avance Financiero'!Q13</f>
        <v>376637.81000000006</v>
      </c>
      <c r="I13" s="970">
        <f>+I12+H13</f>
        <v>22224525.649999999</v>
      </c>
      <c r="J13" s="997">
        <f t="shared" si="0"/>
        <v>4.7597092498660063E-3</v>
      </c>
      <c r="K13" s="998">
        <f t="shared" ref="K13" si="4">+J13+K12</f>
        <v>6.8868293176253198E-3</v>
      </c>
      <c r="L13" s="997">
        <f>F13/E$7</f>
        <v>4.7597092498660063E-3</v>
      </c>
      <c r="M13" s="998">
        <f>+M12+L13</f>
        <v>6.8868293176253198E-3</v>
      </c>
      <c r="N13" s="997">
        <f t="shared" si="2"/>
        <v>3.4745877893032893E-3</v>
      </c>
      <c r="O13" s="998">
        <f>+O12+N13</f>
        <v>0.20502738545168298</v>
      </c>
      <c r="P13" s="973"/>
      <c r="Q13" s="973"/>
      <c r="S13" s="148">
        <v>0</v>
      </c>
      <c r="T13" s="1111">
        <v>44044</v>
      </c>
      <c r="U13" s="148">
        <v>0</v>
      </c>
      <c r="V13" s="1111">
        <v>44044</v>
      </c>
    </row>
    <row r="14" spans="1:22" ht="17.100000000000001" customHeight="1">
      <c r="B14" s="1291">
        <v>44136</v>
      </c>
      <c r="C14" s="964">
        <v>44136</v>
      </c>
      <c r="D14" s="969">
        <v>778326.78</v>
      </c>
      <c r="E14" s="970">
        <f t="shared" si="3"/>
        <v>1524844.2000000002</v>
      </c>
      <c r="F14" s="1166">
        <f>+'Avance Financiero'!C14</f>
        <v>778326.78</v>
      </c>
      <c r="G14" s="970">
        <f>+G13+F14</f>
        <v>1524844.2000000002</v>
      </c>
      <c r="H14" s="969">
        <f>+'Avance Financiero'!Q14</f>
        <v>568178.55000000005</v>
      </c>
      <c r="I14" s="970">
        <f>+I13+H14</f>
        <v>22792704.199999999</v>
      </c>
      <c r="J14" s="997">
        <f t="shared" si="0"/>
        <v>7.1802794463884205E-3</v>
      </c>
      <c r="K14" s="998">
        <f t="shared" ref="K14:K22" si="5">+J14+K13</f>
        <v>1.4067108764013739E-2</v>
      </c>
      <c r="L14" s="997">
        <f>F14/E$7</f>
        <v>7.1802794463884205E-3</v>
      </c>
      <c r="M14" s="998">
        <f>+M13+L14</f>
        <v>1.4067108764013739E-2</v>
      </c>
      <c r="N14" s="997">
        <f t="shared" si="2"/>
        <v>5.2416040013987131E-3</v>
      </c>
      <c r="O14" s="998">
        <f>+O13+N14</f>
        <v>0.2102689894530817</v>
      </c>
      <c r="Q14" s="973"/>
      <c r="S14" s="973">
        <v>230575.22</v>
      </c>
      <c r="T14" s="1111">
        <v>44075</v>
      </c>
      <c r="U14" s="973">
        <v>230575.22</v>
      </c>
      <c r="V14" s="1111">
        <v>44075</v>
      </c>
    </row>
    <row r="15" spans="1:22" ht="17.100000000000001" customHeight="1">
      <c r="B15" s="1291">
        <v>44228</v>
      </c>
      <c r="C15" s="1290" t="s">
        <v>659</v>
      </c>
      <c r="D15" s="969">
        <v>0</v>
      </c>
      <c r="E15" s="970">
        <f t="shared" si="3"/>
        <v>1524844.2000000002</v>
      </c>
      <c r="F15" s="1166">
        <f>+'Avance Financiero'!C15</f>
        <v>86910.98</v>
      </c>
      <c r="G15" s="970">
        <f t="shared" ref="G15" si="6">+G14+F15</f>
        <v>1611755.1800000002</v>
      </c>
      <c r="H15" s="969">
        <f>+'Avance Financiero'!Q15</f>
        <v>63445.009999999995</v>
      </c>
      <c r="I15" s="970">
        <f t="shared" ref="I15" si="7">+I14+H15</f>
        <v>22856149.210000001</v>
      </c>
      <c r="J15" s="997">
        <f t="shared" si="0"/>
        <v>0</v>
      </c>
      <c r="K15" s="998">
        <f t="shared" si="5"/>
        <v>1.4067108764013739E-2</v>
      </c>
      <c r="L15" s="997">
        <f t="shared" ref="L15" si="8">F15/E$7</f>
        <v>8.0177778716476267E-4</v>
      </c>
      <c r="M15" s="998">
        <f t="shared" ref="M15" si="9">+M14+L15</f>
        <v>1.4868886551178502E-2</v>
      </c>
      <c r="N15" s="997">
        <f t="shared" si="2"/>
        <v>5.852977348137858E-4</v>
      </c>
      <c r="O15" s="998">
        <f t="shared" ref="O15" si="10">+O14+N15</f>
        <v>0.21085428718789548</v>
      </c>
      <c r="Q15" s="973"/>
      <c r="S15" s="973">
        <v>515942.20000000007</v>
      </c>
      <c r="T15" s="1111">
        <v>44105</v>
      </c>
      <c r="U15" s="973">
        <v>515942.2</v>
      </c>
      <c r="V15" s="1111">
        <v>44105</v>
      </c>
    </row>
    <row r="16" spans="1:22" ht="17.100000000000001" customHeight="1">
      <c r="B16" s="1291">
        <v>44256</v>
      </c>
      <c r="C16" s="964">
        <v>44256</v>
      </c>
      <c r="D16" s="969">
        <v>355979.11</v>
      </c>
      <c r="E16" s="970">
        <f t="shared" si="3"/>
        <v>1880823.31</v>
      </c>
      <c r="F16" s="1166">
        <f>+'Avance Financiero'!C16</f>
        <v>38094.980000000003</v>
      </c>
      <c r="G16" s="970">
        <f t="shared" ref="G16" si="11">+G15+F16</f>
        <v>1649850.1600000001</v>
      </c>
      <c r="H16" s="969">
        <f>+'Avance Financiero'!Q16</f>
        <v>27809.33</v>
      </c>
      <c r="I16" s="970">
        <f t="shared" ref="I16" si="12">+I15+H16</f>
        <v>22883958.539999999</v>
      </c>
      <c r="J16" s="997">
        <f t="shared" ref="J16" si="13">D16/E$7</f>
        <v>3.2840055778071038E-3</v>
      </c>
      <c r="K16" s="998">
        <f t="shared" ref="K16" si="14">+J16+K15</f>
        <v>1.7351114341820843E-2</v>
      </c>
      <c r="L16" s="997">
        <f t="shared" ref="L16" si="15">F16/E$7</f>
        <v>3.5143670876206775E-4</v>
      </c>
      <c r="M16" s="998">
        <f t="shared" ref="M16" si="16">+M15+L16</f>
        <v>1.522032325994057E-2</v>
      </c>
      <c r="N16" s="997">
        <f t="shared" si="2"/>
        <v>2.5654874757981847E-4</v>
      </c>
      <c r="O16" s="998">
        <f t="shared" ref="O16" si="17">+O15+N16</f>
        <v>0.21111083593547531</v>
      </c>
      <c r="Q16" s="973"/>
      <c r="S16" s="973">
        <v>778326.78</v>
      </c>
      <c r="T16" s="1111">
        <v>44136</v>
      </c>
      <c r="U16" s="973">
        <v>778326.78</v>
      </c>
      <c r="V16" s="1111">
        <v>44136</v>
      </c>
    </row>
    <row r="17" spans="2:22" ht="17.100000000000001" customHeight="1">
      <c r="B17" s="1291">
        <v>44287</v>
      </c>
      <c r="C17" s="964">
        <v>44287</v>
      </c>
      <c r="D17" s="969">
        <v>3782660.02</v>
      </c>
      <c r="E17" s="970">
        <f t="shared" si="3"/>
        <v>5663483.3300000001</v>
      </c>
      <c r="F17" s="1166">
        <f>+'Avance Financiero'!C17</f>
        <v>81632.100000000006</v>
      </c>
      <c r="G17" s="970">
        <f t="shared" ref="G17" si="18">+G16+F17</f>
        <v>1731482.2600000002</v>
      </c>
      <c r="H17" s="969">
        <f>+'Avance Financiero'!Q17</f>
        <v>59591.430000000008</v>
      </c>
      <c r="I17" s="970">
        <f t="shared" ref="I17" si="19">+I16+H17</f>
        <v>22943549.969999999</v>
      </c>
      <c r="J17" s="997">
        <f t="shared" si="0"/>
        <v>3.489608310057276E-2</v>
      </c>
      <c r="K17" s="998">
        <f t="shared" si="5"/>
        <v>5.2247197442393603E-2</v>
      </c>
      <c r="L17" s="997">
        <f t="shared" ref="L17" si="20">F17/E$7</f>
        <v>7.5307866163300231E-4</v>
      </c>
      <c r="M17" s="998">
        <f t="shared" ref="M17" si="21">+M16+L17</f>
        <v>1.5973401921573573E-2</v>
      </c>
      <c r="N17" s="997">
        <f t="shared" si="2"/>
        <v>5.497473953162634E-4</v>
      </c>
      <c r="O17" s="998">
        <f t="shared" ref="O17" si="22">+O16+N17</f>
        <v>0.21166058333079157</v>
      </c>
      <c r="Q17" s="973"/>
      <c r="S17" s="973">
        <v>0</v>
      </c>
      <c r="T17" s="1111">
        <v>44166</v>
      </c>
      <c r="U17" s="973">
        <v>0</v>
      </c>
      <c r="V17" s="1111">
        <v>44166</v>
      </c>
    </row>
    <row r="18" spans="2:22" ht="17.100000000000001" customHeight="1">
      <c r="B18" s="1291">
        <v>44317</v>
      </c>
      <c r="C18" s="964">
        <v>44317</v>
      </c>
      <c r="D18" s="969">
        <v>14022872.839999998</v>
      </c>
      <c r="E18" s="970">
        <f t="shared" si="3"/>
        <v>19686356.169999998</v>
      </c>
      <c r="F18" s="1166"/>
      <c r="G18" s="970"/>
      <c r="H18" s="969"/>
      <c r="I18" s="970"/>
      <c r="J18" s="997">
        <f t="shared" si="0"/>
        <v>0.12936487375183262</v>
      </c>
      <c r="K18" s="998">
        <f t="shared" si="5"/>
        <v>0.18161207119422623</v>
      </c>
      <c r="L18" s="997"/>
      <c r="M18" s="998"/>
      <c r="N18" s="997"/>
      <c r="O18" s="998"/>
      <c r="Q18" s="973"/>
      <c r="S18" s="973">
        <v>0</v>
      </c>
      <c r="T18" s="1111">
        <v>44197</v>
      </c>
      <c r="U18" s="973">
        <v>0</v>
      </c>
      <c r="V18" s="1111">
        <v>44197</v>
      </c>
    </row>
    <row r="19" spans="2:22" ht="17.100000000000001" customHeight="1">
      <c r="B19" s="1291">
        <v>44348</v>
      </c>
      <c r="C19" s="964">
        <v>44348</v>
      </c>
      <c r="D19" s="969">
        <v>28122815.229999997</v>
      </c>
      <c r="E19" s="970">
        <f t="shared" si="3"/>
        <v>47809171.399999991</v>
      </c>
      <c r="F19" s="969"/>
      <c r="G19" s="970"/>
      <c r="H19" s="969"/>
      <c r="I19" s="970"/>
      <c r="J19" s="997">
        <f t="shared" si="0"/>
        <v>0.25944073538179968</v>
      </c>
      <c r="K19" s="998">
        <f t="shared" si="5"/>
        <v>0.44105280657602591</v>
      </c>
      <c r="L19" s="1000"/>
      <c r="M19" s="1001"/>
      <c r="N19" s="997"/>
      <c r="O19" s="998"/>
      <c r="Q19" s="973"/>
      <c r="S19" s="973">
        <v>0</v>
      </c>
      <c r="T19" s="1111">
        <v>44228</v>
      </c>
      <c r="U19" s="973">
        <v>0</v>
      </c>
      <c r="V19" s="1111">
        <v>44198</v>
      </c>
    </row>
    <row r="20" spans="2:22" ht="17.100000000000001" customHeight="1">
      <c r="B20" s="1291">
        <v>44378</v>
      </c>
      <c r="C20" s="964">
        <v>44378</v>
      </c>
      <c r="D20" s="969">
        <v>28636455.800000001</v>
      </c>
      <c r="E20" s="970">
        <f t="shared" si="3"/>
        <v>76445627.199999988</v>
      </c>
      <c r="F20" s="969"/>
      <c r="G20" s="970"/>
      <c r="H20" s="969"/>
      <c r="I20" s="970"/>
      <c r="J20" s="997">
        <f t="shared" si="0"/>
        <v>0.2641792114594213</v>
      </c>
      <c r="K20" s="998">
        <f t="shared" si="5"/>
        <v>0.70523201803544722</v>
      </c>
      <c r="L20" s="1000"/>
      <c r="M20" s="1001"/>
      <c r="N20" s="997"/>
      <c r="O20" s="998"/>
      <c r="Q20" s="973"/>
      <c r="S20" s="973">
        <v>355979.11</v>
      </c>
      <c r="T20" s="1111">
        <v>44256</v>
      </c>
      <c r="U20" s="973">
        <v>700508.09</v>
      </c>
      <c r="V20" s="1111">
        <v>44199</v>
      </c>
    </row>
    <row r="21" spans="2:22" ht="17.100000000000001" customHeight="1">
      <c r="B21" s="1291">
        <v>44409</v>
      </c>
      <c r="C21" s="964">
        <v>44409</v>
      </c>
      <c r="D21" s="969">
        <v>18566555.049999997</v>
      </c>
      <c r="E21" s="970">
        <f t="shared" si="3"/>
        <v>95012182.249999985</v>
      </c>
      <c r="F21" s="969"/>
      <c r="G21" s="970"/>
      <c r="H21" s="969"/>
      <c r="I21" s="970"/>
      <c r="J21" s="997">
        <f t="shared" si="0"/>
        <v>0.17128159667813833</v>
      </c>
      <c r="K21" s="998">
        <f t="shared" si="5"/>
        <v>0.87651361471358558</v>
      </c>
      <c r="L21" s="1000"/>
      <c r="M21" s="1001"/>
      <c r="N21" s="997"/>
      <c r="O21" s="998"/>
      <c r="Q21" s="973"/>
      <c r="S21" s="973">
        <v>3782660.02</v>
      </c>
      <c r="T21" s="1111">
        <v>44287</v>
      </c>
      <c r="U21" s="973">
        <v>3183566.54</v>
      </c>
      <c r="V21" s="1111">
        <v>44200</v>
      </c>
    </row>
    <row r="22" spans="2:22" ht="17.100000000000001" customHeight="1">
      <c r="B22" s="1291">
        <v>44459</v>
      </c>
      <c r="C22" s="964">
        <v>44459</v>
      </c>
      <c r="D22" s="969">
        <v>13385657.390000001</v>
      </c>
      <c r="E22" s="970">
        <f t="shared" si="3"/>
        <v>108397839.63999999</v>
      </c>
      <c r="F22" s="969"/>
      <c r="G22" s="970"/>
      <c r="H22" s="969"/>
      <c r="I22" s="970"/>
      <c r="J22" s="997">
        <f>D22/E$7</f>
        <v>0.12348638528641437</v>
      </c>
      <c r="K22" s="998">
        <f t="shared" si="5"/>
        <v>1</v>
      </c>
      <c r="L22" s="1000"/>
      <c r="M22" s="1001"/>
      <c r="N22" s="997"/>
      <c r="O22" s="998"/>
      <c r="Q22" s="973"/>
      <c r="S22" s="973">
        <v>14022872.839999998</v>
      </c>
      <c r="T22" s="1111">
        <v>44317</v>
      </c>
      <c r="U22" s="973">
        <v>7171605.6200000001</v>
      </c>
      <c r="V22" s="1111">
        <v>44201</v>
      </c>
    </row>
    <row r="23" spans="2:22" ht="17.100000000000001" customHeight="1">
      <c r="B23" s="1291"/>
      <c r="C23" s="964"/>
      <c r="D23" s="969"/>
      <c r="E23" s="970"/>
      <c r="F23" s="969"/>
      <c r="G23" s="970"/>
      <c r="H23" s="969"/>
      <c r="I23" s="970"/>
      <c r="J23" s="997"/>
      <c r="K23" s="998"/>
      <c r="L23" s="1000"/>
      <c r="M23" s="1001"/>
      <c r="N23" s="997"/>
      <c r="O23" s="998"/>
      <c r="Q23" s="973"/>
      <c r="S23" s="973">
        <v>28122815.229999997</v>
      </c>
      <c r="T23" s="1111">
        <v>44348</v>
      </c>
      <c r="U23" s="973">
        <v>13997519.699999999</v>
      </c>
      <c r="V23" s="1111">
        <v>44202</v>
      </c>
    </row>
    <row r="24" spans="2:22" ht="17.100000000000001" customHeight="1">
      <c r="B24" s="1291"/>
      <c r="C24" s="964"/>
      <c r="D24" s="969"/>
      <c r="E24" s="970"/>
      <c r="F24" s="969"/>
      <c r="G24" s="970"/>
      <c r="H24" s="969"/>
      <c r="I24" s="970"/>
      <c r="J24" s="997"/>
      <c r="K24" s="998"/>
      <c r="L24" s="1000"/>
      <c r="M24" s="1001"/>
      <c r="N24" s="997"/>
      <c r="O24" s="998"/>
      <c r="Q24" s="1039"/>
      <c r="S24" s="973">
        <v>28636455.800000001</v>
      </c>
      <c r="T24" s="1111">
        <v>44378</v>
      </c>
      <c r="U24" s="973">
        <v>19044227.02</v>
      </c>
      <c r="V24" s="1111">
        <v>44203</v>
      </c>
    </row>
    <row r="25" spans="2:22" ht="17.100000000000001" customHeight="1">
      <c r="C25" s="964"/>
      <c r="D25" s="969"/>
      <c r="E25" s="970"/>
      <c r="F25" s="969"/>
      <c r="G25" s="970"/>
      <c r="H25" s="969"/>
      <c r="I25" s="970"/>
      <c r="J25" s="997"/>
      <c r="K25" s="998"/>
      <c r="L25" s="1000"/>
      <c r="M25" s="1001"/>
      <c r="N25" s="997"/>
      <c r="O25" s="998"/>
      <c r="Q25" s="973"/>
      <c r="S25" s="973">
        <v>18566555.049999997</v>
      </c>
      <c r="T25" s="1111">
        <v>44409</v>
      </c>
      <c r="U25" s="973">
        <v>20171495.16</v>
      </c>
      <c r="V25" s="1111">
        <v>44204</v>
      </c>
    </row>
    <row r="26" spans="2:22" ht="17.100000000000001" customHeight="1">
      <c r="C26" s="964"/>
      <c r="D26" s="969"/>
      <c r="E26" s="970"/>
      <c r="F26" s="969"/>
      <c r="G26" s="970"/>
      <c r="H26" s="969"/>
      <c r="I26" s="970"/>
      <c r="J26" s="997"/>
      <c r="K26" s="998"/>
      <c r="L26" s="1000"/>
      <c r="M26" s="1001"/>
      <c r="N26" s="997"/>
      <c r="O26" s="998"/>
      <c r="Q26" s="973"/>
      <c r="S26" s="973">
        <v>13385657.390000001</v>
      </c>
      <c r="T26" s="1111">
        <v>44440</v>
      </c>
      <c r="U26" s="973">
        <v>17152923.23</v>
      </c>
      <c r="V26" s="1111">
        <v>44205</v>
      </c>
    </row>
    <row r="27" spans="2:22" ht="17.100000000000001" customHeight="1">
      <c r="C27" s="964"/>
      <c r="D27" s="969"/>
      <c r="E27" s="970"/>
      <c r="F27" s="969"/>
      <c r="G27" s="970"/>
      <c r="H27" s="969"/>
      <c r="I27" s="970"/>
      <c r="J27" s="969"/>
      <c r="K27" s="970"/>
      <c r="L27" s="969"/>
      <c r="M27" s="970"/>
      <c r="N27" s="997"/>
      <c r="O27" s="998"/>
      <c r="Q27" s="973"/>
      <c r="S27" s="973"/>
      <c r="T27" s="1111">
        <v>44470</v>
      </c>
      <c r="U27" s="973">
        <v>14353365.65</v>
      </c>
      <c r="V27" s="1111">
        <v>44206</v>
      </c>
    </row>
    <row r="28" spans="2:22" ht="17.100000000000001" customHeight="1">
      <c r="C28" s="964"/>
      <c r="D28" s="969"/>
      <c r="E28" s="970"/>
      <c r="F28" s="969"/>
      <c r="G28" s="970"/>
      <c r="H28" s="969"/>
      <c r="I28" s="970"/>
      <c r="J28" s="969"/>
      <c r="K28" s="970"/>
      <c r="L28" s="969"/>
      <c r="M28" s="970"/>
      <c r="N28" s="997"/>
      <c r="O28" s="998"/>
      <c r="Q28" s="973"/>
      <c r="U28" s="973">
        <v>11097784.430000002</v>
      </c>
      <c r="V28" s="1111">
        <v>44207</v>
      </c>
    </row>
    <row r="29" spans="2:22" ht="17.100000000000001" customHeight="1">
      <c r="C29" s="482"/>
      <c r="D29" s="971"/>
      <c r="E29" s="972"/>
      <c r="F29" s="971"/>
      <c r="G29" s="972"/>
      <c r="H29" s="971"/>
      <c r="I29" s="972"/>
      <c r="J29" s="971"/>
      <c r="K29" s="972"/>
      <c r="L29" s="971"/>
      <c r="M29" s="972"/>
      <c r="N29" s="1003"/>
      <c r="O29" s="1004"/>
      <c r="Q29" s="973"/>
    </row>
    <row r="30" spans="2:22">
      <c r="C30" s="740"/>
      <c r="D30" s="481"/>
      <c r="E30" s="741"/>
      <c r="F30" s="481"/>
      <c r="G30" s="481"/>
      <c r="H30" s="481"/>
      <c r="I30" s="481"/>
      <c r="J30" s="481"/>
      <c r="K30" s="481"/>
      <c r="L30" s="481"/>
      <c r="M30" s="481"/>
      <c r="N30" s="150"/>
      <c r="O30" s="160"/>
    </row>
    <row r="31" spans="2:22">
      <c r="C31" s="159"/>
      <c r="D31" s="966" t="s">
        <v>162</v>
      </c>
      <c r="E31" s="156"/>
      <c r="F31" s="149"/>
      <c r="G31" s="149"/>
      <c r="H31" s="149"/>
      <c r="I31" s="149"/>
      <c r="J31" s="156" t="s">
        <v>157</v>
      </c>
      <c r="K31" s="149"/>
      <c r="L31" s="149"/>
      <c r="M31" s="149"/>
      <c r="N31" s="150"/>
      <c r="O31" s="160"/>
    </row>
    <row r="32" spans="2:22">
      <c r="C32" s="159"/>
      <c r="E32" s="149"/>
      <c r="F32" s="149"/>
      <c r="G32" s="149"/>
      <c r="H32" s="149"/>
      <c r="I32" s="149"/>
      <c r="K32" s="149"/>
      <c r="L32" s="149"/>
      <c r="M32" s="149"/>
      <c r="N32" s="150"/>
      <c r="O32" s="160"/>
    </row>
    <row r="33" spans="3:15">
      <c r="C33" s="159"/>
      <c r="D33" s="149"/>
      <c r="E33" s="156"/>
      <c r="F33" s="149"/>
      <c r="G33" s="149"/>
      <c r="H33" s="149"/>
      <c r="I33" s="149"/>
      <c r="J33" s="149"/>
      <c r="K33" s="149"/>
      <c r="L33" s="149"/>
      <c r="M33" s="150"/>
      <c r="N33" s="150"/>
      <c r="O33" s="160"/>
    </row>
    <row r="34" spans="3:15">
      <c r="C34" s="161"/>
      <c r="D34" s="157"/>
      <c r="E34" s="153"/>
      <c r="F34" s="149"/>
      <c r="G34" s="149"/>
      <c r="H34" s="149"/>
      <c r="I34" s="149"/>
      <c r="J34" s="149"/>
      <c r="K34" s="149"/>
      <c r="L34" s="149"/>
      <c r="M34" s="157"/>
      <c r="N34" s="157"/>
      <c r="O34" s="762"/>
    </row>
    <row r="35" spans="3:15">
      <c r="C35" s="161"/>
      <c r="D35" s="157"/>
      <c r="E35" s="153"/>
      <c r="F35" s="149"/>
      <c r="G35" s="149"/>
      <c r="H35" s="149"/>
      <c r="I35" s="149"/>
      <c r="J35" s="149"/>
      <c r="K35" s="149"/>
      <c r="L35" s="149"/>
      <c r="M35" s="157"/>
      <c r="N35" s="157"/>
      <c r="O35" s="762"/>
    </row>
    <row r="36" spans="3:15">
      <c r="C36" s="163"/>
      <c r="D36" s="158"/>
      <c r="E36" s="174" t="str">
        <f>+'Planilla de Avance'!F113</f>
        <v>Ing. Gabriel Daza Chavez</v>
      </c>
      <c r="F36" s="149"/>
      <c r="G36" s="152"/>
      <c r="H36" s="152"/>
      <c r="I36" s="152"/>
      <c r="J36" s="152"/>
      <c r="K36" s="152"/>
      <c r="L36" s="175" t="str">
        <f>+'Planilla de Avance'!J113</f>
        <v>Ing. Herlan Rene Ramos Estrada</v>
      </c>
      <c r="M36" s="149"/>
      <c r="N36" s="153"/>
      <c r="O36" s="763"/>
    </row>
    <row r="37" spans="3:15">
      <c r="C37" s="163"/>
      <c r="D37" s="158"/>
      <c r="E37" s="759" t="str">
        <f>+'Planilla de Avance'!F114</f>
        <v>SUPERINTENDENTE DE OBRA</v>
      </c>
      <c r="F37" s="149"/>
      <c r="G37" s="152"/>
      <c r="H37" s="152"/>
      <c r="I37" s="152"/>
      <c r="J37" s="152"/>
      <c r="K37" s="152"/>
      <c r="L37" s="153" t="str">
        <f>+'Planilla de Avance'!J114</f>
        <v>SUPERVISOR DE OBRA</v>
      </c>
      <c r="M37" s="149"/>
      <c r="N37" s="153"/>
      <c r="O37" s="763"/>
    </row>
    <row r="38" spans="3:15" ht="31.5" customHeight="1">
      <c r="C38" s="164"/>
      <c r="D38" s="1776" t="str">
        <f>+'Planilla de Avance'!F115</f>
        <v>EMPRESA ESTRATÉGICA BOLIVIANA DE CONSTRUCCIÓN
Y CONSERVACIÓN DE INFRAESTRUCTURA CIVIL (EBC)</v>
      </c>
      <c r="E38" s="1776"/>
      <c r="F38" s="1776"/>
      <c r="G38" s="165"/>
      <c r="H38" s="165"/>
      <c r="I38" s="165"/>
      <c r="J38" s="165"/>
      <c r="K38" s="165"/>
      <c r="L38" s="965" t="str">
        <f>+'Planilla de Avance'!J115</f>
        <v>ABC - REGIONAL TARIJA</v>
      </c>
      <c r="M38" s="166"/>
      <c r="N38" s="167"/>
      <c r="O38" s="764"/>
    </row>
    <row r="39" spans="3:15" ht="15" customHeight="1">
      <c r="C39" s="172"/>
      <c r="D39" s="481"/>
      <c r="E39" s="481"/>
      <c r="F39" s="481"/>
      <c r="G39" s="481"/>
      <c r="H39" s="481"/>
      <c r="I39" s="481"/>
      <c r="J39" s="481"/>
      <c r="K39" s="481"/>
      <c r="L39" s="481"/>
      <c r="M39" s="481"/>
      <c r="N39" s="481"/>
      <c r="O39" s="486"/>
    </row>
    <row r="40" spans="3:15" ht="15" customHeight="1">
      <c r="C40" s="168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62"/>
    </row>
    <row r="41" spans="3:15" ht="15" customHeight="1">
      <c r="C41" s="168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62"/>
    </row>
    <row r="42" spans="3:15" ht="15" customHeight="1">
      <c r="C42" s="168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62"/>
    </row>
    <row r="43" spans="3:15" ht="15" customHeight="1">
      <c r="C43" s="168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62"/>
    </row>
    <row r="44" spans="3:15" ht="15" customHeight="1">
      <c r="C44" s="168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62"/>
    </row>
    <row r="45" spans="3:15" ht="15" customHeight="1">
      <c r="C45" s="168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62"/>
    </row>
    <row r="46" spans="3:15" ht="15" customHeight="1">
      <c r="C46" s="168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62"/>
    </row>
    <row r="47" spans="3:15" ht="15" customHeight="1">
      <c r="C47" s="168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62"/>
    </row>
    <row r="48" spans="3:15" ht="15" customHeight="1">
      <c r="C48" s="168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62"/>
    </row>
    <row r="49" spans="3:15" ht="15" customHeight="1">
      <c r="C49" s="168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62"/>
    </row>
    <row r="50" spans="3:15" ht="15" customHeight="1">
      <c r="C50" s="168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62"/>
    </row>
    <row r="51" spans="3:15" ht="15" customHeight="1">
      <c r="C51" s="168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62"/>
    </row>
    <row r="52" spans="3:15" ht="15" customHeight="1">
      <c r="C52" s="168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62"/>
    </row>
    <row r="53" spans="3:15" ht="15" customHeight="1">
      <c r="C53" s="168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62"/>
    </row>
    <row r="54" spans="3:15" ht="15" customHeight="1">
      <c r="C54" s="168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62"/>
    </row>
    <row r="55" spans="3:15" ht="15" customHeight="1">
      <c r="C55" s="168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62"/>
    </row>
    <row r="56" spans="3:15" ht="15" customHeight="1">
      <c r="C56" s="168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62"/>
    </row>
    <row r="57" spans="3:15" ht="15" customHeight="1">
      <c r="C57" s="168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62"/>
    </row>
    <row r="58" spans="3:15" ht="15" customHeight="1">
      <c r="C58" s="168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62"/>
    </row>
    <row r="59" spans="3:15" ht="15" customHeight="1">
      <c r="C59" s="168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62"/>
    </row>
    <row r="60" spans="3:15" ht="15" customHeight="1">
      <c r="C60" s="168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62"/>
    </row>
    <row r="61" spans="3:15" ht="15" customHeight="1">
      <c r="C61" s="168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62"/>
    </row>
    <row r="62" spans="3:15" ht="15" customHeight="1">
      <c r="C62" s="168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62"/>
    </row>
    <row r="63" spans="3:15" ht="15" customHeight="1">
      <c r="C63" s="168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62"/>
    </row>
    <row r="64" spans="3:15" ht="15" customHeight="1">
      <c r="C64" s="168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62"/>
    </row>
    <row r="65" spans="3:15" ht="15" customHeight="1">
      <c r="C65" s="168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62"/>
    </row>
    <row r="66" spans="3:15" ht="15" customHeight="1">
      <c r="C66" s="168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62"/>
    </row>
    <row r="67" spans="3:15" ht="15" customHeight="1">
      <c r="C67" s="168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62"/>
    </row>
    <row r="68" spans="3:15" ht="15" customHeight="1">
      <c r="C68" s="168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62"/>
    </row>
    <row r="69" spans="3:15" ht="15" customHeight="1">
      <c r="C69" s="168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62"/>
    </row>
    <row r="70" spans="3:15" ht="15" customHeight="1">
      <c r="C70" s="168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62"/>
    </row>
    <row r="71" spans="3:15" ht="15" customHeight="1">
      <c r="C71" s="168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62"/>
    </row>
    <row r="72" spans="3:15" ht="15" customHeight="1">
      <c r="C72" s="168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62"/>
    </row>
    <row r="73" spans="3:15" ht="15" customHeight="1">
      <c r="C73" s="168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62"/>
    </row>
    <row r="74" spans="3:15" ht="15" customHeight="1">
      <c r="C74" s="168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62"/>
    </row>
    <row r="75" spans="3:15" ht="15" customHeight="1">
      <c r="C75" s="168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62"/>
    </row>
    <row r="76" spans="3:15" ht="15" customHeight="1">
      <c r="C76" s="168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62"/>
    </row>
    <row r="77" spans="3:15" ht="15" customHeight="1">
      <c r="C77" s="168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62"/>
    </row>
    <row r="78" spans="3:15" ht="15" customHeight="1">
      <c r="C78" s="168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62"/>
    </row>
    <row r="79" spans="3:15" ht="15" customHeight="1">
      <c r="C79" s="743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487"/>
    </row>
    <row r="80" spans="3:15" ht="15" customHeight="1">
      <c r="C80" s="172"/>
      <c r="D80" s="481"/>
      <c r="E80" s="481"/>
      <c r="F80" s="481"/>
      <c r="G80" s="481"/>
      <c r="H80" s="481"/>
      <c r="I80" s="481"/>
      <c r="J80" s="481"/>
      <c r="K80" s="481"/>
      <c r="L80" s="481"/>
      <c r="M80" s="481"/>
      <c r="N80" s="481"/>
      <c r="O80" s="486"/>
    </row>
    <row r="81" spans="3:15" ht="15" customHeight="1">
      <c r="C81" s="168"/>
      <c r="D81" s="149"/>
      <c r="E81" s="149"/>
      <c r="F81" s="149"/>
      <c r="G81" s="1405">
        <v>41790</v>
      </c>
      <c r="H81" s="1405"/>
      <c r="I81" s="1405"/>
      <c r="J81" s="1406">
        <f>+G81</f>
        <v>41790</v>
      </c>
      <c r="K81" s="1406">
        <f>+L81</f>
        <v>42582</v>
      </c>
      <c r="L81" s="1405">
        <v>42582</v>
      </c>
      <c r="M81" s="149"/>
      <c r="N81" s="149"/>
      <c r="O81" s="162"/>
    </row>
    <row r="82" spans="3:15" ht="15" customHeight="1">
      <c r="C82" s="168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62"/>
    </row>
    <row r="83" spans="3:15" ht="15" customHeight="1">
      <c r="C83" s="168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62"/>
    </row>
    <row r="84" spans="3:15" ht="15" customHeight="1">
      <c r="C84" s="168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62"/>
    </row>
    <row r="85" spans="3:15" ht="15" customHeight="1">
      <c r="C85" s="168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62"/>
    </row>
    <row r="86" spans="3:15" ht="15" customHeight="1">
      <c r="C86" s="168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62"/>
    </row>
    <row r="87" spans="3:15" ht="15" customHeight="1">
      <c r="C87" s="168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62"/>
    </row>
    <row r="88" spans="3:15" ht="15" customHeight="1">
      <c r="C88" s="168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62"/>
    </row>
    <row r="89" spans="3:15" ht="15" customHeight="1">
      <c r="C89" s="168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62"/>
    </row>
    <row r="90" spans="3:15" ht="15" customHeight="1">
      <c r="C90" s="168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62"/>
    </row>
    <row r="91" spans="3:15" ht="15" customHeight="1">
      <c r="C91" s="168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62"/>
    </row>
    <row r="92" spans="3:15" ht="15" customHeight="1">
      <c r="C92" s="168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  <c r="O92" s="162"/>
    </row>
    <row r="93" spans="3:15" ht="15" customHeight="1">
      <c r="C93" s="168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62"/>
    </row>
    <row r="94" spans="3:15" ht="15" customHeight="1">
      <c r="C94" s="168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62"/>
    </row>
    <row r="95" spans="3:15" ht="15" customHeight="1">
      <c r="C95" s="168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62"/>
    </row>
    <row r="96" spans="3:15" ht="15" customHeight="1">
      <c r="C96" s="168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62"/>
    </row>
    <row r="97" spans="3:15" ht="15" customHeight="1">
      <c r="C97" s="168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62"/>
    </row>
    <row r="98" spans="3:15" ht="15" customHeight="1">
      <c r="C98" s="168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  <c r="O98" s="162"/>
    </row>
    <row r="99" spans="3:15" ht="15" customHeight="1">
      <c r="C99" s="168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149"/>
      <c r="O99" s="162"/>
    </row>
    <row r="100" spans="3:15" ht="15" customHeight="1">
      <c r="C100" s="168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  <c r="O100" s="162"/>
    </row>
    <row r="101" spans="3:15" ht="15" customHeight="1">
      <c r="C101" s="168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  <c r="O101" s="162"/>
    </row>
    <row r="102" spans="3:15" ht="15" customHeight="1">
      <c r="C102" s="168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62"/>
    </row>
    <row r="103" spans="3:15" ht="15" customHeight="1">
      <c r="C103" s="168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149"/>
      <c r="O103" s="162"/>
    </row>
    <row r="104" spans="3:15" ht="15" customHeight="1">
      <c r="C104" s="168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62"/>
    </row>
    <row r="105" spans="3:15" ht="15" customHeight="1">
      <c r="C105" s="168"/>
      <c r="D105" s="149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  <c r="O105" s="162"/>
    </row>
    <row r="106" spans="3:15" ht="15" customHeight="1">
      <c r="C106" s="168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  <c r="O106" s="162"/>
    </row>
    <row r="107" spans="3:15" ht="15" customHeight="1">
      <c r="C107" s="168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62"/>
    </row>
    <row r="108" spans="3:15" ht="15" customHeight="1">
      <c r="C108" s="168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62"/>
    </row>
    <row r="109" spans="3:15" ht="15" customHeight="1">
      <c r="C109" s="168"/>
      <c r="D109" s="149"/>
      <c r="E109" s="149"/>
      <c r="F109" s="149"/>
      <c r="G109" s="149"/>
      <c r="H109" s="149"/>
      <c r="I109" s="149"/>
      <c r="J109" s="149"/>
      <c r="K109" s="149"/>
      <c r="L109" s="149"/>
      <c r="M109" s="149"/>
      <c r="N109" s="149"/>
      <c r="O109" s="162"/>
    </row>
    <row r="110" spans="3:15" ht="15" customHeight="1">
      <c r="C110" s="168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  <c r="O110" s="162"/>
    </row>
    <row r="111" spans="3:15" ht="15" customHeight="1">
      <c r="C111" s="168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  <c r="O111" s="162"/>
    </row>
    <row r="112" spans="3:15" ht="15" customHeight="1">
      <c r="C112" s="168"/>
      <c r="D112" s="149"/>
      <c r="E112" s="149"/>
      <c r="F112" s="149"/>
      <c r="G112" s="149"/>
      <c r="H112" s="149"/>
      <c r="I112" s="149"/>
      <c r="J112" s="149"/>
      <c r="K112" s="149"/>
      <c r="L112" s="149"/>
      <c r="M112" s="149"/>
      <c r="N112" s="149"/>
      <c r="O112" s="162"/>
    </row>
    <row r="113" spans="3:15" ht="15" customHeight="1">
      <c r="C113" s="168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  <c r="O113" s="162"/>
    </row>
    <row r="114" spans="3:15" ht="15" customHeight="1">
      <c r="C114" s="168"/>
      <c r="D114" s="149"/>
      <c r="E114" s="149"/>
      <c r="F114" s="149"/>
      <c r="G114" s="149"/>
      <c r="H114" s="149"/>
      <c r="I114" s="149"/>
      <c r="J114" s="149"/>
      <c r="K114" s="149"/>
      <c r="L114" s="149"/>
      <c r="M114" s="149"/>
      <c r="N114" s="149"/>
      <c r="O114" s="162"/>
    </row>
    <row r="115" spans="3:15" ht="15" customHeight="1">
      <c r="C115" s="168"/>
      <c r="D115" s="149"/>
      <c r="E115" s="149"/>
      <c r="F115" s="149"/>
      <c r="G115" s="149"/>
      <c r="H115" s="149"/>
      <c r="I115" s="149"/>
      <c r="J115" s="149"/>
      <c r="K115" s="149"/>
      <c r="L115" s="149"/>
      <c r="M115" s="149"/>
      <c r="N115" s="149"/>
      <c r="O115" s="162"/>
    </row>
    <row r="116" spans="3:15" ht="15" customHeight="1">
      <c r="C116" s="168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  <c r="O116" s="162"/>
    </row>
    <row r="117" spans="3:15" ht="15" customHeight="1">
      <c r="C117" s="168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62"/>
    </row>
    <row r="118" spans="3:15" ht="15" customHeight="1">
      <c r="C118" s="168"/>
      <c r="D118" s="149"/>
      <c r="E118" s="149"/>
      <c r="F118" s="149"/>
      <c r="G118" s="149"/>
      <c r="H118" s="149"/>
      <c r="I118" s="149"/>
      <c r="J118" s="149"/>
      <c r="K118" s="149"/>
      <c r="L118" s="149"/>
      <c r="M118" s="149"/>
      <c r="N118" s="149"/>
      <c r="O118" s="162"/>
    </row>
    <row r="119" spans="3:15" ht="15" customHeight="1">
      <c r="C119" s="168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  <c r="O119" s="162"/>
    </row>
    <row r="120" spans="3:15" ht="15" customHeight="1">
      <c r="C120" s="743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487"/>
    </row>
    <row r="121" spans="3:15" ht="15" customHeight="1"/>
  </sheetData>
  <mergeCells count="21">
    <mergeCell ref="M6:O6"/>
    <mergeCell ref="H8:I8"/>
    <mergeCell ref="H9:I9"/>
    <mergeCell ref="N8:O8"/>
    <mergeCell ref="N9:O9"/>
    <mergeCell ref="L9:M9"/>
    <mergeCell ref="L8:M8"/>
    <mergeCell ref="F5:L6"/>
    <mergeCell ref="J9:K9"/>
    <mergeCell ref="F9:G9"/>
    <mergeCell ref="J8:K8"/>
    <mergeCell ref="F8:G8"/>
    <mergeCell ref="D8:E8"/>
    <mergeCell ref="B8:B10"/>
    <mergeCell ref="D38:F38"/>
    <mergeCell ref="C1:D1"/>
    <mergeCell ref="C8:C10"/>
    <mergeCell ref="D9:E9"/>
    <mergeCell ref="E7:F7"/>
    <mergeCell ref="F3:L4"/>
    <mergeCell ref="C6:E6"/>
  </mergeCells>
  <printOptions horizontalCentered="1"/>
  <pageMargins left="0.39370078740157483" right="0.39370078740157483" top="0.78740157480314965" bottom="0.39370078740157483" header="0" footer="0"/>
  <pageSetup scale="85" fitToHeight="2" orientation="landscape" horizontalDpi="4294967295" verticalDpi="4294967295" r:id="rId1"/>
  <headerFooter alignWithMargins="0"/>
  <rowBreaks count="2" manualBreakCount="2">
    <brk id="38" min="2" max="14" man="1"/>
    <brk id="79" min="2" max="14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92D050"/>
  </sheetPr>
  <dimension ref="B2:R40"/>
  <sheetViews>
    <sheetView showGridLines="0" view="pageBreakPreview" topLeftCell="A16" zoomScaleNormal="75" zoomScaleSheetLayoutView="100" workbookViewId="0">
      <selection activeCell="F15" sqref="F15"/>
    </sheetView>
  </sheetViews>
  <sheetFormatPr baseColWidth="10" defaultColWidth="11.44140625" defaultRowHeight="30"/>
  <cols>
    <col min="1" max="1" width="1.109375" style="679" customWidth="1"/>
    <col min="2" max="2" width="44.88671875" style="679" customWidth="1"/>
    <col min="3" max="3" width="18.5546875" style="679" customWidth="1"/>
    <col min="4" max="4" width="20.6640625" style="679" customWidth="1"/>
    <col min="5" max="5" width="15.6640625" style="679" customWidth="1"/>
    <col min="6" max="6" width="16.6640625" style="679" customWidth="1"/>
    <col min="7" max="7" width="16.5546875" style="679" customWidth="1"/>
    <col min="8" max="8" width="15.44140625" style="679" customWidth="1"/>
    <col min="9" max="10" width="13.33203125" style="679" customWidth="1"/>
    <col min="11" max="11" width="20.88671875" style="679" customWidth="1"/>
    <col min="12" max="12" width="12.5546875" style="697" bestFit="1" customWidth="1"/>
    <col min="13" max="13" width="12.5546875" style="679" hidden="1" customWidth="1"/>
    <col min="14" max="14" width="13.88671875" style="679" customWidth="1"/>
    <col min="15" max="16384" width="11.44140625" style="679"/>
  </cols>
  <sheetData>
    <row r="2" spans="2:16" ht="20.25" customHeight="1">
      <c r="B2" s="1259"/>
      <c r="C2" s="1264"/>
      <c r="D2" s="1256"/>
      <c r="E2" s="1256"/>
      <c r="F2" s="1256"/>
      <c r="G2" s="1256"/>
      <c r="H2" s="1256"/>
      <c r="I2" s="1257"/>
      <c r="J2" s="1256"/>
      <c r="K2" s="1257"/>
    </row>
    <row r="3" spans="2:16" ht="20.25" customHeight="1">
      <c r="B3" s="1260"/>
      <c r="C3" s="1796" t="s">
        <v>627</v>
      </c>
      <c r="D3" s="1797"/>
      <c r="E3" s="1797"/>
      <c r="F3" s="1797"/>
      <c r="G3" s="1797"/>
      <c r="H3" s="1797"/>
      <c r="I3" s="1798"/>
      <c r="J3" s="1263"/>
      <c r="K3" s="1258"/>
    </row>
    <row r="4" spans="2:16" ht="20.25" customHeight="1">
      <c r="B4" s="1260"/>
      <c r="C4" s="1796"/>
      <c r="D4" s="1797"/>
      <c r="E4" s="1797"/>
      <c r="F4" s="1797"/>
      <c r="G4" s="1797"/>
      <c r="H4" s="1797"/>
      <c r="I4" s="1798"/>
      <c r="J4" s="1263"/>
      <c r="K4" s="1258"/>
    </row>
    <row r="5" spans="2:16" ht="20.25" customHeight="1">
      <c r="B5" s="1261"/>
      <c r="C5" s="1799" t="str">
        <f>"CARRETERA: "&amp;'Planilla de Avance'!G4</f>
        <v>CARRETERA: PROYECTO: CONSTRUCCION Y REHABILITACION TRAMO CARRETERO 
VILLA MONTES - LA VERTIENTE - PALO MARCADO</v>
      </c>
      <c r="D5" s="1800"/>
      <c r="E5" s="1800"/>
      <c r="F5" s="1800"/>
      <c r="G5" s="1800"/>
      <c r="H5" s="1800"/>
      <c r="I5" s="1801"/>
      <c r="J5" s="1263"/>
      <c r="K5" s="1258"/>
    </row>
    <row r="6" spans="2:16" ht="19.5" customHeight="1">
      <c r="B6" s="1262" t="s">
        <v>155</v>
      </c>
      <c r="C6" s="1812"/>
      <c r="D6" s="1813"/>
      <c r="E6" s="1813"/>
      <c r="F6" s="1813"/>
      <c r="G6" s="1813"/>
      <c r="H6" s="1813"/>
      <c r="I6" s="1814"/>
      <c r="J6" s="1810" t="s">
        <v>241</v>
      </c>
      <c r="K6" s="1811"/>
    </row>
    <row r="7" spans="2:16" ht="18" customHeight="1">
      <c r="B7" s="1287"/>
      <c r="C7" s="1005"/>
      <c r="D7" s="1005"/>
      <c r="E7" s="1005"/>
      <c r="F7" s="1005"/>
      <c r="G7" s="1005"/>
      <c r="H7" s="1005"/>
      <c r="I7" s="1005"/>
      <c r="J7" s="1005"/>
      <c r="K7" s="1288"/>
    </row>
    <row r="8" spans="2:16" ht="18" customHeight="1">
      <c r="B8" s="1287"/>
      <c r="C8" s="1005"/>
      <c r="D8" s="1005"/>
      <c r="E8" s="1005"/>
      <c r="F8" s="1005"/>
      <c r="G8" s="1005"/>
      <c r="H8" s="1005"/>
      <c r="I8" s="1005"/>
      <c r="J8" s="1005"/>
      <c r="K8" s="1288"/>
    </row>
    <row r="9" spans="2:16" ht="21" customHeight="1">
      <c r="B9" s="1808" t="s">
        <v>240</v>
      </c>
      <c r="C9" s="1808" t="s">
        <v>197</v>
      </c>
      <c r="D9" s="1817" t="s">
        <v>239</v>
      </c>
      <c r="E9" s="1808" t="s">
        <v>417</v>
      </c>
      <c r="F9" s="1808" t="s">
        <v>423</v>
      </c>
      <c r="G9" s="1808" t="s">
        <v>419</v>
      </c>
      <c r="H9" s="1808" t="s">
        <v>420</v>
      </c>
      <c r="I9" s="1815" t="s">
        <v>198</v>
      </c>
      <c r="J9" s="1816"/>
      <c r="K9" s="1817" t="s">
        <v>161</v>
      </c>
    </row>
    <row r="10" spans="2:16" ht="28.5" customHeight="1">
      <c r="B10" s="1809"/>
      <c r="C10" s="1809"/>
      <c r="D10" s="1818"/>
      <c r="E10" s="1809"/>
      <c r="F10" s="1809"/>
      <c r="G10" s="1809"/>
      <c r="H10" s="1809"/>
      <c r="I10" s="1050" t="s">
        <v>418</v>
      </c>
      <c r="J10" s="1051" t="s">
        <v>177</v>
      </c>
      <c r="K10" s="1818"/>
      <c r="N10" s="680"/>
      <c r="O10" s="680"/>
    </row>
    <row r="11" spans="2:16" ht="21.75" customHeight="1">
      <c r="B11" s="1265" t="s">
        <v>502</v>
      </c>
      <c r="C11" s="1052"/>
      <c r="D11" s="1053"/>
      <c r="E11" s="1054"/>
      <c r="F11" s="1052"/>
      <c r="G11" s="1054"/>
      <c r="H11" s="1055"/>
      <c r="I11" s="1056"/>
      <c r="J11" s="1056"/>
      <c r="K11" s="1266"/>
      <c r="L11" s="405"/>
      <c r="M11" s="680"/>
      <c r="N11" s="680"/>
      <c r="O11" s="680"/>
      <c r="P11" s="680"/>
    </row>
    <row r="12" spans="2:16" ht="43.5" customHeight="1">
      <c r="B12" s="1267" t="s">
        <v>456</v>
      </c>
      <c r="C12" s="1040" t="s">
        <v>621</v>
      </c>
      <c r="D12" s="1041" t="s">
        <v>457</v>
      </c>
      <c r="E12" s="1042">
        <f>+Certificado!K16</f>
        <v>108397839.64</v>
      </c>
      <c r="F12" s="1043"/>
      <c r="G12" s="1044">
        <v>21679567.93</v>
      </c>
      <c r="H12" s="1045">
        <f>ROUND((G12*100/E12),2)</f>
        <v>20</v>
      </c>
      <c r="I12" s="1046">
        <v>44034</v>
      </c>
      <c r="J12" s="1047">
        <v>44124</v>
      </c>
      <c r="K12" s="1268" t="s">
        <v>626</v>
      </c>
      <c r="L12" s="405"/>
      <c r="M12" s="680"/>
      <c r="N12" s="680"/>
      <c r="O12" s="680"/>
      <c r="P12" s="680"/>
    </row>
    <row r="13" spans="2:16" ht="43.5" customHeight="1">
      <c r="B13" s="1269" t="s">
        <v>456</v>
      </c>
      <c r="C13" s="1149" t="s">
        <v>622</v>
      </c>
      <c r="D13" s="1150" t="s">
        <v>457</v>
      </c>
      <c r="E13" s="1151">
        <f>+Certificado!K16</f>
        <v>108397839.64</v>
      </c>
      <c r="F13" s="1152"/>
      <c r="G13" s="1153">
        <v>21679568.93</v>
      </c>
      <c r="H13" s="1154">
        <f>ROUND((G13*100/E13),2)</f>
        <v>20</v>
      </c>
      <c r="I13" s="1155">
        <v>44125</v>
      </c>
      <c r="J13" s="1156">
        <v>44215</v>
      </c>
      <c r="K13" s="1270" t="s">
        <v>626</v>
      </c>
      <c r="L13" s="405"/>
      <c r="M13" s="680"/>
      <c r="N13" s="680"/>
      <c r="O13" s="680"/>
      <c r="P13" s="680"/>
    </row>
    <row r="14" spans="2:16" ht="43.5" customHeight="1">
      <c r="B14" s="1269" t="s">
        <v>456</v>
      </c>
      <c r="C14" s="1149" t="s">
        <v>657</v>
      </c>
      <c r="D14" s="1426" t="s">
        <v>700</v>
      </c>
      <c r="E14" s="1151">
        <v>108397839.64</v>
      </c>
      <c r="F14" s="1152"/>
      <c r="G14" s="1153">
        <v>21679567.93</v>
      </c>
      <c r="H14" s="1154">
        <f t="shared" ref="H14:H15" si="0">ROUND((G14*100/E14),2)</f>
        <v>20</v>
      </c>
      <c r="I14" s="1155">
        <v>44216</v>
      </c>
      <c r="J14" s="1156">
        <v>44295</v>
      </c>
      <c r="K14" s="1270" t="s">
        <v>626</v>
      </c>
      <c r="L14" s="405"/>
      <c r="M14" s="680"/>
      <c r="N14" s="680"/>
      <c r="O14" s="680"/>
      <c r="P14" s="680"/>
    </row>
    <row r="15" spans="2:16" ht="43.5" customHeight="1">
      <c r="B15" s="1269" t="s">
        <v>456</v>
      </c>
      <c r="C15" s="1149" t="s">
        <v>699</v>
      </c>
      <c r="D15" s="1426" t="s">
        <v>700</v>
      </c>
      <c r="E15" s="1151">
        <v>108397839.64</v>
      </c>
      <c r="F15" s="692"/>
      <c r="G15" s="1153">
        <v>21679567.93</v>
      </c>
      <c r="H15" s="1154">
        <f t="shared" si="0"/>
        <v>20</v>
      </c>
      <c r="I15" s="1155">
        <v>44295</v>
      </c>
      <c r="J15" s="1156">
        <v>44385</v>
      </c>
      <c r="K15" s="1271" t="s">
        <v>658</v>
      </c>
      <c r="L15" s="405"/>
      <c r="M15" s="680"/>
      <c r="N15" s="680"/>
      <c r="O15" s="680"/>
      <c r="P15" s="680"/>
    </row>
    <row r="16" spans="2:16" ht="43.5" customHeight="1">
      <c r="B16" s="1409"/>
      <c r="C16" s="1410"/>
      <c r="D16" s="1411"/>
      <c r="E16" s="1412"/>
      <c r="F16" s="1413"/>
      <c r="G16" s="1414"/>
      <c r="H16" s="1415"/>
      <c r="I16" s="1416"/>
      <c r="J16" s="1417"/>
      <c r="K16" s="1418"/>
      <c r="L16" s="405"/>
      <c r="M16" s="680"/>
      <c r="N16" s="680"/>
      <c r="O16" s="680"/>
      <c r="P16" s="680"/>
    </row>
    <row r="17" spans="2:18" ht="43.5" customHeight="1">
      <c r="B17" s="1272"/>
      <c r="C17" s="681"/>
      <c r="D17" s="682"/>
      <c r="E17" s="683"/>
      <c r="F17" s="684"/>
      <c r="G17" s="685"/>
      <c r="H17" s="686"/>
      <c r="I17" s="687"/>
      <c r="J17" s="688"/>
      <c r="K17" s="1273"/>
      <c r="M17" s="680"/>
      <c r="N17" s="680"/>
      <c r="O17" s="680"/>
      <c r="P17" s="680"/>
    </row>
    <row r="18" spans="2:18" ht="15" customHeight="1">
      <c r="B18" s="1407"/>
      <c r="C18" s="690"/>
      <c r="D18" s="689"/>
      <c r="E18" s="700"/>
      <c r="F18" s="700"/>
      <c r="G18" s="701"/>
      <c r="H18" s="702"/>
      <c r="I18" s="691"/>
      <c r="J18" s="691"/>
      <c r="K18" s="1408"/>
      <c r="M18" s="680"/>
      <c r="N18" s="680"/>
      <c r="O18" s="680"/>
      <c r="P18" s="680"/>
    </row>
    <row r="19" spans="2:18" ht="15" customHeight="1">
      <c r="B19" s="1274" t="s">
        <v>162</v>
      </c>
      <c r="C19" s="690"/>
      <c r="D19" s="689"/>
      <c r="E19" s="703" t="s">
        <v>421</v>
      </c>
      <c r="F19" s="700"/>
      <c r="G19" s="701"/>
      <c r="H19" s="702"/>
      <c r="I19" s="704" t="s">
        <v>422</v>
      </c>
      <c r="J19" s="691"/>
      <c r="K19" s="1275"/>
      <c r="M19" s="680"/>
      <c r="N19" s="680"/>
      <c r="O19" s="680"/>
      <c r="P19" s="680"/>
    </row>
    <row r="20" spans="2:18" ht="15" customHeight="1">
      <c r="B20" s="1274"/>
      <c r="C20" s="690"/>
      <c r="D20" s="689"/>
      <c r="E20" s="703"/>
      <c r="F20" s="700"/>
      <c r="G20" s="701"/>
      <c r="H20" s="702"/>
      <c r="I20" s="704"/>
      <c r="J20" s="691"/>
      <c r="K20" s="1275"/>
      <c r="M20" s="680"/>
      <c r="N20" s="680"/>
      <c r="O20" s="680"/>
      <c r="P20" s="680"/>
    </row>
    <row r="21" spans="2:18" ht="15" customHeight="1">
      <c r="B21" s="1274"/>
      <c r="C21" s="690"/>
      <c r="D21" s="689"/>
      <c r="E21" s="703"/>
      <c r="F21" s="700"/>
      <c r="G21" s="701"/>
      <c r="H21" s="702"/>
      <c r="I21" s="704"/>
      <c r="J21" s="691"/>
      <c r="K21" s="1275"/>
      <c r="M21" s="680"/>
      <c r="N21" s="680"/>
      <c r="O21" s="680"/>
      <c r="P21" s="680"/>
    </row>
    <row r="22" spans="2:18" ht="15" customHeight="1">
      <c r="B22" s="1274"/>
      <c r="C22" s="690"/>
      <c r="D22" s="689"/>
      <c r="E22" s="703"/>
      <c r="F22" s="700"/>
      <c r="G22" s="701"/>
      <c r="H22" s="702"/>
      <c r="I22" s="704"/>
      <c r="J22" s="691"/>
      <c r="K22" s="1275"/>
      <c r="M22" s="680"/>
      <c r="N22" s="680"/>
      <c r="O22" s="680"/>
      <c r="P22" s="680"/>
    </row>
    <row r="23" spans="2:18" ht="15" customHeight="1">
      <c r="B23" s="1274"/>
      <c r="C23" s="690"/>
      <c r="D23" s="689"/>
      <c r="E23" s="703"/>
      <c r="F23" s="700"/>
      <c r="G23" s="701"/>
      <c r="H23" s="702"/>
      <c r="I23" s="704"/>
      <c r="J23" s="691"/>
      <c r="K23" s="1275"/>
      <c r="M23" s="680"/>
      <c r="N23" s="680"/>
      <c r="O23" s="680"/>
      <c r="P23" s="680"/>
    </row>
    <row r="24" spans="2:18" ht="15" customHeight="1">
      <c r="B24" s="1274"/>
      <c r="C24" s="690"/>
      <c r="D24" s="689"/>
      <c r="E24" s="703"/>
      <c r="F24" s="700"/>
      <c r="G24" s="701"/>
      <c r="H24" s="702"/>
      <c r="I24" s="704"/>
      <c r="J24" s="691"/>
      <c r="K24" s="1275"/>
      <c r="M24" s="680"/>
      <c r="N24" s="680"/>
      <c r="O24" s="680"/>
      <c r="P24" s="680"/>
    </row>
    <row r="25" spans="2:18" ht="15" customHeight="1">
      <c r="B25" s="1274"/>
      <c r="C25" s="690"/>
      <c r="D25" s="689"/>
      <c r="E25" s="703"/>
      <c r="F25" s="700"/>
      <c r="G25" s="701"/>
      <c r="H25" s="702"/>
      <c r="I25" s="704"/>
      <c r="J25" s="691"/>
      <c r="K25" s="1275"/>
      <c r="M25" s="680"/>
      <c r="N25" s="680"/>
      <c r="O25" s="680"/>
      <c r="P25" s="680"/>
    </row>
    <row r="26" spans="2:18" ht="15" customHeight="1">
      <c r="B26" s="1276"/>
      <c r="C26" s="690"/>
      <c r="D26" s="689"/>
      <c r="E26" s="700"/>
      <c r="F26" s="700"/>
      <c r="G26" s="701"/>
      <c r="H26" s="702"/>
      <c r="I26" s="691"/>
      <c r="J26" s="691"/>
      <c r="K26" s="1275"/>
      <c r="M26" s="680"/>
      <c r="N26" s="680"/>
      <c r="O26" s="680"/>
      <c r="P26" s="680"/>
    </row>
    <row r="27" spans="2:18" ht="15" customHeight="1">
      <c r="B27" s="1260"/>
      <c r="C27" s="692"/>
      <c r="D27" s="692"/>
      <c r="E27" s="692"/>
      <c r="F27" s="692"/>
      <c r="G27" s="692"/>
      <c r="H27" s="692"/>
      <c r="I27" s="692"/>
      <c r="J27" s="692"/>
      <c r="K27" s="1277"/>
      <c r="L27" s="698"/>
      <c r="M27" s="692"/>
      <c r="N27" s="692"/>
      <c r="O27" s="692"/>
      <c r="P27" s="692"/>
      <c r="Q27" s="692"/>
      <c r="R27" s="692"/>
    </row>
    <row r="28" spans="2:18" ht="15" customHeight="1">
      <c r="B28" s="1260"/>
      <c r="C28" s="692"/>
      <c r="D28" s="692"/>
      <c r="E28" s="692"/>
      <c r="F28" s="692"/>
      <c r="G28" s="692"/>
      <c r="H28" s="692"/>
      <c r="I28" s="692"/>
      <c r="J28" s="692"/>
      <c r="K28" s="1277"/>
      <c r="L28" s="698"/>
      <c r="M28" s="692"/>
      <c r="N28" s="692"/>
      <c r="O28" s="692"/>
      <c r="P28" s="692"/>
      <c r="Q28" s="692"/>
      <c r="R28" s="692"/>
    </row>
    <row r="29" spans="2:18" ht="15" customHeight="1">
      <c r="B29" s="1278"/>
      <c r="C29" s="693"/>
      <c r="D29" s="797"/>
      <c r="E29" s="694"/>
      <c r="F29" s="694"/>
      <c r="G29" s="694"/>
      <c r="H29" s="694"/>
      <c r="I29" s="694"/>
      <c r="J29" s="694"/>
      <c r="K29" s="1279"/>
      <c r="L29" s="699"/>
      <c r="M29" s="694"/>
      <c r="N29" s="694"/>
      <c r="O29" s="694"/>
      <c r="P29" s="694"/>
      <c r="Q29" s="694"/>
      <c r="R29" s="692"/>
    </row>
    <row r="30" spans="2:18" ht="15" customHeight="1">
      <c r="B30" s="1802" t="str">
        <f>+'Planilla de Avance'!F113</f>
        <v>Ing. Gabriel Daza Chavez</v>
      </c>
      <c r="C30" s="1803"/>
      <c r="D30" s="1218"/>
      <c r="E30" s="1057"/>
      <c r="F30" s="1218" t="str">
        <f>+'Planilla de Avance'!J113</f>
        <v>Ing. Herlan Rene Ramos Estrada</v>
      </c>
      <c r="G30" s="1057"/>
      <c r="H30" s="1058"/>
      <c r="I30" s="1057"/>
      <c r="J30" s="1218" t="str">
        <f>+'Planilla de Avance'!Q113</f>
        <v>Ing. Franz Reynaldo Salazar Martinez</v>
      </c>
      <c r="K30" s="1280"/>
      <c r="L30" s="699"/>
      <c r="M30" s="692"/>
      <c r="N30" s="694"/>
      <c r="O30" s="694"/>
      <c r="P30" s="694"/>
      <c r="Q30" s="694"/>
      <c r="R30" s="692"/>
    </row>
    <row r="31" spans="2:18" ht="15" customHeight="1">
      <c r="B31" s="1804" t="str">
        <f>+'Planilla de Avance'!F114</f>
        <v>SUPERINTENDENTE DE OBRA</v>
      </c>
      <c r="C31" s="1805"/>
      <c r="D31" s="1218"/>
      <c r="E31" s="1057"/>
      <c r="F31" s="1219" t="str">
        <f>+'Planilla de Avance'!J114</f>
        <v>SUPERVISOR DE OBRA</v>
      </c>
      <c r="G31" s="1057"/>
      <c r="H31" s="1058"/>
      <c r="I31" s="1057"/>
      <c r="J31" s="1219" t="str">
        <f>+'Planilla de Avance'!Q114</f>
        <v>FISCAL DE OBRA</v>
      </c>
      <c r="K31" s="1280"/>
      <c r="L31" s="699"/>
      <c r="M31" s="692"/>
      <c r="N31" s="694"/>
      <c r="O31" s="694"/>
      <c r="P31" s="694"/>
      <c r="Q31" s="694"/>
      <c r="R31" s="692"/>
    </row>
    <row r="32" spans="2:18" ht="31.5" customHeight="1">
      <c r="B32" s="1806" t="str">
        <f>+Datos!B17</f>
        <v>EMPRESA ESTRATÉGICA BOLIVIANA DE CONSTRUCCIÓN
Y CONSERVACIÓN DE INFRAESTRUCTURA CIVIL (EBC)</v>
      </c>
      <c r="C32" s="1807"/>
      <c r="D32" s="1218"/>
      <c r="E32" s="1057"/>
      <c r="F32" s="1281" t="str">
        <f>+'Planilla de Avance'!J115</f>
        <v>ABC - REGIONAL TARIJA</v>
      </c>
      <c r="G32" s="1282"/>
      <c r="H32" s="1283"/>
      <c r="I32" s="1282"/>
      <c r="J32" s="1281" t="str">
        <f>+'Planilla de Avance'!Q115</f>
        <v>ABC - REGIONAL TARIJA</v>
      </c>
      <c r="K32" s="1280"/>
      <c r="L32" s="699"/>
      <c r="M32" s="692"/>
      <c r="N32" s="694"/>
      <c r="O32" s="694"/>
      <c r="P32" s="694"/>
      <c r="Q32" s="694"/>
      <c r="R32" s="692"/>
    </row>
    <row r="33" spans="2:18" ht="20.25" customHeight="1">
      <c r="B33" s="1284"/>
      <c r="C33" s="1285"/>
      <c r="D33" s="1285"/>
      <c r="E33" s="1285"/>
      <c r="F33" s="1285"/>
      <c r="G33" s="1285"/>
      <c r="H33" s="1285"/>
      <c r="I33" s="1285"/>
      <c r="J33" s="1285"/>
      <c r="K33" s="1286"/>
      <c r="L33" s="698"/>
      <c r="M33" s="692"/>
      <c r="N33" s="692"/>
      <c r="O33" s="692"/>
      <c r="P33" s="692"/>
      <c r="Q33" s="692"/>
      <c r="R33" s="692"/>
    </row>
    <row r="34" spans="2:18">
      <c r="B34" s="692"/>
      <c r="C34" s="692"/>
      <c r="D34" s="692"/>
      <c r="E34" s="692"/>
      <c r="F34" s="692"/>
      <c r="G34" s="692"/>
      <c r="H34" s="692"/>
      <c r="I34" s="692"/>
      <c r="J34" s="692"/>
      <c r="K34" s="692"/>
      <c r="L34" s="698"/>
      <c r="M34" s="692"/>
      <c r="N34" s="692"/>
      <c r="O34" s="692"/>
      <c r="P34" s="692"/>
      <c r="Q34" s="692"/>
      <c r="R34" s="692"/>
    </row>
    <row r="35" spans="2:18">
      <c r="B35" s="692"/>
      <c r="C35" s="692"/>
      <c r="D35" s="692"/>
      <c r="E35" s="692"/>
      <c r="F35" s="692"/>
      <c r="G35" s="692"/>
      <c r="H35" s="692"/>
      <c r="I35" s="692"/>
      <c r="J35" s="692"/>
      <c r="K35" s="692"/>
      <c r="L35" s="698"/>
      <c r="M35" s="692"/>
      <c r="N35" s="692"/>
      <c r="O35" s="692"/>
      <c r="P35" s="692"/>
      <c r="Q35" s="692"/>
      <c r="R35" s="692"/>
    </row>
    <row r="36" spans="2:18">
      <c r="B36" s="692"/>
      <c r="C36" s="692"/>
      <c r="D36" s="692"/>
      <c r="E36" s="692"/>
      <c r="F36" s="692"/>
      <c r="G36" s="692"/>
      <c r="H36" s="692"/>
      <c r="I36" s="692"/>
      <c r="J36" s="692"/>
      <c r="K36" s="692"/>
      <c r="L36" s="698"/>
      <c r="M36" s="692"/>
      <c r="N36" s="692"/>
      <c r="O36" s="692"/>
      <c r="P36" s="692"/>
      <c r="Q36" s="692"/>
      <c r="R36" s="692"/>
    </row>
    <row r="37" spans="2:18">
      <c r="B37" s="692"/>
      <c r="C37" s="692"/>
      <c r="D37" s="692"/>
      <c r="E37" s="692"/>
      <c r="F37" s="692"/>
      <c r="G37" s="692"/>
      <c r="H37" s="692"/>
      <c r="I37" s="692"/>
      <c r="J37" s="695">
        <v>41519</v>
      </c>
      <c r="K37" s="692"/>
      <c r="L37" s="698"/>
      <c r="M37" s="692"/>
      <c r="N37" s="692"/>
      <c r="O37" s="692"/>
      <c r="P37" s="692"/>
      <c r="Q37" s="692"/>
      <c r="R37" s="692"/>
    </row>
    <row r="38" spans="2:18">
      <c r="B38" s="692"/>
      <c r="C38" s="692"/>
      <c r="D38" s="692"/>
      <c r="E38" s="692"/>
      <c r="F38" s="692"/>
      <c r="G38" s="692"/>
      <c r="H38" s="692">
        <f>+E12*0.07</f>
        <v>7587848.7748000007</v>
      </c>
      <c r="I38" s="692"/>
      <c r="J38" s="696" t="e">
        <f>+#REF!-J37</f>
        <v>#REF!</v>
      </c>
      <c r="K38" s="692"/>
      <c r="L38" s="698"/>
      <c r="M38" s="692"/>
      <c r="N38" s="692"/>
      <c r="O38" s="692"/>
      <c r="P38" s="692"/>
      <c r="Q38" s="692"/>
      <c r="R38" s="692"/>
    </row>
    <row r="39" spans="2:18">
      <c r="B39" s="692"/>
      <c r="C39" s="692"/>
      <c r="D39" s="692"/>
      <c r="E39" s="692"/>
      <c r="F39" s="692"/>
      <c r="G39" s="692"/>
      <c r="H39" s="692"/>
      <c r="I39" s="692"/>
      <c r="J39" s="692"/>
      <c r="K39" s="692"/>
      <c r="L39" s="698"/>
      <c r="M39" s="692"/>
      <c r="N39" s="692"/>
      <c r="O39" s="692"/>
      <c r="P39" s="692"/>
      <c r="Q39" s="692"/>
      <c r="R39" s="692"/>
    </row>
    <row r="40" spans="2:18">
      <c r="B40" s="692"/>
      <c r="C40" s="692"/>
      <c r="D40" s="692"/>
      <c r="E40" s="692"/>
      <c r="F40" s="692"/>
      <c r="G40" s="692"/>
      <c r="H40" s="692"/>
      <c r="I40" s="692"/>
      <c r="J40" s="692"/>
      <c r="K40" s="692"/>
      <c r="L40" s="698"/>
      <c r="M40" s="692"/>
      <c r="N40" s="692"/>
      <c r="O40" s="692"/>
      <c r="P40" s="692"/>
      <c r="Q40" s="692"/>
      <c r="R40" s="692"/>
    </row>
  </sheetData>
  <mergeCells count="16">
    <mergeCell ref="J6:K6"/>
    <mergeCell ref="C6:I6"/>
    <mergeCell ref="I9:J9"/>
    <mergeCell ref="K9:K10"/>
    <mergeCell ref="G9:G10"/>
    <mergeCell ref="H9:H10"/>
    <mergeCell ref="C9:C10"/>
    <mergeCell ref="D9:D10"/>
    <mergeCell ref="E9:E10"/>
    <mergeCell ref="F9:F10"/>
    <mergeCell ref="C3:I4"/>
    <mergeCell ref="C5:I5"/>
    <mergeCell ref="B30:C30"/>
    <mergeCell ref="B31:C31"/>
    <mergeCell ref="B32:C32"/>
    <mergeCell ref="B9:B10"/>
  </mergeCells>
  <hyperlinks>
    <hyperlink ref="E2:J6" location="Certificado!A1" display="CUADRO RESUMEN DE POLIZAS Y BOLETAS"/>
  </hyperlinks>
  <printOptions horizontalCentered="1"/>
  <pageMargins left="0.39370078740157483" right="0.39370078740157483" top="0.98425196850393704" bottom="0.78740157480314965" header="0" footer="0"/>
  <pageSetup scale="65" orientation="landscape" horizontalDpi="4294967295" verticalDpi="4294967295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U274"/>
  <sheetViews>
    <sheetView view="pageBreakPreview" topLeftCell="C1" zoomScale="110" zoomScaleNormal="100" zoomScaleSheetLayoutView="110" workbookViewId="0">
      <pane ySplit="6" topLeftCell="A7" activePane="bottomLeft" state="frozen"/>
      <selection activeCell="F12" sqref="F12"/>
      <selection pane="bottomLeft" activeCell="F12" sqref="F12"/>
    </sheetView>
  </sheetViews>
  <sheetFormatPr baseColWidth="10" defaultRowHeight="13.2"/>
  <cols>
    <col min="1" max="1" width="6.33203125" customWidth="1"/>
    <col min="2" max="2" width="46.109375" customWidth="1"/>
    <col min="3" max="3" width="7.33203125" customWidth="1"/>
    <col min="4" max="6" width="11.44140625" customWidth="1"/>
    <col min="7" max="7" width="12" bestFit="1" customWidth="1"/>
    <col min="9" max="9" width="13.109375" bestFit="1" customWidth="1"/>
    <col min="10" max="10" width="11.6640625" bestFit="1" customWidth="1"/>
    <col min="11" max="11" width="12.109375" bestFit="1" customWidth="1"/>
    <col min="12" max="12" width="13.109375" bestFit="1" customWidth="1"/>
    <col min="13" max="13" width="11.88671875" bestFit="1" customWidth="1"/>
    <col min="14" max="14" width="13" customWidth="1"/>
    <col min="15" max="15" width="14.44140625" bestFit="1" customWidth="1"/>
    <col min="19" max="19" width="13.109375" bestFit="1" customWidth="1"/>
    <col min="21" max="21" width="14.6640625" customWidth="1"/>
  </cols>
  <sheetData>
    <row r="1" spans="1:17" ht="20.100000000000001" customHeight="1">
      <c r="A1" s="284"/>
      <c r="B1" s="310"/>
      <c r="C1" s="1839" t="str">
        <f>+Certificado!C1</f>
        <v>CERTIFICADO DE PAGO Nº 6</v>
      </c>
      <c r="D1" s="1840"/>
      <c r="E1" s="1840"/>
      <c r="F1" s="1840"/>
      <c r="G1" s="1840"/>
      <c r="H1" s="1840"/>
      <c r="I1" s="1840"/>
      <c r="J1" s="1840"/>
      <c r="K1" s="1840"/>
      <c r="L1" s="1841"/>
      <c r="M1" s="339"/>
      <c r="N1" s="340"/>
      <c r="O1" s="340"/>
      <c r="P1" s="341"/>
    </row>
    <row r="2" spans="1:17" ht="20.100000000000001" customHeight="1">
      <c r="A2" s="92"/>
      <c r="B2" s="312"/>
      <c r="C2" s="1842" t="s">
        <v>21</v>
      </c>
      <c r="D2" s="1843"/>
      <c r="E2" s="1843"/>
      <c r="F2" s="1843"/>
      <c r="G2" s="1843"/>
      <c r="H2" s="1843"/>
      <c r="I2" s="1843"/>
      <c r="J2" s="1843"/>
      <c r="K2" s="1843"/>
      <c r="L2" s="1844"/>
      <c r="M2" s="342"/>
      <c r="N2" s="311"/>
      <c r="O2" s="311"/>
      <c r="P2" s="312"/>
    </row>
    <row r="3" spans="1:17" ht="20.100000000000001" customHeight="1">
      <c r="A3" s="307"/>
      <c r="B3" s="314"/>
      <c r="C3" s="1845" t="s">
        <v>203</v>
      </c>
      <c r="D3" s="1846"/>
      <c r="E3" s="1846"/>
      <c r="F3" s="1846"/>
      <c r="G3" s="1846"/>
      <c r="H3" s="1846"/>
      <c r="I3" s="1846"/>
      <c r="J3" s="1846"/>
      <c r="K3" s="1846"/>
      <c r="L3" s="1847"/>
      <c r="M3" s="343"/>
      <c r="N3" s="313"/>
      <c r="O3" s="313"/>
      <c r="P3" s="314"/>
    </row>
    <row r="4" spans="1:17" ht="6.75" customHeight="1">
      <c r="A4" s="308"/>
      <c r="B4" s="309"/>
      <c r="C4" s="309"/>
      <c r="D4" s="309"/>
      <c r="E4" s="309"/>
      <c r="F4" s="309"/>
      <c r="G4" s="315" t="s">
        <v>159</v>
      </c>
      <c r="H4" s="315"/>
      <c r="I4" s="315" t="s">
        <v>176</v>
      </c>
      <c r="J4" s="315"/>
      <c r="K4" s="315" t="s">
        <v>175</v>
      </c>
      <c r="L4" s="315"/>
      <c r="M4" s="330" t="s">
        <v>165</v>
      </c>
      <c r="N4" s="331"/>
    </row>
    <row r="5" spans="1:17">
      <c r="A5" s="1853" t="s">
        <v>2</v>
      </c>
      <c r="B5" s="1854" t="s">
        <v>3</v>
      </c>
      <c r="C5" s="1855" t="s">
        <v>4</v>
      </c>
      <c r="D5" s="1837"/>
      <c r="E5" s="1837"/>
      <c r="F5" s="1838"/>
      <c r="G5" s="1856" t="s">
        <v>199</v>
      </c>
      <c r="H5" s="1856"/>
      <c r="I5" s="1837" t="s">
        <v>200</v>
      </c>
      <c r="J5" s="1838"/>
      <c r="K5" s="1837" t="s">
        <v>201</v>
      </c>
      <c r="L5" s="1838"/>
      <c r="M5" s="1837" t="s">
        <v>202</v>
      </c>
      <c r="N5" s="1838"/>
      <c r="O5" s="1837" t="s">
        <v>206</v>
      </c>
      <c r="P5" s="1838"/>
    </row>
    <row r="6" spans="1:17">
      <c r="A6" s="1853"/>
      <c r="B6" s="1854"/>
      <c r="C6" s="105" t="s">
        <v>5</v>
      </c>
      <c r="D6" s="298" t="s">
        <v>7</v>
      </c>
      <c r="E6" s="297" t="s">
        <v>6</v>
      </c>
      <c r="F6" s="296" t="s">
        <v>8</v>
      </c>
      <c r="G6" s="329" t="s">
        <v>6</v>
      </c>
      <c r="H6" s="295" t="s">
        <v>9</v>
      </c>
      <c r="I6" s="316" t="s">
        <v>6</v>
      </c>
      <c r="J6" s="296" t="s">
        <v>8</v>
      </c>
      <c r="K6" s="316" t="s">
        <v>6</v>
      </c>
      <c r="L6" s="296" t="s">
        <v>8</v>
      </c>
      <c r="M6" s="316" t="s">
        <v>6</v>
      </c>
      <c r="N6" s="296" t="s">
        <v>8</v>
      </c>
      <c r="O6" s="316" t="s">
        <v>6</v>
      </c>
      <c r="P6" s="296" t="s">
        <v>8</v>
      </c>
    </row>
    <row r="7" spans="1:17">
      <c r="A7" s="285" t="s">
        <v>57</v>
      </c>
      <c r="B7" s="41" t="s">
        <v>56</v>
      </c>
      <c r="C7" s="42"/>
      <c r="D7" s="43"/>
      <c r="E7" s="43"/>
      <c r="F7" s="43"/>
      <c r="G7" s="44"/>
      <c r="H7" s="44"/>
      <c r="I7" s="311"/>
      <c r="J7" s="311"/>
      <c r="K7" s="311"/>
      <c r="L7" s="311"/>
      <c r="M7" s="311"/>
      <c r="N7" s="312"/>
      <c r="O7" s="311"/>
      <c r="P7" s="312"/>
    </row>
    <row r="8" spans="1:17" ht="12.75" customHeight="1">
      <c r="A8" s="287">
        <v>1.1000000000000001</v>
      </c>
      <c r="B8" s="40" t="s">
        <v>22</v>
      </c>
      <c r="C8" s="58" t="s">
        <v>23</v>
      </c>
      <c r="D8" s="62">
        <v>742257.04999999993</v>
      </c>
      <c r="E8" s="63">
        <v>1</v>
      </c>
      <c r="F8" s="64">
        <f>ROUND(E8*D8,2)</f>
        <v>742257.05</v>
      </c>
      <c r="G8" s="317">
        <f ca="1">SUMIF('1'!A10:F49,G4,'1'!F10:F49)</f>
        <v>0</v>
      </c>
      <c r="H8" s="73">
        <f ca="1">+($D8*G8)</f>
        <v>0</v>
      </c>
      <c r="I8" s="317">
        <f ca="1">SUMIF('1'!A10:F49,I4,'1'!F10:F49)</f>
        <v>0</v>
      </c>
      <c r="J8" s="73">
        <f ca="1">($D8*I8)</f>
        <v>0</v>
      </c>
      <c r="K8" s="317">
        <f ca="1">SUMIF('1'!A10:F49,K4,'1'!F10:F49)</f>
        <v>0</v>
      </c>
      <c r="L8" s="73">
        <f ca="1">($D8*K8)</f>
        <v>0</v>
      </c>
      <c r="M8" s="317">
        <f ca="1">SUMIF('1'!A10:F49,M4,'1'!F10:F49)</f>
        <v>0</v>
      </c>
      <c r="N8" s="73">
        <f ca="1">($D8*M8)</f>
        <v>0</v>
      </c>
      <c r="O8" s="317">
        <f t="shared" ref="O8:P12" ca="1" si="0">+G8+I8+K8+M8</f>
        <v>0</v>
      </c>
      <c r="P8" s="73">
        <f t="shared" ca="1" si="0"/>
        <v>0</v>
      </c>
      <c r="Q8" s="338">
        <f ca="1">+'Planilla de Avance'!M10-O8</f>
        <v>15</v>
      </c>
    </row>
    <row r="9" spans="1:17" ht="12.75" customHeight="1">
      <c r="A9" s="288">
        <v>1.2</v>
      </c>
      <c r="B9" s="35" t="s">
        <v>24</v>
      </c>
      <c r="C9" s="59" t="s">
        <v>25</v>
      </c>
      <c r="D9" s="65">
        <v>54319.41</v>
      </c>
      <c r="E9" s="36">
        <v>12.9</v>
      </c>
      <c r="F9" s="66">
        <f>ROUND(E9*D9,2)</f>
        <v>700720.39</v>
      </c>
      <c r="G9" s="318" t="e">
        <f>SUMIF(#REF!,G4,#REF!)</f>
        <v>#REF!</v>
      </c>
      <c r="H9" s="37" t="e">
        <f>+($D9*G9)</f>
        <v>#REF!</v>
      </c>
      <c r="I9" s="318" t="e">
        <f>SUMIF(#REF!,I4,#REF!)</f>
        <v>#REF!</v>
      </c>
      <c r="J9" s="37" t="e">
        <f>($D9*I9)</f>
        <v>#REF!</v>
      </c>
      <c r="K9" s="318" t="e">
        <f>SUMIF(#REF!,K4,#REF!)</f>
        <v>#REF!</v>
      </c>
      <c r="L9" s="37" t="e">
        <f>($D9*K9)</f>
        <v>#REF!</v>
      </c>
      <c r="M9" s="318" t="e">
        <f>SUMIF(#REF!,M4,#REF!)</f>
        <v>#REF!</v>
      </c>
      <c r="N9" s="37" t="e">
        <f>($D9*M9)</f>
        <v>#REF!</v>
      </c>
      <c r="O9" s="318" t="e">
        <f t="shared" si="0"/>
        <v>#REF!</v>
      </c>
      <c r="P9" s="37" t="e">
        <f t="shared" si="0"/>
        <v>#REF!</v>
      </c>
      <c r="Q9" s="338" t="e">
        <f>+'Planilla de Avance'!M27-O9</f>
        <v>#REF!</v>
      </c>
    </row>
    <row r="10" spans="1:17" ht="12.75" customHeight="1">
      <c r="A10" s="288">
        <v>1.3</v>
      </c>
      <c r="B10" s="35" t="s">
        <v>26</v>
      </c>
      <c r="C10" s="59" t="s">
        <v>27</v>
      </c>
      <c r="D10" s="65">
        <v>37.04</v>
      </c>
      <c r="E10" s="36">
        <v>98303.91</v>
      </c>
      <c r="F10" s="66">
        <f>ROUND(E10*D10,2)</f>
        <v>3641176.83</v>
      </c>
      <c r="G10" s="318" t="e">
        <f>SUMIF(#REF!,G4,#REF!)</f>
        <v>#REF!</v>
      </c>
      <c r="H10" s="37" t="e">
        <f>+($D10*G10)</f>
        <v>#REF!</v>
      </c>
      <c r="I10" s="318" t="e">
        <f>SUMIF(#REF!,I4,#REF!)</f>
        <v>#REF!</v>
      </c>
      <c r="J10" s="37" t="e">
        <f>($D10*I10)</f>
        <v>#REF!</v>
      </c>
      <c r="K10" s="318" t="e">
        <f>SUMIF(#REF!,K4,#REF!)</f>
        <v>#REF!</v>
      </c>
      <c r="L10" s="37" t="e">
        <f>($D10*K10)</f>
        <v>#REF!</v>
      </c>
      <c r="M10" s="318" t="e">
        <f>SUMIF(#REF!,M4,#REF!)</f>
        <v>#REF!</v>
      </c>
      <c r="N10" s="37" t="e">
        <f>($D10*M10)</f>
        <v>#REF!</v>
      </c>
      <c r="O10" s="318" t="e">
        <f t="shared" si="0"/>
        <v>#REF!</v>
      </c>
      <c r="P10" s="37" t="e">
        <f t="shared" si="0"/>
        <v>#REF!</v>
      </c>
      <c r="Q10" s="338" t="e">
        <f>+'Planilla de Avance'!M28-O10</f>
        <v>#REF!</v>
      </c>
    </row>
    <row r="11" spans="1:17" ht="12.75" customHeight="1">
      <c r="A11" s="288">
        <v>1.4</v>
      </c>
      <c r="B11" s="35" t="s">
        <v>28</v>
      </c>
      <c r="C11" s="59" t="s">
        <v>27</v>
      </c>
      <c r="D11" s="65">
        <v>67.53</v>
      </c>
      <c r="E11" s="36">
        <v>29953.34</v>
      </c>
      <c r="F11" s="66">
        <f>ROUND(E11*D11,2)</f>
        <v>2022749.05</v>
      </c>
      <c r="G11" s="318" t="e">
        <f>SUMIF(#REF!,G4,#REF!)</f>
        <v>#REF!</v>
      </c>
      <c r="H11" s="37" t="e">
        <f>+($D11*G11)</f>
        <v>#REF!</v>
      </c>
      <c r="I11" s="318" t="e">
        <f>SUMIF(#REF!,I4,#REF!)</f>
        <v>#REF!</v>
      </c>
      <c r="J11" s="37" t="e">
        <f>($D11*I11)</f>
        <v>#REF!</v>
      </c>
      <c r="K11" s="318" t="e">
        <f>SUMIF(#REF!,K4,#REF!)</f>
        <v>#REF!</v>
      </c>
      <c r="L11" s="37" t="e">
        <f>($D11*K11)</f>
        <v>#REF!</v>
      </c>
      <c r="M11" s="318" t="e">
        <f>SUMIF(#REF!,M4,#REF!)</f>
        <v>#REF!</v>
      </c>
      <c r="N11" s="37" t="e">
        <f>($D11*M11)</f>
        <v>#REF!</v>
      </c>
      <c r="O11" s="318" t="e">
        <f t="shared" si="0"/>
        <v>#REF!</v>
      </c>
      <c r="P11" s="37" t="e">
        <f t="shared" si="0"/>
        <v>#REF!</v>
      </c>
      <c r="Q11" s="338" t="e">
        <f>+'Planilla de Avance'!M29-O11</f>
        <v>#REF!</v>
      </c>
    </row>
    <row r="12" spans="1:17" ht="12.75" customHeight="1">
      <c r="A12" s="289">
        <v>1.5</v>
      </c>
      <c r="B12" s="45" t="s">
        <v>29</v>
      </c>
      <c r="C12" s="60" t="s">
        <v>23</v>
      </c>
      <c r="D12" s="67">
        <v>301915.31</v>
      </c>
      <c r="E12" s="46">
        <v>1</v>
      </c>
      <c r="F12" s="68">
        <f>ROUND(E12*D12,2)</f>
        <v>301915.31</v>
      </c>
      <c r="G12" s="319" t="e">
        <f>SUMIF(#REF!,G4,#REF!)</f>
        <v>#REF!</v>
      </c>
      <c r="H12" s="47" t="e">
        <f>+($D12*G12)</f>
        <v>#REF!</v>
      </c>
      <c r="I12" s="319" t="e">
        <f>SUMIF(#REF!,I4,#REF!)</f>
        <v>#REF!</v>
      </c>
      <c r="J12" s="47" t="e">
        <f>($D12*I12)</f>
        <v>#REF!</v>
      </c>
      <c r="K12" s="319" t="e">
        <f>SUMIF(#REF!,K4,#REF!)</f>
        <v>#REF!</v>
      </c>
      <c r="L12" s="47" t="e">
        <f>($D12*K12)</f>
        <v>#REF!</v>
      </c>
      <c r="M12" s="319" t="e">
        <f>SUMIF(#REF!,M4,#REF!)</f>
        <v>#REF!</v>
      </c>
      <c r="N12" s="47" t="e">
        <f>($D12*M12)</f>
        <v>#REF!</v>
      </c>
      <c r="O12" s="319" t="e">
        <f t="shared" si="0"/>
        <v>#REF!</v>
      </c>
      <c r="P12" s="47" t="e">
        <f t="shared" si="0"/>
        <v>#REF!</v>
      </c>
      <c r="Q12" s="338" t="e">
        <f>+'Planilla de Avance'!M30-O12</f>
        <v>#REF!</v>
      </c>
    </row>
    <row r="13" spans="1:17" ht="12.75" customHeight="1">
      <c r="A13" s="286"/>
      <c r="B13" s="48" t="s">
        <v>10</v>
      </c>
      <c r="C13" s="49"/>
      <c r="D13" s="69"/>
      <c r="E13" s="51"/>
      <c r="F13" s="70">
        <f>SUM(F8:F12)</f>
        <v>7408818.629999999</v>
      </c>
      <c r="G13" s="52"/>
      <c r="H13" s="76" t="e">
        <f ca="1">SUM(H8:H12)</f>
        <v>#REF!</v>
      </c>
      <c r="I13" s="52"/>
      <c r="J13" s="76" t="e">
        <f ca="1">SUM(J8:J12)</f>
        <v>#REF!</v>
      </c>
      <c r="K13" s="52"/>
      <c r="L13" s="76" t="e">
        <f ca="1">SUM(L8:L12)</f>
        <v>#REF!</v>
      </c>
      <c r="M13" s="52"/>
      <c r="N13" s="76" t="e">
        <f ca="1">SUM(N8:N12)</f>
        <v>#REF!</v>
      </c>
      <c r="O13" s="52"/>
      <c r="P13" s="76" t="e">
        <f ca="1">SUM(P8:P12)</f>
        <v>#REF!</v>
      </c>
      <c r="Q13" s="338">
        <f>+'Planilla de Avance'!M11-O13</f>
        <v>0</v>
      </c>
    </row>
    <row r="14" spans="1:17" ht="12.75" customHeight="1">
      <c r="A14" s="285" t="s">
        <v>58</v>
      </c>
      <c r="B14" s="41">
        <v>9040</v>
      </c>
      <c r="C14" s="55"/>
      <c r="D14" s="56"/>
      <c r="E14" s="56"/>
      <c r="F14" s="57"/>
      <c r="G14" s="53"/>
      <c r="H14" s="53"/>
      <c r="I14" s="53"/>
      <c r="J14" s="53"/>
      <c r="K14" s="53"/>
      <c r="L14" s="53"/>
      <c r="M14" s="53"/>
      <c r="N14" s="54"/>
      <c r="O14" s="53"/>
      <c r="P14" s="54"/>
      <c r="Q14" s="338">
        <f>+'Planilla de Avance'!M12-O14</f>
        <v>0</v>
      </c>
    </row>
    <row r="15" spans="1:17" ht="12.75" customHeight="1">
      <c r="A15" s="287">
        <v>2.1</v>
      </c>
      <c r="B15" s="40" t="s">
        <v>30</v>
      </c>
      <c r="C15" s="58" t="s">
        <v>31</v>
      </c>
      <c r="D15" s="79">
        <v>56.120000000000005</v>
      </c>
      <c r="E15" s="63">
        <v>116181</v>
      </c>
      <c r="F15" s="80">
        <f>ROUND(E15*D15,2)</f>
        <v>6520077.7199999997</v>
      </c>
      <c r="G15" s="317" t="e">
        <f>SUMIF(#REF!,G4,#REF!)</f>
        <v>#REF!</v>
      </c>
      <c r="H15" s="73" t="e">
        <f t="shared" ref="H15:H27" si="1">+($D15*G15)</f>
        <v>#REF!</v>
      </c>
      <c r="I15" s="317" t="e">
        <f>SUMIF(#REF!,I4,#REF!)</f>
        <v>#REF!</v>
      </c>
      <c r="J15" s="73" t="e">
        <f t="shared" ref="J15:J27" si="2">($D15*I15)</f>
        <v>#REF!</v>
      </c>
      <c r="K15" s="317" t="e">
        <f>SUMIF(#REF!,K4,#REF!)</f>
        <v>#REF!</v>
      </c>
      <c r="L15" s="73" t="e">
        <f t="shared" ref="L15:L27" si="3">($D15*K15)</f>
        <v>#REF!</v>
      </c>
      <c r="M15" s="317" t="e">
        <f>SUMIF(#REF!,M4,#REF!)</f>
        <v>#REF!</v>
      </c>
      <c r="N15" s="73" t="e">
        <f t="shared" ref="N15:N27" si="4">($D15*M15)</f>
        <v>#REF!</v>
      </c>
      <c r="O15" s="317" t="e">
        <f t="shared" ref="O15:O27" si="5">+G15+I15+K15+M15</f>
        <v>#REF!</v>
      </c>
      <c r="P15" s="73" t="e">
        <f t="shared" ref="P15:P27" si="6">+H15+J15+L15+N15</f>
        <v>#REF!</v>
      </c>
      <c r="Q15" s="338" t="e">
        <f>+'Planilla de Avance'!M34-O15</f>
        <v>#REF!</v>
      </c>
    </row>
    <row r="16" spans="1:17" ht="12.75" customHeight="1">
      <c r="A16" s="288">
        <v>2.2000000000000002</v>
      </c>
      <c r="B16" s="35" t="s">
        <v>32</v>
      </c>
      <c r="C16" s="59" t="s">
        <v>31</v>
      </c>
      <c r="D16" s="81">
        <v>6.96</v>
      </c>
      <c r="E16" s="36">
        <v>94235.7</v>
      </c>
      <c r="F16" s="82">
        <f t="shared" ref="F16:F27" si="7">ROUND(E16*D16,2)</f>
        <v>655880.47</v>
      </c>
      <c r="G16" s="318" t="e">
        <f>SUMIF(#REF!,G4,#REF!)</f>
        <v>#REF!</v>
      </c>
      <c r="H16" s="37" t="e">
        <f t="shared" si="1"/>
        <v>#REF!</v>
      </c>
      <c r="I16" s="318" t="e">
        <f>SUMIF(#REF!,I4,#REF!)</f>
        <v>#REF!</v>
      </c>
      <c r="J16" s="37" t="e">
        <f t="shared" si="2"/>
        <v>#REF!</v>
      </c>
      <c r="K16" s="318" t="e">
        <f>SUMIF(#REF!,K4,#REF!)</f>
        <v>#REF!</v>
      </c>
      <c r="L16" s="37" t="e">
        <f t="shared" si="3"/>
        <v>#REF!</v>
      </c>
      <c r="M16" s="318" t="e">
        <f>SUMIF(#REF!,M4,#REF!)</f>
        <v>#REF!</v>
      </c>
      <c r="N16" s="37" t="e">
        <f t="shared" si="4"/>
        <v>#REF!</v>
      </c>
      <c r="O16" s="318" t="e">
        <f t="shared" si="5"/>
        <v>#REF!</v>
      </c>
      <c r="P16" s="37" t="e">
        <f t="shared" si="6"/>
        <v>#REF!</v>
      </c>
      <c r="Q16" s="338" t="e">
        <f>+'Planilla de Avance'!M35-O16</f>
        <v>#REF!</v>
      </c>
    </row>
    <row r="17" spans="1:17" ht="12.75" customHeight="1">
      <c r="A17" s="288">
        <v>2.2999999999999998</v>
      </c>
      <c r="B17" s="35" t="s">
        <v>33</v>
      </c>
      <c r="C17" s="59" t="s">
        <v>31</v>
      </c>
      <c r="D17" s="81">
        <v>6.96</v>
      </c>
      <c r="E17" s="36">
        <v>153371.70000000001</v>
      </c>
      <c r="F17" s="82">
        <f t="shared" si="7"/>
        <v>1067467.03</v>
      </c>
      <c r="G17" s="318" t="e">
        <f>SUMIF(#REF!,G4,#REF!)</f>
        <v>#REF!</v>
      </c>
      <c r="H17" s="37" t="e">
        <f t="shared" si="1"/>
        <v>#REF!</v>
      </c>
      <c r="I17" s="318" t="e">
        <f>SUMIF(#REF!,I4,#REF!)</f>
        <v>#REF!</v>
      </c>
      <c r="J17" s="37" t="e">
        <f t="shared" si="2"/>
        <v>#REF!</v>
      </c>
      <c r="K17" s="318" t="e">
        <f>SUMIF(#REF!,K4,#REF!)</f>
        <v>#REF!</v>
      </c>
      <c r="L17" s="37" t="e">
        <f t="shared" si="3"/>
        <v>#REF!</v>
      </c>
      <c r="M17" s="318" t="e">
        <f>SUMIF(#REF!,M4,#REF!)</f>
        <v>#REF!</v>
      </c>
      <c r="N17" s="37" t="e">
        <f t="shared" si="4"/>
        <v>#REF!</v>
      </c>
      <c r="O17" s="318" t="e">
        <f t="shared" si="5"/>
        <v>#REF!</v>
      </c>
      <c r="P17" s="37" t="e">
        <f t="shared" si="6"/>
        <v>#REF!</v>
      </c>
      <c r="Q17" s="338" t="e">
        <f>+'Planilla de Avance'!M36-O17</f>
        <v>#REF!</v>
      </c>
    </row>
    <row r="18" spans="1:17" ht="12.75" customHeight="1">
      <c r="A18" s="288">
        <v>2.4</v>
      </c>
      <c r="B18" s="305" t="s">
        <v>34</v>
      </c>
      <c r="C18" s="59" t="s">
        <v>31</v>
      </c>
      <c r="D18" s="81">
        <v>16.599999999999998</v>
      </c>
      <c r="E18" s="36">
        <v>59136</v>
      </c>
      <c r="F18" s="82">
        <f t="shared" si="7"/>
        <v>981657.59999999998</v>
      </c>
      <c r="G18" s="318" t="e">
        <f>SUMIF(#REF!,G4,#REF!)</f>
        <v>#REF!</v>
      </c>
      <c r="H18" s="37" t="e">
        <f t="shared" si="1"/>
        <v>#REF!</v>
      </c>
      <c r="I18" s="318" t="e">
        <f>SUMIF(#REF!,I4,#REF!)</f>
        <v>#REF!</v>
      </c>
      <c r="J18" s="37" t="e">
        <f t="shared" si="2"/>
        <v>#REF!</v>
      </c>
      <c r="K18" s="318" t="e">
        <f>SUMIF(#REF!,K4,#REF!)</f>
        <v>#REF!</v>
      </c>
      <c r="L18" s="37" t="e">
        <f t="shared" si="3"/>
        <v>#REF!</v>
      </c>
      <c r="M18" s="318" t="e">
        <f>SUMIF(#REF!,M4,#REF!)</f>
        <v>#REF!</v>
      </c>
      <c r="N18" s="37" t="e">
        <f t="shared" si="4"/>
        <v>#REF!</v>
      </c>
      <c r="O18" s="318" t="e">
        <f t="shared" si="5"/>
        <v>#REF!</v>
      </c>
      <c r="P18" s="37" t="e">
        <f t="shared" si="6"/>
        <v>#REF!</v>
      </c>
      <c r="Q18" s="338" t="e">
        <f>+'Planilla de Avance'!M37-O18</f>
        <v>#REF!</v>
      </c>
    </row>
    <row r="19" spans="1:17" ht="12.75" customHeight="1">
      <c r="A19" s="288">
        <v>2.5</v>
      </c>
      <c r="B19" s="35" t="s">
        <v>35</v>
      </c>
      <c r="C19" s="59" t="s">
        <v>27</v>
      </c>
      <c r="D19" s="81">
        <v>238.65</v>
      </c>
      <c r="E19" s="36">
        <v>63927.07</v>
      </c>
      <c r="F19" s="82">
        <f t="shared" si="7"/>
        <v>15256195.26</v>
      </c>
      <c r="G19" s="318" t="e">
        <f>SUMIF(#REF!,G4,#REF!)</f>
        <v>#REF!</v>
      </c>
      <c r="H19" s="37" t="e">
        <f t="shared" si="1"/>
        <v>#REF!</v>
      </c>
      <c r="I19" s="318" t="e">
        <f>SUMIF(#REF!,I4,#REF!)</f>
        <v>#REF!</v>
      </c>
      <c r="J19" s="37" t="e">
        <f t="shared" si="2"/>
        <v>#REF!</v>
      </c>
      <c r="K19" s="318" t="e">
        <f>SUMIF(#REF!,K4,#REF!)</f>
        <v>#REF!</v>
      </c>
      <c r="L19" s="37" t="e">
        <f t="shared" si="3"/>
        <v>#REF!</v>
      </c>
      <c r="M19" s="318" t="e">
        <f>SUMIF(#REF!,M4,#REF!)</f>
        <v>#REF!</v>
      </c>
      <c r="N19" s="37" t="e">
        <f t="shared" si="4"/>
        <v>#REF!</v>
      </c>
      <c r="O19" s="318" t="e">
        <f t="shared" si="5"/>
        <v>#REF!</v>
      </c>
      <c r="P19" s="37" t="e">
        <f t="shared" si="6"/>
        <v>#REF!</v>
      </c>
      <c r="Q19" s="338" t="e">
        <f>+'Planilla de Avance'!M38-O19</f>
        <v>#REF!</v>
      </c>
    </row>
    <row r="20" spans="1:17" ht="12.75" customHeight="1">
      <c r="A20" s="288">
        <v>2.6</v>
      </c>
      <c r="B20" s="35" t="s">
        <v>36</v>
      </c>
      <c r="C20" s="59" t="s">
        <v>27</v>
      </c>
      <c r="D20" s="81">
        <v>163.26</v>
      </c>
      <c r="E20" s="36">
        <v>56188.68</v>
      </c>
      <c r="F20" s="82">
        <f t="shared" si="7"/>
        <v>9173363.9000000004</v>
      </c>
      <c r="G20" s="318" t="e">
        <f>SUMIF(#REF!,G4,#REF!)</f>
        <v>#REF!</v>
      </c>
      <c r="H20" s="37" t="e">
        <f t="shared" si="1"/>
        <v>#REF!</v>
      </c>
      <c r="I20" s="318" t="e">
        <f>SUMIF(#REF!,I4,#REF!)</f>
        <v>#REF!</v>
      </c>
      <c r="J20" s="37" t="e">
        <f t="shared" si="2"/>
        <v>#REF!</v>
      </c>
      <c r="K20" s="318" t="e">
        <f>SUMIF(#REF!,K4,#REF!)</f>
        <v>#REF!</v>
      </c>
      <c r="L20" s="37" t="e">
        <f t="shared" si="3"/>
        <v>#REF!</v>
      </c>
      <c r="M20" s="318" t="e">
        <f>SUMIF(#REF!,M4,#REF!)</f>
        <v>#REF!</v>
      </c>
      <c r="N20" s="37" t="e">
        <f t="shared" si="4"/>
        <v>#REF!</v>
      </c>
      <c r="O20" s="318" t="e">
        <f t="shared" si="5"/>
        <v>#REF!</v>
      </c>
      <c r="P20" s="37" t="e">
        <f t="shared" si="6"/>
        <v>#REF!</v>
      </c>
      <c r="Q20" s="338" t="e">
        <f>+'Planilla de Avance'!M39-O20</f>
        <v>#REF!</v>
      </c>
    </row>
    <row r="21" spans="1:17" ht="12.75" customHeight="1">
      <c r="A21" s="288">
        <v>2.7</v>
      </c>
      <c r="B21" s="35" t="s">
        <v>37</v>
      </c>
      <c r="C21" s="59" t="s">
        <v>31</v>
      </c>
      <c r="D21" s="81">
        <v>28.02</v>
      </c>
      <c r="E21" s="36">
        <v>38727</v>
      </c>
      <c r="F21" s="82">
        <f t="shared" si="7"/>
        <v>1085130.54</v>
      </c>
      <c r="G21" s="318" t="e">
        <f>SUMIF(#REF!,G4,#REF!)</f>
        <v>#REF!</v>
      </c>
      <c r="H21" s="37" t="e">
        <f t="shared" si="1"/>
        <v>#REF!</v>
      </c>
      <c r="I21" s="318" t="e">
        <f>SUMIF(#REF!,I4,#REF!)</f>
        <v>#REF!</v>
      </c>
      <c r="J21" s="37" t="e">
        <f t="shared" si="2"/>
        <v>#REF!</v>
      </c>
      <c r="K21" s="318" t="e">
        <f>SUMIF(#REF!,K4,#REF!)</f>
        <v>#REF!</v>
      </c>
      <c r="L21" s="37" t="e">
        <f t="shared" si="3"/>
        <v>#REF!</v>
      </c>
      <c r="M21" s="318" t="e">
        <f>SUMIF(#REF!,M4,#REF!)</f>
        <v>#REF!</v>
      </c>
      <c r="N21" s="37" t="e">
        <f t="shared" si="4"/>
        <v>#REF!</v>
      </c>
      <c r="O21" s="318" t="e">
        <f t="shared" si="5"/>
        <v>#REF!</v>
      </c>
      <c r="P21" s="37" t="e">
        <f t="shared" si="6"/>
        <v>#REF!</v>
      </c>
      <c r="Q21" s="338" t="e">
        <f>+'Planilla de Avance'!M40-O21</f>
        <v>#REF!</v>
      </c>
    </row>
    <row r="22" spans="1:17" ht="12.75" customHeight="1">
      <c r="A22" s="288">
        <v>2.8</v>
      </c>
      <c r="B22" s="305" t="s">
        <v>38</v>
      </c>
      <c r="C22" s="59" t="s">
        <v>31</v>
      </c>
      <c r="D22" s="81">
        <v>46.140000000000015</v>
      </c>
      <c r="E22" s="36">
        <v>219453</v>
      </c>
      <c r="F22" s="82">
        <f t="shared" si="7"/>
        <v>10125561.42</v>
      </c>
      <c r="G22" s="318" t="e">
        <f>SUMIF(#REF!,G4,#REF!)</f>
        <v>#REF!</v>
      </c>
      <c r="H22" s="37" t="e">
        <f t="shared" si="1"/>
        <v>#REF!</v>
      </c>
      <c r="I22" s="318" t="e">
        <f>SUMIF(#REF!,I4,#REF!)</f>
        <v>#REF!</v>
      </c>
      <c r="J22" s="37" t="e">
        <f t="shared" si="2"/>
        <v>#REF!</v>
      </c>
      <c r="K22" s="318" t="e">
        <f>SUMIF(#REF!,K4,#REF!)</f>
        <v>#REF!</v>
      </c>
      <c r="L22" s="37" t="e">
        <f t="shared" si="3"/>
        <v>#REF!</v>
      </c>
      <c r="M22" s="318" t="e">
        <f>SUMIF(#REF!,M4,#REF!)</f>
        <v>#REF!</v>
      </c>
      <c r="N22" s="37" t="e">
        <f t="shared" si="4"/>
        <v>#REF!</v>
      </c>
      <c r="O22" s="318" t="e">
        <f t="shared" si="5"/>
        <v>#REF!</v>
      </c>
      <c r="P22" s="37" t="e">
        <f t="shared" si="6"/>
        <v>#REF!</v>
      </c>
      <c r="Q22" s="338" t="e">
        <f>+'Planilla de Avance'!M41-O22</f>
        <v>#REF!</v>
      </c>
    </row>
    <row r="23" spans="1:17" ht="12.75" customHeight="1">
      <c r="A23" s="288">
        <v>2.9</v>
      </c>
      <c r="B23" s="35" t="s">
        <v>39</v>
      </c>
      <c r="C23" s="59" t="s">
        <v>31</v>
      </c>
      <c r="D23" s="81">
        <v>5.07</v>
      </c>
      <c r="E23" s="36">
        <v>28000</v>
      </c>
      <c r="F23" s="82">
        <f t="shared" si="7"/>
        <v>141960</v>
      </c>
      <c r="G23" s="318" t="e">
        <f>SUMIF(#REF!,G4,#REF!)</f>
        <v>#REF!</v>
      </c>
      <c r="H23" s="37" t="e">
        <f t="shared" si="1"/>
        <v>#REF!</v>
      </c>
      <c r="I23" s="318" t="e">
        <f>SUMIF(#REF!,I4,#REF!)</f>
        <v>#REF!</v>
      </c>
      <c r="J23" s="37" t="e">
        <f t="shared" si="2"/>
        <v>#REF!</v>
      </c>
      <c r="K23" s="318" t="e">
        <f>SUMIF(#REF!,K4,#REF!)</f>
        <v>#REF!</v>
      </c>
      <c r="L23" s="37" t="e">
        <f t="shared" si="3"/>
        <v>#REF!</v>
      </c>
      <c r="M23" s="318" t="e">
        <f>SUMIF(#REF!,M4,#REF!)</f>
        <v>#REF!</v>
      </c>
      <c r="N23" s="37" t="e">
        <f t="shared" si="4"/>
        <v>#REF!</v>
      </c>
      <c r="O23" s="318" t="e">
        <f t="shared" si="5"/>
        <v>#REF!</v>
      </c>
      <c r="P23" s="37" t="e">
        <f t="shared" si="6"/>
        <v>#REF!</v>
      </c>
      <c r="Q23" s="338" t="e">
        <f>+'Planilla de Avance'!#REF!-O23</f>
        <v>#REF!</v>
      </c>
    </row>
    <row r="24" spans="1:17" ht="12.75" customHeight="1">
      <c r="A24" s="288" t="s">
        <v>40</v>
      </c>
      <c r="B24" s="35" t="s">
        <v>41</v>
      </c>
      <c r="C24" s="59" t="s">
        <v>31</v>
      </c>
      <c r="D24" s="81">
        <v>31.330000000000002</v>
      </c>
      <c r="E24" s="36">
        <v>8400</v>
      </c>
      <c r="F24" s="82">
        <f t="shared" si="7"/>
        <v>263172</v>
      </c>
      <c r="G24" s="318" t="e">
        <f>SUMIF(#REF!,G4,#REF!)</f>
        <v>#REF!</v>
      </c>
      <c r="H24" s="37" t="e">
        <f t="shared" si="1"/>
        <v>#REF!</v>
      </c>
      <c r="I24" s="318" t="e">
        <f>SUMIF(#REF!,I4,#REF!)</f>
        <v>#REF!</v>
      </c>
      <c r="J24" s="37" t="e">
        <f t="shared" si="2"/>
        <v>#REF!</v>
      </c>
      <c r="K24" s="318" t="e">
        <f>SUMIF(#REF!,K4,#REF!)</f>
        <v>#REF!</v>
      </c>
      <c r="L24" s="37" t="e">
        <f t="shared" si="3"/>
        <v>#REF!</v>
      </c>
      <c r="M24" s="318" t="e">
        <f>SUMIF(#REF!,M4,#REF!)</f>
        <v>#REF!</v>
      </c>
      <c r="N24" s="37" t="e">
        <f t="shared" si="4"/>
        <v>#REF!</v>
      </c>
      <c r="O24" s="318" t="e">
        <f t="shared" si="5"/>
        <v>#REF!</v>
      </c>
      <c r="P24" s="37" t="e">
        <f t="shared" si="6"/>
        <v>#REF!</v>
      </c>
      <c r="Q24" s="338" t="e">
        <f>+'Planilla de Avance'!#REF!-O24</f>
        <v>#REF!</v>
      </c>
    </row>
    <row r="25" spans="1:17" ht="12.75" customHeight="1">
      <c r="A25" s="290">
        <v>2.11</v>
      </c>
      <c r="B25" s="35" t="s">
        <v>42</v>
      </c>
      <c r="C25" s="59" t="s">
        <v>31</v>
      </c>
      <c r="D25" s="81">
        <v>77.860000000000014</v>
      </c>
      <c r="E25" s="36">
        <v>16800</v>
      </c>
      <c r="F25" s="82">
        <f t="shared" si="7"/>
        <v>1308048</v>
      </c>
      <c r="G25" s="318" t="e">
        <f>SUMIF(#REF!,G4,#REF!)</f>
        <v>#REF!</v>
      </c>
      <c r="H25" s="37" t="e">
        <f t="shared" si="1"/>
        <v>#REF!</v>
      </c>
      <c r="I25" s="318" t="e">
        <f>SUMIF(#REF!,I4,#REF!)</f>
        <v>#REF!</v>
      </c>
      <c r="J25" s="37" t="e">
        <f t="shared" si="2"/>
        <v>#REF!</v>
      </c>
      <c r="K25" s="318" t="e">
        <f>SUMIF(#REF!,K4,#REF!)</f>
        <v>#REF!</v>
      </c>
      <c r="L25" s="37" t="e">
        <f t="shared" si="3"/>
        <v>#REF!</v>
      </c>
      <c r="M25" s="318" t="e">
        <f>SUMIF(#REF!,M4,#REF!)</f>
        <v>#REF!</v>
      </c>
      <c r="N25" s="37" t="e">
        <f t="shared" si="4"/>
        <v>#REF!</v>
      </c>
      <c r="O25" s="318" t="e">
        <f t="shared" si="5"/>
        <v>#REF!</v>
      </c>
      <c r="P25" s="37" t="e">
        <f t="shared" si="6"/>
        <v>#REF!</v>
      </c>
      <c r="Q25" s="338" t="e">
        <f>+'Planilla de Avance'!#REF!-O25</f>
        <v>#REF!</v>
      </c>
    </row>
    <row r="26" spans="1:17" ht="12.75" customHeight="1">
      <c r="A26" s="290">
        <v>2.12</v>
      </c>
      <c r="B26" s="35" t="s">
        <v>43</v>
      </c>
      <c r="C26" s="59" t="s">
        <v>31</v>
      </c>
      <c r="D26" s="81">
        <v>112.58000000000001</v>
      </c>
      <c r="E26" s="36">
        <v>1500</v>
      </c>
      <c r="F26" s="82">
        <f t="shared" si="7"/>
        <v>168870</v>
      </c>
      <c r="G26" s="318" t="e">
        <f>SUMIF(#REF!,G4,#REF!)</f>
        <v>#REF!</v>
      </c>
      <c r="H26" s="37" t="e">
        <f t="shared" si="1"/>
        <v>#REF!</v>
      </c>
      <c r="I26" s="318" t="e">
        <f>SUMIF(#REF!,I4,#REF!)</f>
        <v>#REF!</v>
      </c>
      <c r="J26" s="37" t="e">
        <f t="shared" si="2"/>
        <v>#REF!</v>
      </c>
      <c r="K26" s="318" t="e">
        <f>SUMIF(#REF!,K4,#REF!)</f>
        <v>#REF!</v>
      </c>
      <c r="L26" s="37" t="e">
        <f t="shared" si="3"/>
        <v>#REF!</v>
      </c>
      <c r="M26" s="318" t="e">
        <f>SUMIF(#REF!,M4,#REF!)</f>
        <v>#REF!</v>
      </c>
      <c r="N26" s="37" t="e">
        <f t="shared" si="4"/>
        <v>#REF!</v>
      </c>
      <c r="O26" s="318" t="e">
        <f t="shared" si="5"/>
        <v>#REF!</v>
      </c>
      <c r="P26" s="37" t="e">
        <f t="shared" si="6"/>
        <v>#REF!</v>
      </c>
      <c r="Q26" s="338" t="e">
        <f>+'Planilla de Avance'!#REF!-O26</f>
        <v>#REF!</v>
      </c>
    </row>
    <row r="27" spans="1:17" ht="12.75" customHeight="1">
      <c r="A27" s="291">
        <v>2.13</v>
      </c>
      <c r="B27" s="45" t="s">
        <v>44</v>
      </c>
      <c r="C27" s="60" t="s">
        <v>27</v>
      </c>
      <c r="D27" s="83">
        <v>82.45</v>
      </c>
      <c r="E27" s="46">
        <v>23100</v>
      </c>
      <c r="F27" s="84">
        <f t="shared" si="7"/>
        <v>1904595</v>
      </c>
      <c r="G27" s="319" t="e">
        <f>SUMIF(#REF!,G4,#REF!)</f>
        <v>#REF!</v>
      </c>
      <c r="H27" s="47" t="e">
        <f t="shared" si="1"/>
        <v>#REF!</v>
      </c>
      <c r="I27" s="319" t="e">
        <f>SUMIF(#REF!,I4,#REF!)</f>
        <v>#REF!</v>
      </c>
      <c r="J27" s="47" t="e">
        <f t="shared" si="2"/>
        <v>#REF!</v>
      </c>
      <c r="K27" s="319" t="e">
        <f>SUMIF(#REF!,K4,#REF!)</f>
        <v>#REF!</v>
      </c>
      <c r="L27" s="47" t="e">
        <f t="shared" si="3"/>
        <v>#REF!</v>
      </c>
      <c r="M27" s="319" t="e">
        <f>SUMIF(#REF!,M4,#REF!)</f>
        <v>#REF!</v>
      </c>
      <c r="N27" s="47" t="e">
        <f t="shared" si="4"/>
        <v>#REF!</v>
      </c>
      <c r="O27" s="319" t="e">
        <f t="shared" si="5"/>
        <v>#REF!</v>
      </c>
      <c r="P27" s="47" t="e">
        <f t="shared" si="6"/>
        <v>#REF!</v>
      </c>
      <c r="Q27" s="338" t="e">
        <f>+'Planilla de Avance'!#REF!-O27</f>
        <v>#REF!</v>
      </c>
    </row>
    <row r="28" spans="1:17" ht="12.75" customHeight="1">
      <c r="A28" s="286"/>
      <c r="B28" s="48" t="s">
        <v>10</v>
      </c>
      <c r="C28" s="49"/>
      <c r="D28" s="69"/>
      <c r="E28" s="51"/>
      <c r="F28" s="70">
        <f>SUM(F15:F27)</f>
        <v>48651978.939999998</v>
      </c>
      <c r="G28" s="52"/>
      <c r="H28" s="76" t="e">
        <f>SUM(H15:H27)</f>
        <v>#REF!</v>
      </c>
      <c r="I28" s="52"/>
      <c r="J28" s="76" t="e">
        <f>SUM(J15:J27)</f>
        <v>#REF!</v>
      </c>
      <c r="K28" s="52"/>
      <c r="L28" s="76" t="e">
        <f>SUM(L15:L27)</f>
        <v>#REF!</v>
      </c>
      <c r="M28" s="52"/>
      <c r="N28" s="76" t="e">
        <f>SUM(N15:N27)</f>
        <v>#REF!</v>
      </c>
      <c r="O28" s="52"/>
      <c r="P28" s="76" t="e">
        <f>SUM(P15:P27)</f>
        <v>#REF!</v>
      </c>
      <c r="Q28" s="338" t="e">
        <f>+'Planilla de Avance'!#REF!-O28</f>
        <v>#REF!</v>
      </c>
    </row>
    <row r="29" spans="1:17" ht="12.75" customHeight="1">
      <c r="A29" s="285" t="s">
        <v>59</v>
      </c>
      <c r="B29" s="41" t="s">
        <v>60</v>
      </c>
      <c r="C29" s="55"/>
      <c r="D29" s="56"/>
      <c r="E29" s="56"/>
      <c r="F29" s="57"/>
      <c r="G29" s="52"/>
      <c r="H29" s="53"/>
      <c r="I29" s="52"/>
      <c r="J29" s="53"/>
      <c r="K29" s="52"/>
      <c r="L29" s="53"/>
      <c r="M29" s="52"/>
      <c r="N29" s="54"/>
      <c r="O29" s="52"/>
      <c r="P29" s="54"/>
      <c r="Q29" s="338" t="e">
        <f>+'Planilla de Avance'!#REF!-O29</f>
        <v>#REF!</v>
      </c>
    </row>
    <row r="30" spans="1:17" ht="12.75" customHeight="1">
      <c r="A30" s="287">
        <v>3.1</v>
      </c>
      <c r="B30" s="40" t="s">
        <v>19</v>
      </c>
      <c r="C30" s="58" t="s">
        <v>46</v>
      </c>
      <c r="D30" s="79">
        <v>28.13</v>
      </c>
      <c r="E30" s="63">
        <v>33052.199999999997</v>
      </c>
      <c r="F30" s="80">
        <f>ROUND(E30*D30,2)</f>
        <v>929758.39</v>
      </c>
      <c r="G30" s="320" t="e">
        <f>SUMIF(#REF!,G4,#REF!)</f>
        <v>#REF!</v>
      </c>
      <c r="H30" s="73" t="e">
        <f>+($D30*G30)</f>
        <v>#REF!</v>
      </c>
      <c r="I30" s="320" t="e">
        <f>SUMIF(#REF!,I4,#REF!)</f>
        <v>#REF!</v>
      </c>
      <c r="J30" s="73" t="e">
        <f>($D30*I30)</f>
        <v>#REF!</v>
      </c>
      <c r="K30" s="317" t="e">
        <f>SUMIF(#REF!,K4,#REF!)</f>
        <v>#REF!</v>
      </c>
      <c r="L30" s="73" t="e">
        <f>($D30*K30)</f>
        <v>#REF!</v>
      </c>
      <c r="M30" s="320" t="e">
        <f>SUMIF(#REF!,M4,#REF!)</f>
        <v>#REF!</v>
      </c>
      <c r="N30" s="73" t="e">
        <f>($D30*M30)</f>
        <v>#REF!</v>
      </c>
      <c r="O30" s="320" t="e">
        <f>+G30+I30+K30+M30</f>
        <v>#REF!</v>
      </c>
      <c r="P30" s="73" t="e">
        <f>+H30+J30+L30+N30</f>
        <v>#REF!</v>
      </c>
      <c r="Q30" s="338" t="e">
        <f>+'Planilla de Avance'!#REF!-O30</f>
        <v>#REF!</v>
      </c>
    </row>
    <row r="31" spans="1:17" ht="12.75" customHeight="1">
      <c r="A31" s="289">
        <v>3.2</v>
      </c>
      <c r="B31" s="45" t="s">
        <v>47</v>
      </c>
      <c r="C31" s="60" t="s">
        <v>27</v>
      </c>
      <c r="D31" s="83">
        <v>2471.46</v>
      </c>
      <c r="E31" s="46">
        <v>6454.5</v>
      </c>
      <c r="F31" s="84">
        <f>ROUND(E31*D31,2)</f>
        <v>15952038.57</v>
      </c>
      <c r="G31" s="321" t="e">
        <f>SUMIF(#REF!,G4,#REF!)</f>
        <v>#REF!</v>
      </c>
      <c r="H31" s="47" t="e">
        <f>+($D31*G31)</f>
        <v>#REF!</v>
      </c>
      <c r="I31" s="321" t="e">
        <f>SUMIF(#REF!,I4,#REF!)</f>
        <v>#REF!</v>
      </c>
      <c r="J31" s="47" t="e">
        <f>($D31*I31)</f>
        <v>#REF!</v>
      </c>
      <c r="K31" s="319" t="e">
        <f>SUMIF(#REF!,K4,#REF!)</f>
        <v>#REF!</v>
      </c>
      <c r="L31" s="47" t="e">
        <f>($D31*K31)</f>
        <v>#REF!</v>
      </c>
      <c r="M31" s="321" t="e">
        <f>SUMIF(#REF!,M4,#REF!)</f>
        <v>#REF!</v>
      </c>
      <c r="N31" s="47" t="e">
        <f>($D31*M31)</f>
        <v>#REF!</v>
      </c>
      <c r="O31" s="321" t="e">
        <f>+G31+I31+K31+M31</f>
        <v>#REF!</v>
      </c>
      <c r="P31" s="47" t="e">
        <f>+H31+J31+L31+N31</f>
        <v>#REF!</v>
      </c>
      <c r="Q31" s="338" t="e">
        <f>+'Planilla de Avance'!M44-O31</f>
        <v>#REF!</v>
      </c>
    </row>
    <row r="32" spans="1:17" ht="12.75" customHeight="1">
      <c r="A32" s="286"/>
      <c r="B32" s="48" t="s">
        <v>10</v>
      </c>
      <c r="C32" s="49"/>
      <c r="D32" s="69"/>
      <c r="E32" s="51"/>
      <c r="F32" s="70">
        <f>SUM(F30:F31)</f>
        <v>16881796.960000001</v>
      </c>
      <c r="G32" s="52"/>
      <c r="H32" s="76" t="e">
        <f>SUM(H30:H31)</f>
        <v>#REF!</v>
      </c>
      <c r="I32" s="52"/>
      <c r="J32" s="76" t="e">
        <f>SUM(J30:J31)</f>
        <v>#REF!</v>
      </c>
      <c r="K32" s="52"/>
      <c r="L32" s="76" t="e">
        <f>SUM(L30:L31)</f>
        <v>#REF!</v>
      </c>
      <c r="M32" s="52"/>
      <c r="N32" s="76" t="e">
        <f>SUM(N30:N31)</f>
        <v>#REF!</v>
      </c>
      <c r="O32" s="52"/>
      <c r="P32" s="76" t="e">
        <f>SUM(P30:P31)</f>
        <v>#REF!</v>
      </c>
      <c r="Q32" s="338" t="e">
        <f>+'Planilla de Avance'!#REF!-O32</f>
        <v>#REF!</v>
      </c>
    </row>
    <row r="33" spans="1:17" ht="12.75" customHeight="1">
      <c r="A33" s="285" t="s">
        <v>61</v>
      </c>
      <c r="B33" s="41" t="s">
        <v>45</v>
      </c>
      <c r="C33" s="55"/>
      <c r="D33" s="56"/>
      <c r="E33" s="56"/>
      <c r="F33" s="57"/>
      <c r="G33" s="52"/>
      <c r="H33" s="53"/>
      <c r="I33" s="52"/>
      <c r="J33" s="53"/>
      <c r="K33" s="52"/>
      <c r="L33" s="53"/>
      <c r="M33" s="52"/>
      <c r="N33" s="54"/>
      <c r="O33" s="52"/>
      <c r="P33" s="54"/>
      <c r="Q33" s="338" t="e">
        <f>+'Planilla de Avance'!#REF!-O33</f>
        <v>#REF!</v>
      </c>
    </row>
    <row r="34" spans="1:17" ht="12.75" customHeight="1">
      <c r="A34" s="292">
        <v>4.0999999999999996</v>
      </c>
      <c r="B34" s="85" t="s">
        <v>45</v>
      </c>
      <c r="C34" s="87" t="s">
        <v>31</v>
      </c>
      <c r="D34" s="88">
        <v>80.42</v>
      </c>
      <c r="E34" s="89">
        <v>2058.04</v>
      </c>
      <c r="F34" s="90">
        <f>ROUND(E34*D34,2)</f>
        <v>165507.57999999999</v>
      </c>
      <c r="G34" s="322" t="e">
        <f>SUMIF(#REF!,G4,#REF!)</f>
        <v>#REF!</v>
      </c>
      <c r="H34" s="91" t="e">
        <f>+($D34*G34)</f>
        <v>#REF!</v>
      </c>
      <c r="I34" s="322" t="e">
        <f>SUMIF(#REF!,I4,#REF!)</f>
        <v>#REF!</v>
      </c>
      <c r="J34" s="91" t="e">
        <f>($D34*I34)</f>
        <v>#REF!</v>
      </c>
      <c r="K34" s="326" t="e">
        <f>SUMIF(#REF!,K4,#REF!)</f>
        <v>#REF!</v>
      </c>
      <c r="L34" s="91" t="e">
        <f>($D34*K34)</f>
        <v>#REF!</v>
      </c>
      <c r="M34" s="322" t="e">
        <f>SUMIF(#REF!,M4,#REF!)</f>
        <v>#REF!</v>
      </c>
      <c r="N34" s="91" t="e">
        <f>($D34*M34)</f>
        <v>#REF!</v>
      </c>
      <c r="O34" s="322" t="e">
        <f>+G34+I34+K34+M34</f>
        <v>#REF!</v>
      </c>
      <c r="P34" s="91" t="e">
        <f>+H34+J34+L34+N34</f>
        <v>#REF!</v>
      </c>
      <c r="Q34" s="338" t="e">
        <f>+'Planilla de Avance'!M45-O34</f>
        <v>#REF!</v>
      </c>
    </row>
    <row r="35" spans="1:17" ht="12.75" customHeight="1">
      <c r="A35" s="286"/>
      <c r="B35" s="48" t="s">
        <v>10</v>
      </c>
      <c r="C35" s="49"/>
      <c r="D35" s="69"/>
      <c r="E35" s="51"/>
      <c r="F35" s="70">
        <f>SUM(F34:F34)</f>
        <v>165507.57999999999</v>
      </c>
      <c r="G35" s="52"/>
      <c r="H35" s="76" t="e">
        <f>SUM(H34:H34)</f>
        <v>#REF!</v>
      </c>
      <c r="I35" s="52"/>
      <c r="J35" s="76" t="e">
        <f>SUM(J34:J34)</f>
        <v>#REF!</v>
      </c>
      <c r="K35" s="52"/>
      <c r="L35" s="76" t="e">
        <f>SUM(L34:L34)</f>
        <v>#REF!</v>
      </c>
      <c r="M35" s="52"/>
      <c r="N35" s="76" t="e">
        <f>SUM(N34:N34)</f>
        <v>#REF!</v>
      </c>
      <c r="O35" s="52"/>
      <c r="P35" s="76" t="e">
        <f>SUM(P34:P34)</f>
        <v>#REF!</v>
      </c>
      <c r="Q35" s="338" t="e">
        <f>+'Planilla de Avance'!#REF!-O35</f>
        <v>#REF!</v>
      </c>
    </row>
    <row r="36" spans="1:17" ht="12.75" customHeight="1">
      <c r="A36" s="285" t="s">
        <v>62</v>
      </c>
      <c r="B36" s="41" t="s">
        <v>63</v>
      </c>
      <c r="C36" s="49"/>
      <c r="D36" s="50"/>
      <c r="E36" s="51"/>
      <c r="F36" s="50"/>
      <c r="G36" s="52"/>
      <c r="H36" s="53"/>
      <c r="I36" s="52"/>
      <c r="J36" s="53"/>
      <c r="K36" s="52"/>
      <c r="L36" s="53"/>
      <c r="M36" s="52"/>
      <c r="N36" s="54"/>
      <c r="O36" s="52"/>
      <c r="P36" s="54"/>
      <c r="Q36" s="338" t="e">
        <f>+'Planilla de Avance'!#REF!-O36</f>
        <v>#REF!</v>
      </c>
    </row>
    <row r="37" spans="1:17" ht="12.75" customHeight="1">
      <c r="A37" s="287">
        <v>5.0999999999999996</v>
      </c>
      <c r="B37" s="40" t="s">
        <v>48</v>
      </c>
      <c r="C37" s="58" t="s">
        <v>27</v>
      </c>
      <c r="D37" s="62">
        <v>25.820000000000004</v>
      </c>
      <c r="E37" s="63">
        <v>12242.33</v>
      </c>
      <c r="F37" s="80">
        <f t="shared" ref="F37:F46" si="8">ROUND(E37*D37,2)</f>
        <v>316096.96000000002</v>
      </c>
      <c r="G37" s="323" t="e">
        <f>SUMIF(#REF!,G4,#REF!)</f>
        <v>#REF!</v>
      </c>
      <c r="H37" s="73" t="e">
        <f t="shared" ref="H37:H46" si="9">+($D37*G37)</f>
        <v>#REF!</v>
      </c>
      <c r="I37" s="323" t="e">
        <f>SUMIF(#REF!,I4,#REF!)</f>
        <v>#REF!</v>
      </c>
      <c r="J37" s="73" t="e">
        <f t="shared" ref="J37:J46" si="10">($D37*I37)</f>
        <v>#REF!</v>
      </c>
      <c r="K37" s="323" t="e">
        <f>SUMIF(#REF!,K4,#REF!)</f>
        <v>#REF!</v>
      </c>
      <c r="L37" s="73" t="e">
        <f t="shared" ref="L37:L46" si="11">($D37*K37)</f>
        <v>#REF!</v>
      </c>
      <c r="M37" s="323" t="e">
        <f>SUMIF(#REF!,M4,#REF!)</f>
        <v>#REF!</v>
      </c>
      <c r="N37" s="73" t="e">
        <f t="shared" ref="N37:N46" si="12">($D37*M37)</f>
        <v>#REF!</v>
      </c>
      <c r="O37" s="323" t="e">
        <f t="shared" ref="O37:O46" si="13">+G37+I37+K37+M37</f>
        <v>#REF!</v>
      </c>
      <c r="P37" s="73" t="e">
        <f t="shared" ref="P37:P46" si="14">+H37+J37+L37+N37</f>
        <v>#REF!</v>
      </c>
      <c r="Q37" s="338" t="e">
        <f>+'Planilla de Avance'!M46-O37</f>
        <v>#REF!</v>
      </c>
    </row>
    <row r="38" spans="1:17" ht="12.75" customHeight="1">
      <c r="A38" s="288">
        <v>5.2</v>
      </c>
      <c r="B38" s="35" t="s">
        <v>49</v>
      </c>
      <c r="C38" s="59" t="s">
        <v>27</v>
      </c>
      <c r="D38" s="65">
        <v>15.240000000000002</v>
      </c>
      <c r="E38" s="36">
        <v>2465.2199999999998</v>
      </c>
      <c r="F38" s="82">
        <f t="shared" si="8"/>
        <v>37569.949999999997</v>
      </c>
      <c r="G38" s="324" t="e">
        <f>SUMIF(#REF!,G4,#REF!)</f>
        <v>#REF!</v>
      </c>
      <c r="H38" s="37" t="e">
        <f t="shared" si="9"/>
        <v>#REF!</v>
      </c>
      <c r="I38" s="324" t="e">
        <f>SUMIF(#REF!,I4,#REF!)</f>
        <v>#REF!</v>
      </c>
      <c r="J38" s="37" t="e">
        <f t="shared" si="10"/>
        <v>#REF!</v>
      </c>
      <c r="K38" s="324" t="e">
        <f>SUMIF(#REF!,K4,#REF!)</f>
        <v>#REF!</v>
      </c>
      <c r="L38" s="37" t="e">
        <f t="shared" si="11"/>
        <v>#REF!</v>
      </c>
      <c r="M38" s="324" t="e">
        <f>SUMIF(#REF!,M4,#REF!)</f>
        <v>#REF!</v>
      </c>
      <c r="N38" s="37" t="e">
        <f t="shared" si="12"/>
        <v>#REF!</v>
      </c>
      <c r="O38" s="324" t="e">
        <f t="shared" si="13"/>
        <v>#REF!</v>
      </c>
      <c r="P38" s="37" t="e">
        <f t="shared" si="14"/>
        <v>#REF!</v>
      </c>
      <c r="Q38" s="338" t="e">
        <f>+'Planilla de Avance'!M48-O38</f>
        <v>#REF!</v>
      </c>
    </row>
    <row r="39" spans="1:17" ht="12.75" customHeight="1">
      <c r="A39" s="288">
        <v>5.3</v>
      </c>
      <c r="B39" s="35" t="s">
        <v>50</v>
      </c>
      <c r="C39" s="59" t="s">
        <v>27</v>
      </c>
      <c r="D39" s="65">
        <v>103.86</v>
      </c>
      <c r="E39" s="36">
        <v>8692.0300000000007</v>
      </c>
      <c r="F39" s="82">
        <f t="shared" si="8"/>
        <v>902754.24</v>
      </c>
      <c r="G39" s="324" t="e">
        <f>SUMIF(#REF!,G4,#REF!)</f>
        <v>#REF!</v>
      </c>
      <c r="H39" s="37" t="e">
        <f t="shared" si="9"/>
        <v>#REF!</v>
      </c>
      <c r="I39" s="324" t="e">
        <f>SUMIF(#REF!,I4,#REF!)</f>
        <v>#REF!</v>
      </c>
      <c r="J39" s="37" t="e">
        <f t="shared" si="10"/>
        <v>#REF!</v>
      </c>
      <c r="K39" s="324" t="e">
        <f>SUMIF(#REF!,K4,#REF!)</f>
        <v>#REF!</v>
      </c>
      <c r="L39" s="37" t="e">
        <f t="shared" si="11"/>
        <v>#REF!</v>
      </c>
      <c r="M39" s="324" t="e">
        <f>SUMIF(#REF!,M4,#REF!)</f>
        <v>#REF!</v>
      </c>
      <c r="N39" s="37" t="e">
        <f t="shared" si="12"/>
        <v>#REF!</v>
      </c>
      <c r="O39" s="324" t="e">
        <f t="shared" si="13"/>
        <v>#REF!</v>
      </c>
      <c r="P39" s="37" t="e">
        <f t="shared" si="14"/>
        <v>#REF!</v>
      </c>
      <c r="Q39" s="338" t="e">
        <f>+'Planilla de Avance'!M49-O39</f>
        <v>#REF!</v>
      </c>
    </row>
    <row r="40" spans="1:17" ht="12.75" customHeight="1">
      <c r="A40" s="288">
        <v>5.4</v>
      </c>
      <c r="B40" s="35" t="s">
        <v>51</v>
      </c>
      <c r="C40" s="59" t="s">
        <v>27</v>
      </c>
      <c r="D40" s="65">
        <v>252.34</v>
      </c>
      <c r="E40" s="36">
        <v>341.56</v>
      </c>
      <c r="F40" s="82">
        <f t="shared" si="8"/>
        <v>86189.25</v>
      </c>
      <c r="G40" s="324" t="e">
        <f>SUMIF(#REF!,G4,#REF!)</f>
        <v>#REF!</v>
      </c>
      <c r="H40" s="37" t="e">
        <f t="shared" si="9"/>
        <v>#REF!</v>
      </c>
      <c r="I40" s="324" t="e">
        <f>SUMIF(#REF!,I4,#REF!)</f>
        <v>#REF!</v>
      </c>
      <c r="J40" s="37" t="e">
        <f t="shared" si="10"/>
        <v>#REF!</v>
      </c>
      <c r="K40" s="324" t="e">
        <f>SUMIF(#REF!,K4,#REF!)</f>
        <v>#REF!</v>
      </c>
      <c r="L40" s="37" t="e">
        <f t="shared" si="11"/>
        <v>#REF!</v>
      </c>
      <c r="M40" s="324" t="e">
        <f>SUMIF(#REF!,M4,#REF!)</f>
        <v>#REF!</v>
      </c>
      <c r="N40" s="37" t="e">
        <f t="shared" si="12"/>
        <v>#REF!</v>
      </c>
      <c r="O40" s="324" t="e">
        <f t="shared" si="13"/>
        <v>#REF!</v>
      </c>
      <c r="P40" s="37" t="e">
        <f t="shared" si="14"/>
        <v>#REF!</v>
      </c>
      <c r="Q40" s="338" t="e">
        <f>+'Planilla de Avance'!M50-O40</f>
        <v>#REF!</v>
      </c>
    </row>
    <row r="41" spans="1:17" ht="12.75" customHeight="1">
      <c r="A41" s="288">
        <v>5.5</v>
      </c>
      <c r="B41" s="35" t="s">
        <v>52</v>
      </c>
      <c r="C41" s="59" t="s">
        <v>27</v>
      </c>
      <c r="D41" s="65">
        <v>125.86999999999999</v>
      </c>
      <c r="E41" s="36">
        <v>48</v>
      </c>
      <c r="F41" s="82">
        <f t="shared" si="8"/>
        <v>6041.76</v>
      </c>
      <c r="G41" s="324" t="e">
        <f>SUMIF(#REF!,G4,#REF!)</f>
        <v>#REF!</v>
      </c>
      <c r="H41" s="37" t="e">
        <f t="shared" si="9"/>
        <v>#REF!</v>
      </c>
      <c r="I41" s="324" t="e">
        <f>SUMIF(#REF!,I4,#REF!)</f>
        <v>#REF!</v>
      </c>
      <c r="J41" s="37" t="e">
        <f t="shared" si="10"/>
        <v>#REF!</v>
      </c>
      <c r="K41" s="324" t="e">
        <f>SUMIF(#REF!,K4,#REF!)</f>
        <v>#REF!</v>
      </c>
      <c r="L41" s="37" t="e">
        <f t="shared" si="11"/>
        <v>#REF!</v>
      </c>
      <c r="M41" s="324" t="e">
        <f>SUMIF(#REF!,M4,#REF!)</f>
        <v>#REF!</v>
      </c>
      <c r="N41" s="37" t="e">
        <f t="shared" si="12"/>
        <v>#REF!</v>
      </c>
      <c r="O41" s="324" t="e">
        <f t="shared" si="13"/>
        <v>#REF!</v>
      </c>
      <c r="P41" s="37" t="e">
        <f t="shared" si="14"/>
        <v>#REF!</v>
      </c>
      <c r="Q41" s="338" t="e">
        <f>+'Planilla de Avance'!M51-O41</f>
        <v>#REF!</v>
      </c>
    </row>
    <row r="42" spans="1:17" ht="12.75" customHeight="1">
      <c r="A42" s="288">
        <v>5.6</v>
      </c>
      <c r="B42" s="35" t="s">
        <v>53</v>
      </c>
      <c r="C42" s="59" t="s">
        <v>27</v>
      </c>
      <c r="D42" s="65">
        <v>1616.1400000000003</v>
      </c>
      <c r="E42" s="36">
        <v>783.11</v>
      </c>
      <c r="F42" s="82">
        <f t="shared" si="8"/>
        <v>1265615.3999999999</v>
      </c>
      <c r="G42" s="324" t="e">
        <f>SUMIF(#REF!,G4,#REF!)</f>
        <v>#REF!</v>
      </c>
      <c r="H42" s="37" t="e">
        <f t="shared" si="9"/>
        <v>#REF!</v>
      </c>
      <c r="I42" s="324" t="e">
        <f>SUMIF(#REF!,I4,#REF!)</f>
        <v>#REF!</v>
      </c>
      <c r="J42" s="37" t="e">
        <f t="shared" si="10"/>
        <v>#REF!</v>
      </c>
      <c r="K42" s="324" t="e">
        <f>SUMIF(#REF!,K4,#REF!)</f>
        <v>#REF!</v>
      </c>
      <c r="L42" s="37" t="e">
        <f t="shared" si="11"/>
        <v>#REF!</v>
      </c>
      <c r="M42" s="324" t="e">
        <f>SUMIF(#REF!,M4,#REF!)</f>
        <v>#REF!</v>
      </c>
      <c r="N42" s="37" t="e">
        <f t="shared" si="12"/>
        <v>#REF!</v>
      </c>
      <c r="O42" s="324" t="e">
        <f t="shared" si="13"/>
        <v>#REF!</v>
      </c>
      <c r="P42" s="37" t="e">
        <f t="shared" si="14"/>
        <v>#REF!</v>
      </c>
      <c r="Q42" s="338" t="e">
        <f>+'Planilla de Avance'!M52-O42</f>
        <v>#REF!</v>
      </c>
    </row>
    <row r="43" spans="1:17" ht="12.75" customHeight="1">
      <c r="A43" s="288">
        <v>5.7</v>
      </c>
      <c r="B43" s="35" t="s">
        <v>47</v>
      </c>
      <c r="C43" s="59" t="s">
        <v>27</v>
      </c>
      <c r="D43" s="65">
        <v>2471.46</v>
      </c>
      <c r="E43" s="36">
        <v>3079.55</v>
      </c>
      <c r="F43" s="82">
        <f t="shared" si="8"/>
        <v>7610984.6399999997</v>
      </c>
      <c r="G43" s="324" t="e">
        <f>SUMIF(#REF!,G4,#REF!)</f>
        <v>#REF!</v>
      </c>
      <c r="H43" s="37" t="e">
        <f t="shared" si="9"/>
        <v>#REF!</v>
      </c>
      <c r="I43" s="324" t="e">
        <f>SUMIF(#REF!,I4,#REF!)</f>
        <v>#REF!</v>
      </c>
      <c r="J43" s="37" t="e">
        <f t="shared" si="10"/>
        <v>#REF!</v>
      </c>
      <c r="K43" s="324" t="e">
        <f>SUMIF(#REF!,K4,#REF!)</f>
        <v>#REF!</v>
      </c>
      <c r="L43" s="37" t="e">
        <f t="shared" si="11"/>
        <v>#REF!</v>
      </c>
      <c r="M43" s="324" t="e">
        <f>SUMIF(#REF!,M4,#REF!)</f>
        <v>#REF!</v>
      </c>
      <c r="N43" s="37" t="e">
        <f t="shared" si="12"/>
        <v>#REF!</v>
      </c>
      <c r="O43" s="324" t="e">
        <f t="shared" si="13"/>
        <v>#REF!</v>
      </c>
      <c r="P43" s="37" t="e">
        <f t="shared" si="14"/>
        <v>#REF!</v>
      </c>
      <c r="Q43" s="338" t="e">
        <f>+'Planilla de Avance'!M53-O43</f>
        <v>#REF!</v>
      </c>
    </row>
    <row r="44" spans="1:17" ht="12.75" customHeight="1">
      <c r="A44" s="288">
        <v>5.8</v>
      </c>
      <c r="B44" s="35" t="s">
        <v>19</v>
      </c>
      <c r="C44" s="59" t="s">
        <v>46</v>
      </c>
      <c r="D44" s="65">
        <v>28.13</v>
      </c>
      <c r="E44" s="36">
        <v>230958.96</v>
      </c>
      <c r="F44" s="82">
        <f t="shared" si="8"/>
        <v>6496875.54</v>
      </c>
      <c r="G44" s="324" t="e">
        <f>SUMIF(#REF!,G4,#REF!)</f>
        <v>#REF!</v>
      </c>
      <c r="H44" s="37" t="e">
        <f t="shared" si="9"/>
        <v>#REF!</v>
      </c>
      <c r="I44" s="324" t="e">
        <f>SUMIF(#REF!,I4,#REF!)</f>
        <v>#REF!</v>
      </c>
      <c r="J44" s="37" t="e">
        <f t="shared" si="10"/>
        <v>#REF!</v>
      </c>
      <c r="K44" s="324" t="e">
        <f>SUMIF(#REF!,K4,#REF!)</f>
        <v>#REF!</v>
      </c>
      <c r="L44" s="37" t="e">
        <f t="shared" si="11"/>
        <v>#REF!</v>
      </c>
      <c r="M44" s="324" t="e">
        <f>SUMIF(#REF!,M4,#REF!)</f>
        <v>#REF!</v>
      </c>
      <c r="N44" s="37" t="e">
        <f t="shared" si="12"/>
        <v>#REF!</v>
      </c>
      <c r="O44" s="324" t="e">
        <f t="shared" si="13"/>
        <v>#REF!</v>
      </c>
      <c r="P44" s="37" t="e">
        <f t="shared" si="14"/>
        <v>#REF!</v>
      </c>
      <c r="Q44" s="338" t="e">
        <f>+'Planilla de Avance'!M54-O44</f>
        <v>#REF!</v>
      </c>
    </row>
    <row r="45" spans="1:17" ht="12.75" customHeight="1">
      <c r="A45" s="288">
        <v>5.9</v>
      </c>
      <c r="B45" s="35" t="s">
        <v>54</v>
      </c>
      <c r="C45" s="59" t="s">
        <v>0</v>
      </c>
      <c r="D45" s="65">
        <v>1507.63</v>
      </c>
      <c r="E45" s="36">
        <v>715</v>
      </c>
      <c r="F45" s="82">
        <f t="shared" si="8"/>
        <v>1077955.45</v>
      </c>
      <c r="G45" s="324" t="e">
        <f>SUMIF(#REF!,G4,#REF!)</f>
        <v>#REF!</v>
      </c>
      <c r="H45" s="37" t="e">
        <f t="shared" si="9"/>
        <v>#REF!</v>
      </c>
      <c r="I45" s="324" t="e">
        <f>SUMIF(#REF!,I4,#REF!)</f>
        <v>#REF!</v>
      </c>
      <c r="J45" s="37" t="e">
        <f t="shared" si="10"/>
        <v>#REF!</v>
      </c>
      <c r="K45" s="324" t="e">
        <f>SUMIF(#REF!,K4,#REF!)</f>
        <v>#REF!</v>
      </c>
      <c r="L45" s="37" t="e">
        <f t="shared" si="11"/>
        <v>#REF!</v>
      </c>
      <c r="M45" s="324" t="e">
        <f>SUMIF(#REF!,M4,#REF!)</f>
        <v>#REF!</v>
      </c>
      <c r="N45" s="37" t="e">
        <f t="shared" si="12"/>
        <v>#REF!</v>
      </c>
      <c r="O45" s="324" t="e">
        <f t="shared" si="13"/>
        <v>#REF!</v>
      </c>
      <c r="P45" s="37" t="e">
        <f t="shared" si="14"/>
        <v>#REF!</v>
      </c>
      <c r="Q45" s="338" t="e">
        <f>+'Planilla de Avance'!M55-O45</f>
        <v>#REF!</v>
      </c>
    </row>
    <row r="46" spans="1:17" ht="12.75" customHeight="1">
      <c r="A46" s="289" t="s">
        <v>14</v>
      </c>
      <c r="B46" s="45" t="s">
        <v>55</v>
      </c>
      <c r="C46" s="60" t="s">
        <v>31</v>
      </c>
      <c r="D46" s="67">
        <v>69.8</v>
      </c>
      <c r="E46" s="46">
        <v>848.98</v>
      </c>
      <c r="F46" s="84">
        <f t="shared" si="8"/>
        <v>59258.8</v>
      </c>
      <c r="G46" s="325" t="e">
        <f>SUMIF(#REF!,G4,#REF!)</f>
        <v>#REF!</v>
      </c>
      <c r="H46" s="47" t="e">
        <f t="shared" si="9"/>
        <v>#REF!</v>
      </c>
      <c r="I46" s="325" t="e">
        <f>SUMIF(#REF!,I4,#REF!)</f>
        <v>#REF!</v>
      </c>
      <c r="J46" s="47" t="e">
        <f t="shared" si="10"/>
        <v>#REF!</v>
      </c>
      <c r="K46" s="325" t="e">
        <f>SUMIF(#REF!,K4,#REF!)</f>
        <v>#REF!</v>
      </c>
      <c r="L46" s="47" t="e">
        <f t="shared" si="11"/>
        <v>#REF!</v>
      </c>
      <c r="M46" s="325" t="e">
        <f>SUMIF(#REF!,M4,#REF!)</f>
        <v>#REF!</v>
      </c>
      <c r="N46" s="47" t="e">
        <f t="shared" si="12"/>
        <v>#REF!</v>
      </c>
      <c r="O46" s="325" t="e">
        <f t="shared" si="13"/>
        <v>#REF!</v>
      </c>
      <c r="P46" s="47" t="e">
        <f t="shared" si="14"/>
        <v>#REF!</v>
      </c>
      <c r="Q46" s="338" t="e">
        <f>+'Planilla de Avance'!M56-O46</f>
        <v>#REF!</v>
      </c>
    </row>
    <row r="47" spans="1:17" ht="12.75" customHeight="1">
      <c r="A47" s="286"/>
      <c r="B47" s="48" t="s">
        <v>10</v>
      </c>
      <c r="C47" s="49"/>
      <c r="D47" s="69"/>
      <c r="E47" s="51"/>
      <c r="F47" s="70">
        <f>SUM(F37:F46)</f>
        <v>17859341.989999998</v>
      </c>
      <c r="G47" s="52"/>
      <c r="H47" s="76" t="e">
        <f>SUM(H37:H46)</f>
        <v>#REF!</v>
      </c>
      <c r="I47" s="52"/>
      <c r="J47" s="76" t="e">
        <f>SUM(J37:J46)</f>
        <v>#REF!</v>
      </c>
      <c r="K47" s="52"/>
      <c r="L47" s="76" t="e">
        <f>SUM(L37:L46)</f>
        <v>#REF!</v>
      </c>
      <c r="M47" s="52"/>
      <c r="N47" s="76" t="e">
        <f>SUM(N37:N46)</f>
        <v>#REF!</v>
      </c>
      <c r="O47" s="52"/>
      <c r="P47" s="76" t="e">
        <f>SUM(P37:P46)</f>
        <v>#REF!</v>
      </c>
      <c r="Q47" s="338" t="e">
        <f>+'Planilla de Avance'!#REF!-O47</f>
        <v>#REF!</v>
      </c>
    </row>
    <row r="48" spans="1:17" ht="12.75" customHeight="1">
      <c r="A48" s="285" t="s">
        <v>72</v>
      </c>
      <c r="B48" s="41" t="s">
        <v>73</v>
      </c>
      <c r="C48" s="55"/>
      <c r="D48" s="56"/>
      <c r="E48" s="56"/>
      <c r="F48" s="57"/>
      <c r="G48" s="53"/>
      <c r="H48" s="53"/>
      <c r="I48" s="53"/>
      <c r="J48" s="53"/>
      <c r="K48" s="53"/>
      <c r="L48" s="53"/>
      <c r="M48" s="53"/>
      <c r="N48" s="54"/>
      <c r="O48" s="53"/>
      <c r="P48" s="54"/>
      <c r="Q48" s="338" t="e">
        <f>+'Planilla de Avance'!#REF!-O48</f>
        <v>#REF!</v>
      </c>
    </row>
    <row r="49" spans="1:17" ht="12.75" customHeight="1">
      <c r="A49" s="287">
        <v>6.1</v>
      </c>
      <c r="B49" s="40" t="s">
        <v>49</v>
      </c>
      <c r="C49" s="58" t="s">
        <v>27</v>
      </c>
      <c r="D49" s="79">
        <v>15.240000000000002</v>
      </c>
      <c r="E49" s="63">
        <v>12124</v>
      </c>
      <c r="F49" s="80">
        <f t="shared" ref="F49:F54" si="15">ROUND(E49*D49,2)</f>
        <v>184769.76</v>
      </c>
      <c r="G49" s="317" t="e">
        <f>SUMIF(#REF!,G4,#REF!)</f>
        <v>#REF!</v>
      </c>
      <c r="H49" s="73" t="e">
        <f t="shared" ref="H49:H54" si="16">+($D49*G49)</f>
        <v>#REF!</v>
      </c>
      <c r="I49" s="317" t="e">
        <f>SUMIF(#REF!,I4,#REF!)</f>
        <v>#REF!</v>
      </c>
      <c r="J49" s="73" t="e">
        <f t="shared" ref="J49:J54" si="17">($D49*I49)</f>
        <v>#REF!</v>
      </c>
      <c r="K49" s="317" t="e">
        <f>SUMIF(#REF!,K4,#REF!)</f>
        <v>#REF!</v>
      </c>
      <c r="L49" s="73" t="e">
        <f t="shared" ref="L49:L54" si="18">($D49*K49)</f>
        <v>#REF!</v>
      </c>
      <c r="M49" s="317" t="e">
        <f>SUMIF(#REF!,M4,#REF!)</f>
        <v>#REF!</v>
      </c>
      <c r="N49" s="73" t="e">
        <f t="shared" ref="N49:N54" si="19">($D49*M49)</f>
        <v>#REF!</v>
      </c>
      <c r="O49" s="317" t="e">
        <f t="shared" ref="O49:O54" si="20">+G49+I49+K49+M49</f>
        <v>#REF!</v>
      </c>
      <c r="P49" s="73" t="e">
        <f t="shared" ref="P49:P54" si="21">+H49+J49+L49+N49</f>
        <v>#REF!</v>
      </c>
      <c r="Q49" s="338" t="e">
        <f>+'Planilla de Avance'!M57-O49</f>
        <v>#REF!</v>
      </c>
    </row>
    <row r="50" spans="1:17" ht="12.75" customHeight="1">
      <c r="A50" s="288">
        <v>6.2</v>
      </c>
      <c r="B50" s="35" t="s">
        <v>50</v>
      </c>
      <c r="C50" s="59" t="s">
        <v>27</v>
      </c>
      <c r="D50" s="81">
        <v>103.86</v>
      </c>
      <c r="E50" s="36">
        <v>3637</v>
      </c>
      <c r="F50" s="82">
        <f t="shared" si="15"/>
        <v>377738.82</v>
      </c>
      <c r="G50" s="318" t="e">
        <f>SUMIF(#REF!,G4,#REF!)</f>
        <v>#REF!</v>
      </c>
      <c r="H50" s="37" t="e">
        <f t="shared" si="16"/>
        <v>#REF!</v>
      </c>
      <c r="I50" s="318" t="e">
        <f>SUMIF(#REF!,I4,#REF!)</f>
        <v>#REF!</v>
      </c>
      <c r="J50" s="37" t="e">
        <f t="shared" si="17"/>
        <v>#REF!</v>
      </c>
      <c r="K50" s="318" t="e">
        <f>SUMIF(#REF!,K4,#REF!)</f>
        <v>#REF!</v>
      </c>
      <c r="L50" s="37" t="e">
        <f t="shared" si="18"/>
        <v>#REF!</v>
      </c>
      <c r="M50" s="318" t="e">
        <f>SUMIF(#REF!,M4,#REF!)</f>
        <v>#REF!</v>
      </c>
      <c r="N50" s="37" t="e">
        <f t="shared" si="19"/>
        <v>#REF!</v>
      </c>
      <c r="O50" s="318" t="e">
        <f t="shared" si="20"/>
        <v>#REF!</v>
      </c>
      <c r="P50" s="37" t="e">
        <f t="shared" si="21"/>
        <v>#REF!</v>
      </c>
      <c r="Q50" s="338" t="e">
        <f>+'Planilla de Avance'!M58-O50</f>
        <v>#REF!</v>
      </c>
    </row>
    <row r="51" spans="1:17" ht="12.75" customHeight="1">
      <c r="A51" s="288">
        <v>6.3</v>
      </c>
      <c r="B51" s="35" t="s">
        <v>53</v>
      </c>
      <c r="C51" s="59" t="s">
        <v>27</v>
      </c>
      <c r="D51" s="81">
        <v>1616.1400000000003</v>
      </c>
      <c r="E51" s="36">
        <v>959</v>
      </c>
      <c r="F51" s="82">
        <f t="shared" si="15"/>
        <v>1549878.26</v>
      </c>
      <c r="G51" s="318" t="e">
        <f>SUMIF(#REF!,G4,#REF!)</f>
        <v>#REF!</v>
      </c>
      <c r="H51" s="37" t="e">
        <f t="shared" si="16"/>
        <v>#REF!</v>
      </c>
      <c r="I51" s="318" t="e">
        <f>SUMIF(#REF!,I4,#REF!)</f>
        <v>#REF!</v>
      </c>
      <c r="J51" s="37" t="e">
        <f t="shared" si="17"/>
        <v>#REF!</v>
      </c>
      <c r="K51" s="318" t="e">
        <f>SUMIF(#REF!,K4,#REF!)</f>
        <v>#REF!</v>
      </c>
      <c r="L51" s="37" t="e">
        <f t="shared" si="18"/>
        <v>#REF!</v>
      </c>
      <c r="M51" s="318" t="e">
        <f>SUMIF(#REF!,M4,#REF!)</f>
        <v>#REF!</v>
      </c>
      <c r="N51" s="37" t="e">
        <f t="shared" si="19"/>
        <v>#REF!</v>
      </c>
      <c r="O51" s="318" t="e">
        <f t="shared" si="20"/>
        <v>#REF!</v>
      </c>
      <c r="P51" s="37" t="e">
        <f t="shared" si="21"/>
        <v>#REF!</v>
      </c>
      <c r="Q51" s="338" t="e">
        <f>+'Planilla de Avance'!M59-O51</f>
        <v>#REF!</v>
      </c>
    </row>
    <row r="52" spans="1:17" ht="12.75" customHeight="1">
      <c r="A52" s="288">
        <v>6.4</v>
      </c>
      <c r="B52" s="35" t="s">
        <v>64</v>
      </c>
      <c r="C52" s="59" t="s">
        <v>27</v>
      </c>
      <c r="D52" s="81">
        <v>514.18999999999994</v>
      </c>
      <c r="E52" s="36">
        <v>5499</v>
      </c>
      <c r="F52" s="82">
        <f t="shared" si="15"/>
        <v>2827530.81</v>
      </c>
      <c r="G52" s="318" t="e">
        <f>SUMIF(#REF!,G4,#REF!)</f>
        <v>#REF!</v>
      </c>
      <c r="H52" s="37" t="e">
        <f t="shared" si="16"/>
        <v>#REF!</v>
      </c>
      <c r="I52" s="318" t="e">
        <f>SUMIF(#REF!,I4,#REF!)</f>
        <v>#REF!</v>
      </c>
      <c r="J52" s="37" t="e">
        <f t="shared" si="17"/>
        <v>#REF!</v>
      </c>
      <c r="K52" s="318" t="e">
        <f>SUMIF(#REF!,K4,#REF!)</f>
        <v>#REF!</v>
      </c>
      <c r="L52" s="37" t="e">
        <f t="shared" si="18"/>
        <v>#REF!</v>
      </c>
      <c r="M52" s="318" t="e">
        <f>SUMIF(#REF!,M4,#REF!)</f>
        <v>#REF!</v>
      </c>
      <c r="N52" s="37" t="e">
        <f t="shared" si="19"/>
        <v>#REF!</v>
      </c>
      <c r="O52" s="318" t="e">
        <f t="shared" si="20"/>
        <v>#REF!</v>
      </c>
      <c r="P52" s="37" t="e">
        <f t="shared" si="21"/>
        <v>#REF!</v>
      </c>
      <c r="Q52" s="338" t="e">
        <f>+'Planilla de Avance'!M60-O52</f>
        <v>#REF!</v>
      </c>
    </row>
    <row r="53" spans="1:17" ht="12.75" customHeight="1">
      <c r="A53" s="288">
        <v>6.5</v>
      </c>
      <c r="B53" s="35" t="s">
        <v>65</v>
      </c>
      <c r="C53" s="59" t="s">
        <v>27</v>
      </c>
      <c r="D53" s="81">
        <v>746.52</v>
      </c>
      <c r="E53" s="36">
        <v>1895</v>
      </c>
      <c r="F53" s="82">
        <f t="shared" si="15"/>
        <v>1414655.4</v>
      </c>
      <c r="G53" s="318" t="e">
        <f>SUMIF(#REF!,G4,#REF!)</f>
        <v>#REF!</v>
      </c>
      <c r="H53" s="37" t="e">
        <f t="shared" si="16"/>
        <v>#REF!</v>
      </c>
      <c r="I53" s="318" t="e">
        <f>SUMIF(#REF!,I4,#REF!)</f>
        <v>#REF!</v>
      </c>
      <c r="J53" s="37" t="e">
        <f t="shared" si="17"/>
        <v>#REF!</v>
      </c>
      <c r="K53" s="318" t="e">
        <f>SUMIF(#REF!,K4,#REF!)</f>
        <v>#REF!</v>
      </c>
      <c r="L53" s="37" t="e">
        <f t="shared" si="18"/>
        <v>#REF!</v>
      </c>
      <c r="M53" s="318" t="e">
        <f>SUMIF(#REF!,M4,#REF!)</f>
        <v>#REF!</v>
      </c>
      <c r="N53" s="37" t="e">
        <f t="shared" si="19"/>
        <v>#REF!</v>
      </c>
      <c r="O53" s="318" t="e">
        <f t="shared" si="20"/>
        <v>#REF!</v>
      </c>
      <c r="P53" s="37" t="e">
        <f t="shared" si="21"/>
        <v>#REF!</v>
      </c>
      <c r="Q53" s="338" t="e">
        <f>+'Planilla de Avance'!M61-O53</f>
        <v>#REF!</v>
      </c>
    </row>
    <row r="54" spans="1:17" ht="12.75" customHeight="1">
      <c r="A54" s="289">
        <v>6.6</v>
      </c>
      <c r="B54" s="45" t="s">
        <v>66</v>
      </c>
      <c r="C54" s="60" t="s">
        <v>23</v>
      </c>
      <c r="D54" s="83">
        <v>73721.75</v>
      </c>
      <c r="E54" s="46">
        <v>1</v>
      </c>
      <c r="F54" s="84">
        <f t="shared" si="15"/>
        <v>73721.75</v>
      </c>
      <c r="G54" s="319" t="e">
        <f>SUMIF(#REF!,G4,#REF!)</f>
        <v>#REF!</v>
      </c>
      <c r="H54" s="47" t="e">
        <f t="shared" si="16"/>
        <v>#REF!</v>
      </c>
      <c r="I54" s="319" t="e">
        <f>SUMIF(#REF!,I4,#REF!)</f>
        <v>#REF!</v>
      </c>
      <c r="J54" s="47" t="e">
        <f t="shared" si="17"/>
        <v>#REF!</v>
      </c>
      <c r="K54" s="319" t="e">
        <f>SUMIF(#REF!,K4,#REF!)</f>
        <v>#REF!</v>
      </c>
      <c r="L54" s="47" t="e">
        <f t="shared" si="18"/>
        <v>#REF!</v>
      </c>
      <c r="M54" s="319" t="e">
        <f>SUMIF(#REF!,M4,#REF!)</f>
        <v>#REF!</v>
      </c>
      <c r="N54" s="47" t="e">
        <f t="shared" si="19"/>
        <v>#REF!</v>
      </c>
      <c r="O54" s="319" t="e">
        <f t="shared" si="20"/>
        <v>#REF!</v>
      </c>
      <c r="P54" s="47" t="e">
        <f t="shared" si="21"/>
        <v>#REF!</v>
      </c>
      <c r="Q54" s="338" t="e">
        <f>+'Planilla de Avance'!M64-O54</f>
        <v>#REF!</v>
      </c>
    </row>
    <row r="55" spans="1:17" ht="12.75" customHeight="1">
      <c r="A55" s="286"/>
      <c r="B55" s="48" t="s">
        <v>10</v>
      </c>
      <c r="C55" s="49"/>
      <c r="D55" s="69"/>
      <c r="E55" s="51"/>
      <c r="F55" s="70">
        <f>SUM(F49:F54)</f>
        <v>6428294.8000000007</v>
      </c>
      <c r="G55" s="52"/>
      <c r="H55" s="76" t="e">
        <f>SUM(H49:H54)</f>
        <v>#REF!</v>
      </c>
      <c r="I55" s="52"/>
      <c r="J55" s="76" t="e">
        <f>SUM(J49:J54)</f>
        <v>#REF!</v>
      </c>
      <c r="K55" s="52"/>
      <c r="L55" s="76" t="e">
        <f>SUM(L49:L54)</f>
        <v>#REF!</v>
      </c>
      <c r="M55" s="52"/>
      <c r="N55" s="76" t="e">
        <f>SUM(N49:N54)</f>
        <v>#REF!</v>
      </c>
      <c r="O55" s="52"/>
      <c r="P55" s="76" t="e">
        <f>SUM(P49:P54)</f>
        <v>#REF!</v>
      </c>
      <c r="Q55" s="338" t="e">
        <f>+'Planilla de Avance'!#REF!-O55</f>
        <v>#REF!</v>
      </c>
    </row>
    <row r="56" spans="1:17" ht="12.75" customHeight="1">
      <c r="A56" s="285" t="s">
        <v>70</v>
      </c>
      <c r="B56" s="41" t="s">
        <v>71</v>
      </c>
      <c r="C56" s="74"/>
      <c r="D56" s="57"/>
      <c r="E56" s="75"/>
      <c r="F56" s="57"/>
      <c r="G56" s="53"/>
      <c r="H56" s="53"/>
      <c r="I56" s="53"/>
      <c r="J56" s="53"/>
      <c r="K56" s="53"/>
      <c r="L56" s="53"/>
      <c r="M56" s="53"/>
      <c r="N56" s="54"/>
      <c r="O56" s="53"/>
      <c r="P56" s="54"/>
      <c r="Q56" s="338" t="e">
        <f>+'Planilla de Avance'!#REF!-O56</f>
        <v>#REF!</v>
      </c>
    </row>
    <row r="57" spans="1:17" ht="12.75" customHeight="1">
      <c r="A57" s="287">
        <v>7.1</v>
      </c>
      <c r="B57" s="40" t="s">
        <v>67</v>
      </c>
      <c r="C57" s="58" t="s">
        <v>23</v>
      </c>
      <c r="D57" s="79">
        <v>103210.46</v>
      </c>
      <c r="E57" s="63">
        <v>1</v>
      </c>
      <c r="F57" s="80">
        <f>ROUND(E57*D57,2)</f>
        <v>103210.46</v>
      </c>
      <c r="G57" s="317" t="e">
        <f>SUMIF(#REF!,G4,#REF!)</f>
        <v>#REF!</v>
      </c>
      <c r="H57" s="73" t="e">
        <f>+($D57*G57)</f>
        <v>#REF!</v>
      </c>
      <c r="I57" s="317" t="e">
        <f>SUMIF(#REF!,I4,#REF!)</f>
        <v>#REF!</v>
      </c>
      <c r="J57" s="73" t="e">
        <f>($D57*I57)</f>
        <v>#REF!</v>
      </c>
      <c r="K57" s="317" t="e">
        <f>SUMIF(#REF!,K4,#REF!)</f>
        <v>#REF!</v>
      </c>
      <c r="L57" s="73" t="e">
        <f>($D57*K57)</f>
        <v>#REF!</v>
      </c>
      <c r="M57" s="317" t="e">
        <f>SUMIF(#REF!,M4,#REF!)</f>
        <v>#REF!</v>
      </c>
      <c r="N57" s="73" t="e">
        <f>($D57*M57)</f>
        <v>#REF!</v>
      </c>
      <c r="O57" s="317" t="e">
        <f t="shared" ref="O57:P59" si="22">+G57+I57+K57+M57</f>
        <v>#REF!</v>
      </c>
      <c r="P57" s="73" t="e">
        <f t="shared" si="22"/>
        <v>#REF!</v>
      </c>
      <c r="Q57" s="338" t="e">
        <f>+'Planilla de Avance'!M65-O57</f>
        <v>#REF!</v>
      </c>
    </row>
    <row r="58" spans="1:17" ht="12.75" customHeight="1">
      <c r="A58" s="288">
        <v>7.2</v>
      </c>
      <c r="B58" s="35" t="s">
        <v>68</v>
      </c>
      <c r="C58" s="59" t="s">
        <v>20</v>
      </c>
      <c r="D58" s="81">
        <v>36.85</v>
      </c>
      <c r="E58" s="36">
        <v>1611.85</v>
      </c>
      <c r="F58" s="82">
        <f>ROUND(E58*D58,2)</f>
        <v>59396.67</v>
      </c>
      <c r="G58" s="318" t="e">
        <f>SUMIF(#REF!,G4,#REF!)</f>
        <v>#REF!</v>
      </c>
      <c r="H58" s="37" t="e">
        <f>+($D58*G58)</f>
        <v>#REF!</v>
      </c>
      <c r="I58" s="318" t="e">
        <f>SUMIF(#REF!,I4,#REF!)</f>
        <v>#REF!</v>
      </c>
      <c r="J58" s="37" t="e">
        <f>($D58*I58)</f>
        <v>#REF!</v>
      </c>
      <c r="K58" s="318" t="e">
        <f>SUMIF(#REF!,K4,#REF!)</f>
        <v>#REF!</v>
      </c>
      <c r="L58" s="37" t="e">
        <f>($D58*K58)</f>
        <v>#REF!</v>
      </c>
      <c r="M58" s="318" t="e">
        <f>SUMIF(#REF!,M4,#REF!)</f>
        <v>#REF!</v>
      </c>
      <c r="N58" s="37" t="e">
        <f>($D58*M58)</f>
        <v>#REF!</v>
      </c>
      <c r="O58" s="318" t="e">
        <f t="shared" si="22"/>
        <v>#REF!</v>
      </c>
      <c r="P58" s="37" t="e">
        <f t="shared" si="22"/>
        <v>#REF!</v>
      </c>
      <c r="Q58" s="338" t="e">
        <f>+'Planilla de Avance'!M66-O58</f>
        <v>#REF!</v>
      </c>
    </row>
    <row r="59" spans="1:17" ht="12.75" customHeight="1">
      <c r="A59" s="289">
        <v>7.3</v>
      </c>
      <c r="B59" s="45" t="s">
        <v>69</v>
      </c>
      <c r="C59" s="60" t="s">
        <v>23</v>
      </c>
      <c r="D59" s="83">
        <v>151129.59999999998</v>
      </c>
      <c r="E59" s="46">
        <v>1</v>
      </c>
      <c r="F59" s="84">
        <f>ROUND(E59*D59,2)</f>
        <v>151129.60000000001</v>
      </c>
      <c r="G59" s="319" t="e">
        <f>SUMIF(#REF!,G4,#REF!)</f>
        <v>#REF!</v>
      </c>
      <c r="H59" s="47" t="e">
        <f>+($D59*G59)</f>
        <v>#REF!</v>
      </c>
      <c r="I59" s="319" t="e">
        <f>SUMIF(#REF!,I4,#REF!)</f>
        <v>#REF!</v>
      </c>
      <c r="J59" s="47" t="e">
        <f>($D59*I59)</f>
        <v>#REF!</v>
      </c>
      <c r="K59" s="319" t="e">
        <f>SUMIF(#REF!,K4,#REF!)</f>
        <v>#REF!</v>
      </c>
      <c r="L59" s="47" t="e">
        <f>($D59*K59)</f>
        <v>#REF!</v>
      </c>
      <c r="M59" s="319" t="e">
        <f>SUMIF(#REF!,M4,#REF!)</f>
        <v>#REF!</v>
      </c>
      <c r="N59" s="47" t="e">
        <f>($D59*M59)</f>
        <v>#REF!</v>
      </c>
      <c r="O59" s="319" t="e">
        <f t="shared" si="22"/>
        <v>#REF!</v>
      </c>
      <c r="P59" s="47" t="e">
        <f t="shared" si="22"/>
        <v>#REF!</v>
      </c>
      <c r="Q59" s="338" t="e">
        <f>+'Planilla de Avance'!M67-O59</f>
        <v>#REF!</v>
      </c>
    </row>
    <row r="60" spans="1:17" ht="12.75" customHeight="1">
      <c r="A60" s="93"/>
      <c r="B60" s="48" t="s">
        <v>10</v>
      </c>
      <c r="C60" s="49"/>
      <c r="D60" s="69"/>
      <c r="E60" s="51"/>
      <c r="F60" s="70">
        <f>SUM(F57:F59)</f>
        <v>313736.73</v>
      </c>
      <c r="G60" s="52"/>
      <c r="H60" s="76" t="e">
        <f>SUM(H57:H59)</f>
        <v>#REF!</v>
      </c>
      <c r="I60" s="52"/>
      <c r="J60" s="76" t="e">
        <f>SUM(J57:J59)</f>
        <v>#REF!</v>
      </c>
      <c r="K60" s="52"/>
      <c r="L60" s="76" t="e">
        <f>SUM(L57:L59)</f>
        <v>#REF!</v>
      </c>
      <c r="M60" s="52"/>
      <c r="N60" s="76" t="e">
        <f>SUM(N57:N59)</f>
        <v>#REF!</v>
      </c>
      <c r="O60" s="52"/>
      <c r="P60" s="76" t="e">
        <f>SUM(P57:P59)</f>
        <v>#REF!</v>
      </c>
      <c r="Q60" s="338" t="e">
        <f>+'Planilla de Avance'!#REF!-O60</f>
        <v>#REF!</v>
      </c>
    </row>
    <row r="61" spans="1:17" ht="12.75" customHeight="1">
      <c r="A61" s="285" t="s">
        <v>74</v>
      </c>
      <c r="B61" s="41" t="s">
        <v>75</v>
      </c>
      <c r="C61" s="49"/>
      <c r="D61" s="50"/>
      <c r="E61" s="51"/>
      <c r="F61" s="50"/>
      <c r="G61" s="53"/>
      <c r="H61" s="53"/>
      <c r="I61" s="53"/>
      <c r="J61" s="53"/>
      <c r="K61" s="53"/>
      <c r="L61" s="53"/>
      <c r="M61" s="53"/>
      <c r="N61" s="54"/>
      <c r="O61" s="53"/>
      <c r="P61" s="54"/>
      <c r="Q61" s="338" t="e">
        <f>+'Planilla de Avance'!#REF!-O61</f>
        <v>#REF!</v>
      </c>
    </row>
    <row r="62" spans="1:17" ht="12.75" customHeight="1">
      <c r="A62" s="287">
        <v>8.1</v>
      </c>
      <c r="B62" s="40" t="s">
        <v>11</v>
      </c>
      <c r="C62" s="58" t="s">
        <v>27</v>
      </c>
      <c r="D62" s="79">
        <v>25.820000000000004</v>
      </c>
      <c r="E62" s="63">
        <v>2637.11</v>
      </c>
      <c r="F62" s="80">
        <f t="shared" ref="F62:F69" si="23">ROUND(E62*D62,2)</f>
        <v>68090.179999999993</v>
      </c>
      <c r="G62" s="317" t="e">
        <f>SUMIF(#REF!,G4,#REF!)</f>
        <v>#REF!</v>
      </c>
      <c r="H62" s="73" t="e">
        <f t="shared" ref="H62:H69" si="24">+($D62*G62)</f>
        <v>#REF!</v>
      </c>
      <c r="I62" s="317" t="e">
        <f>SUMIF(#REF!,I4,#REF!)</f>
        <v>#REF!</v>
      </c>
      <c r="J62" s="73" t="e">
        <f t="shared" ref="J62:J69" si="25">($D62*I62)</f>
        <v>#REF!</v>
      </c>
      <c r="K62" s="317" t="e">
        <f>SUMIF(#REF!,K4,#REF!)</f>
        <v>#REF!</v>
      </c>
      <c r="L62" s="73" t="e">
        <f t="shared" ref="L62:L69" si="26">($D62*K62)</f>
        <v>#REF!</v>
      </c>
      <c r="M62" s="317" t="e">
        <f>SUMIF(#REF!,M4,#REF!)</f>
        <v>#REF!</v>
      </c>
      <c r="N62" s="73" t="e">
        <f t="shared" ref="N62:N69" si="27">($D62*M62)</f>
        <v>#REF!</v>
      </c>
      <c r="O62" s="317" t="e">
        <f t="shared" ref="O62:O69" si="28">+G62+I62+K62+M62</f>
        <v>#REF!</v>
      </c>
      <c r="P62" s="73" t="e">
        <f t="shared" ref="P62:P69" si="29">+H62+J62+L62+N62</f>
        <v>#REF!</v>
      </c>
      <c r="Q62" s="338" t="e">
        <f>+'Planilla de Avance'!M68-O62</f>
        <v>#REF!</v>
      </c>
    </row>
    <row r="63" spans="1:17" ht="12.75" customHeight="1">
      <c r="A63" s="288">
        <v>8.1999999999999993</v>
      </c>
      <c r="B63" s="35" t="s">
        <v>50</v>
      </c>
      <c r="C63" s="59" t="s">
        <v>27</v>
      </c>
      <c r="D63" s="81">
        <v>103.86</v>
      </c>
      <c r="E63" s="36">
        <v>2121.9</v>
      </c>
      <c r="F63" s="82">
        <f t="shared" si="23"/>
        <v>220380.53</v>
      </c>
      <c r="G63" s="318" t="e">
        <f>SUMIF(#REF!,G4,#REF!)</f>
        <v>#REF!</v>
      </c>
      <c r="H63" s="37" t="e">
        <f t="shared" si="24"/>
        <v>#REF!</v>
      </c>
      <c r="I63" s="318" t="e">
        <f>SUMIF(#REF!,I4,#REF!)</f>
        <v>#REF!</v>
      </c>
      <c r="J63" s="37" t="e">
        <f t="shared" si="25"/>
        <v>#REF!</v>
      </c>
      <c r="K63" s="318" t="e">
        <f>SUMIF(#REF!,K4,#REF!)</f>
        <v>#REF!</v>
      </c>
      <c r="L63" s="37" t="e">
        <f t="shared" si="26"/>
        <v>#REF!</v>
      </c>
      <c r="M63" s="318" t="e">
        <f>SUMIF(#REF!,M4,#REF!)</f>
        <v>#REF!</v>
      </c>
      <c r="N63" s="37" t="e">
        <f t="shared" si="27"/>
        <v>#REF!</v>
      </c>
      <c r="O63" s="318" t="e">
        <f t="shared" si="28"/>
        <v>#REF!</v>
      </c>
      <c r="P63" s="37" t="e">
        <f t="shared" si="29"/>
        <v>#REF!</v>
      </c>
      <c r="Q63" s="338" t="e">
        <f>+'Planilla de Avance'!M69-O63</f>
        <v>#REF!</v>
      </c>
    </row>
    <row r="64" spans="1:17" ht="12.75" customHeight="1">
      <c r="A64" s="288">
        <v>8.3000000000000007</v>
      </c>
      <c r="B64" s="35" t="s">
        <v>55</v>
      </c>
      <c r="C64" s="59" t="s">
        <v>31</v>
      </c>
      <c r="D64" s="81">
        <v>69.8</v>
      </c>
      <c r="E64" s="36">
        <v>43.69</v>
      </c>
      <c r="F64" s="82">
        <f t="shared" si="23"/>
        <v>3049.56</v>
      </c>
      <c r="G64" s="318" t="e">
        <f>SUMIF(#REF!,G4,#REF!)</f>
        <v>#REF!</v>
      </c>
      <c r="H64" s="37" t="e">
        <f t="shared" si="24"/>
        <v>#REF!</v>
      </c>
      <c r="I64" s="318" t="e">
        <f>SUMIF(#REF!,I4,#REF!)</f>
        <v>#REF!</v>
      </c>
      <c r="J64" s="37" t="e">
        <f t="shared" si="25"/>
        <v>#REF!</v>
      </c>
      <c r="K64" s="318" t="e">
        <f>SUMIF(#REF!,K4,#REF!)</f>
        <v>#REF!</v>
      </c>
      <c r="L64" s="37" t="e">
        <f t="shared" si="26"/>
        <v>#REF!</v>
      </c>
      <c r="M64" s="318" t="e">
        <f>SUMIF(#REF!,M4,#REF!)</f>
        <v>#REF!</v>
      </c>
      <c r="N64" s="37" t="e">
        <f t="shared" si="27"/>
        <v>#REF!</v>
      </c>
      <c r="O64" s="318" t="e">
        <f t="shared" si="28"/>
        <v>#REF!</v>
      </c>
      <c r="P64" s="37" t="e">
        <f t="shared" si="29"/>
        <v>#REF!</v>
      </c>
      <c r="Q64" s="338" t="e">
        <f>+'Planilla de Avance'!M70-O64</f>
        <v>#REF!</v>
      </c>
    </row>
    <row r="65" spans="1:17" ht="12.75" customHeight="1">
      <c r="A65" s="288">
        <v>8.4</v>
      </c>
      <c r="B65" s="35" t="s">
        <v>47</v>
      </c>
      <c r="C65" s="59" t="s">
        <v>27</v>
      </c>
      <c r="D65" s="81">
        <v>2471.46</v>
      </c>
      <c r="E65" s="36">
        <v>372.74</v>
      </c>
      <c r="F65" s="82">
        <f t="shared" si="23"/>
        <v>921212</v>
      </c>
      <c r="G65" s="318" t="e">
        <f>SUMIF(#REF!,G4,#REF!)</f>
        <v>#REF!</v>
      </c>
      <c r="H65" s="37" t="e">
        <f t="shared" si="24"/>
        <v>#REF!</v>
      </c>
      <c r="I65" s="318" t="e">
        <f>SUMIF(#REF!,I4,#REF!)</f>
        <v>#REF!</v>
      </c>
      <c r="J65" s="37" t="e">
        <f t="shared" si="25"/>
        <v>#REF!</v>
      </c>
      <c r="K65" s="318" t="e">
        <f>SUMIF(#REF!,K4,#REF!)</f>
        <v>#REF!</v>
      </c>
      <c r="L65" s="37" t="e">
        <f t="shared" si="26"/>
        <v>#REF!</v>
      </c>
      <c r="M65" s="318" t="e">
        <f>SUMIF(#REF!,M4,#REF!)</f>
        <v>#REF!</v>
      </c>
      <c r="N65" s="37" t="e">
        <f t="shared" si="27"/>
        <v>#REF!</v>
      </c>
      <c r="O65" s="318" t="e">
        <f t="shared" si="28"/>
        <v>#REF!</v>
      </c>
      <c r="P65" s="37" t="e">
        <f t="shared" si="29"/>
        <v>#REF!</v>
      </c>
      <c r="Q65" s="338" t="e">
        <f>+'Planilla de Avance'!M71-O65</f>
        <v>#REF!</v>
      </c>
    </row>
    <row r="66" spans="1:17" ht="12.75" customHeight="1">
      <c r="A66" s="288">
        <v>8.5</v>
      </c>
      <c r="B66" s="35" t="s">
        <v>19</v>
      </c>
      <c r="C66" s="59" t="s">
        <v>46</v>
      </c>
      <c r="D66" s="81">
        <v>28.13</v>
      </c>
      <c r="E66" s="36">
        <v>26398.62</v>
      </c>
      <c r="F66" s="82">
        <f t="shared" si="23"/>
        <v>742593.18</v>
      </c>
      <c r="G66" s="318" t="e">
        <f>SUMIF(#REF!,G4,#REF!)</f>
        <v>#REF!</v>
      </c>
      <c r="H66" s="37" t="e">
        <f t="shared" si="24"/>
        <v>#REF!</v>
      </c>
      <c r="I66" s="318" t="e">
        <f>SUMIF(#REF!,I4,#REF!)</f>
        <v>#REF!</v>
      </c>
      <c r="J66" s="37" t="e">
        <f t="shared" si="25"/>
        <v>#REF!</v>
      </c>
      <c r="K66" s="318" t="e">
        <f>SUMIF(#REF!,K4,#REF!)</f>
        <v>#REF!</v>
      </c>
      <c r="L66" s="37" t="e">
        <f t="shared" si="26"/>
        <v>#REF!</v>
      </c>
      <c r="M66" s="318" t="e">
        <f>SUMIF(#REF!,M4,#REF!)</f>
        <v>#REF!</v>
      </c>
      <c r="N66" s="37" t="e">
        <f t="shared" si="27"/>
        <v>#REF!</v>
      </c>
      <c r="O66" s="318" t="e">
        <f t="shared" si="28"/>
        <v>#REF!</v>
      </c>
      <c r="P66" s="37" t="e">
        <f t="shared" si="29"/>
        <v>#REF!</v>
      </c>
      <c r="Q66" s="338" t="e">
        <f>+'Planilla de Avance'!M72-O66</f>
        <v>#REF!</v>
      </c>
    </row>
    <row r="67" spans="1:17" ht="12.75" customHeight="1">
      <c r="A67" s="293">
        <v>8.6</v>
      </c>
      <c r="B67" s="39" t="s">
        <v>76</v>
      </c>
      <c r="C67" s="59" t="s">
        <v>27</v>
      </c>
      <c r="D67" s="81">
        <v>1270.8999999999999</v>
      </c>
      <c r="E67" s="36">
        <v>24.23</v>
      </c>
      <c r="F67" s="82">
        <f t="shared" si="23"/>
        <v>30793.91</v>
      </c>
      <c r="G67" s="318" t="e">
        <f>SUMIF(#REF!,G4,#REF!)</f>
        <v>#REF!</v>
      </c>
      <c r="H67" s="37" t="e">
        <f t="shared" si="24"/>
        <v>#REF!</v>
      </c>
      <c r="I67" s="318" t="e">
        <f>SUMIF(#REF!,I4,#REF!)</f>
        <v>#REF!</v>
      </c>
      <c r="J67" s="37" t="e">
        <f t="shared" si="25"/>
        <v>#REF!</v>
      </c>
      <c r="K67" s="318" t="e">
        <f>SUMIF(#REF!,K4,#REF!)</f>
        <v>#REF!</v>
      </c>
      <c r="L67" s="37" t="e">
        <f t="shared" si="26"/>
        <v>#REF!</v>
      </c>
      <c r="M67" s="318" t="e">
        <f>SUMIF(#REF!,M4,#REF!)</f>
        <v>#REF!</v>
      </c>
      <c r="N67" s="37" t="e">
        <f t="shared" si="27"/>
        <v>#REF!</v>
      </c>
      <c r="O67" s="318" t="e">
        <f t="shared" si="28"/>
        <v>#REF!</v>
      </c>
      <c r="P67" s="37" t="e">
        <f t="shared" si="29"/>
        <v>#REF!</v>
      </c>
      <c r="Q67" s="338" t="e">
        <f>+'Planilla de Avance'!M73-O67</f>
        <v>#REF!</v>
      </c>
    </row>
    <row r="68" spans="1:17" ht="12.75" customHeight="1">
      <c r="A68" s="293">
        <v>8.6999999999999993</v>
      </c>
      <c r="B68" s="39" t="s">
        <v>65</v>
      </c>
      <c r="C68" s="59" t="s">
        <v>27</v>
      </c>
      <c r="D68" s="81">
        <v>746.52</v>
      </c>
      <c r="E68" s="36">
        <v>7.47</v>
      </c>
      <c r="F68" s="82">
        <f t="shared" si="23"/>
        <v>5576.5</v>
      </c>
      <c r="G68" s="318" t="e">
        <f>SUMIF(#REF!,G4,#REF!)</f>
        <v>#REF!</v>
      </c>
      <c r="H68" s="37" t="e">
        <f t="shared" si="24"/>
        <v>#REF!</v>
      </c>
      <c r="I68" s="318" t="e">
        <f>SUMIF(#REF!,I4,#REF!)</f>
        <v>#REF!</v>
      </c>
      <c r="J68" s="37" t="e">
        <f t="shared" si="25"/>
        <v>#REF!</v>
      </c>
      <c r="K68" s="318" t="e">
        <f>SUMIF(#REF!,K4,#REF!)</f>
        <v>#REF!</v>
      </c>
      <c r="L68" s="37" t="e">
        <f t="shared" si="26"/>
        <v>#REF!</v>
      </c>
      <c r="M68" s="318" t="e">
        <f>SUMIF(#REF!,M4,#REF!)</f>
        <v>#REF!</v>
      </c>
      <c r="N68" s="37" t="e">
        <f t="shared" si="27"/>
        <v>#REF!</v>
      </c>
      <c r="O68" s="318" t="e">
        <f t="shared" si="28"/>
        <v>#REF!</v>
      </c>
      <c r="P68" s="37" t="e">
        <f t="shared" si="29"/>
        <v>#REF!</v>
      </c>
      <c r="Q68" s="338" t="e">
        <f>+'Planilla de Avance'!M74-O68</f>
        <v>#REF!</v>
      </c>
    </row>
    <row r="69" spans="1:17" ht="12.75" customHeight="1">
      <c r="A69" s="289">
        <v>8.8000000000000007</v>
      </c>
      <c r="B69" s="45" t="s">
        <v>77</v>
      </c>
      <c r="C69" s="60" t="s">
        <v>0</v>
      </c>
      <c r="D69" s="83">
        <v>92.990000000000023</v>
      </c>
      <c r="E69" s="46">
        <v>9</v>
      </c>
      <c r="F69" s="84">
        <f t="shared" si="23"/>
        <v>836.91</v>
      </c>
      <c r="G69" s="319" t="e">
        <f>SUMIF(#REF!,G4,#REF!)</f>
        <v>#REF!</v>
      </c>
      <c r="H69" s="47" t="e">
        <f t="shared" si="24"/>
        <v>#REF!</v>
      </c>
      <c r="I69" s="319" t="e">
        <f>SUMIF(#REF!,I4,#REF!)</f>
        <v>#REF!</v>
      </c>
      <c r="J69" s="47" t="e">
        <f t="shared" si="25"/>
        <v>#REF!</v>
      </c>
      <c r="K69" s="319" t="e">
        <f>SUMIF(#REF!,K4,#REF!)</f>
        <v>#REF!</v>
      </c>
      <c r="L69" s="47" t="e">
        <f t="shared" si="26"/>
        <v>#REF!</v>
      </c>
      <c r="M69" s="319" t="e">
        <f>SUMIF(#REF!,M4,#REF!)</f>
        <v>#REF!</v>
      </c>
      <c r="N69" s="47" t="e">
        <f t="shared" si="27"/>
        <v>#REF!</v>
      </c>
      <c r="O69" s="319" t="e">
        <f t="shared" si="28"/>
        <v>#REF!</v>
      </c>
      <c r="P69" s="47" t="e">
        <f t="shared" si="29"/>
        <v>#REF!</v>
      </c>
      <c r="Q69" s="338" t="e">
        <f>+'Planilla de Avance'!#REF!-O69</f>
        <v>#REF!</v>
      </c>
    </row>
    <row r="70" spans="1:17" ht="12.75" customHeight="1">
      <c r="A70" s="93"/>
      <c r="B70" s="48" t="s">
        <v>10</v>
      </c>
      <c r="C70" s="49"/>
      <c r="D70" s="69"/>
      <c r="E70" s="51"/>
      <c r="F70" s="70">
        <f>SUM(F62:F69)</f>
        <v>1992532.77</v>
      </c>
      <c r="G70" s="52"/>
      <c r="H70" s="76" t="e">
        <f>SUM(H62:H69)</f>
        <v>#REF!</v>
      </c>
      <c r="I70" s="52"/>
      <c r="J70" s="76" t="e">
        <f>SUM(J62:J69)</f>
        <v>#REF!</v>
      </c>
      <c r="K70" s="52"/>
      <c r="L70" s="76" t="e">
        <f>SUM(L62:L69)</f>
        <v>#REF!</v>
      </c>
      <c r="M70" s="52"/>
      <c r="N70" s="76" t="e">
        <f>SUM(N62:N69)</f>
        <v>#REF!</v>
      </c>
      <c r="O70" s="52"/>
      <c r="P70" s="76" t="e">
        <f>SUM(P62:P69)</f>
        <v>#REF!</v>
      </c>
      <c r="Q70" s="338" t="e">
        <f>+'Planilla de Avance'!#REF!-O70</f>
        <v>#REF!</v>
      </c>
    </row>
    <row r="71" spans="1:17" ht="12.75" customHeight="1">
      <c r="A71" s="285" t="s">
        <v>78</v>
      </c>
      <c r="B71" s="41" t="s">
        <v>79</v>
      </c>
      <c r="C71" s="74"/>
      <c r="D71" s="57"/>
      <c r="E71" s="75"/>
      <c r="F71" s="57"/>
      <c r="G71" s="53"/>
      <c r="H71" s="53"/>
      <c r="I71" s="53"/>
      <c r="J71" s="53"/>
      <c r="K71" s="53"/>
      <c r="L71" s="53"/>
      <c r="M71" s="53"/>
      <c r="N71" s="54"/>
      <c r="O71" s="53"/>
      <c r="P71" s="54"/>
      <c r="Q71" s="338" t="e">
        <f>+'Planilla de Avance'!#REF!-O71</f>
        <v>#REF!</v>
      </c>
    </row>
    <row r="72" spans="1:17" ht="12.75" customHeight="1">
      <c r="A72" s="287">
        <v>9.1</v>
      </c>
      <c r="B72" s="40" t="s">
        <v>11</v>
      </c>
      <c r="C72" s="58" t="s">
        <v>27</v>
      </c>
      <c r="D72" s="62">
        <v>25.820000000000004</v>
      </c>
      <c r="E72" s="63">
        <v>3602.35</v>
      </c>
      <c r="F72" s="64">
        <f>ROUND(E72*D72,2)</f>
        <v>93012.68</v>
      </c>
      <c r="G72" s="317" t="e">
        <f>SUMIF(#REF!,G4,#REF!)</f>
        <v>#REF!</v>
      </c>
      <c r="H72" s="73" t="e">
        <f t="shared" ref="H72:H79" si="30">+($D72*G72)</f>
        <v>#REF!</v>
      </c>
      <c r="I72" s="317" t="e">
        <f>SUMIF(#REF!,I4,#REF!)</f>
        <v>#REF!</v>
      </c>
      <c r="J72" s="73" t="e">
        <f t="shared" ref="J72:J79" si="31">($D72*I72)</f>
        <v>#REF!</v>
      </c>
      <c r="K72" s="317" t="e">
        <f>SUMIF(#REF!,K4,#REF!)</f>
        <v>#REF!</v>
      </c>
      <c r="L72" s="73" t="e">
        <f t="shared" ref="L72:L79" si="32">($D72*K72)</f>
        <v>#REF!</v>
      </c>
      <c r="M72" s="317" t="e">
        <f>SUMIF(#REF!,M4,#REF!)</f>
        <v>#REF!</v>
      </c>
      <c r="N72" s="73" t="e">
        <f t="shared" ref="N72:N79" si="33">($D72*M72)</f>
        <v>#REF!</v>
      </c>
      <c r="O72" s="317" t="e">
        <f t="shared" ref="O72:O79" si="34">+G72+I72+K72+M72</f>
        <v>#REF!</v>
      </c>
      <c r="P72" s="73" t="e">
        <f t="shared" ref="P72:P79" si="35">+H72+J72+L72+N72</f>
        <v>#REF!</v>
      </c>
      <c r="Q72" s="338" t="e">
        <f>+'Planilla de Avance'!#REF!-O72</f>
        <v>#REF!</v>
      </c>
    </row>
    <row r="73" spans="1:17" ht="12.75" customHeight="1">
      <c r="A73" s="288">
        <v>9.1999999999999993</v>
      </c>
      <c r="B73" s="35" t="s">
        <v>50</v>
      </c>
      <c r="C73" s="59" t="s">
        <v>27</v>
      </c>
      <c r="D73" s="65">
        <v>103.86</v>
      </c>
      <c r="E73" s="36">
        <v>2712.39</v>
      </c>
      <c r="F73" s="66">
        <f t="shared" ref="F73:F79" si="36">ROUND(E73*D73,2)</f>
        <v>281708.83</v>
      </c>
      <c r="G73" s="318" t="e">
        <f>SUMIF(#REF!,G4,#REF!)</f>
        <v>#REF!</v>
      </c>
      <c r="H73" s="37" t="e">
        <f t="shared" si="30"/>
        <v>#REF!</v>
      </c>
      <c r="I73" s="318" t="e">
        <f>SUMIF(#REF!,I4,#REF!)</f>
        <v>#REF!</v>
      </c>
      <c r="J73" s="37" t="e">
        <f t="shared" si="31"/>
        <v>#REF!</v>
      </c>
      <c r="K73" s="318" t="e">
        <f>SUMIF(#REF!,K4,#REF!)</f>
        <v>#REF!</v>
      </c>
      <c r="L73" s="37" t="e">
        <f t="shared" si="32"/>
        <v>#REF!</v>
      </c>
      <c r="M73" s="318" t="e">
        <f>SUMIF(#REF!,M4,#REF!)</f>
        <v>#REF!</v>
      </c>
      <c r="N73" s="37" t="e">
        <f t="shared" si="33"/>
        <v>#REF!</v>
      </c>
      <c r="O73" s="318" t="e">
        <f t="shared" si="34"/>
        <v>#REF!</v>
      </c>
      <c r="P73" s="37" t="e">
        <f t="shared" si="35"/>
        <v>#REF!</v>
      </c>
      <c r="Q73" s="338" t="e">
        <f>+'Planilla de Avance'!#REF!-O73</f>
        <v>#REF!</v>
      </c>
    </row>
    <row r="74" spans="1:17" ht="12.75" customHeight="1">
      <c r="A74" s="288">
        <v>9.3000000000000007</v>
      </c>
      <c r="B74" s="35" t="s">
        <v>55</v>
      </c>
      <c r="C74" s="59" t="s">
        <v>31</v>
      </c>
      <c r="D74" s="65">
        <v>69.8</v>
      </c>
      <c r="E74" s="36">
        <v>50.61</v>
      </c>
      <c r="F74" s="66">
        <f t="shared" si="36"/>
        <v>3532.58</v>
      </c>
      <c r="G74" s="318" t="e">
        <f>SUMIF(#REF!,G4,#REF!)</f>
        <v>#REF!</v>
      </c>
      <c r="H74" s="37" t="e">
        <f t="shared" si="30"/>
        <v>#REF!</v>
      </c>
      <c r="I74" s="318" t="e">
        <f>SUMIF(#REF!,I4,#REF!)</f>
        <v>#REF!</v>
      </c>
      <c r="J74" s="37" t="e">
        <f t="shared" si="31"/>
        <v>#REF!</v>
      </c>
      <c r="K74" s="318" t="e">
        <f>SUMIF(#REF!,K4,#REF!)</f>
        <v>#REF!</v>
      </c>
      <c r="L74" s="37" t="e">
        <f t="shared" si="32"/>
        <v>#REF!</v>
      </c>
      <c r="M74" s="318" t="e">
        <f>SUMIF(#REF!,M4,#REF!)</f>
        <v>#REF!</v>
      </c>
      <c r="N74" s="37" t="e">
        <f t="shared" si="33"/>
        <v>#REF!</v>
      </c>
      <c r="O74" s="318" t="e">
        <f t="shared" si="34"/>
        <v>#REF!</v>
      </c>
      <c r="P74" s="37" t="e">
        <f t="shared" si="35"/>
        <v>#REF!</v>
      </c>
      <c r="Q74" s="338" t="e">
        <f>+'Planilla de Avance'!#REF!-O74</f>
        <v>#REF!</v>
      </c>
    </row>
    <row r="75" spans="1:17" ht="12.75" customHeight="1">
      <c r="A75" s="288">
        <v>9.4</v>
      </c>
      <c r="B75" s="35" t="s">
        <v>47</v>
      </c>
      <c r="C75" s="59" t="s">
        <v>27</v>
      </c>
      <c r="D75" s="65">
        <v>2471.46</v>
      </c>
      <c r="E75" s="36">
        <v>715.21</v>
      </c>
      <c r="F75" s="66">
        <f t="shared" si="36"/>
        <v>1767612.91</v>
      </c>
      <c r="G75" s="318" t="e">
        <f>SUMIF(#REF!,G4,#REF!)</f>
        <v>#REF!</v>
      </c>
      <c r="H75" s="37" t="e">
        <f t="shared" si="30"/>
        <v>#REF!</v>
      </c>
      <c r="I75" s="318" t="e">
        <f>SUMIF(#REF!,I4,#REF!)</f>
        <v>#REF!</v>
      </c>
      <c r="J75" s="37" t="e">
        <f t="shared" si="31"/>
        <v>#REF!</v>
      </c>
      <c r="K75" s="318" t="e">
        <f>SUMIF(#REF!,K4,#REF!)</f>
        <v>#REF!</v>
      </c>
      <c r="L75" s="37" t="e">
        <f t="shared" si="32"/>
        <v>#REF!</v>
      </c>
      <c r="M75" s="318" t="e">
        <f>SUMIF(#REF!,M4,#REF!)</f>
        <v>#REF!</v>
      </c>
      <c r="N75" s="37" t="e">
        <f t="shared" si="33"/>
        <v>#REF!</v>
      </c>
      <c r="O75" s="318" t="e">
        <f t="shared" si="34"/>
        <v>#REF!</v>
      </c>
      <c r="P75" s="37" t="e">
        <f t="shared" si="35"/>
        <v>#REF!</v>
      </c>
      <c r="Q75" s="338" t="e">
        <f>+'Planilla de Avance'!#REF!-O75</f>
        <v>#REF!</v>
      </c>
    </row>
    <row r="76" spans="1:17" ht="12.75" customHeight="1">
      <c r="A76" s="288">
        <v>9.5</v>
      </c>
      <c r="B76" s="35" t="s">
        <v>19</v>
      </c>
      <c r="C76" s="59" t="s">
        <v>46</v>
      </c>
      <c r="D76" s="65">
        <v>28.13</v>
      </c>
      <c r="E76" s="36">
        <v>51807.88</v>
      </c>
      <c r="F76" s="66">
        <f t="shared" si="36"/>
        <v>1457355.66</v>
      </c>
      <c r="G76" s="318" t="e">
        <f>SUMIF(#REF!,G4,#REF!)</f>
        <v>#REF!</v>
      </c>
      <c r="H76" s="37" t="e">
        <f t="shared" si="30"/>
        <v>#REF!</v>
      </c>
      <c r="I76" s="318" t="e">
        <f>SUMIF(#REF!,I4,#REF!)</f>
        <v>#REF!</v>
      </c>
      <c r="J76" s="37" t="e">
        <f t="shared" si="31"/>
        <v>#REF!</v>
      </c>
      <c r="K76" s="318" t="e">
        <f>SUMIF(#REF!,K4,#REF!)</f>
        <v>#REF!</v>
      </c>
      <c r="L76" s="37" t="e">
        <f t="shared" si="32"/>
        <v>#REF!</v>
      </c>
      <c r="M76" s="318" t="e">
        <f>SUMIF(#REF!,M4,#REF!)</f>
        <v>#REF!</v>
      </c>
      <c r="N76" s="37" t="e">
        <f t="shared" si="33"/>
        <v>#REF!</v>
      </c>
      <c r="O76" s="318" t="e">
        <f t="shared" si="34"/>
        <v>#REF!</v>
      </c>
      <c r="P76" s="37" t="e">
        <f t="shared" si="35"/>
        <v>#REF!</v>
      </c>
      <c r="Q76" s="338" t="e">
        <f>+'Planilla de Avance'!M76-O76</f>
        <v>#REF!</v>
      </c>
    </row>
    <row r="77" spans="1:17" ht="12.75" customHeight="1">
      <c r="A77" s="288">
        <v>9.6</v>
      </c>
      <c r="B77" s="35" t="s">
        <v>76</v>
      </c>
      <c r="C77" s="59" t="s">
        <v>27</v>
      </c>
      <c r="D77" s="65">
        <v>1270.8999999999999</v>
      </c>
      <c r="E77" s="36">
        <v>44.69</v>
      </c>
      <c r="F77" s="66">
        <f t="shared" si="36"/>
        <v>56796.52</v>
      </c>
      <c r="G77" s="318" t="e">
        <f>SUMIF(#REF!,G4,#REF!)</f>
        <v>#REF!</v>
      </c>
      <c r="H77" s="37" t="e">
        <f t="shared" si="30"/>
        <v>#REF!</v>
      </c>
      <c r="I77" s="318" t="e">
        <f>SUMIF(#REF!,I4,#REF!)</f>
        <v>#REF!</v>
      </c>
      <c r="J77" s="37" t="e">
        <f t="shared" si="31"/>
        <v>#REF!</v>
      </c>
      <c r="K77" s="318" t="e">
        <f>SUMIF(#REF!,K4,#REF!)</f>
        <v>#REF!</v>
      </c>
      <c r="L77" s="37" t="e">
        <f t="shared" si="32"/>
        <v>#REF!</v>
      </c>
      <c r="M77" s="318" t="e">
        <f>SUMIF(#REF!,M4,#REF!)</f>
        <v>#REF!</v>
      </c>
      <c r="N77" s="37" t="e">
        <f t="shared" si="33"/>
        <v>#REF!</v>
      </c>
      <c r="O77" s="318" t="e">
        <f t="shared" si="34"/>
        <v>#REF!</v>
      </c>
      <c r="P77" s="37" t="e">
        <f t="shared" si="35"/>
        <v>#REF!</v>
      </c>
      <c r="Q77" s="338" t="e">
        <f>+'Planilla de Avance'!M77-O77</f>
        <v>#REF!</v>
      </c>
    </row>
    <row r="78" spans="1:17" ht="12.75" customHeight="1">
      <c r="A78" s="288">
        <v>9.6999999999999993</v>
      </c>
      <c r="B78" s="35" t="s">
        <v>65</v>
      </c>
      <c r="C78" s="59" t="s">
        <v>27</v>
      </c>
      <c r="D78" s="65">
        <v>746.52</v>
      </c>
      <c r="E78" s="36">
        <v>7.86</v>
      </c>
      <c r="F78" s="66">
        <f t="shared" si="36"/>
        <v>5867.65</v>
      </c>
      <c r="G78" s="318" t="e">
        <f>SUMIF(#REF!,G4,#REF!)</f>
        <v>#REF!</v>
      </c>
      <c r="H78" s="37" t="e">
        <f t="shared" si="30"/>
        <v>#REF!</v>
      </c>
      <c r="I78" s="318" t="e">
        <f>SUMIF(#REF!,I4,#REF!)</f>
        <v>#REF!</v>
      </c>
      <c r="J78" s="37" t="e">
        <f t="shared" si="31"/>
        <v>#REF!</v>
      </c>
      <c r="K78" s="318" t="e">
        <f>SUMIF(#REF!,K4,#REF!)</f>
        <v>#REF!</v>
      </c>
      <c r="L78" s="37" t="e">
        <f t="shared" si="32"/>
        <v>#REF!</v>
      </c>
      <c r="M78" s="318" t="e">
        <f>SUMIF(#REF!,M4,#REF!)</f>
        <v>#REF!</v>
      </c>
      <c r="N78" s="37" t="e">
        <f t="shared" si="33"/>
        <v>#REF!</v>
      </c>
      <c r="O78" s="318" t="e">
        <f t="shared" si="34"/>
        <v>#REF!</v>
      </c>
      <c r="P78" s="37" t="e">
        <f t="shared" si="35"/>
        <v>#REF!</v>
      </c>
      <c r="Q78" s="338" t="e">
        <f>+'Planilla de Avance'!M78-O78</f>
        <v>#REF!</v>
      </c>
    </row>
    <row r="79" spans="1:17" ht="12.75" customHeight="1">
      <c r="A79" s="289">
        <v>9.8000000000000007</v>
      </c>
      <c r="B79" s="45" t="s">
        <v>77</v>
      </c>
      <c r="C79" s="60" t="s">
        <v>0</v>
      </c>
      <c r="D79" s="67">
        <v>92.990000000000023</v>
      </c>
      <c r="E79" s="46">
        <v>15.5</v>
      </c>
      <c r="F79" s="68">
        <f t="shared" si="36"/>
        <v>1441.35</v>
      </c>
      <c r="G79" s="319" t="e">
        <f>SUMIF(#REF!,G4,#REF!)</f>
        <v>#REF!</v>
      </c>
      <c r="H79" s="47" t="e">
        <f t="shared" si="30"/>
        <v>#REF!</v>
      </c>
      <c r="I79" s="319" t="e">
        <f>SUMIF(#REF!,I4,#REF!)</f>
        <v>#REF!</v>
      </c>
      <c r="J79" s="47" t="e">
        <f t="shared" si="31"/>
        <v>#REF!</v>
      </c>
      <c r="K79" s="319" t="e">
        <f>SUMIF(#REF!,K4,#REF!)</f>
        <v>#REF!</v>
      </c>
      <c r="L79" s="47" t="e">
        <f t="shared" si="32"/>
        <v>#REF!</v>
      </c>
      <c r="M79" s="319" t="e">
        <f>SUMIF(#REF!,M4,#REF!)</f>
        <v>#REF!</v>
      </c>
      <c r="N79" s="47" t="e">
        <f t="shared" si="33"/>
        <v>#REF!</v>
      </c>
      <c r="O79" s="319" t="e">
        <f t="shared" si="34"/>
        <v>#REF!</v>
      </c>
      <c r="P79" s="47" t="e">
        <f t="shared" si="35"/>
        <v>#REF!</v>
      </c>
      <c r="Q79" s="338" t="e">
        <f>+'Planilla de Avance'!M81-O79</f>
        <v>#REF!</v>
      </c>
    </row>
    <row r="80" spans="1:17" ht="12.75" customHeight="1">
      <c r="A80" s="93"/>
      <c r="B80" s="48" t="s">
        <v>10</v>
      </c>
      <c r="C80" s="49"/>
      <c r="D80" s="69"/>
      <c r="E80" s="51"/>
      <c r="F80" s="70">
        <f>SUM(F72:F79)</f>
        <v>3667328.18</v>
      </c>
      <c r="G80" s="52"/>
      <c r="H80" s="76" t="e">
        <f>SUM(H72:H79)</f>
        <v>#REF!</v>
      </c>
      <c r="I80" s="52"/>
      <c r="J80" s="76" t="e">
        <f>SUM(J72:J79)</f>
        <v>#REF!</v>
      </c>
      <c r="K80" s="52"/>
      <c r="L80" s="76" t="e">
        <f>SUM(L72:L79)</f>
        <v>#REF!</v>
      </c>
      <c r="M80" s="52"/>
      <c r="N80" s="76" t="e">
        <f>SUM(N72:N79)</f>
        <v>#REF!</v>
      </c>
      <c r="O80" s="52"/>
      <c r="P80" s="76" t="e">
        <f>SUM(P72:P79)</f>
        <v>#REF!</v>
      </c>
      <c r="Q80" s="338" t="e">
        <f>+'Planilla de Avance'!#REF!-O80</f>
        <v>#REF!</v>
      </c>
    </row>
    <row r="81" spans="1:17" ht="12.75" customHeight="1">
      <c r="A81" s="285" t="s">
        <v>80</v>
      </c>
      <c r="B81" s="41" t="s">
        <v>81</v>
      </c>
      <c r="C81" s="74"/>
      <c r="D81" s="57"/>
      <c r="E81" s="75"/>
      <c r="F81" s="57"/>
      <c r="G81" s="53"/>
      <c r="H81" s="53"/>
      <c r="I81" s="53"/>
      <c r="J81" s="53"/>
      <c r="K81" s="53"/>
      <c r="L81" s="53"/>
      <c r="M81" s="53"/>
      <c r="N81" s="54"/>
      <c r="O81" s="53"/>
      <c r="P81" s="54"/>
      <c r="Q81" s="338" t="e">
        <f>+'Planilla de Avance'!#REF!-O81</f>
        <v>#REF!</v>
      </c>
    </row>
    <row r="82" spans="1:17" ht="12.75" customHeight="1">
      <c r="A82" s="97"/>
      <c r="B82" s="94" t="s">
        <v>82</v>
      </c>
      <c r="C82" s="74"/>
      <c r="D82" s="95"/>
      <c r="E82" s="95"/>
      <c r="F82" s="57"/>
      <c r="G82" s="53"/>
      <c r="H82" s="53"/>
      <c r="I82" s="53"/>
      <c r="J82" s="53"/>
      <c r="K82" s="328"/>
      <c r="L82" s="53"/>
      <c r="M82" s="53"/>
      <c r="N82" s="54"/>
      <c r="O82" s="53"/>
      <c r="P82" s="54"/>
      <c r="Q82" s="338" t="e">
        <f>+'Planilla de Avance'!#REF!-O82</f>
        <v>#REF!</v>
      </c>
    </row>
    <row r="83" spans="1:17" ht="12.75" customHeight="1">
      <c r="A83" s="287">
        <v>10.1</v>
      </c>
      <c r="B83" s="40" t="s">
        <v>47</v>
      </c>
      <c r="C83" s="58" t="s">
        <v>27</v>
      </c>
      <c r="D83" s="62">
        <v>2471.46</v>
      </c>
      <c r="E83" s="63">
        <v>562.14</v>
      </c>
      <c r="F83" s="64">
        <f>ROUND(E83*D83,2)</f>
        <v>1389306.52</v>
      </c>
      <c r="G83" s="317" t="e">
        <f>SUMIF(#REF!,G4,#REF!)</f>
        <v>#REF!</v>
      </c>
      <c r="H83" s="73" t="e">
        <f>+($D83*G83)</f>
        <v>#REF!</v>
      </c>
      <c r="I83" s="317" t="e">
        <f>SUMIF(#REF!,I4,#REF!)</f>
        <v>#REF!</v>
      </c>
      <c r="J83" s="73" t="e">
        <f>($D83*I83)</f>
        <v>#REF!</v>
      </c>
      <c r="K83" s="317" t="e">
        <f>SUMIF(#REF!,K4,#REF!)</f>
        <v>#REF!</v>
      </c>
      <c r="L83" s="73" t="e">
        <f>($D83*K83)</f>
        <v>#REF!</v>
      </c>
      <c r="M83" s="317" t="e">
        <f>SUMIF(#REF!,M4,#REF!)</f>
        <v>#REF!</v>
      </c>
      <c r="N83" s="73" t="e">
        <f>($D83*M83)</f>
        <v>#REF!</v>
      </c>
      <c r="O83" s="317" t="e">
        <f t="shared" ref="O83:P87" si="37">+G83+I83+K83+M83</f>
        <v>#REF!</v>
      </c>
      <c r="P83" s="73" t="e">
        <f t="shared" si="37"/>
        <v>#REF!</v>
      </c>
      <c r="Q83" s="338" t="e">
        <f>+'Planilla de Avance'!M82-O83</f>
        <v>#REF!</v>
      </c>
    </row>
    <row r="84" spans="1:17" ht="12.75" customHeight="1">
      <c r="A84" s="288">
        <v>10.199999999999999</v>
      </c>
      <c r="B84" s="35" t="s">
        <v>19</v>
      </c>
      <c r="C84" s="59" t="s">
        <v>46</v>
      </c>
      <c r="D84" s="65">
        <v>28.13</v>
      </c>
      <c r="E84" s="36">
        <v>44280</v>
      </c>
      <c r="F84" s="66">
        <f>ROUND(E84*D84,2)</f>
        <v>1245596.3999999999</v>
      </c>
      <c r="G84" s="318" t="e">
        <f>SUMIF(#REF!,G4,#REF!)</f>
        <v>#REF!</v>
      </c>
      <c r="H84" s="37" t="e">
        <f>+($D84*G84)</f>
        <v>#REF!</v>
      </c>
      <c r="I84" s="318" t="e">
        <f>SUMIF(#REF!,I4,#REF!)</f>
        <v>#REF!</v>
      </c>
      <c r="J84" s="37" t="e">
        <f>($D84*I84)</f>
        <v>#REF!</v>
      </c>
      <c r="K84" s="318" t="e">
        <f>SUMIF(#REF!,K4,#REF!)</f>
        <v>#REF!</v>
      </c>
      <c r="L84" s="37" t="e">
        <f>($D84*K84)</f>
        <v>#REF!</v>
      </c>
      <c r="M84" s="318" t="e">
        <f>SUMIF(#REF!,M4,#REF!)</f>
        <v>#REF!</v>
      </c>
      <c r="N84" s="37" t="e">
        <f>($D84*M84)</f>
        <v>#REF!</v>
      </c>
      <c r="O84" s="318" t="e">
        <f t="shared" si="37"/>
        <v>#REF!</v>
      </c>
      <c r="P84" s="37" t="e">
        <f t="shared" si="37"/>
        <v>#REF!</v>
      </c>
      <c r="Q84" s="338" t="e">
        <f>+'Planilla de Avance'!M85-O84</f>
        <v>#REF!</v>
      </c>
    </row>
    <row r="85" spans="1:17" ht="12.75" customHeight="1">
      <c r="A85" s="288">
        <v>10.3</v>
      </c>
      <c r="B85" s="35" t="s">
        <v>85</v>
      </c>
      <c r="C85" s="59" t="s">
        <v>86</v>
      </c>
      <c r="D85" s="65">
        <v>508.86</v>
      </c>
      <c r="E85" s="36">
        <v>100</v>
      </c>
      <c r="F85" s="66">
        <f>ROUND(E85*D85,2)</f>
        <v>50886</v>
      </c>
      <c r="G85" s="318" t="e">
        <f>SUMIF(#REF!,G4,#REF!)</f>
        <v>#REF!</v>
      </c>
      <c r="H85" s="37" t="e">
        <f>+($D85*G85)</f>
        <v>#REF!</v>
      </c>
      <c r="I85" s="318" t="e">
        <f>SUMIF(#REF!,I4,#REF!)</f>
        <v>#REF!</v>
      </c>
      <c r="J85" s="37" t="e">
        <f>($D85*I85)</f>
        <v>#REF!</v>
      </c>
      <c r="K85" s="318" t="e">
        <f>SUMIF(#REF!,K4,#REF!)</f>
        <v>#REF!</v>
      </c>
      <c r="L85" s="37" t="e">
        <f>($D85*K85)</f>
        <v>#REF!</v>
      </c>
      <c r="M85" s="318" t="e">
        <f>SUMIF(#REF!,M4,#REF!)</f>
        <v>#REF!</v>
      </c>
      <c r="N85" s="37" t="e">
        <f>($D85*M85)</f>
        <v>#REF!</v>
      </c>
      <c r="O85" s="318" t="e">
        <f t="shared" si="37"/>
        <v>#REF!</v>
      </c>
      <c r="P85" s="37" t="e">
        <f t="shared" si="37"/>
        <v>#REF!</v>
      </c>
      <c r="Q85" s="338" t="e">
        <f>+'Planilla de Avance'!M86-O85</f>
        <v>#REF!</v>
      </c>
    </row>
    <row r="86" spans="1:17" ht="12.75" customHeight="1">
      <c r="A86" s="288">
        <v>10.4</v>
      </c>
      <c r="B86" s="35" t="s">
        <v>11</v>
      </c>
      <c r="C86" s="59" t="s">
        <v>27</v>
      </c>
      <c r="D86" s="65">
        <v>25.820000000000004</v>
      </c>
      <c r="E86" s="36">
        <v>2159.21</v>
      </c>
      <c r="F86" s="66">
        <f>ROUND(E86*D86,2)</f>
        <v>55750.8</v>
      </c>
      <c r="G86" s="318" t="e">
        <f>SUMIF(#REF!,G4,#REF!)</f>
        <v>#REF!</v>
      </c>
      <c r="H86" s="37" t="e">
        <f>+($D86*G86)</f>
        <v>#REF!</v>
      </c>
      <c r="I86" s="318" t="e">
        <f>SUMIF(#REF!,I4,#REF!)</f>
        <v>#REF!</v>
      </c>
      <c r="J86" s="37" t="e">
        <f>($D86*I86)</f>
        <v>#REF!</v>
      </c>
      <c r="K86" s="318" t="e">
        <f>SUMIF(#REF!,K4,#REF!)</f>
        <v>#REF!</v>
      </c>
      <c r="L86" s="37" t="e">
        <f>($D86*K86)</f>
        <v>#REF!</v>
      </c>
      <c r="M86" s="318" t="e">
        <f>SUMIF(#REF!,M4,#REF!)</f>
        <v>#REF!</v>
      </c>
      <c r="N86" s="37" t="e">
        <f>($D86*M86)</f>
        <v>#REF!</v>
      </c>
      <c r="O86" s="318" t="e">
        <f t="shared" si="37"/>
        <v>#REF!</v>
      </c>
      <c r="P86" s="37" t="e">
        <f t="shared" si="37"/>
        <v>#REF!</v>
      </c>
      <c r="Q86" s="338" t="e">
        <f>+'Planilla de Avance'!#REF!-O86</f>
        <v>#REF!</v>
      </c>
    </row>
    <row r="87" spans="1:17" ht="12.75" customHeight="1">
      <c r="A87" s="288">
        <v>10.5</v>
      </c>
      <c r="B87" s="35" t="s">
        <v>76</v>
      </c>
      <c r="C87" s="59" t="s">
        <v>27</v>
      </c>
      <c r="D87" s="65">
        <v>1270.8999999999999</v>
      </c>
      <c r="E87" s="36">
        <v>27.52</v>
      </c>
      <c r="F87" s="66">
        <f>ROUND(E87*D87,2)</f>
        <v>34975.17</v>
      </c>
      <c r="G87" s="318" t="e">
        <f>SUMIF(#REF!,G4,#REF!)</f>
        <v>#REF!</v>
      </c>
      <c r="H87" s="37" t="e">
        <f>+($D87*G87)</f>
        <v>#REF!</v>
      </c>
      <c r="I87" s="318" t="e">
        <f>SUMIF(#REF!,I4,#REF!)</f>
        <v>#REF!</v>
      </c>
      <c r="J87" s="37" t="e">
        <f>($D87*I87)</f>
        <v>#REF!</v>
      </c>
      <c r="K87" s="318" t="e">
        <f>SUMIF(#REF!,K4,#REF!)</f>
        <v>#REF!</v>
      </c>
      <c r="L87" s="37" t="e">
        <f>($D87*K87)</f>
        <v>#REF!</v>
      </c>
      <c r="M87" s="318" t="e">
        <f>SUMIF(#REF!,M4,#REF!)</f>
        <v>#REF!</v>
      </c>
      <c r="N87" s="37" t="e">
        <f>($D87*M87)</f>
        <v>#REF!</v>
      </c>
      <c r="O87" s="318" t="e">
        <f t="shared" si="37"/>
        <v>#REF!</v>
      </c>
      <c r="P87" s="37" t="e">
        <f t="shared" si="37"/>
        <v>#REF!</v>
      </c>
      <c r="Q87" s="338" t="e">
        <f>+'Planilla de Avance'!#REF!-O87</f>
        <v>#REF!</v>
      </c>
    </row>
    <row r="88" spans="1:17" ht="12.75" customHeight="1">
      <c r="A88" s="93"/>
      <c r="B88" s="48" t="s">
        <v>10</v>
      </c>
      <c r="C88" s="49"/>
      <c r="D88" s="69"/>
      <c r="E88" s="51"/>
      <c r="F88" s="70">
        <f>SUM(F83:F87)</f>
        <v>2776514.8899999997</v>
      </c>
      <c r="G88" s="52"/>
      <c r="H88" s="76" t="e">
        <f>SUM(H83:H87)</f>
        <v>#REF!</v>
      </c>
      <c r="I88" s="52"/>
      <c r="J88" s="76" t="e">
        <f>SUM(J83:J87)</f>
        <v>#REF!</v>
      </c>
      <c r="K88" s="52"/>
      <c r="L88" s="76" t="e">
        <f>SUM(L83:L87)</f>
        <v>#REF!</v>
      </c>
      <c r="M88" s="52"/>
      <c r="N88" s="76" t="e">
        <f>SUM(N83:N87)</f>
        <v>#REF!</v>
      </c>
      <c r="O88" s="52"/>
      <c r="P88" s="76" t="e">
        <f>SUM(P83:P87)</f>
        <v>#REF!</v>
      </c>
      <c r="Q88" s="338" t="e">
        <f>+'Planilla de Avance'!#REF!-O88</f>
        <v>#REF!</v>
      </c>
    </row>
    <row r="89" spans="1:17" ht="12.75" customHeight="1">
      <c r="A89" s="93"/>
      <c r="B89" s="94" t="s">
        <v>83</v>
      </c>
      <c r="C89" s="74"/>
      <c r="D89" s="75"/>
      <c r="E89" s="75"/>
      <c r="F89" s="75"/>
      <c r="G89" s="53"/>
      <c r="H89" s="53"/>
      <c r="I89" s="53"/>
      <c r="J89" s="53"/>
      <c r="K89" s="53"/>
      <c r="L89" s="53"/>
      <c r="M89" s="53"/>
      <c r="N89" s="54"/>
      <c r="O89" s="53"/>
      <c r="P89" s="54"/>
      <c r="Q89" s="338" t="e">
        <f>+'Planilla de Avance'!#REF!-O89</f>
        <v>#REF!</v>
      </c>
    </row>
    <row r="90" spans="1:17" ht="12.75" customHeight="1">
      <c r="A90" s="287">
        <v>10.6</v>
      </c>
      <c r="B90" s="40" t="s">
        <v>47</v>
      </c>
      <c r="C90" s="58" t="s">
        <v>27</v>
      </c>
      <c r="D90" s="62">
        <v>2471.46</v>
      </c>
      <c r="E90" s="63">
        <v>49.02</v>
      </c>
      <c r="F90" s="64">
        <f t="shared" ref="F90:F99" si="38">ROUND(E90*D90,2)</f>
        <v>121150.97</v>
      </c>
      <c r="G90" s="317" t="e">
        <f>SUMIF(#REF!,G4,#REF!)</f>
        <v>#REF!</v>
      </c>
      <c r="H90" s="73" t="e">
        <f t="shared" ref="H90:H99" si="39">+($D90*G90)</f>
        <v>#REF!</v>
      </c>
      <c r="I90" s="317" t="e">
        <f>SUMIF(#REF!,I4,#REF!)</f>
        <v>#REF!</v>
      </c>
      <c r="J90" s="73" t="e">
        <f t="shared" ref="J90:J99" si="40">($D90*I90)</f>
        <v>#REF!</v>
      </c>
      <c r="K90" s="317" t="e">
        <f>SUMIF(#REF!,K4,#REF!)</f>
        <v>#REF!</v>
      </c>
      <c r="L90" s="73" t="e">
        <f t="shared" ref="L90:L99" si="41">($D90*K90)</f>
        <v>#REF!</v>
      </c>
      <c r="M90" s="317" t="e">
        <f>SUMIF(#REF!,M4,#REF!)</f>
        <v>#REF!</v>
      </c>
      <c r="N90" s="73" t="e">
        <f t="shared" ref="N90:N99" si="42">($D90*M90)</f>
        <v>#REF!</v>
      </c>
      <c r="O90" s="317" t="e">
        <f t="shared" ref="O90:O99" si="43">+G90+I90+K90+M90</f>
        <v>#REF!</v>
      </c>
      <c r="P90" s="73" t="e">
        <f t="shared" ref="P90:P99" si="44">+H90+J90+L90+N90</f>
        <v>#REF!</v>
      </c>
      <c r="Q90" s="338" t="e">
        <f>+'Planilla de Avance'!#REF!-O90</f>
        <v>#REF!</v>
      </c>
    </row>
    <row r="91" spans="1:17" ht="12.75" customHeight="1">
      <c r="A91" s="288">
        <v>10.7</v>
      </c>
      <c r="B91" s="35" t="s">
        <v>19</v>
      </c>
      <c r="C91" s="59" t="s">
        <v>46</v>
      </c>
      <c r="D91" s="65">
        <v>28.13</v>
      </c>
      <c r="E91" s="36">
        <v>5392.2</v>
      </c>
      <c r="F91" s="66">
        <f t="shared" si="38"/>
        <v>151682.59</v>
      </c>
      <c r="G91" s="318" t="e">
        <f>SUMIF(#REF!,G4,#REF!)</f>
        <v>#REF!</v>
      </c>
      <c r="H91" s="37" t="e">
        <f t="shared" si="39"/>
        <v>#REF!</v>
      </c>
      <c r="I91" s="318" t="e">
        <f>SUMIF(#REF!,I4,#REF!)</f>
        <v>#REF!</v>
      </c>
      <c r="J91" s="37" t="e">
        <f t="shared" si="40"/>
        <v>#REF!</v>
      </c>
      <c r="K91" s="318" t="e">
        <f>SUMIF(#REF!,K4,#REF!)</f>
        <v>#REF!</v>
      </c>
      <c r="L91" s="37" t="e">
        <f t="shared" si="41"/>
        <v>#REF!</v>
      </c>
      <c r="M91" s="318" t="e">
        <f>SUMIF(#REF!,M4,#REF!)</f>
        <v>#REF!</v>
      </c>
      <c r="N91" s="37" t="e">
        <f t="shared" si="42"/>
        <v>#REF!</v>
      </c>
      <c r="O91" s="318" t="e">
        <f t="shared" si="43"/>
        <v>#REF!</v>
      </c>
      <c r="P91" s="37" t="e">
        <f t="shared" si="44"/>
        <v>#REF!</v>
      </c>
      <c r="Q91" s="338" t="e">
        <f>+'Planilla de Avance'!#REF!-O91</f>
        <v>#REF!</v>
      </c>
    </row>
    <row r="92" spans="1:17" ht="12.75" customHeight="1">
      <c r="A92" s="288">
        <v>10.8</v>
      </c>
      <c r="B92" s="35" t="s">
        <v>12</v>
      </c>
      <c r="C92" s="59" t="s">
        <v>20</v>
      </c>
      <c r="D92" s="65">
        <v>1451.74</v>
      </c>
      <c r="E92" s="36">
        <v>45.7</v>
      </c>
      <c r="F92" s="66">
        <f t="shared" si="38"/>
        <v>66344.52</v>
      </c>
      <c r="G92" s="318" t="e">
        <f>SUMIF(#REF!,G4,#REF!)</f>
        <v>#REF!</v>
      </c>
      <c r="H92" s="37" t="e">
        <f t="shared" si="39"/>
        <v>#REF!</v>
      </c>
      <c r="I92" s="318" t="e">
        <f>SUMIF(#REF!,I4,#REF!)</f>
        <v>#REF!</v>
      </c>
      <c r="J92" s="37" t="e">
        <f t="shared" si="40"/>
        <v>#REF!</v>
      </c>
      <c r="K92" s="318" t="e">
        <f>SUMIF(#REF!,K4,#REF!)</f>
        <v>#REF!</v>
      </c>
      <c r="L92" s="37" t="e">
        <f t="shared" si="41"/>
        <v>#REF!</v>
      </c>
      <c r="M92" s="318" t="e">
        <f>SUMIF(#REF!,M4,#REF!)</f>
        <v>#REF!</v>
      </c>
      <c r="N92" s="37" t="e">
        <f t="shared" si="42"/>
        <v>#REF!</v>
      </c>
      <c r="O92" s="318" t="e">
        <f t="shared" si="43"/>
        <v>#REF!</v>
      </c>
      <c r="P92" s="37" t="e">
        <f t="shared" si="44"/>
        <v>#REF!</v>
      </c>
      <c r="Q92" s="338" t="e">
        <f>+'Planilla de Avance'!#REF!-O92</f>
        <v>#REF!</v>
      </c>
    </row>
    <row r="93" spans="1:17" ht="12.75" customHeight="1">
      <c r="A93" s="288">
        <v>10.9</v>
      </c>
      <c r="B93" s="35" t="s">
        <v>87</v>
      </c>
      <c r="C93" s="59" t="s">
        <v>0</v>
      </c>
      <c r="D93" s="65">
        <v>109.44</v>
      </c>
      <c r="E93" s="36">
        <v>7.04</v>
      </c>
      <c r="F93" s="66">
        <f t="shared" si="38"/>
        <v>770.46</v>
      </c>
      <c r="G93" s="318" t="e">
        <f>SUMIF(#REF!,G4,#REF!)</f>
        <v>#REF!</v>
      </c>
      <c r="H93" s="37" t="e">
        <f t="shared" si="39"/>
        <v>#REF!</v>
      </c>
      <c r="I93" s="318" t="e">
        <f>SUMIF(#REF!,I4,#REF!)</f>
        <v>#REF!</v>
      </c>
      <c r="J93" s="37" t="e">
        <f t="shared" si="40"/>
        <v>#REF!</v>
      </c>
      <c r="K93" s="318" t="e">
        <f>SUMIF(#REF!,K4,#REF!)</f>
        <v>#REF!</v>
      </c>
      <c r="L93" s="37" t="e">
        <f t="shared" si="41"/>
        <v>#REF!</v>
      </c>
      <c r="M93" s="318" t="e">
        <f>SUMIF(#REF!,M4,#REF!)</f>
        <v>#REF!</v>
      </c>
      <c r="N93" s="37" t="e">
        <f t="shared" si="42"/>
        <v>#REF!</v>
      </c>
      <c r="O93" s="318" t="e">
        <f t="shared" si="43"/>
        <v>#REF!</v>
      </c>
      <c r="P93" s="37" t="e">
        <f t="shared" si="44"/>
        <v>#REF!</v>
      </c>
      <c r="Q93" s="338" t="e">
        <f>+'Planilla de Avance'!#REF!-O93</f>
        <v>#REF!</v>
      </c>
    </row>
    <row r="94" spans="1:17" ht="12.75" customHeight="1">
      <c r="A94" s="290">
        <v>10.1</v>
      </c>
      <c r="B94" s="35" t="s">
        <v>88</v>
      </c>
      <c r="C94" s="59" t="s">
        <v>0</v>
      </c>
      <c r="D94" s="65">
        <v>1048.27</v>
      </c>
      <c r="E94" s="36">
        <v>75.22</v>
      </c>
      <c r="F94" s="66">
        <f t="shared" si="38"/>
        <v>78850.87</v>
      </c>
      <c r="G94" s="318" t="e">
        <f>SUMIF(#REF!,G4,#REF!)</f>
        <v>#REF!</v>
      </c>
      <c r="H94" s="37" t="e">
        <f t="shared" si="39"/>
        <v>#REF!</v>
      </c>
      <c r="I94" s="318" t="e">
        <f>SUMIF(#REF!,I4,#REF!)</f>
        <v>#REF!</v>
      </c>
      <c r="J94" s="37" t="e">
        <f t="shared" si="40"/>
        <v>#REF!</v>
      </c>
      <c r="K94" s="318" t="e">
        <f>SUMIF(#REF!,K4,#REF!)</f>
        <v>#REF!</v>
      </c>
      <c r="L94" s="37" t="e">
        <f t="shared" si="41"/>
        <v>#REF!</v>
      </c>
      <c r="M94" s="318" t="e">
        <f>SUMIF(#REF!,M4,#REF!)</f>
        <v>#REF!</v>
      </c>
      <c r="N94" s="37" t="e">
        <f t="shared" si="42"/>
        <v>#REF!</v>
      </c>
      <c r="O94" s="318" t="e">
        <f t="shared" si="43"/>
        <v>#REF!</v>
      </c>
      <c r="P94" s="37" t="e">
        <f t="shared" si="44"/>
        <v>#REF!</v>
      </c>
      <c r="Q94" s="338" t="e">
        <f>+'Planilla de Avance'!#REF!-O94</f>
        <v>#REF!</v>
      </c>
    </row>
    <row r="95" spans="1:17" ht="12.75" customHeight="1">
      <c r="A95" s="290">
        <v>10.11</v>
      </c>
      <c r="B95" s="35" t="s">
        <v>89</v>
      </c>
      <c r="C95" s="59" t="s">
        <v>27</v>
      </c>
      <c r="D95" s="65">
        <v>2838.05</v>
      </c>
      <c r="E95" s="36">
        <v>91</v>
      </c>
      <c r="F95" s="66">
        <f t="shared" si="38"/>
        <v>258262.55</v>
      </c>
      <c r="G95" s="318" t="e">
        <f>SUMIF(#REF!,G4,#REF!)</f>
        <v>#REF!</v>
      </c>
      <c r="H95" s="37" t="e">
        <f t="shared" si="39"/>
        <v>#REF!</v>
      </c>
      <c r="I95" s="318" t="e">
        <f>SUMIF(#REF!,I4,#REF!)</f>
        <v>#REF!</v>
      </c>
      <c r="J95" s="37" t="e">
        <f t="shared" si="40"/>
        <v>#REF!</v>
      </c>
      <c r="K95" s="318" t="e">
        <f>SUMIF(#REF!,K4,#REF!)</f>
        <v>#REF!</v>
      </c>
      <c r="L95" s="37" t="e">
        <f t="shared" si="41"/>
        <v>#REF!</v>
      </c>
      <c r="M95" s="318" t="e">
        <f>SUMIF(#REF!,M4,#REF!)</f>
        <v>#REF!</v>
      </c>
      <c r="N95" s="37" t="e">
        <f t="shared" si="42"/>
        <v>#REF!</v>
      </c>
      <c r="O95" s="318" t="e">
        <f t="shared" si="43"/>
        <v>#REF!</v>
      </c>
      <c r="P95" s="37" t="e">
        <f t="shared" si="44"/>
        <v>#REF!</v>
      </c>
      <c r="Q95" s="338" t="e">
        <f>+'Planilla de Avance'!#REF!-O95</f>
        <v>#REF!</v>
      </c>
    </row>
    <row r="96" spans="1:17" ht="12.75" customHeight="1">
      <c r="A96" s="290">
        <v>10.119999999999999</v>
      </c>
      <c r="B96" s="35" t="s">
        <v>90</v>
      </c>
      <c r="C96" s="59" t="s">
        <v>46</v>
      </c>
      <c r="D96" s="65">
        <v>59.71</v>
      </c>
      <c r="E96" s="36">
        <v>3760</v>
      </c>
      <c r="F96" s="66">
        <f t="shared" si="38"/>
        <v>224509.6</v>
      </c>
      <c r="G96" s="318" t="e">
        <f>SUMIF(#REF!,G4,#REF!)</f>
        <v>#REF!</v>
      </c>
      <c r="H96" s="37" t="e">
        <f t="shared" si="39"/>
        <v>#REF!</v>
      </c>
      <c r="I96" s="318" t="e">
        <f>SUMIF(#REF!,I4,#REF!)</f>
        <v>#REF!</v>
      </c>
      <c r="J96" s="37" t="e">
        <f t="shared" si="40"/>
        <v>#REF!</v>
      </c>
      <c r="K96" s="318" t="e">
        <f>SUMIF(#REF!,K4,#REF!)</f>
        <v>#REF!</v>
      </c>
      <c r="L96" s="37" t="e">
        <f t="shared" si="41"/>
        <v>#REF!</v>
      </c>
      <c r="M96" s="318" t="e">
        <f>SUMIF(#REF!,M4,#REF!)</f>
        <v>#REF!</v>
      </c>
      <c r="N96" s="37" t="e">
        <f t="shared" si="42"/>
        <v>#REF!</v>
      </c>
      <c r="O96" s="318" t="e">
        <f t="shared" si="43"/>
        <v>#REF!</v>
      </c>
      <c r="P96" s="37" t="e">
        <f t="shared" si="44"/>
        <v>#REF!</v>
      </c>
      <c r="Q96" s="338" t="e">
        <f>+'Planilla de Avance'!#REF!-O96</f>
        <v>#REF!</v>
      </c>
    </row>
    <row r="97" spans="1:17" ht="12.75" customHeight="1">
      <c r="A97" s="290">
        <v>10.130000000000001</v>
      </c>
      <c r="B97" s="35" t="s">
        <v>91</v>
      </c>
      <c r="C97" s="59" t="s">
        <v>0</v>
      </c>
      <c r="D97" s="65">
        <v>237.24</v>
      </c>
      <c r="E97" s="36">
        <v>445</v>
      </c>
      <c r="F97" s="66">
        <f t="shared" si="38"/>
        <v>105571.8</v>
      </c>
      <c r="G97" s="318" t="e">
        <f>SUMIF(#REF!,G4,#REF!)</f>
        <v>#REF!</v>
      </c>
      <c r="H97" s="37" t="e">
        <f t="shared" si="39"/>
        <v>#REF!</v>
      </c>
      <c r="I97" s="318" t="e">
        <f>SUMIF(#REF!,I4,#REF!)</f>
        <v>#REF!</v>
      </c>
      <c r="J97" s="37" t="e">
        <f t="shared" si="40"/>
        <v>#REF!</v>
      </c>
      <c r="K97" s="318" t="e">
        <f>SUMIF(#REF!,K4,#REF!)</f>
        <v>#REF!</v>
      </c>
      <c r="L97" s="37" t="e">
        <f t="shared" si="41"/>
        <v>#REF!</v>
      </c>
      <c r="M97" s="318" t="e">
        <f>SUMIF(#REF!,M4,#REF!)</f>
        <v>#REF!</v>
      </c>
      <c r="N97" s="37" t="e">
        <f t="shared" si="42"/>
        <v>#REF!</v>
      </c>
      <c r="O97" s="318" t="e">
        <f t="shared" si="43"/>
        <v>#REF!</v>
      </c>
      <c r="P97" s="37" t="e">
        <f t="shared" si="44"/>
        <v>#REF!</v>
      </c>
      <c r="Q97" s="338" t="e">
        <f>+'Planilla de Avance'!#REF!-O97</f>
        <v>#REF!</v>
      </c>
    </row>
    <row r="98" spans="1:17" ht="12.75" customHeight="1">
      <c r="A98" s="290">
        <v>10.14</v>
      </c>
      <c r="B98" s="35" t="s">
        <v>92</v>
      </c>
      <c r="C98" s="59" t="s">
        <v>93</v>
      </c>
      <c r="D98" s="65">
        <v>3053.84</v>
      </c>
      <c r="E98" s="36">
        <v>40</v>
      </c>
      <c r="F98" s="66">
        <f t="shared" si="38"/>
        <v>122153.60000000001</v>
      </c>
      <c r="G98" s="318" t="e">
        <f>SUMIF(#REF!,G4,#REF!)</f>
        <v>#REF!</v>
      </c>
      <c r="H98" s="37" t="e">
        <f t="shared" si="39"/>
        <v>#REF!</v>
      </c>
      <c r="I98" s="318" t="e">
        <f>SUMIF(#REF!,I4,#REF!)</f>
        <v>#REF!</v>
      </c>
      <c r="J98" s="37" t="e">
        <f t="shared" si="40"/>
        <v>#REF!</v>
      </c>
      <c r="K98" s="318" t="e">
        <f>SUMIF(#REF!,K4,#REF!)</f>
        <v>#REF!</v>
      </c>
      <c r="L98" s="37" t="e">
        <f t="shared" si="41"/>
        <v>#REF!</v>
      </c>
      <c r="M98" s="318" t="e">
        <f>SUMIF(#REF!,M4,#REF!)</f>
        <v>#REF!</v>
      </c>
      <c r="N98" s="37" t="e">
        <f t="shared" si="42"/>
        <v>#REF!</v>
      </c>
      <c r="O98" s="318" t="e">
        <f t="shared" si="43"/>
        <v>#REF!</v>
      </c>
      <c r="P98" s="37" t="e">
        <f t="shared" si="44"/>
        <v>#REF!</v>
      </c>
      <c r="Q98" s="338" t="e">
        <f>+'Planilla de Avance'!M89-O98</f>
        <v>#REF!</v>
      </c>
    </row>
    <row r="99" spans="1:17" ht="12.75" customHeight="1">
      <c r="A99" s="290">
        <v>10.15</v>
      </c>
      <c r="B99" s="35" t="s">
        <v>94</v>
      </c>
      <c r="C99" s="59" t="s">
        <v>93</v>
      </c>
      <c r="D99" s="65">
        <v>27971.21</v>
      </c>
      <c r="E99" s="36">
        <v>10</v>
      </c>
      <c r="F99" s="66">
        <f t="shared" si="38"/>
        <v>279712.09999999998</v>
      </c>
      <c r="G99" s="318" t="e">
        <f>SUMIF(#REF!,G4,#REF!)</f>
        <v>#REF!</v>
      </c>
      <c r="H99" s="37" t="e">
        <f t="shared" si="39"/>
        <v>#REF!</v>
      </c>
      <c r="I99" s="318" t="e">
        <f>SUMIF(#REF!,I4,#REF!)</f>
        <v>#REF!</v>
      </c>
      <c r="J99" s="37" t="e">
        <f t="shared" si="40"/>
        <v>#REF!</v>
      </c>
      <c r="K99" s="318" t="e">
        <f>SUMIF(#REF!,K4,#REF!)</f>
        <v>#REF!</v>
      </c>
      <c r="L99" s="37" t="e">
        <f t="shared" si="41"/>
        <v>#REF!</v>
      </c>
      <c r="M99" s="318" t="e">
        <f>SUMIF(#REF!,M4,#REF!)</f>
        <v>#REF!</v>
      </c>
      <c r="N99" s="37" t="e">
        <f t="shared" si="42"/>
        <v>#REF!</v>
      </c>
      <c r="O99" s="318" t="e">
        <f t="shared" si="43"/>
        <v>#REF!</v>
      </c>
      <c r="P99" s="37" t="e">
        <f t="shared" si="44"/>
        <v>#REF!</v>
      </c>
      <c r="Q99" s="338" t="e">
        <f>+'Planilla de Avance'!M90-O99</f>
        <v>#REF!</v>
      </c>
    </row>
    <row r="100" spans="1:17" ht="12.75" customHeight="1">
      <c r="A100" s="93"/>
      <c r="B100" s="48" t="s">
        <v>10</v>
      </c>
      <c r="C100" s="49"/>
      <c r="D100" s="69"/>
      <c r="E100" s="51"/>
      <c r="F100" s="70">
        <f>SUM(F90:F99)</f>
        <v>1409009.06</v>
      </c>
      <c r="G100" s="52"/>
      <c r="H100" s="76" t="e">
        <f>SUM(H90:H99)</f>
        <v>#REF!</v>
      </c>
      <c r="I100" s="52"/>
      <c r="J100" s="76" t="e">
        <f>SUM(J90:J99)</f>
        <v>#REF!</v>
      </c>
      <c r="K100" s="52"/>
      <c r="L100" s="76" t="e">
        <f>SUM(L90:L99)</f>
        <v>#REF!</v>
      </c>
      <c r="M100" s="52"/>
      <c r="N100" s="76" t="e">
        <f>SUM(N90:N99)</f>
        <v>#REF!</v>
      </c>
      <c r="O100" s="52"/>
      <c r="P100" s="76" t="e">
        <f>SUM(P90:P99)</f>
        <v>#REF!</v>
      </c>
      <c r="Q100" s="338" t="e">
        <f>+'Planilla de Avance'!#REF!-O100</f>
        <v>#REF!</v>
      </c>
    </row>
    <row r="101" spans="1:17" ht="12.75" customHeight="1">
      <c r="A101" s="93"/>
      <c r="B101" s="94" t="s">
        <v>84</v>
      </c>
      <c r="C101" s="74"/>
      <c r="D101" s="75"/>
      <c r="E101" s="75"/>
      <c r="F101" s="75"/>
      <c r="G101" s="53"/>
      <c r="H101" s="53"/>
      <c r="I101" s="53"/>
      <c r="J101" s="53"/>
      <c r="K101" s="53"/>
      <c r="L101" s="53"/>
      <c r="M101" s="53"/>
      <c r="N101" s="54"/>
      <c r="O101" s="53"/>
      <c r="P101" s="54"/>
      <c r="Q101" s="338" t="e">
        <f>+'Planilla de Avance'!#REF!-O101</f>
        <v>#REF!</v>
      </c>
    </row>
    <row r="102" spans="1:17" ht="12.75" customHeight="1">
      <c r="A102" s="294">
        <v>10.16</v>
      </c>
      <c r="B102" s="85" t="s">
        <v>95</v>
      </c>
      <c r="C102" s="87" t="s">
        <v>27</v>
      </c>
      <c r="D102" s="98">
        <v>160.85999999999999</v>
      </c>
      <c r="E102" s="89">
        <v>1801.05</v>
      </c>
      <c r="F102" s="99">
        <f>ROUND(E102*D102,2)</f>
        <v>289716.90000000002</v>
      </c>
      <c r="G102" s="326" t="e">
        <f>SUMIF(#REF!,G4,#REF!)</f>
        <v>#REF!</v>
      </c>
      <c r="H102" s="91" t="e">
        <f>+($D102*G102)</f>
        <v>#REF!</v>
      </c>
      <c r="I102" s="326" t="e">
        <f>SUMIF(#REF!,I4,#REF!)</f>
        <v>#REF!</v>
      </c>
      <c r="J102" s="91" t="e">
        <f>($D102*I102)</f>
        <v>#REF!</v>
      </c>
      <c r="K102" s="326" t="e">
        <f>SUMIF(#REF!,K4,#REF!)</f>
        <v>#REF!</v>
      </c>
      <c r="L102" s="91" t="e">
        <f>($D102*K102)</f>
        <v>#REF!</v>
      </c>
      <c r="M102" s="326" t="e">
        <f>SUMIF(#REF!,M4,#REF!)</f>
        <v>#REF!</v>
      </c>
      <c r="N102" s="91" t="e">
        <f>($D102*M102)</f>
        <v>#REF!</v>
      </c>
      <c r="O102" s="326" t="e">
        <f>+G102+I102+K102+M102</f>
        <v>#REF!</v>
      </c>
      <c r="P102" s="91" t="e">
        <f>+H102+J102+L102+N102</f>
        <v>#REF!</v>
      </c>
      <c r="Q102" s="338" t="e">
        <f>+'Planilla de Avance'!M91-O102</f>
        <v>#REF!</v>
      </c>
    </row>
    <row r="103" spans="1:17" ht="12.75" customHeight="1">
      <c r="A103" s="97"/>
      <c r="B103" s="48" t="s">
        <v>10</v>
      </c>
      <c r="C103" s="49"/>
      <c r="D103" s="69"/>
      <c r="E103" s="51"/>
      <c r="F103" s="70">
        <f>SUM(F102)</f>
        <v>289716.90000000002</v>
      </c>
      <c r="G103" s="52"/>
      <c r="H103" s="76" t="e">
        <f>SUM(H102)</f>
        <v>#REF!</v>
      </c>
      <c r="I103" s="52"/>
      <c r="J103" s="76" t="e">
        <f>SUM(J102)</f>
        <v>#REF!</v>
      </c>
      <c r="K103" s="52"/>
      <c r="L103" s="76" t="e">
        <f>SUM(L102)</f>
        <v>#REF!</v>
      </c>
      <c r="M103" s="52"/>
      <c r="N103" s="76" t="e">
        <f>SUM(N102)</f>
        <v>#REF!</v>
      </c>
      <c r="O103" s="52"/>
      <c r="P103" s="76" t="e">
        <f>SUM(P102)</f>
        <v>#REF!</v>
      </c>
      <c r="Q103" s="338" t="e">
        <f>+'Planilla de Avance'!#REF!-O103</f>
        <v>#REF!</v>
      </c>
    </row>
    <row r="104" spans="1:17" ht="12.75" customHeight="1">
      <c r="A104" s="285" t="s">
        <v>96</v>
      </c>
      <c r="B104" s="41" t="s">
        <v>97</v>
      </c>
      <c r="C104" s="74"/>
      <c r="D104" s="50"/>
      <c r="E104" s="51"/>
      <c r="F104" s="50"/>
      <c r="G104" s="53"/>
      <c r="H104" s="53"/>
      <c r="I104" s="53"/>
      <c r="J104" s="53"/>
      <c r="K104" s="53"/>
      <c r="L104" s="53"/>
      <c r="M104" s="53"/>
      <c r="N104" s="54"/>
      <c r="O104" s="53"/>
      <c r="P104" s="54"/>
      <c r="Q104" s="338" t="e">
        <f>+'Planilla de Avance'!#REF!-O104</f>
        <v>#REF!</v>
      </c>
    </row>
    <row r="105" spans="1:17" ht="12.75" customHeight="1">
      <c r="A105" s="97"/>
      <c r="B105" s="94" t="s">
        <v>82</v>
      </c>
      <c r="C105" s="74"/>
      <c r="D105" s="50"/>
      <c r="E105" s="51"/>
      <c r="F105" s="50"/>
      <c r="G105" s="53"/>
      <c r="H105" s="53"/>
      <c r="I105" s="53"/>
      <c r="J105" s="53"/>
      <c r="K105" s="53"/>
      <c r="L105" s="53"/>
      <c r="M105" s="53"/>
      <c r="N105" s="54"/>
      <c r="O105" s="53"/>
      <c r="P105" s="54"/>
      <c r="Q105" s="338" t="e">
        <f>+'Planilla de Avance'!#REF!-O105</f>
        <v>#REF!</v>
      </c>
    </row>
    <row r="106" spans="1:17" ht="12.75" customHeight="1">
      <c r="A106" s="287">
        <v>11.1</v>
      </c>
      <c r="B106" s="40" t="s">
        <v>47</v>
      </c>
      <c r="C106" s="58" t="s">
        <v>27</v>
      </c>
      <c r="D106" s="62">
        <v>2471.46</v>
      </c>
      <c r="E106" s="63">
        <v>228.51</v>
      </c>
      <c r="F106" s="64">
        <f t="shared" ref="F106:F112" si="45">ROUND(E106*D106,2)</f>
        <v>564753.31999999995</v>
      </c>
      <c r="G106" s="317" t="e">
        <f>SUMIF(#REF!,G4,#REF!)</f>
        <v>#REF!</v>
      </c>
      <c r="H106" s="73" t="e">
        <f t="shared" ref="H106:H112" si="46">+($D106*G106)</f>
        <v>#REF!</v>
      </c>
      <c r="I106" s="317" t="e">
        <f>SUMIF(#REF!,I4,#REF!)</f>
        <v>#REF!</v>
      </c>
      <c r="J106" s="73" t="e">
        <f t="shared" ref="J106:J112" si="47">($D106*I106)</f>
        <v>#REF!</v>
      </c>
      <c r="K106" s="317" t="e">
        <f>SUMIF(#REF!,K4,#REF!)</f>
        <v>#REF!</v>
      </c>
      <c r="L106" s="73" t="e">
        <f t="shared" ref="L106:L112" si="48">($D106*K106)</f>
        <v>#REF!</v>
      </c>
      <c r="M106" s="317" t="e">
        <f>SUMIF(#REF!,M4,#REF!)</f>
        <v>#REF!</v>
      </c>
      <c r="N106" s="73" t="e">
        <f t="shared" ref="N106:N112" si="49">($D106*M106)</f>
        <v>#REF!</v>
      </c>
      <c r="O106" s="317" t="e">
        <f t="shared" ref="O106:O112" si="50">+G106+I106+K106+M106</f>
        <v>#REF!</v>
      </c>
      <c r="P106" s="73" t="e">
        <f t="shared" ref="P106:P112" si="51">+H106+J106+L106+N106</f>
        <v>#REF!</v>
      </c>
      <c r="Q106" s="338" t="e">
        <f>+'Planilla de Avance'!#REF!-O106</f>
        <v>#REF!</v>
      </c>
    </row>
    <row r="107" spans="1:17" ht="12.75" customHeight="1">
      <c r="A107" s="288">
        <v>11.2</v>
      </c>
      <c r="B107" s="35" t="s">
        <v>19</v>
      </c>
      <c r="C107" s="59" t="s">
        <v>46</v>
      </c>
      <c r="D107" s="65">
        <v>28.13</v>
      </c>
      <c r="E107" s="36">
        <v>30610.11</v>
      </c>
      <c r="F107" s="66">
        <f t="shared" si="45"/>
        <v>861062.39</v>
      </c>
      <c r="G107" s="318" t="e">
        <f>SUMIF(#REF!,G4,#REF!)</f>
        <v>#REF!</v>
      </c>
      <c r="H107" s="37" t="e">
        <f t="shared" si="46"/>
        <v>#REF!</v>
      </c>
      <c r="I107" s="318" t="e">
        <f>SUMIF(#REF!,I4,#REF!)</f>
        <v>#REF!</v>
      </c>
      <c r="J107" s="37" t="e">
        <f t="shared" si="47"/>
        <v>#REF!</v>
      </c>
      <c r="K107" s="318" t="e">
        <f>SUMIF(#REF!,K4,#REF!)</f>
        <v>#REF!</v>
      </c>
      <c r="L107" s="37" t="e">
        <f t="shared" si="48"/>
        <v>#REF!</v>
      </c>
      <c r="M107" s="318" t="e">
        <f>SUMIF(#REF!,M4,#REF!)</f>
        <v>#REF!</v>
      </c>
      <c r="N107" s="37" t="e">
        <f t="shared" si="49"/>
        <v>#REF!</v>
      </c>
      <c r="O107" s="318" t="e">
        <f t="shared" si="50"/>
        <v>#REF!</v>
      </c>
      <c r="P107" s="37" t="e">
        <f t="shared" si="51"/>
        <v>#REF!</v>
      </c>
      <c r="Q107" s="338" t="e">
        <f>+'Planilla de Avance'!#REF!-O107</f>
        <v>#REF!</v>
      </c>
    </row>
    <row r="108" spans="1:17" ht="12.75" customHeight="1">
      <c r="A108" s="288">
        <v>11.3</v>
      </c>
      <c r="B108" s="35" t="s">
        <v>11</v>
      </c>
      <c r="C108" s="59" t="s">
        <v>27</v>
      </c>
      <c r="D108" s="65">
        <v>25.820000000000004</v>
      </c>
      <c r="E108" s="36">
        <v>2600</v>
      </c>
      <c r="F108" s="66">
        <f t="shared" si="45"/>
        <v>67132</v>
      </c>
      <c r="G108" s="318" t="e">
        <f>SUMIF(#REF!,G4,#REF!)</f>
        <v>#REF!</v>
      </c>
      <c r="H108" s="37" t="e">
        <f t="shared" si="46"/>
        <v>#REF!</v>
      </c>
      <c r="I108" s="318" t="e">
        <f>SUMIF(#REF!,I4,#REF!)</f>
        <v>#REF!</v>
      </c>
      <c r="J108" s="37" t="e">
        <f t="shared" si="47"/>
        <v>#REF!</v>
      </c>
      <c r="K108" s="318" t="e">
        <f>SUMIF(#REF!,K4,#REF!)</f>
        <v>#REF!</v>
      </c>
      <c r="L108" s="37" t="e">
        <f t="shared" si="48"/>
        <v>#REF!</v>
      </c>
      <c r="M108" s="318" t="e">
        <f>SUMIF(#REF!,M4,#REF!)</f>
        <v>#REF!</v>
      </c>
      <c r="N108" s="37" t="e">
        <f t="shared" si="49"/>
        <v>#REF!</v>
      </c>
      <c r="O108" s="318" t="e">
        <f t="shared" si="50"/>
        <v>#REF!</v>
      </c>
      <c r="P108" s="37" t="e">
        <f t="shared" si="51"/>
        <v>#REF!</v>
      </c>
      <c r="Q108" s="338" t="e">
        <f>+'Planilla de Avance'!#REF!-O108</f>
        <v>#REF!</v>
      </c>
    </row>
    <row r="109" spans="1:17" ht="12.75" customHeight="1">
      <c r="A109" s="288">
        <v>11.4</v>
      </c>
      <c r="B109" s="35" t="s">
        <v>85</v>
      </c>
      <c r="C109" s="59" t="s">
        <v>86</v>
      </c>
      <c r="D109" s="65">
        <v>508.86</v>
      </c>
      <c r="E109" s="36">
        <v>30</v>
      </c>
      <c r="F109" s="66">
        <f t="shared" si="45"/>
        <v>15265.8</v>
      </c>
      <c r="G109" s="318" t="e">
        <f>SUMIF(#REF!,G4,#REF!)</f>
        <v>#REF!</v>
      </c>
      <c r="H109" s="37" t="e">
        <f t="shared" si="46"/>
        <v>#REF!</v>
      </c>
      <c r="I109" s="318" t="e">
        <f>SUMIF(#REF!,I4,#REF!)</f>
        <v>#REF!</v>
      </c>
      <c r="J109" s="37" t="e">
        <f t="shared" si="47"/>
        <v>#REF!</v>
      </c>
      <c r="K109" s="318" t="e">
        <f>SUMIF(#REF!,K4,#REF!)</f>
        <v>#REF!</v>
      </c>
      <c r="L109" s="37" t="e">
        <f t="shared" si="48"/>
        <v>#REF!</v>
      </c>
      <c r="M109" s="318" t="e">
        <f>SUMIF(#REF!,M4,#REF!)</f>
        <v>#REF!</v>
      </c>
      <c r="N109" s="37" t="e">
        <f t="shared" si="49"/>
        <v>#REF!</v>
      </c>
      <c r="O109" s="318" t="e">
        <f t="shared" si="50"/>
        <v>#REF!</v>
      </c>
      <c r="P109" s="37" t="e">
        <f t="shared" si="51"/>
        <v>#REF!</v>
      </c>
      <c r="Q109" s="338" t="e">
        <f>+'Planilla de Avance'!#REF!-O109</f>
        <v>#REF!</v>
      </c>
    </row>
    <row r="110" spans="1:17" ht="12.75" customHeight="1">
      <c r="A110" s="288">
        <v>11.5</v>
      </c>
      <c r="B110" s="35" t="s">
        <v>98</v>
      </c>
      <c r="C110" s="59" t="s">
        <v>86</v>
      </c>
      <c r="D110" s="65">
        <v>384.87</v>
      </c>
      <c r="E110" s="36">
        <v>6.4</v>
      </c>
      <c r="F110" s="66">
        <f t="shared" si="45"/>
        <v>2463.17</v>
      </c>
      <c r="G110" s="318" t="e">
        <f>SUMIF(#REF!,G4,#REF!)</f>
        <v>#REF!</v>
      </c>
      <c r="H110" s="37" t="e">
        <f t="shared" si="46"/>
        <v>#REF!</v>
      </c>
      <c r="I110" s="318" t="e">
        <f>SUMIF(#REF!,I4,#REF!)</f>
        <v>#REF!</v>
      </c>
      <c r="J110" s="37" t="e">
        <f t="shared" si="47"/>
        <v>#REF!</v>
      </c>
      <c r="K110" s="318" t="e">
        <f>SUMIF(#REF!,K4,#REF!)</f>
        <v>#REF!</v>
      </c>
      <c r="L110" s="37" t="e">
        <f t="shared" si="48"/>
        <v>#REF!</v>
      </c>
      <c r="M110" s="318" t="e">
        <f>SUMIF(#REF!,M4,#REF!)</f>
        <v>#REF!</v>
      </c>
      <c r="N110" s="37" t="e">
        <f t="shared" si="49"/>
        <v>#REF!</v>
      </c>
      <c r="O110" s="318" t="e">
        <f t="shared" si="50"/>
        <v>#REF!</v>
      </c>
      <c r="P110" s="37" t="e">
        <f t="shared" si="51"/>
        <v>#REF!</v>
      </c>
      <c r="Q110" s="338" t="e">
        <f>+'Planilla de Avance'!#REF!-O110</f>
        <v>#REF!</v>
      </c>
    </row>
    <row r="111" spans="1:17" ht="12.75" customHeight="1">
      <c r="A111" s="288">
        <v>11.6</v>
      </c>
      <c r="B111" s="35" t="s">
        <v>99</v>
      </c>
      <c r="C111" s="59" t="s">
        <v>27</v>
      </c>
      <c r="D111" s="65">
        <v>313.50999999999993</v>
      </c>
      <c r="E111" s="36">
        <v>72</v>
      </c>
      <c r="F111" s="66">
        <f t="shared" si="45"/>
        <v>22572.720000000001</v>
      </c>
      <c r="G111" s="318" t="e">
        <f>SUMIF(#REF!,G4,#REF!)</f>
        <v>#REF!</v>
      </c>
      <c r="H111" s="37" t="e">
        <f t="shared" si="46"/>
        <v>#REF!</v>
      </c>
      <c r="I111" s="318" t="e">
        <f>SUMIF(#REF!,I4,#REF!)</f>
        <v>#REF!</v>
      </c>
      <c r="J111" s="37" t="e">
        <f t="shared" si="47"/>
        <v>#REF!</v>
      </c>
      <c r="K111" s="318" t="e">
        <f>SUMIF(#REF!,K4,#REF!)</f>
        <v>#REF!</v>
      </c>
      <c r="L111" s="37" t="e">
        <f t="shared" si="48"/>
        <v>#REF!</v>
      </c>
      <c r="M111" s="318" t="e">
        <f>SUMIF(#REF!,M4,#REF!)</f>
        <v>#REF!</v>
      </c>
      <c r="N111" s="37" t="e">
        <f t="shared" si="49"/>
        <v>#REF!</v>
      </c>
      <c r="O111" s="318" t="e">
        <f t="shared" si="50"/>
        <v>#REF!</v>
      </c>
      <c r="P111" s="37" t="e">
        <f t="shared" si="51"/>
        <v>#REF!</v>
      </c>
      <c r="Q111" s="338" t="e">
        <f>+'Planilla de Avance'!#REF!-O111</f>
        <v>#REF!</v>
      </c>
    </row>
    <row r="112" spans="1:17" ht="12.75" customHeight="1">
      <c r="A112" s="288">
        <v>11.7</v>
      </c>
      <c r="B112" s="35" t="s">
        <v>100</v>
      </c>
      <c r="C112" s="59" t="s">
        <v>31</v>
      </c>
      <c r="D112" s="65">
        <v>35.75</v>
      </c>
      <c r="E112" s="36">
        <v>1502.6</v>
      </c>
      <c r="F112" s="66">
        <f t="shared" si="45"/>
        <v>53717.95</v>
      </c>
      <c r="G112" s="318" t="e">
        <f>SUMIF(#REF!,G4,#REF!)</f>
        <v>#REF!</v>
      </c>
      <c r="H112" s="37" t="e">
        <f t="shared" si="46"/>
        <v>#REF!</v>
      </c>
      <c r="I112" s="318" t="e">
        <f>SUMIF(#REF!,I4,#REF!)</f>
        <v>#REF!</v>
      </c>
      <c r="J112" s="37" t="e">
        <f t="shared" si="47"/>
        <v>#REF!</v>
      </c>
      <c r="K112" s="318" t="e">
        <f>SUMIF(#REF!,K4,#REF!)</f>
        <v>#REF!</v>
      </c>
      <c r="L112" s="37" t="e">
        <f t="shared" si="48"/>
        <v>#REF!</v>
      </c>
      <c r="M112" s="318" t="e">
        <f>SUMIF(#REF!,M4,#REF!)</f>
        <v>#REF!</v>
      </c>
      <c r="N112" s="37" t="e">
        <f t="shared" si="49"/>
        <v>#REF!</v>
      </c>
      <c r="O112" s="318" t="e">
        <f t="shared" si="50"/>
        <v>#REF!</v>
      </c>
      <c r="P112" s="37" t="e">
        <f t="shared" si="51"/>
        <v>#REF!</v>
      </c>
      <c r="Q112" s="338" t="e">
        <f>+'Planilla de Avance'!#REF!-O112</f>
        <v>#REF!</v>
      </c>
    </row>
    <row r="113" spans="1:17" ht="12.75" customHeight="1">
      <c r="A113" s="93"/>
      <c r="B113" s="48" t="s">
        <v>10</v>
      </c>
      <c r="C113" s="49"/>
      <c r="D113" s="69"/>
      <c r="E113" s="51"/>
      <c r="F113" s="70">
        <f>SUM(F106:F112)</f>
        <v>1586967.3499999999</v>
      </c>
      <c r="G113" s="52"/>
      <c r="H113" s="76" t="e">
        <f>SUM(H106:H112)</f>
        <v>#REF!</v>
      </c>
      <c r="I113" s="52"/>
      <c r="J113" s="76" t="e">
        <f>SUM(J106:J112)</f>
        <v>#REF!</v>
      </c>
      <c r="K113" s="52"/>
      <c r="L113" s="76" t="e">
        <f>SUM(L106:L112)</f>
        <v>#REF!</v>
      </c>
      <c r="M113" s="52"/>
      <c r="N113" s="76" t="e">
        <f>SUM(N106:N112)</f>
        <v>#REF!</v>
      </c>
      <c r="O113" s="52"/>
      <c r="P113" s="76" t="e">
        <f>SUM(P106:P112)</f>
        <v>#REF!</v>
      </c>
      <c r="Q113" s="338" t="e">
        <f>+'Planilla de Avance'!#REF!-O113</f>
        <v>#REF!</v>
      </c>
    </row>
    <row r="114" spans="1:17" ht="12.75" customHeight="1">
      <c r="A114" s="93"/>
      <c r="B114" s="94" t="s">
        <v>83</v>
      </c>
      <c r="C114" s="74" t="s">
        <v>101</v>
      </c>
      <c r="D114" s="75"/>
      <c r="E114" s="75"/>
      <c r="F114" s="75"/>
      <c r="G114" s="53"/>
      <c r="H114" s="53"/>
      <c r="I114" s="53"/>
      <c r="J114" s="53"/>
      <c r="K114" s="53"/>
      <c r="L114" s="53"/>
      <c r="M114" s="53"/>
      <c r="N114" s="54"/>
      <c r="O114" s="53"/>
      <c r="P114" s="54"/>
      <c r="Q114" s="338" t="e">
        <f>+'Planilla de Avance'!#REF!-O114</f>
        <v>#REF!</v>
      </c>
    </row>
    <row r="115" spans="1:17" ht="12.75" customHeight="1">
      <c r="A115" s="287">
        <v>11.8</v>
      </c>
      <c r="B115" s="40" t="s">
        <v>47</v>
      </c>
      <c r="C115" s="58" t="s">
        <v>27</v>
      </c>
      <c r="D115" s="62">
        <v>2471.46</v>
      </c>
      <c r="E115" s="63">
        <v>44.72</v>
      </c>
      <c r="F115" s="64">
        <f t="shared" ref="F115:F124" si="52">ROUND(E115*D115,2)</f>
        <v>110523.69</v>
      </c>
      <c r="G115" s="317" t="e">
        <f>SUMIF(#REF!,G4,#REF!)</f>
        <v>#REF!</v>
      </c>
      <c r="H115" s="73" t="e">
        <f t="shared" ref="H115:H124" si="53">+($D115*G115)</f>
        <v>#REF!</v>
      </c>
      <c r="I115" s="317" t="e">
        <f>SUMIF(#REF!,I4,#REF!)</f>
        <v>#REF!</v>
      </c>
      <c r="J115" s="73" t="e">
        <f t="shared" ref="J115:J124" si="54">($D115*I115)</f>
        <v>#REF!</v>
      </c>
      <c r="K115" s="317" t="e">
        <f>SUMIF(#REF!,K4,#REF!)</f>
        <v>#REF!</v>
      </c>
      <c r="L115" s="73" t="e">
        <f t="shared" ref="L115:L124" si="55">($D115*K115)</f>
        <v>#REF!</v>
      </c>
      <c r="M115" s="317" t="e">
        <f>SUMIF(#REF!,M4,#REF!)</f>
        <v>#REF!</v>
      </c>
      <c r="N115" s="73" t="e">
        <f t="shared" ref="N115:N124" si="56">($D115*M115)</f>
        <v>#REF!</v>
      </c>
      <c r="O115" s="317" t="e">
        <f t="shared" ref="O115:O124" si="57">+G115+I115+K115+M115</f>
        <v>#REF!</v>
      </c>
      <c r="P115" s="73" t="e">
        <f t="shared" ref="P115:P124" si="58">+H115+J115+L115+N115</f>
        <v>#REF!</v>
      </c>
      <c r="Q115" s="338" t="e">
        <f>+'Planilla de Avance'!#REF!-O115</f>
        <v>#REF!</v>
      </c>
    </row>
    <row r="116" spans="1:17" ht="12.75" customHeight="1">
      <c r="A116" s="288">
        <v>11.9</v>
      </c>
      <c r="B116" s="35" t="s">
        <v>19</v>
      </c>
      <c r="C116" s="59" t="s">
        <v>46</v>
      </c>
      <c r="D116" s="65">
        <v>28.13</v>
      </c>
      <c r="E116" s="36">
        <v>4919.2</v>
      </c>
      <c r="F116" s="66">
        <f t="shared" si="52"/>
        <v>138377.1</v>
      </c>
      <c r="G116" s="318" t="e">
        <f>SUMIF(#REF!,G4,#REF!)</f>
        <v>#REF!</v>
      </c>
      <c r="H116" s="37" t="e">
        <f t="shared" si="53"/>
        <v>#REF!</v>
      </c>
      <c r="I116" s="318" t="e">
        <f>SUMIF(#REF!,I4,#REF!)</f>
        <v>#REF!</v>
      </c>
      <c r="J116" s="37" t="e">
        <f t="shared" si="54"/>
        <v>#REF!</v>
      </c>
      <c r="K116" s="318" t="e">
        <f>SUMIF(#REF!,K4,#REF!)</f>
        <v>#REF!</v>
      </c>
      <c r="L116" s="37" t="e">
        <f t="shared" si="55"/>
        <v>#REF!</v>
      </c>
      <c r="M116" s="318" t="e">
        <f>SUMIF(#REF!,M4,#REF!)</f>
        <v>#REF!</v>
      </c>
      <c r="N116" s="37" t="e">
        <f t="shared" si="56"/>
        <v>#REF!</v>
      </c>
      <c r="O116" s="318" t="e">
        <f t="shared" si="57"/>
        <v>#REF!</v>
      </c>
      <c r="P116" s="37" t="e">
        <f t="shared" si="58"/>
        <v>#REF!</v>
      </c>
      <c r="Q116" s="338" t="e">
        <f>+'Planilla de Avance'!#REF!-O116</f>
        <v>#REF!</v>
      </c>
    </row>
    <row r="117" spans="1:17" ht="12.75" customHeight="1">
      <c r="A117" s="290" t="s">
        <v>102</v>
      </c>
      <c r="B117" s="35" t="s">
        <v>103</v>
      </c>
      <c r="C117" s="59" t="s">
        <v>0</v>
      </c>
      <c r="D117" s="65">
        <v>1451.74</v>
      </c>
      <c r="E117" s="36">
        <v>41.6</v>
      </c>
      <c r="F117" s="66">
        <f t="shared" si="52"/>
        <v>60392.38</v>
      </c>
      <c r="G117" s="318" t="e">
        <f>SUMIF(#REF!,G4,#REF!)</f>
        <v>#REF!</v>
      </c>
      <c r="H117" s="37" t="e">
        <f t="shared" si="53"/>
        <v>#REF!</v>
      </c>
      <c r="I117" s="318" t="e">
        <f>SUMIF(#REF!,I4,#REF!)</f>
        <v>#REF!</v>
      </c>
      <c r="J117" s="37" t="e">
        <f t="shared" si="54"/>
        <v>#REF!</v>
      </c>
      <c r="K117" s="318" t="e">
        <f>SUMIF(#REF!,K4,#REF!)</f>
        <v>#REF!</v>
      </c>
      <c r="L117" s="37" t="e">
        <f t="shared" si="55"/>
        <v>#REF!</v>
      </c>
      <c r="M117" s="318" t="e">
        <f>SUMIF(#REF!,M4,#REF!)</f>
        <v>#REF!</v>
      </c>
      <c r="N117" s="37" t="e">
        <f t="shared" si="56"/>
        <v>#REF!</v>
      </c>
      <c r="O117" s="318" t="e">
        <f t="shared" si="57"/>
        <v>#REF!</v>
      </c>
      <c r="P117" s="37" t="e">
        <f t="shared" si="58"/>
        <v>#REF!</v>
      </c>
      <c r="Q117" s="338" t="e">
        <f>+'Planilla de Avance'!#REF!-O117</f>
        <v>#REF!</v>
      </c>
    </row>
    <row r="118" spans="1:17" ht="12.75" customHeight="1">
      <c r="A118" s="290">
        <v>11.11</v>
      </c>
      <c r="B118" s="35" t="s">
        <v>88</v>
      </c>
      <c r="C118" s="59" t="s">
        <v>0</v>
      </c>
      <c r="D118" s="65">
        <v>1048.27</v>
      </c>
      <c r="E118" s="36">
        <v>25.08</v>
      </c>
      <c r="F118" s="66">
        <f t="shared" si="52"/>
        <v>26290.61</v>
      </c>
      <c r="G118" s="318" t="e">
        <f>SUMIF(#REF!,G4,#REF!)</f>
        <v>#REF!</v>
      </c>
      <c r="H118" s="37" t="e">
        <f t="shared" si="53"/>
        <v>#REF!</v>
      </c>
      <c r="I118" s="318" t="e">
        <f>SUMIF(#REF!,I4,#REF!)</f>
        <v>#REF!</v>
      </c>
      <c r="J118" s="37" t="e">
        <f t="shared" si="54"/>
        <v>#REF!</v>
      </c>
      <c r="K118" s="318" t="e">
        <f>SUMIF(#REF!,K4,#REF!)</f>
        <v>#REF!</v>
      </c>
      <c r="L118" s="37" t="e">
        <f t="shared" si="55"/>
        <v>#REF!</v>
      </c>
      <c r="M118" s="318" t="e">
        <f>SUMIF(#REF!,M4,#REF!)</f>
        <v>#REF!</v>
      </c>
      <c r="N118" s="37" t="e">
        <f t="shared" si="56"/>
        <v>#REF!</v>
      </c>
      <c r="O118" s="318" t="e">
        <f t="shared" si="57"/>
        <v>#REF!</v>
      </c>
      <c r="P118" s="37" t="e">
        <f t="shared" si="58"/>
        <v>#REF!</v>
      </c>
      <c r="Q118" s="338" t="e">
        <f>+'Planilla de Avance'!#REF!-O118</f>
        <v>#REF!</v>
      </c>
    </row>
    <row r="119" spans="1:17" ht="12.75" customHeight="1">
      <c r="A119" s="290">
        <v>11.12</v>
      </c>
      <c r="B119" s="35" t="s">
        <v>104</v>
      </c>
      <c r="C119" s="59" t="s">
        <v>0</v>
      </c>
      <c r="D119" s="65">
        <v>1175.6300000000001</v>
      </c>
      <c r="E119" s="36">
        <v>41.6</v>
      </c>
      <c r="F119" s="66">
        <f t="shared" si="52"/>
        <v>48906.21</v>
      </c>
      <c r="G119" s="318" t="e">
        <f>SUMIF(#REF!,G4,#REF!)</f>
        <v>#REF!</v>
      </c>
      <c r="H119" s="37" t="e">
        <f t="shared" si="53"/>
        <v>#REF!</v>
      </c>
      <c r="I119" s="318" t="e">
        <f>SUMIF(#REF!,I4,#REF!)</f>
        <v>#REF!</v>
      </c>
      <c r="J119" s="37" t="e">
        <f t="shared" si="54"/>
        <v>#REF!</v>
      </c>
      <c r="K119" s="318" t="e">
        <f>SUMIF(#REF!,K4,#REF!)</f>
        <v>#REF!</v>
      </c>
      <c r="L119" s="37" t="e">
        <f t="shared" si="55"/>
        <v>#REF!</v>
      </c>
      <c r="M119" s="318" t="e">
        <f>SUMIF(#REF!,M4,#REF!)</f>
        <v>#REF!</v>
      </c>
      <c r="N119" s="37" t="e">
        <f t="shared" si="56"/>
        <v>#REF!</v>
      </c>
      <c r="O119" s="318" t="e">
        <f t="shared" si="57"/>
        <v>#REF!</v>
      </c>
      <c r="P119" s="37" t="e">
        <f t="shared" si="58"/>
        <v>#REF!</v>
      </c>
      <c r="Q119" s="338" t="e">
        <f>+'Planilla de Avance'!#REF!-O119</f>
        <v>#REF!</v>
      </c>
    </row>
    <row r="120" spans="1:17" ht="12.75" customHeight="1">
      <c r="A120" s="290">
        <v>11.13</v>
      </c>
      <c r="B120" s="35" t="s">
        <v>94</v>
      </c>
      <c r="C120" s="59" t="s">
        <v>93</v>
      </c>
      <c r="D120" s="65">
        <v>27971.21</v>
      </c>
      <c r="E120" s="36">
        <v>6</v>
      </c>
      <c r="F120" s="66">
        <f t="shared" si="52"/>
        <v>167827.26</v>
      </c>
      <c r="G120" s="318" t="e">
        <f>SUMIF(#REF!,G4,#REF!)</f>
        <v>#REF!</v>
      </c>
      <c r="H120" s="37" t="e">
        <f t="shared" si="53"/>
        <v>#REF!</v>
      </c>
      <c r="I120" s="318" t="e">
        <f>SUMIF(#REF!,I4,#REF!)</f>
        <v>#REF!</v>
      </c>
      <c r="J120" s="37" t="e">
        <f t="shared" si="54"/>
        <v>#REF!</v>
      </c>
      <c r="K120" s="318" t="e">
        <f>SUMIF(#REF!,K4,#REF!)</f>
        <v>#REF!</v>
      </c>
      <c r="L120" s="37" t="e">
        <f t="shared" si="55"/>
        <v>#REF!</v>
      </c>
      <c r="M120" s="318" t="e">
        <f>SUMIF(#REF!,M4,#REF!)</f>
        <v>#REF!</v>
      </c>
      <c r="N120" s="37" t="e">
        <f t="shared" si="56"/>
        <v>#REF!</v>
      </c>
      <c r="O120" s="318" t="e">
        <f t="shared" si="57"/>
        <v>#REF!</v>
      </c>
      <c r="P120" s="37" t="e">
        <f t="shared" si="58"/>
        <v>#REF!</v>
      </c>
      <c r="Q120" s="338" t="e">
        <f>+'Planilla de Avance'!#REF!-O120</f>
        <v>#REF!</v>
      </c>
    </row>
    <row r="121" spans="1:17" ht="12.75" customHeight="1">
      <c r="A121" s="290">
        <v>11.14</v>
      </c>
      <c r="B121" s="35" t="s">
        <v>91</v>
      </c>
      <c r="C121" s="59" t="s">
        <v>0</v>
      </c>
      <c r="D121" s="65">
        <v>237.24</v>
      </c>
      <c r="E121" s="36">
        <v>246.6</v>
      </c>
      <c r="F121" s="66">
        <f t="shared" si="52"/>
        <v>58503.38</v>
      </c>
      <c r="G121" s="318" t="e">
        <f>SUMIF(#REF!,G4,#REF!)</f>
        <v>#REF!</v>
      </c>
      <c r="H121" s="37" t="e">
        <f t="shared" si="53"/>
        <v>#REF!</v>
      </c>
      <c r="I121" s="318" t="e">
        <f>SUMIF(#REF!,I4,#REF!)</f>
        <v>#REF!</v>
      </c>
      <c r="J121" s="37" t="e">
        <f t="shared" si="54"/>
        <v>#REF!</v>
      </c>
      <c r="K121" s="318" t="e">
        <f>SUMIF(#REF!,K4,#REF!)</f>
        <v>#REF!</v>
      </c>
      <c r="L121" s="37" t="e">
        <f t="shared" si="55"/>
        <v>#REF!</v>
      </c>
      <c r="M121" s="318" t="e">
        <f>SUMIF(#REF!,M4,#REF!)</f>
        <v>#REF!</v>
      </c>
      <c r="N121" s="37" t="e">
        <f t="shared" si="56"/>
        <v>#REF!</v>
      </c>
      <c r="O121" s="318" t="e">
        <f t="shared" si="57"/>
        <v>#REF!</v>
      </c>
      <c r="P121" s="37" t="e">
        <f t="shared" si="58"/>
        <v>#REF!</v>
      </c>
      <c r="Q121" s="338" t="e">
        <f>+'Planilla de Avance'!#REF!-O121</f>
        <v>#REF!</v>
      </c>
    </row>
    <row r="122" spans="1:17" ht="12.75" customHeight="1">
      <c r="A122" s="290">
        <v>11.15</v>
      </c>
      <c r="B122" s="35" t="s">
        <v>89</v>
      </c>
      <c r="C122" s="59" t="s">
        <v>27</v>
      </c>
      <c r="D122" s="65">
        <v>2838.05</v>
      </c>
      <c r="E122" s="36">
        <v>51</v>
      </c>
      <c r="F122" s="66">
        <f t="shared" si="52"/>
        <v>144740.54999999999</v>
      </c>
      <c r="G122" s="318" t="e">
        <f>SUMIF(#REF!,G4,#REF!)</f>
        <v>#REF!</v>
      </c>
      <c r="H122" s="37" t="e">
        <f t="shared" si="53"/>
        <v>#REF!</v>
      </c>
      <c r="I122" s="318" t="e">
        <f>SUMIF(#REF!,I4,#REF!)</f>
        <v>#REF!</v>
      </c>
      <c r="J122" s="37" t="e">
        <f t="shared" si="54"/>
        <v>#REF!</v>
      </c>
      <c r="K122" s="318" t="e">
        <f>SUMIF(#REF!,K4,#REF!)</f>
        <v>#REF!</v>
      </c>
      <c r="L122" s="37" t="e">
        <f t="shared" si="55"/>
        <v>#REF!</v>
      </c>
      <c r="M122" s="318" t="e">
        <f>SUMIF(#REF!,M4,#REF!)</f>
        <v>#REF!</v>
      </c>
      <c r="N122" s="37" t="e">
        <f t="shared" si="56"/>
        <v>#REF!</v>
      </c>
      <c r="O122" s="318" t="e">
        <f t="shared" si="57"/>
        <v>#REF!</v>
      </c>
      <c r="P122" s="37" t="e">
        <f t="shared" si="58"/>
        <v>#REF!</v>
      </c>
      <c r="Q122" s="338" t="e">
        <f>+'Planilla de Avance'!#REF!-O122</f>
        <v>#REF!</v>
      </c>
    </row>
    <row r="123" spans="1:17" ht="12.75" customHeight="1">
      <c r="A123" s="290">
        <v>11.16</v>
      </c>
      <c r="B123" s="35" t="s">
        <v>90</v>
      </c>
      <c r="C123" s="59" t="s">
        <v>46</v>
      </c>
      <c r="D123" s="65">
        <v>59.71</v>
      </c>
      <c r="E123" s="36">
        <v>2100</v>
      </c>
      <c r="F123" s="66">
        <f t="shared" si="52"/>
        <v>125391</v>
      </c>
      <c r="G123" s="318" t="e">
        <f>SUMIF(#REF!,G4,#REF!)</f>
        <v>#REF!</v>
      </c>
      <c r="H123" s="37" t="e">
        <f t="shared" si="53"/>
        <v>#REF!</v>
      </c>
      <c r="I123" s="318" t="e">
        <f>SUMIF(#REF!,I4,#REF!)</f>
        <v>#REF!</v>
      </c>
      <c r="J123" s="37" t="e">
        <f t="shared" si="54"/>
        <v>#REF!</v>
      </c>
      <c r="K123" s="318" t="e">
        <f>SUMIF(#REF!,K4,#REF!)</f>
        <v>#REF!</v>
      </c>
      <c r="L123" s="37" t="e">
        <f t="shared" si="55"/>
        <v>#REF!</v>
      </c>
      <c r="M123" s="318" t="e">
        <f>SUMIF(#REF!,M4,#REF!)</f>
        <v>#REF!</v>
      </c>
      <c r="N123" s="37" t="e">
        <f t="shared" si="56"/>
        <v>#REF!</v>
      </c>
      <c r="O123" s="318" t="e">
        <f t="shared" si="57"/>
        <v>#REF!</v>
      </c>
      <c r="P123" s="37" t="e">
        <f t="shared" si="58"/>
        <v>#REF!</v>
      </c>
      <c r="Q123" s="338" t="e">
        <f>+'Planilla de Avance'!#REF!-O123</f>
        <v>#REF!</v>
      </c>
    </row>
    <row r="124" spans="1:17" ht="12.75" customHeight="1">
      <c r="A124" s="290">
        <v>11.17</v>
      </c>
      <c r="B124" s="35" t="s">
        <v>92</v>
      </c>
      <c r="C124" s="59" t="s">
        <v>93</v>
      </c>
      <c r="D124" s="65">
        <v>3053.84</v>
      </c>
      <c r="E124" s="36">
        <v>24</v>
      </c>
      <c r="F124" s="66">
        <f t="shared" si="52"/>
        <v>73292.160000000003</v>
      </c>
      <c r="G124" s="318" t="e">
        <f>SUMIF(#REF!,G4,#REF!)</f>
        <v>#REF!</v>
      </c>
      <c r="H124" s="37" t="e">
        <f t="shared" si="53"/>
        <v>#REF!</v>
      </c>
      <c r="I124" s="318" t="e">
        <f>SUMIF(#REF!,I4,#REF!)</f>
        <v>#REF!</v>
      </c>
      <c r="J124" s="37" t="e">
        <f t="shared" si="54"/>
        <v>#REF!</v>
      </c>
      <c r="K124" s="318" t="e">
        <f>SUMIF(#REF!,K4,#REF!)</f>
        <v>#REF!</v>
      </c>
      <c r="L124" s="37" t="e">
        <f t="shared" si="55"/>
        <v>#REF!</v>
      </c>
      <c r="M124" s="318" t="e">
        <f>SUMIF(#REF!,M4,#REF!)</f>
        <v>#REF!</v>
      </c>
      <c r="N124" s="37" t="e">
        <f t="shared" si="56"/>
        <v>#REF!</v>
      </c>
      <c r="O124" s="318" t="e">
        <f t="shared" si="57"/>
        <v>#REF!</v>
      </c>
      <c r="P124" s="37" t="e">
        <f t="shared" si="58"/>
        <v>#REF!</v>
      </c>
      <c r="Q124" s="338" t="e">
        <f>+'Planilla de Avance'!#REF!-O124</f>
        <v>#REF!</v>
      </c>
    </row>
    <row r="125" spans="1:17" ht="12.75" customHeight="1">
      <c r="A125" s="93"/>
      <c r="B125" s="48" t="s">
        <v>10</v>
      </c>
      <c r="C125" s="49"/>
      <c r="D125" s="69"/>
      <c r="E125" s="51"/>
      <c r="F125" s="70">
        <f>SUM(F115:F124)</f>
        <v>954244.34</v>
      </c>
      <c r="G125" s="52"/>
      <c r="H125" s="76" t="e">
        <f>SUM(H115:H124)</f>
        <v>#REF!</v>
      </c>
      <c r="I125" s="52"/>
      <c r="J125" s="76" t="e">
        <f>SUM(J115:J124)</f>
        <v>#REF!</v>
      </c>
      <c r="K125" s="52"/>
      <c r="L125" s="76" t="e">
        <f>SUM(L115:L124)</f>
        <v>#REF!</v>
      </c>
      <c r="M125" s="52"/>
      <c r="N125" s="76" t="e">
        <f>SUM(N115:N124)</f>
        <v>#REF!</v>
      </c>
      <c r="O125" s="52"/>
      <c r="P125" s="76" t="e">
        <f>SUM(P115:P124)</f>
        <v>#REF!</v>
      </c>
      <c r="Q125" s="338" t="e">
        <f>+'Planilla de Avance'!#REF!-O125</f>
        <v>#REF!</v>
      </c>
    </row>
    <row r="126" spans="1:17" ht="12.75" customHeight="1">
      <c r="A126" s="93"/>
      <c r="B126" s="94" t="s">
        <v>84</v>
      </c>
      <c r="C126" s="74"/>
      <c r="D126" s="50"/>
      <c r="E126" s="51"/>
      <c r="F126" s="50"/>
      <c r="G126" s="52"/>
      <c r="H126" s="53"/>
      <c r="I126" s="52"/>
      <c r="J126" s="53"/>
      <c r="K126" s="52"/>
      <c r="L126" s="53"/>
      <c r="M126" s="52"/>
      <c r="N126" s="54"/>
      <c r="O126" s="52"/>
      <c r="P126" s="54"/>
      <c r="Q126" s="338" t="e">
        <f>+'Planilla de Avance'!#REF!-O126</f>
        <v>#REF!</v>
      </c>
    </row>
    <row r="127" spans="1:17" ht="12.75" customHeight="1">
      <c r="A127" s="294">
        <v>11.18</v>
      </c>
      <c r="B127" s="85" t="s">
        <v>50</v>
      </c>
      <c r="C127" s="87" t="s">
        <v>27</v>
      </c>
      <c r="D127" s="103">
        <v>103.86</v>
      </c>
      <c r="E127" s="86">
        <v>2535</v>
      </c>
      <c r="F127" s="104">
        <f>ROUND(E127*D127,2)</f>
        <v>263285.09999999998</v>
      </c>
      <c r="G127" s="327" t="e">
        <f>SUMIF(#REF!,G4,#REF!)</f>
        <v>#REF!</v>
      </c>
      <c r="H127" s="96" t="e">
        <f>+($D127*G127)</f>
        <v>#REF!</v>
      </c>
      <c r="I127" s="327" t="e">
        <f>SUMIF(#REF!,I4,#REF!)</f>
        <v>#REF!</v>
      </c>
      <c r="J127" s="96" t="e">
        <f>($D127*I127)</f>
        <v>#REF!</v>
      </c>
      <c r="K127" s="327" t="e">
        <f>SUMIF(#REF!,K4,#REF!)</f>
        <v>#REF!</v>
      </c>
      <c r="L127" s="96" t="e">
        <f>($D127*K127)</f>
        <v>#REF!</v>
      </c>
      <c r="M127" s="327" t="e">
        <f>SUMIF(#REF!,M4,#REF!)</f>
        <v>#REF!</v>
      </c>
      <c r="N127" s="96" t="e">
        <f>($D127*M127)</f>
        <v>#REF!</v>
      </c>
      <c r="O127" s="327" t="e">
        <f>+G127+I127+K127+M127</f>
        <v>#REF!</v>
      </c>
      <c r="P127" s="96" t="e">
        <f>+H127+J127+L127+N127</f>
        <v>#REF!</v>
      </c>
      <c r="Q127" s="338" t="e">
        <f>+'Planilla de Avance'!#REF!-O127</f>
        <v>#REF!</v>
      </c>
    </row>
    <row r="128" spans="1:17" ht="12.75" customHeight="1">
      <c r="A128" s="285"/>
      <c r="B128" s="48" t="s">
        <v>10</v>
      </c>
      <c r="C128" s="49"/>
      <c r="D128" s="69"/>
      <c r="E128" s="51"/>
      <c r="F128" s="70">
        <f>SUM(F127)</f>
        <v>263285.09999999998</v>
      </c>
      <c r="G128" s="52"/>
      <c r="H128" s="76" t="e">
        <f>SUM(H127)</f>
        <v>#REF!</v>
      </c>
      <c r="I128" s="52"/>
      <c r="J128" s="76" t="e">
        <f>SUM(J127)</f>
        <v>#REF!</v>
      </c>
      <c r="K128" s="52"/>
      <c r="L128" s="76" t="e">
        <f>SUM(L127)</f>
        <v>#REF!</v>
      </c>
      <c r="M128" s="52"/>
      <c r="N128" s="76" t="e">
        <f>SUM(N127)</f>
        <v>#REF!</v>
      </c>
      <c r="O128" s="52"/>
      <c r="P128" s="76" t="e">
        <f>SUM(P127)</f>
        <v>#REF!</v>
      </c>
      <c r="Q128" s="338" t="e">
        <f>+'Planilla de Avance'!#REF!-O128</f>
        <v>#REF!</v>
      </c>
    </row>
    <row r="129" spans="1:17" ht="12.75" customHeight="1">
      <c r="A129" s="285" t="s">
        <v>105</v>
      </c>
      <c r="B129" s="41" t="s">
        <v>106</v>
      </c>
      <c r="C129" s="74"/>
      <c r="D129" s="57"/>
      <c r="E129" s="57"/>
      <c r="F129" s="57"/>
      <c r="G129" s="53"/>
      <c r="H129" s="53"/>
      <c r="I129" s="53"/>
      <c r="J129" s="53"/>
      <c r="K129" s="53"/>
      <c r="L129" s="53"/>
      <c r="M129" s="53"/>
      <c r="N129" s="54"/>
      <c r="O129" s="53"/>
      <c r="P129" s="54"/>
      <c r="Q129" s="338" t="e">
        <f>+'Planilla de Avance'!#REF!-O129</f>
        <v>#REF!</v>
      </c>
    </row>
    <row r="130" spans="1:17" ht="12.75" customHeight="1">
      <c r="A130" s="287">
        <v>12.1</v>
      </c>
      <c r="B130" s="40" t="s">
        <v>11</v>
      </c>
      <c r="C130" s="58" t="s">
        <v>27</v>
      </c>
      <c r="D130" s="79">
        <v>25.820000000000004</v>
      </c>
      <c r="E130" s="100">
        <v>1981.08</v>
      </c>
      <c r="F130" s="80">
        <f t="shared" ref="F130:F137" si="59">ROUND(E130*D130,2)</f>
        <v>51151.49</v>
      </c>
      <c r="G130" s="317" t="e">
        <f>SUMIF(#REF!,G4,#REF!)</f>
        <v>#REF!</v>
      </c>
      <c r="H130" s="73" t="e">
        <f t="shared" ref="H130:H137" si="60">+($D130*G130)</f>
        <v>#REF!</v>
      </c>
      <c r="I130" s="317" t="e">
        <f>SUMIF(#REF!,I4,#REF!)</f>
        <v>#REF!</v>
      </c>
      <c r="J130" s="73" t="e">
        <f t="shared" ref="J130:J137" si="61">($D130*I130)</f>
        <v>#REF!</v>
      </c>
      <c r="K130" s="317" t="e">
        <f>SUMIF(#REF!,K4,#REF!)</f>
        <v>#REF!</v>
      </c>
      <c r="L130" s="73" t="e">
        <f t="shared" ref="L130:L137" si="62">($D130*K130)</f>
        <v>#REF!</v>
      </c>
      <c r="M130" s="317" t="e">
        <f>SUMIF(#REF!,M4,#REF!)</f>
        <v>#REF!</v>
      </c>
      <c r="N130" s="73" t="e">
        <f t="shared" ref="N130:N137" si="63">($D130*M130)</f>
        <v>#REF!</v>
      </c>
      <c r="O130" s="317" t="e">
        <f t="shared" ref="O130:O137" si="64">+G130+I130+K130+M130</f>
        <v>#REF!</v>
      </c>
      <c r="P130" s="73" t="e">
        <f t="shared" ref="P130:P137" si="65">+H130+J130+L130+N130</f>
        <v>#REF!</v>
      </c>
      <c r="Q130" s="338" t="e">
        <f>+'Planilla de Avance'!#REF!-O130</f>
        <v>#REF!</v>
      </c>
    </row>
    <row r="131" spans="1:17" ht="12.75" customHeight="1">
      <c r="A131" s="288">
        <v>12.2</v>
      </c>
      <c r="B131" s="35" t="s">
        <v>50</v>
      </c>
      <c r="C131" s="59" t="s">
        <v>27</v>
      </c>
      <c r="D131" s="81">
        <v>103.86</v>
      </c>
      <c r="E131" s="36">
        <v>1594.04</v>
      </c>
      <c r="F131" s="82">
        <f t="shared" si="59"/>
        <v>165556.99</v>
      </c>
      <c r="G131" s="318" t="e">
        <f>SUMIF(#REF!,G4,#REF!)</f>
        <v>#REF!</v>
      </c>
      <c r="H131" s="37" t="e">
        <f t="shared" si="60"/>
        <v>#REF!</v>
      </c>
      <c r="I131" s="318" t="e">
        <f>SUMIF(#REF!,I4,#REF!)</f>
        <v>#REF!</v>
      </c>
      <c r="J131" s="37" t="e">
        <f t="shared" si="61"/>
        <v>#REF!</v>
      </c>
      <c r="K131" s="318" t="e">
        <f>SUMIF(#REF!,K4,#REF!)</f>
        <v>#REF!</v>
      </c>
      <c r="L131" s="37" t="e">
        <f t="shared" si="62"/>
        <v>#REF!</v>
      </c>
      <c r="M131" s="318" t="e">
        <f>SUMIF(#REF!,M4,#REF!)</f>
        <v>#REF!</v>
      </c>
      <c r="N131" s="37" t="e">
        <f t="shared" si="63"/>
        <v>#REF!</v>
      </c>
      <c r="O131" s="318" t="e">
        <f t="shared" si="64"/>
        <v>#REF!</v>
      </c>
      <c r="P131" s="37" t="e">
        <f t="shared" si="65"/>
        <v>#REF!</v>
      </c>
      <c r="Q131" s="338" t="e">
        <f>+'Planilla de Avance'!#REF!-O131</f>
        <v>#REF!</v>
      </c>
    </row>
    <row r="132" spans="1:17" ht="12.75" customHeight="1">
      <c r="A132" s="288">
        <v>12.3</v>
      </c>
      <c r="B132" s="35" t="s">
        <v>55</v>
      </c>
      <c r="C132" s="59" t="s">
        <v>31</v>
      </c>
      <c r="D132" s="81">
        <v>69.8</v>
      </c>
      <c r="E132" s="38">
        <v>26.8</v>
      </c>
      <c r="F132" s="82">
        <f t="shared" si="59"/>
        <v>1870.64</v>
      </c>
      <c r="G132" s="318" t="e">
        <f>SUMIF(#REF!,G4,#REF!)</f>
        <v>#REF!</v>
      </c>
      <c r="H132" s="37" t="e">
        <f t="shared" si="60"/>
        <v>#REF!</v>
      </c>
      <c r="I132" s="318" t="e">
        <f>SUMIF(#REF!,I4,#REF!)</f>
        <v>#REF!</v>
      </c>
      <c r="J132" s="37" t="e">
        <f t="shared" si="61"/>
        <v>#REF!</v>
      </c>
      <c r="K132" s="318" t="e">
        <f>SUMIF(#REF!,K4,#REF!)</f>
        <v>#REF!</v>
      </c>
      <c r="L132" s="37" t="e">
        <f t="shared" si="62"/>
        <v>#REF!</v>
      </c>
      <c r="M132" s="318" t="e">
        <f>SUMIF(#REF!,M4,#REF!)</f>
        <v>#REF!</v>
      </c>
      <c r="N132" s="37" t="e">
        <f t="shared" si="63"/>
        <v>#REF!</v>
      </c>
      <c r="O132" s="318" t="e">
        <f t="shared" si="64"/>
        <v>#REF!</v>
      </c>
      <c r="P132" s="37" t="e">
        <f t="shared" si="65"/>
        <v>#REF!</v>
      </c>
      <c r="Q132" s="338" t="e">
        <f>+'Planilla de Avance'!#REF!-O132</f>
        <v>#REF!</v>
      </c>
    </row>
    <row r="133" spans="1:17" ht="12.75" customHeight="1">
      <c r="A133" s="288">
        <v>12.4</v>
      </c>
      <c r="B133" s="35" t="s">
        <v>47</v>
      </c>
      <c r="C133" s="59" t="s">
        <v>27</v>
      </c>
      <c r="D133" s="81">
        <v>2471.46</v>
      </c>
      <c r="E133" s="38">
        <v>290.13</v>
      </c>
      <c r="F133" s="82">
        <f t="shared" si="59"/>
        <v>717044.69</v>
      </c>
      <c r="G133" s="318" t="e">
        <f>SUMIF(#REF!,G4,#REF!)</f>
        <v>#REF!</v>
      </c>
      <c r="H133" s="37" t="e">
        <f t="shared" si="60"/>
        <v>#REF!</v>
      </c>
      <c r="I133" s="318" t="e">
        <f>SUMIF(#REF!,I4,#REF!)</f>
        <v>#REF!</v>
      </c>
      <c r="J133" s="37" t="e">
        <f t="shared" si="61"/>
        <v>#REF!</v>
      </c>
      <c r="K133" s="318" t="e">
        <f>SUMIF(#REF!,K4,#REF!)</f>
        <v>#REF!</v>
      </c>
      <c r="L133" s="37" t="e">
        <f t="shared" si="62"/>
        <v>#REF!</v>
      </c>
      <c r="M133" s="318" t="e">
        <f>SUMIF(#REF!,M4,#REF!)</f>
        <v>#REF!</v>
      </c>
      <c r="N133" s="37" t="e">
        <f t="shared" si="63"/>
        <v>#REF!</v>
      </c>
      <c r="O133" s="318" t="e">
        <f t="shared" si="64"/>
        <v>#REF!</v>
      </c>
      <c r="P133" s="37" t="e">
        <f t="shared" si="65"/>
        <v>#REF!</v>
      </c>
      <c r="Q133" s="338" t="e">
        <f>+'Planilla de Avance'!#REF!-O133</f>
        <v>#REF!</v>
      </c>
    </row>
    <row r="134" spans="1:17" ht="12.75" customHeight="1">
      <c r="A134" s="288">
        <v>12.5</v>
      </c>
      <c r="B134" s="35" t="s">
        <v>19</v>
      </c>
      <c r="C134" s="59" t="s">
        <v>46</v>
      </c>
      <c r="D134" s="81">
        <v>28.13</v>
      </c>
      <c r="E134" s="38">
        <v>21187.13</v>
      </c>
      <c r="F134" s="82">
        <f t="shared" si="59"/>
        <v>595993.97</v>
      </c>
      <c r="G134" s="318" t="e">
        <f>SUMIF(#REF!,G4,#REF!)</f>
        <v>#REF!</v>
      </c>
      <c r="H134" s="37" t="e">
        <f t="shared" si="60"/>
        <v>#REF!</v>
      </c>
      <c r="I134" s="318" t="e">
        <f>SUMIF(#REF!,I4,#REF!)</f>
        <v>#REF!</v>
      </c>
      <c r="J134" s="37" t="e">
        <f t="shared" si="61"/>
        <v>#REF!</v>
      </c>
      <c r="K134" s="318" t="e">
        <f>SUMIF(#REF!,K4,#REF!)</f>
        <v>#REF!</v>
      </c>
      <c r="L134" s="37" t="e">
        <f t="shared" si="62"/>
        <v>#REF!</v>
      </c>
      <c r="M134" s="318" t="e">
        <f>SUMIF(#REF!,M4,#REF!)</f>
        <v>#REF!</v>
      </c>
      <c r="N134" s="37" t="e">
        <f t="shared" si="63"/>
        <v>#REF!</v>
      </c>
      <c r="O134" s="318" t="e">
        <f t="shared" si="64"/>
        <v>#REF!</v>
      </c>
      <c r="P134" s="37" t="e">
        <f t="shared" si="65"/>
        <v>#REF!</v>
      </c>
      <c r="Q134" s="338" t="e">
        <f>+'Planilla de Avance'!#REF!-O134</f>
        <v>#REF!</v>
      </c>
    </row>
    <row r="135" spans="1:17" ht="12.75" customHeight="1">
      <c r="A135" s="288">
        <v>12.6</v>
      </c>
      <c r="B135" s="35" t="s">
        <v>76</v>
      </c>
      <c r="C135" s="59" t="s">
        <v>27</v>
      </c>
      <c r="D135" s="81">
        <v>1270.8999999999999</v>
      </c>
      <c r="E135" s="38">
        <v>21.76</v>
      </c>
      <c r="F135" s="82">
        <f t="shared" si="59"/>
        <v>27654.78</v>
      </c>
      <c r="G135" s="318" t="e">
        <f>SUMIF(#REF!,G4,#REF!)</f>
        <v>#REF!</v>
      </c>
      <c r="H135" s="37" t="e">
        <f t="shared" si="60"/>
        <v>#REF!</v>
      </c>
      <c r="I135" s="318" t="e">
        <f>SUMIF(#REF!,I4,#REF!)</f>
        <v>#REF!</v>
      </c>
      <c r="J135" s="37" t="e">
        <f t="shared" si="61"/>
        <v>#REF!</v>
      </c>
      <c r="K135" s="318" t="e">
        <f>SUMIF(#REF!,K4,#REF!)</f>
        <v>#REF!</v>
      </c>
      <c r="L135" s="37" t="e">
        <f t="shared" si="62"/>
        <v>#REF!</v>
      </c>
      <c r="M135" s="318" t="e">
        <f>SUMIF(#REF!,M4,#REF!)</f>
        <v>#REF!</v>
      </c>
      <c r="N135" s="37" t="e">
        <f t="shared" si="63"/>
        <v>#REF!</v>
      </c>
      <c r="O135" s="318" t="e">
        <f t="shared" si="64"/>
        <v>#REF!</v>
      </c>
      <c r="P135" s="37" t="e">
        <f t="shared" si="65"/>
        <v>#REF!</v>
      </c>
      <c r="Q135" s="338" t="e">
        <f>+'Planilla de Avance'!#REF!-O135</f>
        <v>#REF!</v>
      </c>
    </row>
    <row r="136" spans="1:17" ht="12.75" customHeight="1">
      <c r="A136" s="288">
        <v>12.7</v>
      </c>
      <c r="B136" s="35" t="s">
        <v>65</v>
      </c>
      <c r="C136" s="59" t="s">
        <v>27</v>
      </c>
      <c r="D136" s="81">
        <v>746.52</v>
      </c>
      <c r="E136" s="38">
        <v>7.2</v>
      </c>
      <c r="F136" s="82">
        <f t="shared" si="59"/>
        <v>5374.94</v>
      </c>
      <c r="G136" s="318" t="e">
        <f>SUMIF(#REF!,G4,#REF!)</f>
        <v>#REF!</v>
      </c>
      <c r="H136" s="37" t="e">
        <f t="shared" si="60"/>
        <v>#REF!</v>
      </c>
      <c r="I136" s="318" t="e">
        <f>SUMIF(#REF!,I4,#REF!)</f>
        <v>#REF!</v>
      </c>
      <c r="J136" s="37" t="e">
        <f t="shared" si="61"/>
        <v>#REF!</v>
      </c>
      <c r="K136" s="318" t="e">
        <f>SUMIF(#REF!,K4,#REF!)</f>
        <v>#REF!</v>
      </c>
      <c r="L136" s="37" t="e">
        <f t="shared" si="62"/>
        <v>#REF!</v>
      </c>
      <c r="M136" s="318" t="e">
        <f>SUMIF(#REF!,M4,#REF!)</f>
        <v>#REF!</v>
      </c>
      <c r="N136" s="37" t="e">
        <f t="shared" si="63"/>
        <v>#REF!</v>
      </c>
      <c r="O136" s="318" t="e">
        <f t="shared" si="64"/>
        <v>#REF!</v>
      </c>
      <c r="P136" s="37" t="e">
        <f t="shared" si="65"/>
        <v>#REF!</v>
      </c>
      <c r="Q136" s="338" t="e">
        <f>+'Planilla de Avance'!#REF!-O136</f>
        <v>#REF!</v>
      </c>
    </row>
    <row r="137" spans="1:17" ht="12.75" customHeight="1">
      <c r="A137" s="289">
        <v>12.8</v>
      </c>
      <c r="B137" s="45" t="s">
        <v>77</v>
      </c>
      <c r="C137" s="60" t="s">
        <v>0</v>
      </c>
      <c r="D137" s="83">
        <v>92.990000000000023</v>
      </c>
      <c r="E137" s="78">
        <v>8.75</v>
      </c>
      <c r="F137" s="84">
        <f t="shared" si="59"/>
        <v>813.66</v>
      </c>
      <c r="G137" s="319" t="e">
        <f>SUMIF(#REF!,G4,#REF!)</f>
        <v>#REF!</v>
      </c>
      <c r="H137" s="47" t="e">
        <f t="shared" si="60"/>
        <v>#REF!</v>
      </c>
      <c r="I137" s="319" t="e">
        <f>SUMIF(#REF!,I4,#REF!)</f>
        <v>#REF!</v>
      </c>
      <c r="J137" s="47" t="e">
        <f t="shared" si="61"/>
        <v>#REF!</v>
      </c>
      <c r="K137" s="319" t="e">
        <f>SUMIF(#REF!,K4,#REF!)</f>
        <v>#REF!</v>
      </c>
      <c r="L137" s="47" t="e">
        <f t="shared" si="62"/>
        <v>#REF!</v>
      </c>
      <c r="M137" s="319" t="e">
        <f>SUMIF(#REF!,M4,#REF!)</f>
        <v>#REF!</v>
      </c>
      <c r="N137" s="47" t="e">
        <f t="shared" si="63"/>
        <v>#REF!</v>
      </c>
      <c r="O137" s="319" t="e">
        <f t="shared" si="64"/>
        <v>#REF!</v>
      </c>
      <c r="P137" s="47" t="e">
        <f t="shared" si="65"/>
        <v>#REF!</v>
      </c>
      <c r="Q137" s="338" t="e">
        <f>+'Planilla de Avance'!#REF!-O137</f>
        <v>#REF!</v>
      </c>
    </row>
    <row r="138" spans="1:17" ht="12.75" customHeight="1">
      <c r="A138" s="97"/>
      <c r="B138" s="48" t="s">
        <v>10</v>
      </c>
      <c r="C138" s="49"/>
      <c r="D138" s="69"/>
      <c r="E138" s="51"/>
      <c r="F138" s="70">
        <f>SUM(F130:F137)</f>
        <v>1565461.1599999997</v>
      </c>
      <c r="G138" s="52"/>
      <c r="H138" s="76" t="e">
        <f>SUM(H130:H137)</f>
        <v>#REF!</v>
      </c>
      <c r="I138" s="52"/>
      <c r="J138" s="76" t="e">
        <f>SUM(J130:J137)</f>
        <v>#REF!</v>
      </c>
      <c r="K138" s="52"/>
      <c r="L138" s="76" t="e">
        <f>SUM(L130:L137)</f>
        <v>#REF!</v>
      </c>
      <c r="M138" s="52"/>
      <c r="N138" s="76" t="e">
        <f>SUM(N130:N137)</f>
        <v>#REF!</v>
      </c>
      <c r="O138" s="52"/>
      <c r="P138" s="76" t="e">
        <f>SUM(P130:P137)</f>
        <v>#REF!</v>
      </c>
      <c r="Q138" s="338" t="e">
        <f>+'Planilla de Avance'!#REF!-O138</f>
        <v>#REF!</v>
      </c>
    </row>
    <row r="139" spans="1:17" ht="12.75" customHeight="1">
      <c r="A139" s="285" t="s">
        <v>108</v>
      </c>
      <c r="B139" s="41" t="s">
        <v>107</v>
      </c>
      <c r="C139" s="74"/>
      <c r="D139" s="57"/>
      <c r="E139" s="57"/>
      <c r="F139" s="57"/>
      <c r="G139" s="53"/>
      <c r="H139" s="53"/>
      <c r="I139" s="53"/>
      <c r="J139" s="53"/>
      <c r="K139" s="53"/>
      <c r="L139" s="53"/>
      <c r="M139" s="53"/>
      <c r="N139" s="54"/>
      <c r="O139" s="53"/>
      <c r="P139" s="54"/>
      <c r="Q139" s="338" t="e">
        <f>+'Planilla de Avance'!#REF!-O139</f>
        <v>#REF!</v>
      </c>
    </row>
    <row r="140" spans="1:17" ht="12.75" customHeight="1">
      <c r="A140" s="287">
        <v>13.1</v>
      </c>
      <c r="B140" s="40" t="s">
        <v>11</v>
      </c>
      <c r="C140" s="58" t="s">
        <v>27</v>
      </c>
      <c r="D140" s="79">
        <v>25.820000000000004</v>
      </c>
      <c r="E140" s="100">
        <v>2439.4299999999998</v>
      </c>
      <c r="F140" s="80">
        <f t="shared" ref="F140:F147" si="66">ROUND(E140*D140,2)</f>
        <v>62986.080000000002</v>
      </c>
      <c r="G140" s="317" t="e">
        <f>SUMIF(#REF!,G4,#REF!)</f>
        <v>#REF!</v>
      </c>
      <c r="H140" s="73" t="e">
        <f t="shared" ref="H140:H147" si="67">+($D140*G140)</f>
        <v>#REF!</v>
      </c>
      <c r="I140" s="317" t="e">
        <f>SUMIF(#REF!,I4,#REF!)</f>
        <v>#REF!</v>
      </c>
      <c r="J140" s="73" t="e">
        <f t="shared" ref="J140:J147" si="68">($D140*I140)</f>
        <v>#REF!</v>
      </c>
      <c r="K140" s="317" t="e">
        <f>SUMIF(#REF!,K4,#REF!)</f>
        <v>#REF!</v>
      </c>
      <c r="L140" s="73" t="e">
        <f t="shared" ref="L140:L147" si="69">($D140*K140)</f>
        <v>#REF!</v>
      </c>
      <c r="M140" s="317" t="e">
        <f>SUMIF(#REF!,M4,#REF!)</f>
        <v>#REF!</v>
      </c>
      <c r="N140" s="73" t="e">
        <f t="shared" ref="N140:N147" si="70">($D140*M140)</f>
        <v>#REF!</v>
      </c>
      <c r="O140" s="317" t="e">
        <f t="shared" ref="O140:O147" si="71">+G140+I140+K140+M140</f>
        <v>#REF!</v>
      </c>
      <c r="P140" s="73" t="e">
        <f t="shared" ref="P140:P147" si="72">+H140+J140+L140+N140</f>
        <v>#REF!</v>
      </c>
      <c r="Q140" s="338" t="e">
        <f>+'Planilla de Avance'!#REF!-O140</f>
        <v>#REF!</v>
      </c>
    </row>
    <row r="141" spans="1:17" ht="12.75" customHeight="1">
      <c r="A141" s="288">
        <v>13.2</v>
      </c>
      <c r="B141" s="35" t="s">
        <v>50</v>
      </c>
      <c r="C141" s="59" t="s">
        <v>27</v>
      </c>
      <c r="D141" s="81">
        <v>101.18999999999998</v>
      </c>
      <c r="E141" s="38">
        <v>1962.84</v>
      </c>
      <c r="F141" s="82">
        <f t="shared" si="66"/>
        <v>198619.78</v>
      </c>
      <c r="G141" s="318" t="e">
        <f>SUMIF(#REF!,G4,#REF!)</f>
        <v>#REF!</v>
      </c>
      <c r="H141" s="37" t="e">
        <f t="shared" si="67"/>
        <v>#REF!</v>
      </c>
      <c r="I141" s="318" t="e">
        <f>SUMIF(#REF!,I4,#REF!)</f>
        <v>#REF!</v>
      </c>
      <c r="J141" s="37" t="e">
        <f t="shared" si="68"/>
        <v>#REF!</v>
      </c>
      <c r="K141" s="318" t="e">
        <f>SUMIF(#REF!,K4,#REF!)</f>
        <v>#REF!</v>
      </c>
      <c r="L141" s="37" t="e">
        <f t="shared" si="69"/>
        <v>#REF!</v>
      </c>
      <c r="M141" s="318" t="e">
        <f>SUMIF(#REF!,M4,#REF!)</f>
        <v>#REF!</v>
      </c>
      <c r="N141" s="37" t="e">
        <f t="shared" si="70"/>
        <v>#REF!</v>
      </c>
      <c r="O141" s="318" t="e">
        <f t="shared" si="71"/>
        <v>#REF!</v>
      </c>
      <c r="P141" s="37" t="e">
        <f t="shared" si="72"/>
        <v>#REF!</v>
      </c>
      <c r="Q141" s="338" t="e">
        <f>+'Planilla de Avance'!#REF!-O141</f>
        <v>#REF!</v>
      </c>
    </row>
    <row r="142" spans="1:17" ht="12.75" customHeight="1">
      <c r="A142" s="288">
        <v>13.3</v>
      </c>
      <c r="B142" s="35" t="s">
        <v>55</v>
      </c>
      <c r="C142" s="59" t="s">
        <v>31</v>
      </c>
      <c r="D142" s="81">
        <v>69.8</v>
      </c>
      <c r="E142" s="38">
        <v>30.31</v>
      </c>
      <c r="F142" s="82">
        <f t="shared" si="66"/>
        <v>2115.64</v>
      </c>
      <c r="G142" s="318" t="e">
        <f>SUMIF(#REF!,G4,#REF!)</f>
        <v>#REF!</v>
      </c>
      <c r="H142" s="37" t="e">
        <f t="shared" si="67"/>
        <v>#REF!</v>
      </c>
      <c r="I142" s="318" t="e">
        <f>SUMIF(#REF!,I4,#REF!)</f>
        <v>#REF!</v>
      </c>
      <c r="J142" s="37" t="e">
        <f t="shared" si="68"/>
        <v>#REF!</v>
      </c>
      <c r="K142" s="318" t="e">
        <f>SUMIF(#REF!,K4,#REF!)</f>
        <v>#REF!</v>
      </c>
      <c r="L142" s="37" t="e">
        <f t="shared" si="69"/>
        <v>#REF!</v>
      </c>
      <c r="M142" s="318" t="e">
        <f>SUMIF(#REF!,M4,#REF!)</f>
        <v>#REF!</v>
      </c>
      <c r="N142" s="37" t="e">
        <f t="shared" si="70"/>
        <v>#REF!</v>
      </c>
      <c r="O142" s="318" t="e">
        <f t="shared" si="71"/>
        <v>#REF!</v>
      </c>
      <c r="P142" s="37" t="e">
        <f t="shared" si="72"/>
        <v>#REF!</v>
      </c>
      <c r="Q142" s="338" t="e">
        <f>+'Planilla de Avance'!#REF!-O142</f>
        <v>#REF!</v>
      </c>
    </row>
    <row r="143" spans="1:17" ht="12.75" customHeight="1">
      <c r="A143" s="288">
        <v>13.4</v>
      </c>
      <c r="B143" s="35" t="s">
        <v>47</v>
      </c>
      <c r="C143" s="59" t="s">
        <v>27</v>
      </c>
      <c r="D143" s="81">
        <v>2471.46</v>
      </c>
      <c r="E143" s="38">
        <v>296.39999999999998</v>
      </c>
      <c r="F143" s="82">
        <f t="shared" si="66"/>
        <v>732540.74</v>
      </c>
      <c r="G143" s="318" t="e">
        <f>SUMIF(#REF!,G4,#REF!)</f>
        <v>#REF!</v>
      </c>
      <c r="H143" s="37" t="e">
        <f t="shared" si="67"/>
        <v>#REF!</v>
      </c>
      <c r="I143" s="318" t="e">
        <f>SUMIF(#REF!,I4,#REF!)</f>
        <v>#REF!</v>
      </c>
      <c r="J143" s="37" t="e">
        <f t="shared" si="68"/>
        <v>#REF!</v>
      </c>
      <c r="K143" s="318" t="e">
        <f>SUMIF(#REF!,K4,#REF!)</f>
        <v>#REF!</v>
      </c>
      <c r="L143" s="37" t="e">
        <f t="shared" si="69"/>
        <v>#REF!</v>
      </c>
      <c r="M143" s="318" t="e">
        <f>SUMIF(#REF!,M4,#REF!)</f>
        <v>#REF!</v>
      </c>
      <c r="N143" s="37" t="e">
        <f t="shared" si="70"/>
        <v>#REF!</v>
      </c>
      <c r="O143" s="318" t="e">
        <f t="shared" si="71"/>
        <v>#REF!</v>
      </c>
      <c r="P143" s="37" t="e">
        <f t="shared" si="72"/>
        <v>#REF!</v>
      </c>
      <c r="Q143" s="338" t="e">
        <f>+'Planilla de Avance'!#REF!-O143</f>
        <v>#REF!</v>
      </c>
    </row>
    <row r="144" spans="1:17" ht="12.75" customHeight="1">
      <c r="A144" s="288">
        <v>13.5</v>
      </c>
      <c r="B144" s="35" t="s">
        <v>19</v>
      </c>
      <c r="C144" s="59" t="s">
        <v>46</v>
      </c>
      <c r="D144" s="81">
        <v>28.13</v>
      </c>
      <c r="E144" s="38">
        <v>22032.85</v>
      </c>
      <c r="F144" s="82">
        <f t="shared" si="66"/>
        <v>619784.06999999995</v>
      </c>
      <c r="G144" s="318" t="e">
        <f>SUMIF(#REF!,G4,#REF!)</f>
        <v>#REF!</v>
      </c>
      <c r="H144" s="37" t="e">
        <f t="shared" si="67"/>
        <v>#REF!</v>
      </c>
      <c r="I144" s="318" t="e">
        <f>SUMIF(#REF!,I4,#REF!)</f>
        <v>#REF!</v>
      </c>
      <c r="J144" s="37" t="e">
        <f t="shared" si="68"/>
        <v>#REF!</v>
      </c>
      <c r="K144" s="318" t="e">
        <f>SUMIF(#REF!,K4,#REF!)</f>
        <v>#REF!</v>
      </c>
      <c r="L144" s="37" t="e">
        <f t="shared" si="69"/>
        <v>#REF!</v>
      </c>
      <c r="M144" s="318" t="e">
        <f>SUMIF(#REF!,M4,#REF!)</f>
        <v>#REF!</v>
      </c>
      <c r="N144" s="37" t="e">
        <f t="shared" si="70"/>
        <v>#REF!</v>
      </c>
      <c r="O144" s="318" t="e">
        <f t="shared" si="71"/>
        <v>#REF!</v>
      </c>
      <c r="P144" s="37" t="e">
        <f t="shared" si="72"/>
        <v>#REF!</v>
      </c>
      <c r="Q144" s="338" t="e">
        <f>+'Planilla de Avance'!#REF!-O144</f>
        <v>#REF!</v>
      </c>
    </row>
    <row r="145" spans="1:17" ht="12.75" customHeight="1">
      <c r="A145" s="288">
        <v>13.6</v>
      </c>
      <c r="B145" s="35" t="s">
        <v>76</v>
      </c>
      <c r="C145" s="59" t="s">
        <v>27</v>
      </c>
      <c r="D145" s="81">
        <v>1270.8999999999999</v>
      </c>
      <c r="E145" s="38">
        <v>22.23</v>
      </c>
      <c r="F145" s="82">
        <f t="shared" si="66"/>
        <v>28252.11</v>
      </c>
      <c r="G145" s="318" t="e">
        <f>SUMIF(#REF!,G4,#REF!)</f>
        <v>#REF!</v>
      </c>
      <c r="H145" s="37" t="e">
        <f t="shared" si="67"/>
        <v>#REF!</v>
      </c>
      <c r="I145" s="318" t="e">
        <f>SUMIF(#REF!,I4,#REF!)</f>
        <v>#REF!</v>
      </c>
      <c r="J145" s="37" t="e">
        <f t="shared" si="68"/>
        <v>#REF!</v>
      </c>
      <c r="K145" s="318" t="e">
        <f>SUMIF(#REF!,K4,#REF!)</f>
        <v>#REF!</v>
      </c>
      <c r="L145" s="37" t="e">
        <f t="shared" si="69"/>
        <v>#REF!</v>
      </c>
      <c r="M145" s="318" t="e">
        <f>SUMIF(#REF!,M4,#REF!)</f>
        <v>#REF!</v>
      </c>
      <c r="N145" s="37" t="e">
        <f t="shared" si="70"/>
        <v>#REF!</v>
      </c>
      <c r="O145" s="318" t="e">
        <f t="shared" si="71"/>
        <v>#REF!</v>
      </c>
      <c r="P145" s="37" t="e">
        <f t="shared" si="72"/>
        <v>#REF!</v>
      </c>
      <c r="Q145" s="338" t="e">
        <f>+'Planilla de Avance'!#REF!-O145</f>
        <v>#REF!</v>
      </c>
    </row>
    <row r="146" spans="1:17" ht="12.75" customHeight="1">
      <c r="A146" s="288">
        <v>13.7</v>
      </c>
      <c r="B146" s="35" t="s">
        <v>65</v>
      </c>
      <c r="C146" s="59" t="s">
        <v>27</v>
      </c>
      <c r="D146" s="81">
        <v>746.52</v>
      </c>
      <c r="E146" s="38">
        <v>7.31</v>
      </c>
      <c r="F146" s="82">
        <f t="shared" si="66"/>
        <v>5457.06</v>
      </c>
      <c r="G146" s="318" t="e">
        <f>SUMIF(#REF!,G4,#REF!)</f>
        <v>#REF!</v>
      </c>
      <c r="H146" s="37" t="e">
        <f t="shared" si="67"/>
        <v>#REF!</v>
      </c>
      <c r="I146" s="318" t="e">
        <f>SUMIF(#REF!,I4,#REF!)</f>
        <v>#REF!</v>
      </c>
      <c r="J146" s="37" t="e">
        <f t="shared" si="68"/>
        <v>#REF!</v>
      </c>
      <c r="K146" s="318" t="e">
        <f>SUMIF(#REF!,K4,#REF!)</f>
        <v>#REF!</v>
      </c>
      <c r="L146" s="37" t="e">
        <f t="shared" si="69"/>
        <v>#REF!</v>
      </c>
      <c r="M146" s="318" t="e">
        <f>SUMIF(#REF!,M4,#REF!)</f>
        <v>#REF!</v>
      </c>
      <c r="N146" s="37" t="e">
        <f t="shared" si="70"/>
        <v>#REF!</v>
      </c>
      <c r="O146" s="318" t="e">
        <f t="shared" si="71"/>
        <v>#REF!</v>
      </c>
      <c r="P146" s="37" t="e">
        <f t="shared" si="72"/>
        <v>#REF!</v>
      </c>
      <c r="Q146" s="338" t="e">
        <f>+'Planilla de Avance'!#REF!-O146</f>
        <v>#REF!</v>
      </c>
    </row>
    <row r="147" spans="1:17" ht="12.75" customHeight="1">
      <c r="A147" s="289">
        <v>13.8</v>
      </c>
      <c r="B147" s="45" t="s">
        <v>77</v>
      </c>
      <c r="C147" s="60" t="s">
        <v>0</v>
      </c>
      <c r="D147" s="83">
        <v>92.990000000000023</v>
      </c>
      <c r="E147" s="78">
        <v>8.9</v>
      </c>
      <c r="F147" s="84">
        <f t="shared" si="66"/>
        <v>827.61</v>
      </c>
      <c r="G147" s="319" t="e">
        <f>SUMIF(#REF!,G4,#REF!)</f>
        <v>#REF!</v>
      </c>
      <c r="H147" s="47" t="e">
        <f t="shared" si="67"/>
        <v>#REF!</v>
      </c>
      <c r="I147" s="319" t="e">
        <f>SUMIF(#REF!,I4,#REF!)</f>
        <v>#REF!</v>
      </c>
      <c r="J147" s="47" t="e">
        <f t="shared" si="68"/>
        <v>#REF!</v>
      </c>
      <c r="K147" s="319" t="e">
        <f>SUMIF(#REF!,K4,#REF!)</f>
        <v>#REF!</v>
      </c>
      <c r="L147" s="47" t="e">
        <f t="shared" si="69"/>
        <v>#REF!</v>
      </c>
      <c r="M147" s="319" t="e">
        <f>SUMIF(#REF!,M4,#REF!)</f>
        <v>#REF!</v>
      </c>
      <c r="N147" s="47" t="e">
        <f t="shared" si="70"/>
        <v>#REF!</v>
      </c>
      <c r="O147" s="319" t="e">
        <f t="shared" si="71"/>
        <v>#REF!</v>
      </c>
      <c r="P147" s="47" t="e">
        <f t="shared" si="72"/>
        <v>#REF!</v>
      </c>
      <c r="Q147" s="338" t="e">
        <f>+'Planilla de Avance'!#REF!-O147</f>
        <v>#REF!</v>
      </c>
    </row>
    <row r="148" spans="1:17" ht="12.75" customHeight="1">
      <c r="A148" s="97"/>
      <c r="B148" s="48" t="s">
        <v>10</v>
      </c>
      <c r="C148" s="49"/>
      <c r="D148" s="69"/>
      <c r="E148" s="51"/>
      <c r="F148" s="70">
        <f>SUM(F140:F147)</f>
        <v>1650583.0900000003</v>
      </c>
      <c r="G148" s="52"/>
      <c r="H148" s="76" t="e">
        <f>SUM(H140:H147)</f>
        <v>#REF!</v>
      </c>
      <c r="I148" s="52"/>
      <c r="J148" s="76" t="e">
        <f>SUM(J140:J147)</f>
        <v>#REF!</v>
      </c>
      <c r="K148" s="52"/>
      <c r="L148" s="76" t="e">
        <f>SUM(L140:L147)</f>
        <v>#REF!</v>
      </c>
      <c r="M148" s="52"/>
      <c r="N148" s="76" t="e">
        <f>SUM(N140:N147)</f>
        <v>#REF!</v>
      </c>
      <c r="O148" s="52"/>
      <c r="P148" s="76" t="e">
        <f>SUM(P140:P147)</f>
        <v>#REF!</v>
      </c>
      <c r="Q148" s="338" t="e">
        <f>+'Planilla de Avance'!#REF!-O148</f>
        <v>#REF!</v>
      </c>
    </row>
    <row r="149" spans="1:17" ht="12.75" customHeight="1">
      <c r="A149" s="285" t="s">
        <v>111</v>
      </c>
      <c r="B149" s="41" t="s">
        <v>109</v>
      </c>
      <c r="C149" s="74"/>
      <c r="D149" s="50"/>
      <c r="E149" s="51"/>
      <c r="F149" s="50"/>
      <c r="G149" s="53"/>
      <c r="H149" s="53"/>
      <c r="I149" s="53"/>
      <c r="J149" s="53"/>
      <c r="K149" s="53"/>
      <c r="L149" s="53"/>
      <c r="M149" s="53"/>
      <c r="N149" s="54"/>
      <c r="O149" s="53"/>
      <c r="P149" s="54"/>
      <c r="Q149" s="338" t="e">
        <f>+'Planilla de Avance'!#REF!-O149</f>
        <v>#REF!</v>
      </c>
    </row>
    <row r="150" spans="1:17" ht="12.75" customHeight="1">
      <c r="A150" s="292">
        <v>14.1</v>
      </c>
      <c r="B150" s="85" t="s">
        <v>110</v>
      </c>
      <c r="C150" s="87" t="s">
        <v>23</v>
      </c>
      <c r="D150" s="88">
        <v>14899757.960000001</v>
      </c>
      <c r="E150" s="101">
        <v>1</v>
      </c>
      <c r="F150" s="90">
        <f>ROUND(E150*D150,2)</f>
        <v>14899757.960000001</v>
      </c>
      <c r="G150" s="326" t="e">
        <f>SUMIF(#REF!,G4,#REF!)</f>
        <v>#REF!</v>
      </c>
      <c r="H150" s="91" t="e">
        <f>+($D150*G150)</f>
        <v>#REF!</v>
      </c>
      <c r="I150" s="326" t="e">
        <f>SUMIF(#REF!,I4,#REF!)</f>
        <v>#REF!</v>
      </c>
      <c r="J150" s="91" t="e">
        <f>($D150*I150)</f>
        <v>#REF!</v>
      </c>
      <c r="K150" s="326" t="e">
        <f>SUMIF(#REF!,K4,#REF!)</f>
        <v>#REF!</v>
      </c>
      <c r="L150" s="91" t="e">
        <f>($D150*K150)</f>
        <v>#REF!</v>
      </c>
      <c r="M150" s="326" t="e">
        <f>SUMIF(#REF!,M4,#REF!)</f>
        <v>#REF!</v>
      </c>
      <c r="N150" s="91" t="e">
        <f>($D150*M150)</f>
        <v>#REF!</v>
      </c>
      <c r="O150" s="326" t="e">
        <f>+G150+I150+K150+M150</f>
        <v>#REF!</v>
      </c>
      <c r="P150" s="91" t="e">
        <f>+H150+J150+L150+N150</f>
        <v>#REF!</v>
      </c>
      <c r="Q150" s="338" t="e">
        <f>+'Planilla de Avance'!#REF!-O150</f>
        <v>#REF!</v>
      </c>
    </row>
    <row r="151" spans="1:17" ht="12.75" customHeight="1">
      <c r="A151" s="97"/>
      <c r="B151" s="48" t="s">
        <v>10</v>
      </c>
      <c r="C151" s="49"/>
      <c r="D151" s="69"/>
      <c r="E151" s="51"/>
      <c r="F151" s="70">
        <f>SUM(F150)</f>
        <v>14899757.960000001</v>
      </c>
      <c r="G151" s="52"/>
      <c r="H151" s="76" t="e">
        <f>SUM(H150)</f>
        <v>#REF!</v>
      </c>
      <c r="I151" s="52"/>
      <c r="J151" s="76" t="e">
        <f>SUM(J150)</f>
        <v>#REF!</v>
      </c>
      <c r="K151" s="52"/>
      <c r="L151" s="76" t="e">
        <f>SUM(L150)</f>
        <v>#REF!</v>
      </c>
      <c r="M151" s="52"/>
      <c r="N151" s="76" t="e">
        <f>SUM(N150)</f>
        <v>#REF!</v>
      </c>
      <c r="O151" s="52"/>
      <c r="P151" s="76" t="e">
        <f>SUM(P150)</f>
        <v>#REF!</v>
      </c>
      <c r="Q151" s="338" t="e">
        <f>+'Planilla de Avance'!#REF!-O151</f>
        <v>#REF!</v>
      </c>
    </row>
    <row r="152" spans="1:17" ht="12.75" customHeight="1">
      <c r="A152" s="285" t="s">
        <v>113</v>
      </c>
      <c r="B152" s="41" t="s">
        <v>112</v>
      </c>
      <c r="C152" s="74"/>
      <c r="D152" s="50"/>
      <c r="E152" s="51"/>
      <c r="F152" s="50"/>
      <c r="G152" s="53"/>
      <c r="H152" s="53"/>
      <c r="I152" s="53"/>
      <c r="J152" s="53"/>
      <c r="K152" s="53"/>
      <c r="L152" s="53"/>
      <c r="M152" s="53"/>
      <c r="N152" s="54"/>
      <c r="O152" s="53"/>
      <c r="P152" s="54"/>
      <c r="Q152" s="338" t="e">
        <f>+'Planilla de Avance'!#REF!-O152</f>
        <v>#REF!</v>
      </c>
    </row>
    <row r="153" spans="1:17" ht="12.75" customHeight="1">
      <c r="A153" s="97"/>
      <c r="B153" s="94" t="s">
        <v>82</v>
      </c>
      <c r="C153" s="74"/>
      <c r="D153" s="50"/>
      <c r="E153" s="51"/>
      <c r="F153" s="50"/>
      <c r="G153" s="53"/>
      <c r="H153" s="53"/>
      <c r="I153" s="53"/>
      <c r="J153" s="53"/>
      <c r="K153" s="53"/>
      <c r="L153" s="53"/>
      <c r="M153" s="53"/>
      <c r="N153" s="54"/>
      <c r="O153" s="53"/>
      <c r="P153" s="54"/>
      <c r="Q153" s="338" t="e">
        <f>+'Planilla de Avance'!#REF!-O153</f>
        <v>#REF!</v>
      </c>
    </row>
    <row r="154" spans="1:17" ht="12.75" customHeight="1">
      <c r="A154" s="287">
        <v>15.1</v>
      </c>
      <c r="B154" s="40" t="s">
        <v>47</v>
      </c>
      <c r="C154" s="58" t="s">
        <v>27</v>
      </c>
      <c r="D154" s="79">
        <v>2471.46</v>
      </c>
      <c r="E154" s="100">
        <v>453.31</v>
      </c>
      <c r="F154" s="80">
        <f>ROUND(E154*D154,2)</f>
        <v>1120337.53</v>
      </c>
      <c r="G154" s="317" t="e">
        <f>SUMIF(#REF!,G4,#REF!)</f>
        <v>#REF!</v>
      </c>
      <c r="H154" s="73" t="e">
        <f>+($D154*G154)</f>
        <v>#REF!</v>
      </c>
      <c r="I154" s="317" t="e">
        <f>SUMIF(#REF!,I4,#REF!)</f>
        <v>#REF!</v>
      </c>
      <c r="J154" s="73" t="e">
        <f>($D154*I154)</f>
        <v>#REF!</v>
      </c>
      <c r="K154" s="317" t="e">
        <f>SUMIF(#REF!,K4,#REF!)</f>
        <v>#REF!</v>
      </c>
      <c r="L154" s="73" t="e">
        <f>($D154*K154)</f>
        <v>#REF!</v>
      </c>
      <c r="M154" s="317" t="e">
        <f>SUMIF(#REF!,M4,#REF!)</f>
        <v>#REF!</v>
      </c>
      <c r="N154" s="73" t="e">
        <f>($D154*M154)</f>
        <v>#REF!</v>
      </c>
      <c r="O154" s="317" t="e">
        <f t="shared" ref="O154:P158" si="73">+G154+I154+K154+M154</f>
        <v>#REF!</v>
      </c>
      <c r="P154" s="73" t="e">
        <f t="shared" si="73"/>
        <v>#REF!</v>
      </c>
      <c r="Q154" s="338" t="e">
        <f>+'Planilla de Avance'!#REF!-O154</f>
        <v>#REF!</v>
      </c>
    </row>
    <row r="155" spans="1:17" ht="12.75" customHeight="1">
      <c r="A155" s="288">
        <v>15.2</v>
      </c>
      <c r="B155" s="35" t="s">
        <v>19</v>
      </c>
      <c r="C155" s="59" t="s">
        <v>46</v>
      </c>
      <c r="D155" s="81">
        <v>28.13</v>
      </c>
      <c r="E155" s="38">
        <v>29067.63</v>
      </c>
      <c r="F155" s="82">
        <f>ROUND(E155*D155,2)</f>
        <v>817672.43</v>
      </c>
      <c r="G155" s="318" t="e">
        <f>SUMIF(#REF!,G4,#REF!)</f>
        <v>#REF!</v>
      </c>
      <c r="H155" s="37" t="e">
        <f>+($D155*G155)</f>
        <v>#REF!</v>
      </c>
      <c r="I155" s="318" t="e">
        <f>SUMIF(#REF!,I4,#REF!)</f>
        <v>#REF!</v>
      </c>
      <c r="J155" s="37" t="e">
        <f>($D155*I155)</f>
        <v>#REF!</v>
      </c>
      <c r="K155" s="318" t="e">
        <f>SUMIF(#REF!,K4,#REF!)</f>
        <v>#REF!</v>
      </c>
      <c r="L155" s="37" t="e">
        <f>($D155*K155)</f>
        <v>#REF!</v>
      </c>
      <c r="M155" s="318" t="e">
        <f>SUMIF(#REF!,M4,#REF!)</f>
        <v>#REF!</v>
      </c>
      <c r="N155" s="37" t="e">
        <f>($D155*M155)</f>
        <v>#REF!</v>
      </c>
      <c r="O155" s="318" t="e">
        <f t="shared" si="73"/>
        <v>#REF!</v>
      </c>
      <c r="P155" s="37" t="e">
        <f t="shared" si="73"/>
        <v>#REF!</v>
      </c>
      <c r="Q155" s="338" t="e">
        <f>+'Planilla de Avance'!#REF!-O155</f>
        <v>#REF!</v>
      </c>
    </row>
    <row r="156" spans="1:17" ht="12.75" customHeight="1">
      <c r="A156" s="288">
        <v>15.3</v>
      </c>
      <c r="B156" s="35" t="s">
        <v>11</v>
      </c>
      <c r="C156" s="59" t="s">
        <v>27</v>
      </c>
      <c r="D156" s="81">
        <v>25.820000000000004</v>
      </c>
      <c r="E156" s="38">
        <v>1064</v>
      </c>
      <c r="F156" s="82">
        <f>ROUND(E156*D156,2)</f>
        <v>27472.48</v>
      </c>
      <c r="G156" s="318" t="e">
        <f>SUMIF(#REF!,G4,#REF!)</f>
        <v>#REF!</v>
      </c>
      <c r="H156" s="37" t="e">
        <f>+($D156*G156)</f>
        <v>#REF!</v>
      </c>
      <c r="I156" s="318" t="e">
        <f>SUMIF(#REF!,I4,#REF!)</f>
        <v>#REF!</v>
      </c>
      <c r="J156" s="37" t="e">
        <f>($D156*I156)</f>
        <v>#REF!</v>
      </c>
      <c r="K156" s="318" t="e">
        <f>SUMIF(#REF!,K4,#REF!)</f>
        <v>#REF!</v>
      </c>
      <c r="L156" s="37" t="e">
        <f>($D156*K156)</f>
        <v>#REF!</v>
      </c>
      <c r="M156" s="318" t="e">
        <f>SUMIF(#REF!,M4,#REF!)</f>
        <v>#REF!</v>
      </c>
      <c r="N156" s="37" t="e">
        <f>($D156*M156)</f>
        <v>#REF!</v>
      </c>
      <c r="O156" s="318" t="e">
        <f t="shared" si="73"/>
        <v>#REF!</v>
      </c>
      <c r="P156" s="37" t="e">
        <f t="shared" si="73"/>
        <v>#REF!</v>
      </c>
      <c r="Q156" s="338" t="e">
        <f>+'Planilla de Avance'!#REF!-O156</f>
        <v>#REF!</v>
      </c>
    </row>
    <row r="157" spans="1:17" ht="12.75" customHeight="1">
      <c r="A157" s="288">
        <v>15.4</v>
      </c>
      <c r="B157" s="35" t="s">
        <v>76</v>
      </c>
      <c r="C157" s="59" t="s">
        <v>27</v>
      </c>
      <c r="D157" s="81">
        <v>1270.8999999999999</v>
      </c>
      <c r="E157" s="38">
        <v>14.98</v>
      </c>
      <c r="F157" s="82">
        <f>ROUND(E157*D157,2)</f>
        <v>19038.080000000002</v>
      </c>
      <c r="G157" s="318" t="e">
        <f>SUMIF(#REF!,G4,#REF!)</f>
        <v>#REF!</v>
      </c>
      <c r="H157" s="37" t="e">
        <f>+($D157*G157)</f>
        <v>#REF!</v>
      </c>
      <c r="I157" s="318" t="e">
        <f>SUMIF(#REF!,I4,#REF!)</f>
        <v>#REF!</v>
      </c>
      <c r="J157" s="37" t="e">
        <f>($D157*I157)</f>
        <v>#REF!</v>
      </c>
      <c r="K157" s="318" t="e">
        <f>SUMIF(#REF!,K4,#REF!)</f>
        <v>#REF!</v>
      </c>
      <c r="L157" s="37" t="e">
        <f>($D157*K157)</f>
        <v>#REF!</v>
      </c>
      <c r="M157" s="318" t="e">
        <f>SUMIF(#REF!,M4,#REF!)</f>
        <v>#REF!</v>
      </c>
      <c r="N157" s="37" t="e">
        <f>($D157*M157)</f>
        <v>#REF!</v>
      </c>
      <c r="O157" s="318" t="e">
        <f t="shared" si="73"/>
        <v>#REF!</v>
      </c>
      <c r="P157" s="37" t="e">
        <f t="shared" si="73"/>
        <v>#REF!</v>
      </c>
      <c r="Q157" s="338" t="e">
        <f>+'Planilla de Avance'!#REF!-O157</f>
        <v>#REF!</v>
      </c>
    </row>
    <row r="158" spans="1:17" ht="12.75" customHeight="1">
      <c r="A158" s="288">
        <v>15.5</v>
      </c>
      <c r="B158" s="35" t="s">
        <v>85</v>
      </c>
      <c r="C158" s="59" t="s">
        <v>86</v>
      </c>
      <c r="D158" s="81">
        <v>508.86</v>
      </c>
      <c r="E158" s="38">
        <v>100</v>
      </c>
      <c r="F158" s="82">
        <f>ROUND(E158*D158,2)</f>
        <v>50886</v>
      </c>
      <c r="G158" s="318" t="e">
        <f>SUMIF(#REF!,G4,#REF!)</f>
        <v>#REF!</v>
      </c>
      <c r="H158" s="37" t="e">
        <f>+($D158*G158)</f>
        <v>#REF!</v>
      </c>
      <c r="I158" s="318" t="e">
        <f>SUMIF(#REF!,I4,#REF!)</f>
        <v>#REF!</v>
      </c>
      <c r="J158" s="37" t="e">
        <f>($D158*I158)</f>
        <v>#REF!</v>
      </c>
      <c r="K158" s="318" t="e">
        <f>SUMIF(#REF!,K4,#REF!)</f>
        <v>#REF!</v>
      </c>
      <c r="L158" s="37" t="e">
        <f>($D158*K158)</f>
        <v>#REF!</v>
      </c>
      <c r="M158" s="318" t="e">
        <f>SUMIF(#REF!,M4,#REF!)</f>
        <v>#REF!</v>
      </c>
      <c r="N158" s="37" t="e">
        <f>($D158*M158)</f>
        <v>#REF!</v>
      </c>
      <c r="O158" s="318" t="e">
        <f t="shared" si="73"/>
        <v>#REF!</v>
      </c>
      <c r="P158" s="37" t="e">
        <f t="shared" si="73"/>
        <v>#REF!</v>
      </c>
      <c r="Q158" s="338" t="e">
        <f>+'Planilla de Avance'!#REF!-O158</f>
        <v>#REF!</v>
      </c>
    </row>
    <row r="159" spans="1:17" ht="12.75" customHeight="1">
      <c r="A159" s="97"/>
      <c r="B159" s="48" t="s">
        <v>10</v>
      </c>
      <c r="C159" s="49"/>
      <c r="D159" s="69"/>
      <c r="E159" s="51"/>
      <c r="F159" s="70">
        <f>SUM(F154:F158)</f>
        <v>2035406.52</v>
      </c>
      <c r="G159" s="52"/>
      <c r="H159" s="76" t="e">
        <f>SUM(H154:H158)</f>
        <v>#REF!</v>
      </c>
      <c r="I159" s="52"/>
      <c r="J159" s="76" t="e">
        <f>SUM(J154:J158)</f>
        <v>#REF!</v>
      </c>
      <c r="K159" s="52"/>
      <c r="L159" s="76" t="e">
        <f>SUM(L154:L158)</f>
        <v>#REF!</v>
      </c>
      <c r="M159" s="52"/>
      <c r="N159" s="76" t="e">
        <f>SUM(N154:N158)</f>
        <v>#REF!</v>
      </c>
      <c r="O159" s="52"/>
      <c r="P159" s="76" t="e">
        <f>SUM(P154:P158)</f>
        <v>#REF!</v>
      </c>
      <c r="Q159" s="338" t="e">
        <f>+'Planilla de Avance'!#REF!-O159</f>
        <v>#REF!</v>
      </c>
    </row>
    <row r="160" spans="1:17" ht="12.75" customHeight="1">
      <c r="A160" s="93"/>
      <c r="B160" s="94" t="s">
        <v>83</v>
      </c>
      <c r="C160" s="74"/>
      <c r="D160" s="57"/>
      <c r="E160" s="57"/>
      <c r="F160" s="57"/>
      <c r="G160" s="53"/>
      <c r="H160" s="53"/>
      <c r="I160" s="53"/>
      <c r="J160" s="53"/>
      <c r="K160" s="53"/>
      <c r="L160" s="53"/>
      <c r="M160" s="53"/>
      <c r="N160" s="54"/>
      <c r="O160" s="53"/>
      <c r="P160" s="54"/>
      <c r="Q160" s="338" t="e">
        <f>+'Planilla de Avance'!#REF!-O160</f>
        <v>#REF!</v>
      </c>
    </row>
    <row r="161" spans="1:17" ht="12.75" customHeight="1">
      <c r="A161" s="287">
        <v>15.6</v>
      </c>
      <c r="B161" s="40" t="s">
        <v>47</v>
      </c>
      <c r="C161" s="58" t="s">
        <v>27</v>
      </c>
      <c r="D161" s="79">
        <v>2471.46</v>
      </c>
      <c r="E161" s="100">
        <v>48.59</v>
      </c>
      <c r="F161" s="80">
        <f t="shared" ref="F161:F170" si="74">ROUND(E161*D161,2)</f>
        <v>120088.24</v>
      </c>
      <c r="G161" s="317" t="e">
        <f>SUMIF(#REF!,G4,#REF!)</f>
        <v>#REF!</v>
      </c>
      <c r="H161" s="73" t="e">
        <f t="shared" ref="H161:H170" si="75">+($D161*G161)</f>
        <v>#REF!</v>
      </c>
      <c r="I161" s="317" t="e">
        <f>SUMIF(#REF!,I4,#REF!)</f>
        <v>#REF!</v>
      </c>
      <c r="J161" s="73" t="e">
        <f t="shared" ref="J161:J170" si="76">($D161*I161)</f>
        <v>#REF!</v>
      </c>
      <c r="K161" s="317" t="e">
        <f>SUMIF(#REF!,K4,#REF!)</f>
        <v>#REF!</v>
      </c>
      <c r="L161" s="73" t="e">
        <f t="shared" ref="L161:L170" si="77">($D161*K161)</f>
        <v>#REF!</v>
      </c>
      <c r="M161" s="317" t="e">
        <f>SUMIF(#REF!,M4,#REF!)</f>
        <v>#REF!</v>
      </c>
      <c r="N161" s="73" t="e">
        <f t="shared" ref="N161:N170" si="78">($D161*M161)</f>
        <v>#REF!</v>
      </c>
      <c r="O161" s="317" t="e">
        <f t="shared" ref="O161:P170" si="79">+G161+I161+K161+M161</f>
        <v>#REF!</v>
      </c>
      <c r="P161" s="73" t="e">
        <f t="shared" si="79"/>
        <v>#REF!</v>
      </c>
      <c r="Q161" s="338" t="e">
        <f>+'Planilla de Avance'!#REF!-O161</f>
        <v>#REF!</v>
      </c>
    </row>
    <row r="162" spans="1:17" ht="12.75" customHeight="1">
      <c r="A162" s="288">
        <v>15.7</v>
      </c>
      <c r="B162" s="35" t="s">
        <v>19</v>
      </c>
      <c r="C162" s="59" t="s">
        <v>46</v>
      </c>
      <c r="D162" s="81">
        <v>28.13</v>
      </c>
      <c r="E162" s="38">
        <v>5344.9</v>
      </c>
      <c r="F162" s="82">
        <f t="shared" si="74"/>
        <v>150352.04</v>
      </c>
      <c r="G162" s="318" t="e">
        <f>SUMIF(#REF!,G4,#REF!)</f>
        <v>#REF!</v>
      </c>
      <c r="H162" s="37" t="e">
        <f t="shared" si="75"/>
        <v>#REF!</v>
      </c>
      <c r="I162" s="318" t="e">
        <f>SUMIF(#REF!,I4,#REF!)</f>
        <v>#REF!</v>
      </c>
      <c r="J162" s="37" t="e">
        <f t="shared" si="76"/>
        <v>#REF!</v>
      </c>
      <c r="K162" s="318" t="e">
        <f>SUMIF(#REF!,K4,#REF!)</f>
        <v>#REF!</v>
      </c>
      <c r="L162" s="37" t="e">
        <f t="shared" si="77"/>
        <v>#REF!</v>
      </c>
      <c r="M162" s="318" t="e">
        <f>SUMIF(#REF!,M4,#REF!)</f>
        <v>#REF!</v>
      </c>
      <c r="N162" s="37" t="e">
        <f t="shared" si="78"/>
        <v>#REF!</v>
      </c>
      <c r="O162" s="318" t="e">
        <f t="shared" si="79"/>
        <v>#REF!</v>
      </c>
      <c r="P162" s="37" t="e">
        <f t="shared" si="79"/>
        <v>#REF!</v>
      </c>
      <c r="Q162" s="338" t="e">
        <f>+'Planilla de Avance'!#REF!-O162</f>
        <v>#REF!</v>
      </c>
    </row>
    <row r="163" spans="1:17" ht="12.75" customHeight="1">
      <c r="A163" s="288">
        <v>15.8</v>
      </c>
      <c r="B163" s="35" t="s">
        <v>103</v>
      </c>
      <c r="C163" s="59" t="s">
        <v>20</v>
      </c>
      <c r="D163" s="81">
        <v>1451.74</v>
      </c>
      <c r="E163" s="38">
        <v>45.2</v>
      </c>
      <c r="F163" s="82">
        <f t="shared" si="74"/>
        <v>65618.649999999994</v>
      </c>
      <c r="G163" s="318" t="e">
        <f>SUMIF(#REF!,G4,#REF!)</f>
        <v>#REF!</v>
      </c>
      <c r="H163" s="37" t="e">
        <f t="shared" si="75"/>
        <v>#REF!</v>
      </c>
      <c r="I163" s="318" t="e">
        <f>SUMIF(#REF!,I4,#REF!)</f>
        <v>#REF!</v>
      </c>
      <c r="J163" s="37" t="e">
        <f t="shared" si="76"/>
        <v>#REF!</v>
      </c>
      <c r="K163" s="318" t="e">
        <f>SUMIF(#REF!,K4,#REF!)</f>
        <v>#REF!</v>
      </c>
      <c r="L163" s="37" t="e">
        <f t="shared" si="77"/>
        <v>#REF!</v>
      </c>
      <c r="M163" s="318" t="e">
        <f>SUMIF(#REF!,M4,#REF!)</f>
        <v>#REF!</v>
      </c>
      <c r="N163" s="37" t="e">
        <f t="shared" si="78"/>
        <v>#REF!</v>
      </c>
      <c r="O163" s="318" t="e">
        <f t="shared" si="79"/>
        <v>#REF!</v>
      </c>
      <c r="P163" s="37" t="e">
        <f t="shared" si="79"/>
        <v>#REF!</v>
      </c>
      <c r="Q163" s="338" t="e">
        <f>+'Planilla de Avance'!#REF!-O163</f>
        <v>#REF!</v>
      </c>
    </row>
    <row r="164" spans="1:17" ht="12.75" customHeight="1">
      <c r="A164" s="288">
        <v>15.9</v>
      </c>
      <c r="B164" s="35" t="s">
        <v>87</v>
      </c>
      <c r="C164" s="59" t="s">
        <v>0</v>
      </c>
      <c r="D164" s="81">
        <v>109.44</v>
      </c>
      <c r="E164" s="38">
        <v>5.4</v>
      </c>
      <c r="F164" s="82">
        <f t="shared" si="74"/>
        <v>590.98</v>
      </c>
      <c r="G164" s="318" t="e">
        <f>SUMIF(#REF!,G4,#REF!)</f>
        <v>#REF!</v>
      </c>
      <c r="H164" s="37" t="e">
        <f t="shared" si="75"/>
        <v>#REF!</v>
      </c>
      <c r="I164" s="318" t="e">
        <f>SUMIF(#REF!,I4,#REF!)</f>
        <v>#REF!</v>
      </c>
      <c r="J164" s="37" t="e">
        <f t="shared" si="76"/>
        <v>#REF!</v>
      </c>
      <c r="K164" s="318" t="e">
        <f>SUMIF(#REF!,K4,#REF!)</f>
        <v>#REF!</v>
      </c>
      <c r="L164" s="37" t="e">
        <f t="shared" si="77"/>
        <v>#REF!</v>
      </c>
      <c r="M164" s="318" t="e">
        <f>SUMIF(#REF!,M4,#REF!)</f>
        <v>#REF!</v>
      </c>
      <c r="N164" s="37" t="e">
        <f t="shared" si="78"/>
        <v>#REF!</v>
      </c>
      <c r="O164" s="318" t="e">
        <f t="shared" si="79"/>
        <v>#REF!</v>
      </c>
      <c r="P164" s="37" t="e">
        <f t="shared" si="79"/>
        <v>#REF!</v>
      </c>
      <c r="Q164" s="338" t="e">
        <f>+'Planilla de Avance'!#REF!-O164</f>
        <v>#REF!</v>
      </c>
    </row>
    <row r="165" spans="1:17" ht="12.75" customHeight="1">
      <c r="A165" s="290" t="s">
        <v>114</v>
      </c>
      <c r="B165" s="35" t="s">
        <v>89</v>
      </c>
      <c r="C165" s="59" t="s">
        <v>27</v>
      </c>
      <c r="D165" s="81">
        <v>2838.05</v>
      </c>
      <c r="E165" s="38">
        <v>91</v>
      </c>
      <c r="F165" s="82">
        <f t="shared" si="74"/>
        <v>258262.55</v>
      </c>
      <c r="G165" s="318" t="e">
        <f>SUMIF(#REF!,G4,#REF!)</f>
        <v>#REF!</v>
      </c>
      <c r="H165" s="37" t="e">
        <f t="shared" si="75"/>
        <v>#REF!</v>
      </c>
      <c r="I165" s="318" t="e">
        <f>SUMIF(#REF!,I4,#REF!)</f>
        <v>#REF!</v>
      </c>
      <c r="J165" s="37" t="e">
        <f t="shared" si="76"/>
        <v>#REF!</v>
      </c>
      <c r="K165" s="318" t="e">
        <f>SUMIF(#REF!,K4,#REF!)</f>
        <v>#REF!</v>
      </c>
      <c r="L165" s="37" t="e">
        <f t="shared" si="77"/>
        <v>#REF!</v>
      </c>
      <c r="M165" s="318" t="e">
        <f>SUMIF(#REF!,M4,#REF!)</f>
        <v>#REF!</v>
      </c>
      <c r="N165" s="37" t="e">
        <f t="shared" si="78"/>
        <v>#REF!</v>
      </c>
      <c r="O165" s="318" t="e">
        <f t="shared" si="79"/>
        <v>#REF!</v>
      </c>
      <c r="P165" s="37" t="e">
        <f t="shared" si="79"/>
        <v>#REF!</v>
      </c>
      <c r="Q165" s="338" t="e">
        <f>+'Planilla de Avance'!#REF!-O165</f>
        <v>#REF!</v>
      </c>
    </row>
    <row r="166" spans="1:17" ht="12.75" customHeight="1">
      <c r="A166" s="290">
        <v>15.11</v>
      </c>
      <c r="B166" s="35" t="s">
        <v>90</v>
      </c>
      <c r="C166" s="59" t="s">
        <v>46</v>
      </c>
      <c r="D166" s="81">
        <v>59.71</v>
      </c>
      <c r="E166" s="38">
        <v>3760</v>
      </c>
      <c r="F166" s="82">
        <f t="shared" si="74"/>
        <v>224509.6</v>
      </c>
      <c r="G166" s="318" t="e">
        <f>SUMIF(#REF!,G4,#REF!)</f>
        <v>#REF!</v>
      </c>
      <c r="H166" s="37" t="e">
        <f t="shared" si="75"/>
        <v>#REF!</v>
      </c>
      <c r="I166" s="318" t="e">
        <f>SUMIF(#REF!,I4,#REF!)</f>
        <v>#REF!</v>
      </c>
      <c r="J166" s="37" t="e">
        <f t="shared" si="76"/>
        <v>#REF!</v>
      </c>
      <c r="K166" s="318" t="e">
        <f>SUMIF(#REF!,K4,#REF!)</f>
        <v>#REF!</v>
      </c>
      <c r="L166" s="37" t="e">
        <f t="shared" si="77"/>
        <v>#REF!</v>
      </c>
      <c r="M166" s="318" t="e">
        <f>SUMIF(#REF!,M4,#REF!)</f>
        <v>#REF!</v>
      </c>
      <c r="N166" s="37" t="e">
        <f t="shared" si="78"/>
        <v>#REF!</v>
      </c>
      <c r="O166" s="318" t="e">
        <f t="shared" si="79"/>
        <v>#REF!</v>
      </c>
      <c r="P166" s="37" t="e">
        <f t="shared" si="79"/>
        <v>#REF!</v>
      </c>
      <c r="Q166" s="338" t="e">
        <f>+'Planilla de Avance'!#REF!-O166</f>
        <v>#REF!</v>
      </c>
    </row>
    <row r="167" spans="1:17" ht="12.75" customHeight="1">
      <c r="A167" s="290">
        <v>15.12</v>
      </c>
      <c r="B167" s="35" t="s">
        <v>92</v>
      </c>
      <c r="C167" s="59" t="s">
        <v>93</v>
      </c>
      <c r="D167" s="81">
        <v>3053.84</v>
      </c>
      <c r="E167" s="38">
        <v>40</v>
      </c>
      <c r="F167" s="82">
        <f t="shared" si="74"/>
        <v>122153.60000000001</v>
      </c>
      <c r="G167" s="318" t="e">
        <f>SUMIF(#REF!,G4,#REF!)</f>
        <v>#REF!</v>
      </c>
      <c r="H167" s="37" t="e">
        <f t="shared" si="75"/>
        <v>#REF!</v>
      </c>
      <c r="I167" s="318" t="e">
        <f>SUMIF(#REF!,I4,#REF!)</f>
        <v>#REF!</v>
      </c>
      <c r="J167" s="37" t="e">
        <f t="shared" si="76"/>
        <v>#REF!</v>
      </c>
      <c r="K167" s="318" t="e">
        <f>SUMIF(#REF!,K4,#REF!)</f>
        <v>#REF!</v>
      </c>
      <c r="L167" s="37" t="e">
        <f t="shared" si="77"/>
        <v>#REF!</v>
      </c>
      <c r="M167" s="318" t="e">
        <f>SUMIF(#REF!,M4,#REF!)</f>
        <v>#REF!</v>
      </c>
      <c r="N167" s="37" t="e">
        <f t="shared" si="78"/>
        <v>#REF!</v>
      </c>
      <c r="O167" s="318" t="e">
        <f t="shared" si="79"/>
        <v>#REF!</v>
      </c>
      <c r="P167" s="37" t="e">
        <f t="shared" si="79"/>
        <v>#REF!</v>
      </c>
      <c r="Q167" s="338" t="e">
        <f>+'Planilla de Avance'!#REF!-O167</f>
        <v>#REF!</v>
      </c>
    </row>
    <row r="168" spans="1:17" ht="12.75" customHeight="1">
      <c r="A168" s="290">
        <v>15.13</v>
      </c>
      <c r="B168" s="35" t="s">
        <v>88</v>
      </c>
      <c r="C168" s="59" t="s">
        <v>0</v>
      </c>
      <c r="D168" s="81">
        <v>1048.27</v>
      </c>
      <c r="E168" s="38">
        <v>46.94</v>
      </c>
      <c r="F168" s="82">
        <f t="shared" si="74"/>
        <v>49205.79</v>
      </c>
      <c r="G168" s="318" t="e">
        <f>SUMIF(#REF!,G4,#REF!)</f>
        <v>#REF!</v>
      </c>
      <c r="H168" s="37" t="e">
        <f t="shared" si="75"/>
        <v>#REF!</v>
      </c>
      <c r="I168" s="318" t="e">
        <f>SUMIF(#REF!,I4,#REF!)</f>
        <v>#REF!</v>
      </c>
      <c r="J168" s="37" t="e">
        <f t="shared" si="76"/>
        <v>#REF!</v>
      </c>
      <c r="K168" s="318" t="e">
        <f>SUMIF(#REF!,K4,#REF!)</f>
        <v>#REF!</v>
      </c>
      <c r="L168" s="37" t="e">
        <f t="shared" si="77"/>
        <v>#REF!</v>
      </c>
      <c r="M168" s="318" t="e">
        <f>SUMIF(#REF!,M4,#REF!)</f>
        <v>#REF!</v>
      </c>
      <c r="N168" s="37" t="e">
        <f t="shared" si="78"/>
        <v>#REF!</v>
      </c>
      <c r="O168" s="318" t="e">
        <f t="shared" si="79"/>
        <v>#REF!</v>
      </c>
      <c r="P168" s="37" t="e">
        <f t="shared" si="79"/>
        <v>#REF!</v>
      </c>
      <c r="Q168" s="338" t="e">
        <f>+'Planilla de Avance'!#REF!-O168</f>
        <v>#REF!</v>
      </c>
    </row>
    <row r="169" spans="1:17" ht="12.75" customHeight="1">
      <c r="A169" s="290">
        <v>15.14</v>
      </c>
      <c r="B169" s="35" t="s">
        <v>91</v>
      </c>
      <c r="C169" s="59" t="s">
        <v>0</v>
      </c>
      <c r="D169" s="81">
        <v>237.24</v>
      </c>
      <c r="E169" s="38">
        <v>445</v>
      </c>
      <c r="F169" s="82">
        <f t="shared" si="74"/>
        <v>105571.8</v>
      </c>
      <c r="G169" s="318" t="e">
        <f>SUMIF(#REF!,G4,#REF!)</f>
        <v>#REF!</v>
      </c>
      <c r="H169" s="37" t="e">
        <f t="shared" si="75"/>
        <v>#REF!</v>
      </c>
      <c r="I169" s="318" t="e">
        <f>SUMIF(#REF!,I4,#REF!)</f>
        <v>#REF!</v>
      </c>
      <c r="J169" s="37" t="e">
        <f t="shared" si="76"/>
        <v>#REF!</v>
      </c>
      <c r="K169" s="318" t="e">
        <f>SUMIF(#REF!,K4,#REF!)</f>
        <v>#REF!</v>
      </c>
      <c r="L169" s="37" t="e">
        <f t="shared" si="77"/>
        <v>#REF!</v>
      </c>
      <c r="M169" s="318" t="e">
        <f>SUMIF(#REF!,M4,#REF!)</f>
        <v>#REF!</v>
      </c>
      <c r="N169" s="37" t="e">
        <f t="shared" si="78"/>
        <v>#REF!</v>
      </c>
      <c r="O169" s="318" t="e">
        <f t="shared" si="79"/>
        <v>#REF!</v>
      </c>
      <c r="P169" s="37" t="e">
        <f t="shared" si="79"/>
        <v>#REF!</v>
      </c>
      <c r="Q169" s="338" t="e">
        <f>+'Planilla de Avance'!#REF!-O169</f>
        <v>#REF!</v>
      </c>
    </row>
    <row r="170" spans="1:17" ht="12.75" customHeight="1">
      <c r="A170" s="290">
        <v>15.15</v>
      </c>
      <c r="B170" s="35" t="s">
        <v>94</v>
      </c>
      <c r="C170" s="59" t="s">
        <v>93</v>
      </c>
      <c r="D170" s="81">
        <v>31441.78</v>
      </c>
      <c r="E170" s="38">
        <v>10</v>
      </c>
      <c r="F170" s="82">
        <f t="shared" si="74"/>
        <v>314417.8</v>
      </c>
      <c r="G170" s="318" t="e">
        <f>SUMIF(#REF!,G4,#REF!)</f>
        <v>#REF!</v>
      </c>
      <c r="H170" s="37" t="e">
        <f t="shared" si="75"/>
        <v>#REF!</v>
      </c>
      <c r="I170" s="318" t="e">
        <f>SUMIF(#REF!,I4,#REF!)</f>
        <v>#REF!</v>
      </c>
      <c r="J170" s="37" t="e">
        <f t="shared" si="76"/>
        <v>#REF!</v>
      </c>
      <c r="K170" s="318" t="e">
        <f>SUMIF(#REF!,K4,#REF!)</f>
        <v>#REF!</v>
      </c>
      <c r="L170" s="37" t="e">
        <f t="shared" si="77"/>
        <v>#REF!</v>
      </c>
      <c r="M170" s="318" t="e">
        <f>SUMIF(#REF!,M4,#REF!)</f>
        <v>#REF!</v>
      </c>
      <c r="N170" s="37" t="e">
        <f t="shared" si="78"/>
        <v>#REF!</v>
      </c>
      <c r="O170" s="318" t="e">
        <f t="shared" si="79"/>
        <v>#REF!</v>
      </c>
      <c r="P170" s="37" t="e">
        <f t="shared" si="79"/>
        <v>#REF!</v>
      </c>
      <c r="Q170" s="338" t="e">
        <f>+'Planilla de Avance'!#REF!-O170</f>
        <v>#REF!</v>
      </c>
    </row>
    <row r="171" spans="1:17" ht="12.75" customHeight="1">
      <c r="A171" s="97"/>
      <c r="B171" s="48" t="s">
        <v>10</v>
      </c>
      <c r="C171" s="49"/>
      <c r="D171" s="69"/>
      <c r="E171" s="51"/>
      <c r="F171" s="70">
        <f>SUM(F161:F170)</f>
        <v>1410771.05</v>
      </c>
      <c r="G171" s="52"/>
      <c r="H171" s="76" t="e">
        <f>SUM(H161:H170)</f>
        <v>#REF!</v>
      </c>
      <c r="I171" s="52"/>
      <c r="J171" s="76" t="e">
        <f>SUM(J161:J170)</f>
        <v>#REF!</v>
      </c>
      <c r="K171" s="52"/>
      <c r="L171" s="76" t="e">
        <f>SUM(L161:L170)</f>
        <v>#REF!</v>
      </c>
      <c r="M171" s="52"/>
      <c r="N171" s="76" t="e">
        <f>SUM(N161:N170)</f>
        <v>#REF!</v>
      </c>
      <c r="O171" s="52"/>
      <c r="P171" s="76" t="e">
        <f>SUM(P161:P170)</f>
        <v>#REF!</v>
      </c>
      <c r="Q171" s="338" t="e">
        <f>+'Planilla de Avance'!#REF!-O171</f>
        <v>#REF!</v>
      </c>
    </row>
    <row r="172" spans="1:17" ht="12.75" customHeight="1">
      <c r="A172" s="93"/>
      <c r="B172" s="94" t="s">
        <v>84</v>
      </c>
      <c r="C172" s="74"/>
      <c r="D172" s="57"/>
      <c r="E172" s="57"/>
      <c r="F172" s="57"/>
      <c r="G172" s="53"/>
      <c r="H172" s="53"/>
      <c r="I172" s="53"/>
      <c r="J172" s="53"/>
      <c r="K172" s="53"/>
      <c r="L172" s="53"/>
      <c r="M172" s="53"/>
      <c r="N172" s="54"/>
      <c r="O172" s="53"/>
      <c r="P172" s="54"/>
      <c r="Q172" s="338" t="e">
        <f>+'Planilla de Avance'!#REF!-O172</f>
        <v>#REF!</v>
      </c>
    </row>
    <row r="173" spans="1:17" ht="12.75" customHeight="1">
      <c r="A173" s="294">
        <v>15.16</v>
      </c>
      <c r="B173" s="85" t="s">
        <v>95</v>
      </c>
      <c r="C173" s="87" t="s">
        <v>27</v>
      </c>
      <c r="D173" s="88">
        <v>160.85999999999999</v>
      </c>
      <c r="E173" s="101">
        <v>982.03</v>
      </c>
      <c r="F173" s="90">
        <f>ROUND(E173*D173,2)</f>
        <v>157969.35</v>
      </c>
      <c r="G173" s="326" t="e">
        <f>SUMIF(#REF!,G4,#REF!)</f>
        <v>#REF!</v>
      </c>
      <c r="H173" s="91" t="e">
        <f>+($D173*G173)</f>
        <v>#REF!</v>
      </c>
      <c r="I173" s="326" t="e">
        <f>SUMIF(#REF!,I4,#REF!)</f>
        <v>#REF!</v>
      </c>
      <c r="J173" s="91" t="e">
        <f>($D173*I173)</f>
        <v>#REF!</v>
      </c>
      <c r="K173" s="326" t="e">
        <f>SUMIF(#REF!,K4,#REF!)</f>
        <v>#REF!</v>
      </c>
      <c r="L173" s="91" t="e">
        <f>($D173*K173)</f>
        <v>#REF!</v>
      </c>
      <c r="M173" s="326" t="e">
        <f>SUMIF(#REF!,M4,#REF!)</f>
        <v>#REF!</v>
      </c>
      <c r="N173" s="91" t="e">
        <f>($D173*M173)</f>
        <v>#REF!</v>
      </c>
      <c r="O173" s="326" t="e">
        <f>+G173+I173+K173+M173</f>
        <v>#REF!</v>
      </c>
      <c r="P173" s="91" t="e">
        <f>+H173+J173+L173+N173</f>
        <v>#REF!</v>
      </c>
      <c r="Q173" s="338" t="e">
        <f>+'Planilla de Avance'!#REF!-O173</f>
        <v>#REF!</v>
      </c>
    </row>
    <row r="174" spans="1:17" ht="12.75" customHeight="1">
      <c r="A174" s="93"/>
      <c r="B174" s="48" t="s">
        <v>10</v>
      </c>
      <c r="C174" s="49"/>
      <c r="D174" s="69"/>
      <c r="E174" s="51"/>
      <c r="F174" s="70">
        <f>SUM(F173)</f>
        <v>157969.35</v>
      </c>
      <c r="G174" s="52"/>
      <c r="H174" s="76" t="e">
        <f>SUM(H173)</f>
        <v>#REF!</v>
      </c>
      <c r="I174" s="52"/>
      <c r="J174" s="76" t="e">
        <f>SUM(J173)</f>
        <v>#REF!</v>
      </c>
      <c r="K174" s="52"/>
      <c r="L174" s="76" t="e">
        <f>SUM(L173)</f>
        <v>#REF!</v>
      </c>
      <c r="M174" s="52"/>
      <c r="N174" s="76" t="e">
        <f>SUM(N173)</f>
        <v>#REF!</v>
      </c>
      <c r="O174" s="52"/>
      <c r="P174" s="76" t="e">
        <f>SUM(P173)</f>
        <v>#REF!</v>
      </c>
      <c r="Q174" s="338" t="e">
        <f>+'Planilla de Avance'!#REF!-O174</f>
        <v>#REF!</v>
      </c>
    </row>
    <row r="175" spans="1:17" ht="12.75" customHeight="1">
      <c r="A175" s="285" t="s">
        <v>115</v>
      </c>
      <c r="B175" s="41" t="s">
        <v>116</v>
      </c>
      <c r="C175" s="74"/>
      <c r="D175" s="95"/>
      <c r="E175" s="95"/>
      <c r="F175" s="57"/>
      <c r="G175" s="53"/>
      <c r="H175" s="53"/>
      <c r="I175" s="53"/>
      <c r="J175" s="53"/>
      <c r="K175" s="53"/>
      <c r="L175" s="53"/>
      <c r="M175" s="53"/>
      <c r="N175" s="54"/>
      <c r="O175" s="53"/>
      <c r="P175" s="54"/>
      <c r="Q175" s="338" t="e">
        <f>+'Planilla de Avance'!#REF!-O175</f>
        <v>#REF!</v>
      </c>
    </row>
    <row r="176" spans="1:17" ht="12.75" customHeight="1">
      <c r="A176" s="287">
        <v>16.100000000000001</v>
      </c>
      <c r="B176" s="40" t="s">
        <v>47</v>
      </c>
      <c r="C176" s="58" t="s">
        <v>27</v>
      </c>
      <c r="D176" s="79">
        <v>2471.46</v>
      </c>
      <c r="E176" s="100">
        <v>1909.02</v>
      </c>
      <c r="F176" s="80">
        <f>ROUND(E176*D176,2)</f>
        <v>4718066.57</v>
      </c>
      <c r="G176" s="317" t="e">
        <f>SUMIF(#REF!,G4,#REF!)</f>
        <v>#REF!</v>
      </c>
      <c r="H176" s="73" t="e">
        <f>+($D176*G176)</f>
        <v>#REF!</v>
      </c>
      <c r="I176" s="317" t="e">
        <f>SUMIF(#REF!,I4,#REF!)</f>
        <v>#REF!</v>
      </c>
      <c r="J176" s="73" t="e">
        <f>($D176*I176)</f>
        <v>#REF!</v>
      </c>
      <c r="K176" s="317" t="e">
        <f>SUMIF(#REF!,K4,#REF!)</f>
        <v>#REF!</v>
      </c>
      <c r="L176" s="73" t="e">
        <f>($D176*K176)</f>
        <v>#REF!</v>
      </c>
      <c r="M176" s="317" t="e">
        <f>SUMIF(#REF!,M4,#REF!)</f>
        <v>#REF!</v>
      </c>
      <c r="N176" s="73" t="e">
        <f>($D176*M176)</f>
        <v>#REF!</v>
      </c>
      <c r="O176" s="317" t="e">
        <f t="shared" ref="O176:P179" si="80">+G176+I176+K176+M176</f>
        <v>#REF!</v>
      </c>
      <c r="P176" s="73" t="e">
        <f t="shared" si="80"/>
        <v>#REF!</v>
      </c>
      <c r="Q176" s="338" t="e">
        <f>+'Planilla de Avance'!#REF!-O176</f>
        <v>#REF!</v>
      </c>
    </row>
    <row r="177" spans="1:17" ht="12.75" customHeight="1">
      <c r="A177" s="288">
        <v>16.2</v>
      </c>
      <c r="B177" s="35" t="s">
        <v>19</v>
      </c>
      <c r="C177" s="59" t="s">
        <v>46</v>
      </c>
      <c r="D177" s="81">
        <v>28.13</v>
      </c>
      <c r="E177" s="38">
        <v>158520.67000000001</v>
      </c>
      <c r="F177" s="82">
        <f>ROUND(E177*D177,2)</f>
        <v>4459186.45</v>
      </c>
      <c r="G177" s="318" t="e">
        <f>SUMIF(#REF!,G4,#REF!)</f>
        <v>#REF!</v>
      </c>
      <c r="H177" s="37" t="e">
        <f>+($D177*G177)</f>
        <v>#REF!</v>
      </c>
      <c r="I177" s="318" t="e">
        <f>SUMIF(#REF!,I4,#REF!)</f>
        <v>#REF!</v>
      </c>
      <c r="J177" s="37" t="e">
        <f>($D177*I177)</f>
        <v>#REF!</v>
      </c>
      <c r="K177" s="318" t="e">
        <f>SUMIF(#REF!,K4,#REF!)</f>
        <v>#REF!</v>
      </c>
      <c r="L177" s="37" t="e">
        <f>($D177*K177)</f>
        <v>#REF!</v>
      </c>
      <c r="M177" s="318" t="e">
        <f>SUMIF(#REF!,M4,#REF!)</f>
        <v>#REF!</v>
      </c>
      <c r="N177" s="37" t="e">
        <f>($D177*M177)</f>
        <v>#REF!</v>
      </c>
      <c r="O177" s="318" t="e">
        <f t="shared" si="80"/>
        <v>#REF!</v>
      </c>
      <c r="P177" s="37" t="e">
        <f t="shared" si="80"/>
        <v>#REF!</v>
      </c>
      <c r="Q177" s="338" t="e">
        <f>+'Planilla de Avance'!#REF!-O177</f>
        <v>#REF!</v>
      </c>
    </row>
    <row r="178" spans="1:17" ht="12.75" customHeight="1">
      <c r="A178" s="288">
        <v>16.3</v>
      </c>
      <c r="B178" s="35" t="s">
        <v>76</v>
      </c>
      <c r="C178" s="59" t="s">
        <v>27</v>
      </c>
      <c r="D178" s="81">
        <v>1270.8999999999999</v>
      </c>
      <c r="E178" s="38">
        <v>95.71</v>
      </c>
      <c r="F178" s="82">
        <f>ROUND(E178*D178,2)</f>
        <v>121637.84</v>
      </c>
      <c r="G178" s="318" t="e">
        <f>SUMIF(#REF!,G4,#REF!)</f>
        <v>#REF!</v>
      </c>
      <c r="H178" s="37" t="e">
        <f>+($D178*G178)</f>
        <v>#REF!</v>
      </c>
      <c r="I178" s="318" t="e">
        <f>SUMIF(#REF!,I4,#REF!)</f>
        <v>#REF!</v>
      </c>
      <c r="J178" s="37" t="e">
        <f>($D178*I178)</f>
        <v>#REF!</v>
      </c>
      <c r="K178" s="318" t="e">
        <f>SUMIF(#REF!,K4,#REF!)</f>
        <v>#REF!</v>
      </c>
      <c r="L178" s="37" t="e">
        <f>($D178*K178)</f>
        <v>#REF!</v>
      </c>
      <c r="M178" s="318" t="e">
        <f>SUMIF(#REF!,M4,#REF!)</f>
        <v>#REF!</v>
      </c>
      <c r="N178" s="37" t="e">
        <f>($D178*M178)</f>
        <v>#REF!</v>
      </c>
      <c r="O178" s="318" t="e">
        <f t="shared" si="80"/>
        <v>#REF!</v>
      </c>
      <c r="P178" s="37" t="e">
        <f t="shared" si="80"/>
        <v>#REF!</v>
      </c>
      <c r="Q178" s="338" t="e">
        <f>+'Planilla de Avance'!#REF!-O178</f>
        <v>#REF!</v>
      </c>
    </row>
    <row r="179" spans="1:17" ht="12.75" customHeight="1">
      <c r="A179" s="289">
        <v>16.399999999999999</v>
      </c>
      <c r="B179" s="45" t="s">
        <v>11</v>
      </c>
      <c r="C179" s="60" t="s">
        <v>27</v>
      </c>
      <c r="D179" s="83">
        <v>25.820000000000004</v>
      </c>
      <c r="E179" s="78">
        <v>7543.25</v>
      </c>
      <c r="F179" s="84">
        <f>ROUND(E179*D179,2)</f>
        <v>194766.72</v>
      </c>
      <c r="G179" s="319" t="e">
        <f>SUMIF(#REF!,G4,#REF!)</f>
        <v>#REF!</v>
      </c>
      <c r="H179" s="47" t="e">
        <f>+($D179*G179)</f>
        <v>#REF!</v>
      </c>
      <c r="I179" s="319" t="e">
        <f>SUMIF(#REF!,I4,#REF!)</f>
        <v>#REF!</v>
      </c>
      <c r="J179" s="47" t="e">
        <f>($D179*I179)</f>
        <v>#REF!</v>
      </c>
      <c r="K179" s="319" t="e">
        <f>SUMIF(#REF!,K4,#REF!)</f>
        <v>#REF!</v>
      </c>
      <c r="L179" s="47" t="e">
        <f>($D179*K179)</f>
        <v>#REF!</v>
      </c>
      <c r="M179" s="319" t="e">
        <f>SUMIF(#REF!,M4,#REF!)</f>
        <v>#REF!</v>
      </c>
      <c r="N179" s="47" t="e">
        <f>($D179*M179)</f>
        <v>#REF!</v>
      </c>
      <c r="O179" s="319" t="e">
        <f t="shared" si="80"/>
        <v>#REF!</v>
      </c>
      <c r="P179" s="47" t="e">
        <f t="shared" si="80"/>
        <v>#REF!</v>
      </c>
      <c r="Q179" s="338" t="e">
        <f>+'Planilla de Avance'!#REF!-O179</f>
        <v>#REF!</v>
      </c>
    </row>
    <row r="180" spans="1:17" ht="12.75" customHeight="1">
      <c r="A180" s="93"/>
      <c r="B180" s="48" t="s">
        <v>10</v>
      </c>
      <c r="C180" s="49"/>
      <c r="D180" s="69"/>
      <c r="E180" s="51"/>
      <c r="F180" s="70">
        <f>SUM(F176:F179)</f>
        <v>9493657.5800000001</v>
      </c>
      <c r="G180" s="52"/>
      <c r="H180" s="76" t="e">
        <f>SUM(H176:H179)</f>
        <v>#REF!</v>
      </c>
      <c r="I180" s="52"/>
      <c r="J180" s="76" t="e">
        <f>SUM(J176:J179)</f>
        <v>#REF!</v>
      </c>
      <c r="K180" s="52"/>
      <c r="L180" s="76" t="e">
        <f>SUM(L176:L179)</f>
        <v>#REF!</v>
      </c>
      <c r="M180" s="52"/>
      <c r="N180" s="76" t="e">
        <f>SUM(N176:N179)</f>
        <v>#REF!</v>
      </c>
      <c r="O180" s="52"/>
      <c r="P180" s="76" t="e">
        <f>SUM(P176:P179)</f>
        <v>#REF!</v>
      </c>
      <c r="Q180" s="338" t="e">
        <f>+'Planilla de Avance'!#REF!-O180</f>
        <v>#REF!</v>
      </c>
    </row>
    <row r="181" spans="1:17" ht="12.75" customHeight="1">
      <c r="A181" s="285" t="s">
        <v>117</v>
      </c>
      <c r="B181" s="41" t="s">
        <v>118</v>
      </c>
      <c r="C181" s="74"/>
      <c r="D181" s="95"/>
      <c r="E181" s="95"/>
      <c r="F181" s="57"/>
      <c r="G181" s="53"/>
      <c r="H181" s="53"/>
      <c r="I181" s="53"/>
      <c r="J181" s="53"/>
      <c r="K181" s="53"/>
      <c r="L181" s="53"/>
      <c r="M181" s="53"/>
      <c r="N181" s="54"/>
      <c r="O181" s="53"/>
      <c r="P181" s="54"/>
      <c r="Q181" s="338" t="e">
        <f>+'Planilla de Avance'!#REF!-O181</f>
        <v>#REF!</v>
      </c>
    </row>
    <row r="182" spans="1:17" ht="12.75" customHeight="1">
      <c r="A182" s="287">
        <v>17.100000000000001</v>
      </c>
      <c r="B182" s="40" t="s">
        <v>47</v>
      </c>
      <c r="C182" s="58" t="s">
        <v>27</v>
      </c>
      <c r="D182" s="79">
        <v>2471.46</v>
      </c>
      <c r="E182" s="100">
        <v>465.9</v>
      </c>
      <c r="F182" s="80">
        <f>ROUND(E182*D182,2)</f>
        <v>1151453.21</v>
      </c>
      <c r="G182" s="317" t="e">
        <f>SUMIF(#REF!,G4,#REF!)</f>
        <v>#REF!</v>
      </c>
      <c r="H182" s="73" t="e">
        <f>+($D182*G182)</f>
        <v>#REF!</v>
      </c>
      <c r="I182" s="317" t="e">
        <f>SUMIF(#REF!,I4,#REF!)</f>
        <v>#REF!</v>
      </c>
      <c r="J182" s="73" t="e">
        <f>($D182*I182)</f>
        <v>#REF!</v>
      </c>
      <c r="K182" s="317" t="e">
        <f>SUMIF(#REF!,K4,#REF!)</f>
        <v>#REF!</v>
      </c>
      <c r="L182" s="73" t="e">
        <f>($D182*K182)</f>
        <v>#REF!</v>
      </c>
      <c r="M182" s="317" t="e">
        <f>SUMIF(#REF!,M4,#REF!)</f>
        <v>#REF!</v>
      </c>
      <c r="N182" s="73" t="e">
        <f>($D182*M182)</f>
        <v>#REF!</v>
      </c>
      <c r="O182" s="317" t="e">
        <f t="shared" ref="O182:P186" si="81">+G182+I182+K182+M182</f>
        <v>#REF!</v>
      </c>
      <c r="P182" s="73" t="e">
        <f t="shared" si="81"/>
        <v>#REF!</v>
      </c>
      <c r="Q182" s="338" t="e">
        <f>+'Planilla de Avance'!#REF!-O182</f>
        <v>#REF!</v>
      </c>
    </row>
    <row r="183" spans="1:17" ht="12.75" customHeight="1">
      <c r="A183" s="288">
        <v>17.2</v>
      </c>
      <c r="B183" s="35" t="s">
        <v>19</v>
      </c>
      <c r="C183" s="59" t="s">
        <v>46</v>
      </c>
      <c r="D183" s="81">
        <v>28.13</v>
      </c>
      <c r="E183" s="38">
        <v>48655.92</v>
      </c>
      <c r="F183" s="82">
        <f>ROUND(E183*D183,2)</f>
        <v>1368691.03</v>
      </c>
      <c r="G183" s="318" t="e">
        <f>SUMIF(#REF!,G4,#REF!)</f>
        <v>#REF!</v>
      </c>
      <c r="H183" s="37" t="e">
        <f>+($D183*G183)</f>
        <v>#REF!</v>
      </c>
      <c r="I183" s="318" t="e">
        <f>SUMIF(#REF!,I4,#REF!)</f>
        <v>#REF!</v>
      </c>
      <c r="J183" s="37" t="e">
        <f>($D183*I183)</f>
        <v>#REF!</v>
      </c>
      <c r="K183" s="318" t="e">
        <f>SUMIF(#REF!,K4,#REF!)</f>
        <v>#REF!</v>
      </c>
      <c r="L183" s="37" t="e">
        <f>($D183*K183)</f>
        <v>#REF!</v>
      </c>
      <c r="M183" s="318" t="e">
        <f>SUMIF(#REF!,M4,#REF!)</f>
        <v>#REF!</v>
      </c>
      <c r="N183" s="37" t="e">
        <f>($D183*M183)</f>
        <v>#REF!</v>
      </c>
      <c r="O183" s="318" t="e">
        <f t="shared" si="81"/>
        <v>#REF!</v>
      </c>
      <c r="P183" s="37" t="e">
        <f t="shared" si="81"/>
        <v>#REF!</v>
      </c>
      <c r="Q183" s="338" t="e">
        <f>+'Planilla de Avance'!#REF!-O183</f>
        <v>#REF!</v>
      </c>
    </row>
    <row r="184" spans="1:17" ht="12.75" customHeight="1">
      <c r="A184" s="288">
        <v>17.3</v>
      </c>
      <c r="B184" s="35" t="s">
        <v>76</v>
      </c>
      <c r="C184" s="59" t="s">
        <v>27</v>
      </c>
      <c r="D184" s="81">
        <v>1270.8999999999999</v>
      </c>
      <c r="E184" s="38">
        <v>37.36</v>
      </c>
      <c r="F184" s="82">
        <f>ROUND(E184*D184,2)</f>
        <v>47480.82</v>
      </c>
      <c r="G184" s="318" t="e">
        <f>SUMIF(#REF!,G4,#REF!)</f>
        <v>#REF!</v>
      </c>
      <c r="H184" s="37" t="e">
        <f>+($D184*G184)</f>
        <v>#REF!</v>
      </c>
      <c r="I184" s="318" t="e">
        <f>SUMIF(#REF!,I4,#REF!)</f>
        <v>#REF!</v>
      </c>
      <c r="J184" s="37" t="e">
        <f>($D184*I184)</f>
        <v>#REF!</v>
      </c>
      <c r="K184" s="318" t="e">
        <f>SUMIF(#REF!,K4,#REF!)</f>
        <v>#REF!</v>
      </c>
      <c r="L184" s="37" t="e">
        <f>($D184*K184)</f>
        <v>#REF!</v>
      </c>
      <c r="M184" s="318" t="e">
        <f>SUMIF(#REF!,M4,#REF!)</f>
        <v>#REF!</v>
      </c>
      <c r="N184" s="37" t="e">
        <f>($D184*M184)</f>
        <v>#REF!</v>
      </c>
      <c r="O184" s="318" t="e">
        <f t="shared" si="81"/>
        <v>#REF!</v>
      </c>
      <c r="P184" s="37" t="e">
        <f t="shared" si="81"/>
        <v>#REF!</v>
      </c>
      <c r="Q184" s="338" t="e">
        <f>+'Planilla de Avance'!#REF!-O184</f>
        <v>#REF!</v>
      </c>
    </row>
    <row r="185" spans="1:17" ht="12.75" customHeight="1">
      <c r="A185" s="288">
        <v>17.399999999999999</v>
      </c>
      <c r="B185" s="35" t="s">
        <v>87</v>
      </c>
      <c r="C185" s="59" t="s">
        <v>0</v>
      </c>
      <c r="D185" s="81">
        <v>109.44</v>
      </c>
      <c r="E185" s="38">
        <v>6.7</v>
      </c>
      <c r="F185" s="82">
        <f>ROUND(E185*D185,2)</f>
        <v>733.25</v>
      </c>
      <c r="G185" s="318" t="e">
        <f>SUMIF(#REF!,G4,#REF!)</f>
        <v>#REF!</v>
      </c>
      <c r="H185" s="37" t="e">
        <f>+($D185*G185)</f>
        <v>#REF!</v>
      </c>
      <c r="I185" s="318" t="e">
        <f>SUMIF(#REF!,I4,#REF!)</f>
        <v>#REF!</v>
      </c>
      <c r="J185" s="37" t="e">
        <f>($D185*I185)</f>
        <v>#REF!</v>
      </c>
      <c r="K185" s="318" t="e">
        <f>SUMIF(#REF!,K4,#REF!)</f>
        <v>#REF!</v>
      </c>
      <c r="L185" s="37" t="e">
        <f>($D185*K185)</f>
        <v>#REF!</v>
      </c>
      <c r="M185" s="318" t="e">
        <f>SUMIF(#REF!,M4,#REF!)</f>
        <v>#REF!</v>
      </c>
      <c r="N185" s="37" t="e">
        <f>($D185*M185)</f>
        <v>#REF!</v>
      </c>
      <c r="O185" s="318" t="e">
        <f t="shared" si="81"/>
        <v>#REF!</v>
      </c>
      <c r="P185" s="37" t="e">
        <f t="shared" si="81"/>
        <v>#REF!</v>
      </c>
      <c r="Q185" s="338" t="e">
        <f>+'Planilla de Avance'!#REF!-O185</f>
        <v>#REF!</v>
      </c>
    </row>
    <row r="186" spans="1:17" ht="12.75" customHeight="1">
      <c r="A186" s="289">
        <v>17.5</v>
      </c>
      <c r="B186" s="45" t="s">
        <v>11</v>
      </c>
      <c r="C186" s="60" t="s">
        <v>27</v>
      </c>
      <c r="D186" s="83">
        <v>25.820000000000004</v>
      </c>
      <c r="E186" s="78">
        <v>2805.78</v>
      </c>
      <c r="F186" s="84">
        <f>ROUND(E186*D186,2)</f>
        <v>72445.240000000005</v>
      </c>
      <c r="G186" s="319" t="e">
        <f>SUMIF(#REF!,G4,#REF!)</f>
        <v>#REF!</v>
      </c>
      <c r="H186" s="47" t="e">
        <f>+($D186*G186)</f>
        <v>#REF!</v>
      </c>
      <c r="I186" s="319" t="e">
        <f>SUMIF(#REF!,I4,#REF!)</f>
        <v>#REF!</v>
      </c>
      <c r="J186" s="47" t="e">
        <f>($D186*I186)</f>
        <v>#REF!</v>
      </c>
      <c r="K186" s="319" t="e">
        <f>SUMIF(#REF!,K4,#REF!)</f>
        <v>#REF!</v>
      </c>
      <c r="L186" s="47" t="e">
        <f>($D186*K186)</f>
        <v>#REF!</v>
      </c>
      <c r="M186" s="319" t="e">
        <f>SUMIF(#REF!,M4,#REF!)</f>
        <v>#REF!</v>
      </c>
      <c r="N186" s="47" t="e">
        <f>($D186*M186)</f>
        <v>#REF!</v>
      </c>
      <c r="O186" s="319" t="e">
        <f t="shared" si="81"/>
        <v>#REF!</v>
      </c>
      <c r="P186" s="47" t="e">
        <f t="shared" si="81"/>
        <v>#REF!</v>
      </c>
      <c r="Q186" s="338" t="e">
        <f>+'Planilla de Avance'!#REF!-O186</f>
        <v>#REF!</v>
      </c>
    </row>
    <row r="187" spans="1:17" ht="12.75" customHeight="1">
      <c r="A187" s="285"/>
      <c r="B187" s="48" t="s">
        <v>10</v>
      </c>
      <c r="C187" s="49"/>
      <c r="D187" s="69"/>
      <c r="E187" s="51"/>
      <c r="F187" s="70">
        <f>SUM(F182:F186)</f>
        <v>2640803.5500000003</v>
      </c>
      <c r="G187" s="52"/>
      <c r="H187" s="76" t="e">
        <f>SUM(H182:H186)</f>
        <v>#REF!</v>
      </c>
      <c r="I187" s="52"/>
      <c r="J187" s="76" t="e">
        <f>SUM(J182:J186)</f>
        <v>#REF!</v>
      </c>
      <c r="K187" s="52"/>
      <c r="L187" s="76" t="e">
        <f>SUM(L182:L186)</f>
        <v>#REF!</v>
      </c>
      <c r="M187" s="52"/>
      <c r="N187" s="76" t="e">
        <f>SUM(N182:N186)</f>
        <v>#REF!</v>
      </c>
      <c r="O187" s="52"/>
      <c r="P187" s="76" t="e">
        <f>SUM(P182:P186)</f>
        <v>#REF!</v>
      </c>
      <c r="Q187" s="338" t="e">
        <f>+'Planilla de Avance'!#REF!-O187</f>
        <v>#REF!</v>
      </c>
    </row>
    <row r="188" spans="1:17" ht="12.75" customHeight="1">
      <c r="A188" s="285" t="s">
        <v>119</v>
      </c>
      <c r="B188" s="41" t="s">
        <v>120</v>
      </c>
      <c r="C188" s="74"/>
      <c r="D188" s="50"/>
      <c r="E188" s="51"/>
      <c r="F188" s="50"/>
      <c r="G188" s="53"/>
      <c r="H188" s="53"/>
      <c r="I188" s="53"/>
      <c r="J188" s="53"/>
      <c r="K188" s="53"/>
      <c r="L188" s="53"/>
      <c r="M188" s="53"/>
      <c r="N188" s="54"/>
      <c r="O188" s="53"/>
      <c r="P188" s="54"/>
      <c r="Q188" s="338" t="e">
        <f>+'Planilla de Avance'!#REF!-O188</f>
        <v>#REF!</v>
      </c>
    </row>
    <row r="189" spans="1:17" ht="12.75" customHeight="1">
      <c r="A189" s="287">
        <v>18.100000000000001</v>
      </c>
      <c r="B189" s="40" t="s">
        <v>89</v>
      </c>
      <c r="C189" s="58" t="s">
        <v>27</v>
      </c>
      <c r="D189" s="79">
        <v>2838.05</v>
      </c>
      <c r="E189" s="100">
        <v>176.89</v>
      </c>
      <c r="F189" s="80">
        <f t="shared" ref="F189:F196" si="82">ROUND(E189*D189,2)</f>
        <v>502022.66</v>
      </c>
      <c r="G189" s="317" t="e">
        <f>SUMIF(#REF!,G4,#REF!)</f>
        <v>#REF!</v>
      </c>
      <c r="H189" s="73" t="e">
        <f t="shared" ref="H189:H196" si="83">+($D189*G189)</f>
        <v>#REF!</v>
      </c>
      <c r="I189" s="317" t="e">
        <f>SUMIF(#REF!,I4,#REF!)</f>
        <v>#REF!</v>
      </c>
      <c r="J189" s="73" t="e">
        <f t="shared" ref="J189:J196" si="84">($D189*I189)</f>
        <v>#REF!</v>
      </c>
      <c r="K189" s="317" t="e">
        <f>SUMIF(#REF!,K4,#REF!)</f>
        <v>#REF!</v>
      </c>
      <c r="L189" s="73" t="e">
        <f t="shared" ref="L189:L196" si="85">($D189*K189)</f>
        <v>#REF!</v>
      </c>
      <c r="M189" s="317" t="e">
        <f>SUMIF(#REF!,M4,#REF!)</f>
        <v>#REF!</v>
      </c>
      <c r="N189" s="73" t="e">
        <f t="shared" ref="N189:N196" si="86">($D189*M189)</f>
        <v>#REF!</v>
      </c>
      <c r="O189" s="317" t="e">
        <f t="shared" ref="O189:P196" si="87">+G189+I189+K189+M189</f>
        <v>#REF!</v>
      </c>
      <c r="P189" s="73" t="e">
        <f t="shared" si="87"/>
        <v>#REF!</v>
      </c>
      <c r="Q189" s="338" t="e">
        <f>+'Planilla de Avance'!#REF!-O189</f>
        <v>#REF!</v>
      </c>
    </row>
    <row r="190" spans="1:17" ht="12.75" customHeight="1">
      <c r="A190" s="288">
        <v>18.2</v>
      </c>
      <c r="B190" s="35" t="s">
        <v>90</v>
      </c>
      <c r="C190" s="59" t="s">
        <v>46</v>
      </c>
      <c r="D190" s="81">
        <v>59.71</v>
      </c>
      <c r="E190" s="38">
        <v>2837.96</v>
      </c>
      <c r="F190" s="82">
        <f t="shared" si="82"/>
        <v>169454.59</v>
      </c>
      <c r="G190" s="318" t="e">
        <f>SUMIF(#REF!,G4,#REF!)</f>
        <v>#REF!</v>
      </c>
      <c r="H190" s="37" t="e">
        <f t="shared" si="83"/>
        <v>#REF!</v>
      </c>
      <c r="I190" s="318" t="e">
        <f>SUMIF(#REF!,I4,#REF!)</f>
        <v>#REF!</v>
      </c>
      <c r="J190" s="37" t="e">
        <f t="shared" si="84"/>
        <v>#REF!</v>
      </c>
      <c r="K190" s="318" t="e">
        <f>SUMIF(#REF!,K4,#REF!)</f>
        <v>#REF!</v>
      </c>
      <c r="L190" s="37" t="e">
        <f t="shared" si="85"/>
        <v>#REF!</v>
      </c>
      <c r="M190" s="318" t="e">
        <f>SUMIF(#REF!,M4,#REF!)</f>
        <v>#REF!</v>
      </c>
      <c r="N190" s="37" t="e">
        <f t="shared" si="86"/>
        <v>#REF!</v>
      </c>
      <c r="O190" s="318" t="e">
        <f t="shared" si="87"/>
        <v>#REF!</v>
      </c>
      <c r="P190" s="37" t="e">
        <f t="shared" si="87"/>
        <v>#REF!</v>
      </c>
      <c r="Q190" s="338" t="e">
        <f>+'Planilla de Avance'!#REF!-O190</f>
        <v>#REF!</v>
      </c>
    </row>
    <row r="191" spans="1:17" ht="12.75" customHeight="1">
      <c r="A191" s="288">
        <v>18.3</v>
      </c>
      <c r="B191" s="35" t="s">
        <v>92</v>
      </c>
      <c r="C191" s="59" t="s">
        <v>93</v>
      </c>
      <c r="D191" s="81">
        <v>3053.84</v>
      </c>
      <c r="E191" s="38">
        <v>44.44</v>
      </c>
      <c r="F191" s="82">
        <f t="shared" si="82"/>
        <v>135712.65</v>
      </c>
      <c r="G191" s="318" t="e">
        <f>SUMIF(#REF!,G4,#REF!)</f>
        <v>#REF!</v>
      </c>
      <c r="H191" s="37" t="e">
        <f t="shared" si="83"/>
        <v>#REF!</v>
      </c>
      <c r="I191" s="318" t="e">
        <f>SUMIF(#REF!,I4,#REF!)</f>
        <v>#REF!</v>
      </c>
      <c r="J191" s="37" t="e">
        <f t="shared" si="84"/>
        <v>#REF!</v>
      </c>
      <c r="K191" s="318" t="e">
        <f>SUMIF(#REF!,K4,#REF!)</f>
        <v>#REF!</v>
      </c>
      <c r="L191" s="37" t="e">
        <f t="shared" si="85"/>
        <v>#REF!</v>
      </c>
      <c r="M191" s="318" t="e">
        <f>SUMIF(#REF!,M4,#REF!)</f>
        <v>#REF!</v>
      </c>
      <c r="N191" s="37" t="e">
        <f t="shared" si="86"/>
        <v>#REF!</v>
      </c>
      <c r="O191" s="318" t="e">
        <f t="shared" si="87"/>
        <v>#REF!</v>
      </c>
      <c r="P191" s="37" t="e">
        <f t="shared" si="87"/>
        <v>#REF!</v>
      </c>
      <c r="Q191" s="338" t="e">
        <f>+'Planilla de Avance'!#REF!-O191</f>
        <v>#REF!</v>
      </c>
    </row>
    <row r="192" spans="1:17" ht="12.75" customHeight="1">
      <c r="A192" s="288">
        <v>18.399999999999999</v>
      </c>
      <c r="B192" s="35" t="s">
        <v>98</v>
      </c>
      <c r="C192" s="59" t="s">
        <v>86</v>
      </c>
      <c r="D192" s="81">
        <v>384.87</v>
      </c>
      <c r="E192" s="38">
        <v>718.06</v>
      </c>
      <c r="F192" s="82">
        <f t="shared" si="82"/>
        <v>276359.75</v>
      </c>
      <c r="G192" s="318" t="e">
        <f>SUMIF(#REF!,G4,#REF!)</f>
        <v>#REF!</v>
      </c>
      <c r="H192" s="37" t="e">
        <f t="shared" si="83"/>
        <v>#REF!</v>
      </c>
      <c r="I192" s="318" t="e">
        <f>SUMIF(#REF!,I4,#REF!)</f>
        <v>#REF!</v>
      </c>
      <c r="J192" s="37" t="e">
        <f t="shared" si="84"/>
        <v>#REF!</v>
      </c>
      <c r="K192" s="318" t="e">
        <f>SUMIF(#REF!,K4,#REF!)</f>
        <v>#REF!</v>
      </c>
      <c r="L192" s="37" t="e">
        <f t="shared" si="85"/>
        <v>#REF!</v>
      </c>
      <c r="M192" s="318" t="e">
        <f>SUMIF(#REF!,M4,#REF!)</f>
        <v>#REF!</v>
      </c>
      <c r="N192" s="37" t="e">
        <f t="shared" si="86"/>
        <v>#REF!</v>
      </c>
      <c r="O192" s="318" t="e">
        <f t="shared" si="87"/>
        <v>#REF!</v>
      </c>
      <c r="P192" s="37" t="e">
        <f t="shared" si="87"/>
        <v>#REF!</v>
      </c>
      <c r="Q192" s="338" t="e">
        <f>+'Planilla de Avance'!#REF!-O192</f>
        <v>#REF!</v>
      </c>
    </row>
    <row r="193" spans="1:17" ht="12.75" customHeight="1">
      <c r="A193" s="288">
        <v>18.5</v>
      </c>
      <c r="B193" s="35" t="s">
        <v>94</v>
      </c>
      <c r="C193" s="59" t="s">
        <v>93</v>
      </c>
      <c r="D193" s="81">
        <v>31441.78</v>
      </c>
      <c r="E193" s="38">
        <v>22.22</v>
      </c>
      <c r="F193" s="82">
        <f t="shared" si="82"/>
        <v>698636.35</v>
      </c>
      <c r="G193" s="318" t="e">
        <f>SUMIF(#REF!,G4,#REF!)</f>
        <v>#REF!</v>
      </c>
      <c r="H193" s="37" t="e">
        <f t="shared" si="83"/>
        <v>#REF!</v>
      </c>
      <c r="I193" s="318" t="e">
        <f>SUMIF(#REF!,I4,#REF!)</f>
        <v>#REF!</v>
      </c>
      <c r="J193" s="37" t="e">
        <f t="shared" si="84"/>
        <v>#REF!</v>
      </c>
      <c r="K193" s="318" t="e">
        <f>SUMIF(#REF!,K4,#REF!)</f>
        <v>#REF!</v>
      </c>
      <c r="L193" s="37" t="e">
        <f t="shared" si="85"/>
        <v>#REF!</v>
      </c>
      <c r="M193" s="318" t="e">
        <f>SUMIF(#REF!,M4,#REF!)</f>
        <v>#REF!</v>
      </c>
      <c r="N193" s="37" t="e">
        <f t="shared" si="86"/>
        <v>#REF!</v>
      </c>
      <c r="O193" s="318" t="e">
        <f t="shared" si="87"/>
        <v>#REF!</v>
      </c>
      <c r="P193" s="37" t="e">
        <f t="shared" si="87"/>
        <v>#REF!</v>
      </c>
      <c r="Q193" s="338" t="e">
        <f>+'Planilla de Avance'!#REF!-O193</f>
        <v>#REF!</v>
      </c>
    </row>
    <row r="194" spans="1:17" ht="12.75" customHeight="1">
      <c r="A194" s="288">
        <v>18.600000000000001</v>
      </c>
      <c r="B194" s="35" t="s">
        <v>19</v>
      </c>
      <c r="C194" s="59" t="s">
        <v>46</v>
      </c>
      <c r="D194" s="81">
        <v>28.13</v>
      </c>
      <c r="E194" s="38">
        <v>44575.46</v>
      </c>
      <c r="F194" s="82">
        <f t="shared" si="82"/>
        <v>1253907.69</v>
      </c>
      <c r="G194" s="318" t="e">
        <f>SUMIF(#REF!,G4,#REF!)</f>
        <v>#REF!</v>
      </c>
      <c r="H194" s="37" t="e">
        <f t="shared" si="83"/>
        <v>#REF!</v>
      </c>
      <c r="I194" s="318" t="e">
        <f>SUMIF(#REF!,I4,#REF!)</f>
        <v>#REF!</v>
      </c>
      <c r="J194" s="37" t="e">
        <f t="shared" si="84"/>
        <v>#REF!</v>
      </c>
      <c r="K194" s="318" t="e">
        <f>SUMIF(#REF!,K4,#REF!)</f>
        <v>#REF!</v>
      </c>
      <c r="L194" s="37" t="e">
        <f t="shared" si="85"/>
        <v>#REF!</v>
      </c>
      <c r="M194" s="318" t="e">
        <f>SUMIF(#REF!,M4,#REF!)</f>
        <v>#REF!</v>
      </c>
      <c r="N194" s="37" t="e">
        <f t="shared" si="86"/>
        <v>#REF!</v>
      </c>
      <c r="O194" s="318" t="e">
        <f t="shared" si="87"/>
        <v>#REF!</v>
      </c>
      <c r="P194" s="37" t="e">
        <f t="shared" si="87"/>
        <v>#REF!</v>
      </c>
      <c r="Q194" s="338" t="e">
        <f>+'Planilla de Avance'!#REF!-O194</f>
        <v>#REF!</v>
      </c>
    </row>
    <row r="195" spans="1:17" ht="12.75" customHeight="1">
      <c r="A195" s="288">
        <v>18.7</v>
      </c>
      <c r="B195" s="35" t="s">
        <v>11</v>
      </c>
      <c r="C195" s="59" t="s">
        <v>27</v>
      </c>
      <c r="D195" s="81">
        <v>25.820000000000004</v>
      </c>
      <c r="E195" s="38">
        <v>143.06</v>
      </c>
      <c r="F195" s="82">
        <f t="shared" si="82"/>
        <v>3693.81</v>
      </c>
      <c r="G195" s="318" t="e">
        <f>SUMIF(#REF!,G4,#REF!)</f>
        <v>#REF!</v>
      </c>
      <c r="H195" s="37" t="e">
        <f t="shared" si="83"/>
        <v>#REF!</v>
      </c>
      <c r="I195" s="318" t="e">
        <f>SUMIF(#REF!,I4,#REF!)</f>
        <v>#REF!</v>
      </c>
      <c r="J195" s="37" t="e">
        <f t="shared" si="84"/>
        <v>#REF!</v>
      </c>
      <c r="K195" s="318" t="e">
        <f>SUMIF(#REF!,K4,#REF!)</f>
        <v>#REF!</v>
      </c>
      <c r="L195" s="37" t="e">
        <f t="shared" si="85"/>
        <v>#REF!</v>
      </c>
      <c r="M195" s="318" t="e">
        <f>SUMIF(#REF!,M4,#REF!)</f>
        <v>#REF!</v>
      </c>
      <c r="N195" s="37" t="e">
        <f t="shared" si="86"/>
        <v>#REF!</v>
      </c>
      <c r="O195" s="318" t="e">
        <f t="shared" si="87"/>
        <v>#REF!</v>
      </c>
      <c r="P195" s="37" t="e">
        <f t="shared" si="87"/>
        <v>#REF!</v>
      </c>
      <c r="Q195" s="338" t="e">
        <f>+'Planilla de Avance'!#REF!-O195</f>
        <v>#REF!</v>
      </c>
    </row>
    <row r="196" spans="1:17" ht="12.75" customHeight="1">
      <c r="A196" s="289">
        <v>18.8</v>
      </c>
      <c r="B196" s="45" t="s">
        <v>47</v>
      </c>
      <c r="C196" s="60" t="s">
        <v>27</v>
      </c>
      <c r="D196" s="83">
        <v>2471.46</v>
      </c>
      <c r="E196" s="78">
        <v>265.27999999999997</v>
      </c>
      <c r="F196" s="84">
        <f t="shared" si="82"/>
        <v>655628.91</v>
      </c>
      <c r="G196" s="319" t="e">
        <f>SUMIF(#REF!,G4,#REF!)</f>
        <v>#REF!</v>
      </c>
      <c r="H196" s="47" t="e">
        <f t="shared" si="83"/>
        <v>#REF!</v>
      </c>
      <c r="I196" s="319" t="e">
        <f>SUMIF(#REF!,I4,#REF!)</f>
        <v>#REF!</v>
      </c>
      <c r="J196" s="47" t="e">
        <f t="shared" si="84"/>
        <v>#REF!</v>
      </c>
      <c r="K196" s="319" t="e">
        <f>SUMIF(#REF!,K4,#REF!)</f>
        <v>#REF!</v>
      </c>
      <c r="L196" s="47" t="e">
        <f t="shared" si="85"/>
        <v>#REF!</v>
      </c>
      <c r="M196" s="319" t="e">
        <f>SUMIF(#REF!,M4,#REF!)</f>
        <v>#REF!</v>
      </c>
      <c r="N196" s="47" t="e">
        <f t="shared" si="86"/>
        <v>#REF!</v>
      </c>
      <c r="O196" s="319" t="e">
        <f t="shared" si="87"/>
        <v>#REF!</v>
      </c>
      <c r="P196" s="47" t="e">
        <f t="shared" si="87"/>
        <v>#REF!</v>
      </c>
      <c r="Q196" s="338" t="e">
        <f>+'Planilla de Avance'!#REF!-O196</f>
        <v>#REF!</v>
      </c>
    </row>
    <row r="197" spans="1:17" ht="12.75" customHeight="1">
      <c r="A197" s="93"/>
      <c r="B197" s="48" t="s">
        <v>10</v>
      </c>
      <c r="C197" s="49"/>
      <c r="D197" s="69"/>
      <c r="E197" s="51"/>
      <c r="F197" s="70">
        <f>SUM(F189:F196)</f>
        <v>3695416.41</v>
      </c>
      <c r="G197" s="52"/>
      <c r="H197" s="76" t="e">
        <f>SUM(H189:H196)</f>
        <v>#REF!</v>
      </c>
      <c r="I197" s="52"/>
      <c r="J197" s="76" t="e">
        <f>SUM(J189:J196)</f>
        <v>#REF!</v>
      </c>
      <c r="K197" s="52"/>
      <c r="L197" s="76" t="e">
        <f>SUM(L189:L196)</f>
        <v>#REF!</v>
      </c>
      <c r="M197" s="52"/>
      <c r="N197" s="76" t="e">
        <f>SUM(N189:N196)</f>
        <v>#REF!</v>
      </c>
      <c r="O197" s="52"/>
      <c r="P197" s="76" t="e">
        <f>SUM(P189:P196)</f>
        <v>#REF!</v>
      </c>
      <c r="Q197" s="338" t="e">
        <f>+'Planilla de Avance'!#REF!-O197</f>
        <v>#REF!</v>
      </c>
    </row>
    <row r="198" spans="1:17" ht="12.75" customHeight="1">
      <c r="A198" s="285" t="s">
        <v>122</v>
      </c>
      <c r="B198" s="41" t="s">
        <v>121</v>
      </c>
      <c r="C198" s="74"/>
      <c r="D198" s="50"/>
      <c r="E198" s="51"/>
      <c r="F198" s="50"/>
      <c r="G198" s="53"/>
      <c r="H198" s="53"/>
      <c r="I198" s="53"/>
      <c r="J198" s="53"/>
      <c r="K198" s="53"/>
      <c r="L198" s="53"/>
      <c r="M198" s="53"/>
      <c r="N198" s="54"/>
      <c r="O198" s="53"/>
      <c r="P198" s="54"/>
      <c r="Q198" s="338" t="e">
        <f>+'Planilla de Avance'!#REF!-O198</f>
        <v>#REF!</v>
      </c>
    </row>
    <row r="199" spans="1:17" ht="12.75" customHeight="1">
      <c r="A199" s="287">
        <v>19.100000000000001</v>
      </c>
      <c r="B199" s="40" t="s">
        <v>123</v>
      </c>
      <c r="C199" s="58" t="s">
        <v>93</v>
      </c>
      <c r="D199" s="79">
        <v>921.92</v>
      </c>
      <c r="E199" s="100">
        <v>31</v>
      </c>
      <c r="F199" s="80">
        <f t="shared" ref="F199:F208" si="88">ROUND(E199*D199,2)</f>
        <v>28579.52</v>
      </c>
      <c r="G199" s="317" t="e">
        <f>SUMIF(#REF!,G4,#REF!)</f>
        <v>#REF!</v>
      </c>
      <c r="H199" s="73" t="e">
        <f t="shared" ref="H199:H208" si="89">+($D199*G199)</f>
        <v>#REF!</v>
      </c>
      <c r="I199" s="317" t="e">
        <f>SUMIF(#REF!,I4,#REF!)</f>
        <v>#REF!</v>
      </c>
      <c r="J199" s="73" t="e">
        <f t="shared" ref="J199:J208" si="90">($D199*I199)</f>
        <v>#REF!</v>
      </c>
      <c r="K199" s="317" t="e">
        <f>SUMIF(#REF!,K4,#REF!)</f>
        <v>#REF!</v>
      </c>
      <c r="L199" s="73" t="e">
        <f t="shared" ref="L199:L208" si="91">($D199*K199)</f>
        <v>#REF!</v>
      </c>
      <c r="M199" s="317" t="e">
        <f>SUMIF(#REF!,M4,#REF!)</f>
        <v>#REF!</v>
      </c>
      <c r="N199" s="73" t="e">
        <f t="shared" ref="N199:N208" si="92">($D199*M199)</f>
        <v>#REF!</v>
      </c>
      <c r="O199" s="317" t="e">
        <f t="shared" ref="O199:P208" si="93">+G199+I199+K199+M199</f>
        <v>#REF!</v>
      </c>
      <c r="P199" s="73" t="e">
        <f t="shared" si="93"/>
        <v>#REF!</v>
      </c>
      <c r="Q199" s="338" t="e">
        <f>+'Planilla de Avance'!#REF!-O199</f>
        <v>#REF!</v>
      </c>
    </row>
    <row r="200" spans="1:17" ht="12.75" customHeight="1">
      <c r="A200" s="288">
        <v>19.2</v>
      </c>
      <c r="B200" s="35" t="s">
        <v>13</v>
      </c>
      <c r="C200" s="59" t="s">
        <v>93</v>
      </c>
      <c r="D200" s="81">
        <v>853.03000000000009</v>
      </c>
      <c r="E200" s="38">
        <v>55</v>
      </c>
      <c r="F200" s="82">
        <f t="shared" si="88"/>
        <v>46916.65</v>
      </c>
      <c r="G200" s="318" t="e">
        <f>SUMIF(#REF!,G4,#REF!)</f>
        <v>#REF!</v>
      </c>
      <c r="H200" s="37" t="e">
        <f t="shared" si="89"/>
        <v>#REF!</v>
      </c>
      <c r="I200" s="318" t="e">
        <f>SUMIF(#REF!,I4,#REF!)</f>
        <v>#REF!</v>
      </c>
      <c r="J200" s="37" t="e">
        <f t="shared" si="90"/>
        <v>#REF!</v>
      </c>
      <c r="K200" s="318" t="e">
        <f>SUMIF(#REF!,K4,#REF!)</f>
        <v>#REF!</v>
      </c>
      <c r="L200" s="37" t="e">
        <f t="shared" si="91"/>
        <v>#REF!</v>
      </c>
      <c r="M200" s="318" t="e">
        <f>SUMIF(#REF!,M4,#REF!)</f>
        <v>#REF!</v>
      </c>
      <c r="N200" s="37" t="e">
        <f t="shared" si="92"/>
        <v>#REF!</v>
      </c>
      <c r="O200" s="318" t="e">
        <f t="shared" si="93"/>
        <v>#REF!</v>
      </c>
      <c r="P200" s="37" t="e">
        <f t="shared" si="93"/>
        <v>#REF!</v>
      </c>
      <c r="Q200" s="338" t="e">
        <f>+'Planilla de Avance'!#REF!-O200</f>
        <v>#REF!</v>
      </c>
    </row>
    <row r="201" spans="1:17" ht="12.75" customHeight="1">
      <c r="A201" s="288">
        <v>19.3</v>
      </c>
      <c r="B201" s="35" t="s">
        <v>124</v>
      </c>
      <c r="C201" s="59" t="s">
        <v>93</v>
      </c>
      <c r="D201" s="81">
        <v>1473.0400000000004</v>
      </c>
      <c r="E201" s="38">
        <v>26</v>
      </c>
      <c r="F201" s="82">
        <f t="shared" si="88"/>
        <v>38299.040000000001</v>
      </c>
      <c r="G201" s="318" t="e">
        <f>SUMIF(#REF!,G4,#REF!)</f>
        <v>#REF!</v>
      </c>
      <c r="H201" s="37" t="e">
        <f t="shared" si="89"/>
        <v>#REF!</v>
      </c>
      <c r="I201" s="318" t="e">
        <f>SUMIF(#REF!,I4,#REF!)</f>
        <v>#REF!</v>
      </c>
      <c r="J201" s="37" t="e">
        <f t="shared" si="90"/>
        <v>#REF!</v>
      </c>
      <c r="K201" s="318" t="e">
        <f>SUMIF(#REF!,K4,#REF!)</f>
        <v>#REF!</v>
      </c>
      <c r="L201" s="37" t="e">
        <f t="shared" si="91"/>
        <v>#REF!</v>
      </c>
      <c r="M201" s="318" t="e">
        <f>SUMIF(#REF!,M4,#REF!)</f>
        <v>#REF!</v>
      </c>
      <c r="N201" s="37" t="e">
        <f t="shared" si="92"/>
        <v>#REF!</v>
      </c>
      <c r="O201" s="318" t="e">
        <f t="shared" si="93"/>
        <v>#REF!</v>
      </c>
      <c r="P201" s="37" t="e">
        <f t="shared" si="93"/>
        <v>#REF!</v>
      </c>
      <c r="Q201" s="338" t="e">
        <f>+'Planilla de Avance'!#REF!-O201</f>
        <v>#REF!</v>
      </c>
    </row>
    <row r="202" spans="1:17" ht="12.75" customHeight="1">
      <c r="A202" s="288">
        <v>19.399999999999999</v>
      </c>
      <c r="B202" s="35" t="s">
        <v>125</v>
      </c>
      <c r="C202" s="59" t="s">
        <v>93</v>
      </c>
      <c r="D202" s="81">
        <v>1404.1499999999999</v>
      </c>
      <c r="E202" s="38">
        <v>52</v>
      </c>
      <c r="F202" s="82">
        <f t="shared" si="88"/>
        <v>73015.8</v>
      </c>
      <c r="G202" s="318" t="e">
        <f>SUMIF(#REF!,G4,#REF!)</f>
        <v>#REF!</v>
      </c>
      <c r="H202" s="37" t="e">
        <f t="shared" si="89"/>
        <v>#REF!</v>
      </c>
      <c r="I202" s="318" t="e">
        <f>SUMIF(#REF!,I4,#REF!)</f>
        <v>#REF!</v>
      </c>
      <c r="J202" s="37" t="e">
        <f t="shared" si="90"/>
        <v>#REF!</v>
      </c>
      <c r="K202" s="318" t="e">
        <f>SUMIF(#REF!,K4,#REF!)</f>
        <v>#REF!</v>
      </c>
      <c r="L202" s="37" t="e">
        <f t="shared" si="91"/>
        <v>#REF!</v>
      </c>
      <c r="M202" s="318" t="e">
        <f>SUMIF(#REF!,M4,#REF!)</f>
        <v>#REF!</v>
      </c>
      <c r="N202" s="37" t="e">
        <f t="shared" si="92"/>
        <v>#REF!</v>
      </c>
      <c r="O202" s="318" t="e">
        <f t="shared" si="93"/>
        <v>#REF!</v>
      </c>
      <c r="P202" s="37" t="e">
        <f t="shared" si="93"/>
        <v>#REF!</v>
      </c>
      <c r="Q202" s="338" t="e">
        <f>+'Planilla de Avance'!#REF!-O202</f>
        <v>#REF!</v>
      </c>
    </row>
    <row r="203" spans="1:17" ht="12.75" customHeight="1">
      <c r="A203" s="288">
        <v>19.5</v>
      </c>
      <c r="B203" s="35" t="s">
        <v>126</v>
      </c>
      <c r="C203" s="59" t="s">
        <v>93</v>
      </c>
      <c r="D203" s="81">
        <v>1128.5899999999999</v>
      </c>
      <c r="E203" s="38">
        <v>56</v>
      </c>
      <c r="F203" s="82">
        <f t="shared" si="88"/>
        <v>63201.04</v>
      </c>
      <c r="G203" s="318" t="e">
        <f>SUMIF(#REF!,G4,#REF!)</f>
        <v>#REF!</v>
      </c>
      <c r="H203" s="37" t="e">
        <f t="shared" si="89"/>
        <v>#REF!</v>
      </c>
      <c r="I203" s="318" t="e">
        <f>SUMIF(#REF!,I4,#REF!)</f>
        <v>#REF!</v>
      </c>
      <c r="J203" s="37" t="e">
        <f t="shared" si="90"/>
        <v>#REF!</v>
      </c>
      <c r="K203" s="318" t="e">
        <f>SUMIF(#REF!,K4,#REF!)</f>
        <v>#REF!</v>
      </c>
      <c r="L203" s="37" t="e">
        <f t="shared" si="91"/>
        <v>#REF!</v>
      </c>
      <c r="M203" s="318" t="e">
        <f>SUMIF(#REF!,M4,#REF!)</f>
        <v>#REF!</v>
      </c>
      <c r="N203" s="37" t="e">
        <f t="shared" si="92"/>
        <v>#REF!</v>
      </c>
      <c r="O203" s="318" t="e">
        <f t="shared" si="93"/>
        <v>#REF!</v>
      </c>
      <c r="P203" s="37" t="e">
        <f t="shared" si="93"/>
        <v>#REF!</v>
      </c>
      <c r="Q203" s="338" t="e">
        <f>+'Planilla de Avance'!#REF!-O203</f>
        <v>#REF!</v>
      </c>
    </row>
    <row r="204" spans="1:17" ht="12.75" customHeight="1">
      <c r="A204" s="288">
        <v>19.600000000000001</v>
      </c>
      <c r="B204" s="35" t="s">
        <v>127</v>
      </c>
      <c r="C204" s="59" t="s">
        <v>0</v>
      </c>
      <c r="D204" s="81">
        <v>14.019999999999998</v>
      </c>
      <c r="E204" s="38">
        <v>49839</v>
      </c>
      <c r="F204" s="82">
        <f t="shared" si="88"/>
        <v>698742.78</v>
      </c>
      <c r="G204" s="318" t="e">
        <f>SUMIF(#REF!,G4,#REF!)</f>
        <v>#REF!</v>
      </c>
      <c r="H204" s="37" t="e">
        <f t="shared" si="89"/>
        <v>#REF!</v>
      </c>
      <c r="I204" s="318" t="e">
        <f>SUMIF(#REF!,I4,#REF!)</f>
        <v>#REF!</v>
      </c>
      <c r="J204" s="37" t="e">
        <f t="shared" si="90"/>
        <v>#REF!</v>
      </c>
      <c r="K204" s="318" t="e">
        <f>SUMIF(#REF!,K4,#REF!)</f>
        <v>#REF!</v>
      </c>
      <c r="L204" s="37" t="e">
        <f t="shared" si="91"/>
        <v>#REF!</v>
      </c>
      <c r="M204" s="318" t="e">
        <f>SUMIF(#REF!,M4,#REF!)</f>
        <v>#REF!</v>
      </c>
      <c r="N204" s="37" t="e">
        <f t="shared" si="92"/>
        <v>#REF!</v>
      </c>
      <c r="O204" s="318" t="e">
        <f t="shared" si="93"/>
        <v>#REF!</v>
      </c>
      <c r="P204" s="37" t="e">
        <f t="shared" si="93"/>
        <v>#REF!</v>
      </c>
      <c r="Q204" s="338" t="e">
        <f>+'Planilla de Avance'!#REF!-O204</f>
        <v>#REF!</v>
      </c>
    </row>
    <row r="205" spans="1:17" ht="12.75" customHeight="1">
      <c r="A205" s="288">
        <v>19.7</v>
      </c>
      <c r="B205" s="35" t="s">
        <v>128</v>
      </c>
      <c r="C205" s="59" t="s">
        <v>93</v>
      </c>
      <c r="D205" s="81">
        <v>586.83000000000004</v>
      </c>
      <c r="E205" s="38">
        <v>12</v>
      </c>
      <c r="F205" s="82">
        <f t="shared" si="88"/>
        <v>7041.96</v>
      </c>
      <c r="G205" s="318" t="e">
        <f>SUMIF(#REF!,G4,#REF!)</f>
        <v>#REF!</v>
      </c>
      <c r="H205" s="37" t="e">
        <f t="shared" si="89"/>
        <v>#REF!</v>
      </c>
      <c r="I205" s="318" t="e">
        <f>SUMIF(#REF!,I4,#REF!)</f>
        <v>#REF!</v>
      </c>
      <c r="J205" s="37" t="e">
        <f t="shared" si="90"/>
        <v>#REF!</v>
      </c>
      <c r="K205" s="318" t="e">
        <f>SUMIF(#REF!,K4,#REF!)</f>
        <v>#REF!</v>
      </c>
      <c r="L205" s="37" t="e">
        <f t="shared" si="91"/>
        <v>#REF!</v>
      </c>
      <c r="M205" s="318" t="e">
        <f>SUMIF(#REF!,M4,#REF!)</f>
        <v>#REF!</v>
      </c>
      <c r="N205" s="37" t="e">
        <f t="shared" si="92"/>
        <v>#REF!</v>
      </c>
      <c r="O205" s="318" t="e">
        <f t="shared" si="93"/>
        <v>#REF!</v>
      </c>
      <c r="P205" s="37" t="e">
        <f t="shared" si="93"/>
        <v>#REF!</v>
      </c>
      <c r="Q205" s="338" t="e">
        <f>+'Planilla de Avance'!#REF!-O205</f>
        <v>#REF!</v>
      </c>
    </row>
    <row r="206" spans="1:17" ht="12.75" customHeight="1">
      <c r="A206" s="288">
        <v>19.8</v>
      </c>
      <c r="B206" s="35" t="s">
        <v>129</v>
      </c>
      <c r="C206" s="59" t="s">
        <v>93</v>
      </c>
      <c r="D206" s="81">
        <v>11581.69</v>
      </c>
      <c r="E206" s="38">
        <v>370</v>
      </c>
      <c r="F206" s="82">
        <f t="shared" si="88"/>
        <v>4285225.3</v>
      </c>
      <c r="G206" s="318" t="e">
        <f>SUMIF(#REF!,G4,#REF!)</f>
        <v>#REF!</v>
      </c>
      <c r="H206" s="37" t="e">
        <f t="shared" si="89"/>
        <v>#REF!</v>
      </c>
      <c r="I206" s="318" t="e">
        <f>SUMIF(#REF!,I4,#REF!)</f>
        <v>#REF!</v>
      </c>
      <c r="J206" s="37" t="e">
        <f t="shared" si="90"/>
        <v>#REF!</v>
      </c>
      <c r="K206" s="318" t="e">
        <f>SUMIF(#REF!,K4,#REF!)</f>
        <v>#REF!</v>
      </c>
      <c r="L206" s="37" t="e">
        <f t="shared" si="91"/>
        <v>#REF!</v>
      </c>
      <c r="M206" s="318" t="e">
        <f>SUMIF(#REF!,M4,#REF!)</f>
        <v>#REF!</v>
      </c>
      <c r="N206" s="37" t="e">
        <f t="shared" si="92"/>
        <v>#REF!</v>
      </c>
      <c r="O206" s="318" t="e">
        <f t="shared" si="93"/>
        <v>#REF!</v>
      </c>
      <c r="P206" s="37" t="e">
        <f t="shared" si="93"/>
        <v>#REF!</v>
      </c>
      <c r="Q206" s="338" t="e">
        <f>+'Planilla de Avance'!#REF!-O206</f>
        <v>#REF!</v>
      </c>
    </row>
    <row r="207" spans="1:17" ht="12.75" customHeight="1">
      <c r="A207" s="288">
        <v>19.899999999999999</v>
      </c>
      <c r="B207" s="35" t="s">
        <v>130</v>
      </c>
      <c r="C207" s="59" t="s">
        <v>93</v>
      </c>
      <c r="D207" s="81">
        <v>502.5</v>
      </c>
      <c r="E207" s="38">
        <v>189</v>
      </c>
      <c r="F207" s="82">
        <f t="shared" si="88"/>
        <v>94972.5</v>
      </c>
      <c r="G207" s="318" t="e">
        <f>SUMIF(#REF!,G4,#REF!)</f>
        <v>#REF!</v>
      </c>
      <c r="H207" s="37" t="e">
        <f t="shared" si="89"/>
        <v>#REF!</v>
      </c>
      <c r="I207" s="318" t="e">
        <f>SUMIF(#REF!,I4,#REF!)</f>
        <v>#REF!</v>
      </c>
      <c r="J207" s="37" t="e">
        <f t="shared" si="90"/>
        <v>#REF!</v>
      </c>
      <c r="K207" s="318" t="e">
        <f>SUMIF(#REF!,K4,#REF!)</f>
        <v>#REF!</v>
      </c>
      <c r="L207" s="37" t="e">
        <f t="shared" si="91"/>
        <v>#REF!</v>
      </c>
      <c r="M207" s="318" t="e">
        <f>SUMIF(#REF!,M4,#REF!)</f>
        <v>#REF!</v>
      </c>
      <c r="N207" s="37" t="e">
        <f t="shared" si="92"/>
        <v>#REF!</v>
      </c>
      <c r="O207" s="318" t="e">
        <f t="shared" si="93"/>
        <v>#REF!</v>
      </c>
      <c r="P207" s="37" t="e">
        <f t="shared" si="93"/>
        <v>#REF!</v>
      </c>
      <c r="Q207" s="338" t="e">
        <f>+'Planilla de Avance'!#REF!-O207</f>
        <v>#REF!</v>
      </c>
    </row>
    <row r="208" spans="1:17" ht="12.75" customHeight="1">
      <c r="A208" s="289" t="s">
        <v>131</v>
      </c>
      <c r="B208" s="45" t="s">
        <v>132</v>
      </c>
      <c r="C208" s="60" t="s">
        <v>93</v>
      </c>
      <c r="D208" s="83">
        <v>80.67</v>
      </c>
      <c r="E208" s="78">
        <v>8484</v>
      </c>
      <c r="F208" s="84">
        <f t="shared" si="88"/>
        <v>684404.28</v>
      </c>
      <c r="G208" s="319" t="e">
        <f>SUMIF(#REF!,G4,#REF!)</f>
        <v>#REF!</v>
      </c>
      <c r="H208" s="47" t="e">
        <f t="shared" si="89"/>
        <v>#REF!</v>
      </c>
      <c r="I208" s="319" t="e">
        <f>SUMIF(#REF!,I4,#REF!)</f>
        <v>#REF!</v>
      </c>
      <c r="J208" s="47" t="e">
        <f t="shared" si="90"/>
        <v>#REF!</v>
      </c>
      <c r="K208" s="319" t="e">
        <f>SUMIF(#REF!,K4,#REF!)</f>
        <v>#REF!</v>
      </c>
      <c r="L208" s="47" t="e">
        <f t="shared" si="91"/>
        <v>#REF!</v>
      </c>
      <c r="M208" s="319" t="e">
        <f>SUMIF(#REF!,M4,#REF!)</f>
        <v>#REF!</v>
      </c>
      <c r="N208" s="47" t="e">
        <f t="shared" si="92"/>
        <v>#REF!</v>
      </c>
      <c r="O208" s="319" t="e">
        <f t="shared" si="93"/>
        <v>#REF!</v>
      </c>
      <c r="P208" s="47" t="e">
        <f t="shared" si="93"/>
        <v>#REF!</v>
      </c>
      <c r="Q208" s="338" t="e">
        <f>+'Planilla de Avance'!#REF!-O208</f>
        <v>#REF!</v>
      </c>
    </row>
    <row r="209" spans="1:21" ht="12.75" customHeight="1">
      <c r="A209" s="93"/>
      <c r="B209" s="48" t="s">
        <v>10</v>
      </c>
      <c r="C209" s="49"/>
      <c r="D209" s="69"/>
      <c r="E209" s="51"/>
      <c r="F209" s="70">
        <f>SUM(F199:F208)</f>
        <v>6020398.8700000001</v>
      </c>
      <c r="G209" s="52"/>
      <c r="H209" s="76" t="e">
        <f>SUM(H199:H208)</f>
        <v>#REF!</v>
      </c>
      <c r="I209" s="52"/>
      <c r="J209" s="76" t="e">
        <f>SUM(J199:J208)</f>
        <v>#REF!</v>
      </c>
      <c r="K209" s="52"/>
      <c r="L209" s="76" t="e">
        <f>SUM(L199:L208)</f>
        <v>#REF!</v>
      </c>
      <c r="M209" s="52"/>
      <c r="N209" s="76" t="e">
        <f>SUM(N199:N208)</f>
        <v>#REF!</v>
      </c>
      <c r="O209" s="52"/>
      <c r="P209" s="76" t="e">
        <f>SUM(P199:P208)</f>
        <v>#REF!</v>
      </c>
      <c r="Q209" s="338" t="e">
        <f>+'Planilla de Avance'!#REF!-O209</f>
        <v>#REF!</v>
      </c>
    </row>
    <row r="210" spans="1:21" ht="12.75" customHeight="1">
      <c r="A210" s="285" t="s">
        <v>133</v>
      </c>
      <c r="B210" s="41" t="s">
        <v>134</v>
      </c>
      <c r="C210" s="74"/>
      <c r="D210" s="50"/>
      <c r="E210" s="51"/>
      <c r="F210" s="50"/>
      <c r="G210" s="53"/>
      <c r="H210" s="53"/>
      <c r="I210" s="53"/>
      <c r="J210" s="53"/>
      <c r="K210" s="53"/>
      <c r="L210" s="53"/>
      <c r="M210" s="53"/>
      <c r="N210" s="54"/>
      <c r="O210" s="53"/>
      <c r="P210" s="54"/>
      <c r="Q210" s="338" t="e">
        <f>+'Planilla de Avance'!#REF!-O210</f>
        <v>#REF!</v>
      </c>
    </row>
    <row r="211" spans="1:21" ht="12.75" customHeight="1">
      <c r="A211" s="292">
        <v>20.100000000000001</v>
      </c>
      <c r="B211" s="85" t="s">
        <v>135</v>
      </c>
      <c r="C211" s="87" t="s">
        <v>23</v>
      </c>
      <c r="D211" s="88">
        <v>1940100</v>
      </c>
      <c r="E211" s="101">
        <v>1</v>
      </c>
      <c r="F211" s="90">
        <f>ROUND(E211*D211,2)</f>
        <v>1940100</v>
      </c>
      <c r="G211" s="326" t="e">
        <f>SUMIF(#REF!,G4,#REF!)</f>
        <v>#REF!</v>
      </c>
      <c r="H211" s="91" t="e">
        <f>+($D211*G211)</f>
        <v>#REF!</v>
      </c>
      <c r="I211" s="326" t="e">
        <f>SUMIF(#REF!,I4,#REF!)</f>
        <v>#REF!</v>
      </c>
      <c r="J211" s="91" t="e">
        <f>($D211*I211)</f>
        <v>#REF!</v>
      </c>
      <c r="K211" s="326" t="e">
        <f>SUMIF(#REF!,K4,#REF!)</f>
        <v>#REF!</v>
      </c>
      <c r="L211" s="91" t="e">
        <f>($D211*K211)</f>
        <v>#REF!</v>
      </c>
      <c r="M211" s="326" t="e">
        <f>SUMIF(#REF!,M4,#REF!)</f>
        <v>#REF!</v>
      </c>
      <c r="N211" s="91" t="e">
        <f>($D211*M211)</f>
        <v>#REF!</v>
      </c>
      <c r="O211" s="326" t="e">
        <f>+G211+I211+K211+M211</f>
        <v>#REF!</v>
      </c>
      <c r="P211" s="91" t="e">
        <f>+H211+J211+L211+N211</f>
        <v>#REF!</v>
      </c>
      <c r="Q211" s="338" t="e">
        <f>+'Planilla de Avance'!#REF!-O211</f>
        <v>#REF!</v>
      </c>
    </row>
    <row r="212" spans="1:21" ht="12.75" customHeight="1">
      <c r="A212" s="286"/>
      <c r="B212" s="48" t="s">
        <v>10</v>
      </c>
      <c r="C212" s="49"/>
      <c r="D212" s="69"/>
      <c r="E212" s="51"/>
      <c r="F212" s="70">
        <f>SUM(F211)</f>
        <v>1940100</v>
      </c>
      <c r="G212" s="52"/>
      <c r="H212" s="76" t="e">
        <f>SUM(H211)</f>
        <v>#REF!</v>
      </c>
      <c r="I212" s="52"/>
      <c r="J212" s="76" t="e">
        <f>SUM(J211)</f>
        <v>#REF!</v>
      </c>
      <c r="K212" s="52"/>
      <c r="L212" s="76" t="e">
        <f>SUM(L211)</f>
        <v>#REF!</v>
      </c>
      <c r="M212" s="52"/>
      <c r="N212" s="76" t="e">
        <f>SUM(N211)</f>
        <v>#REF!</v>
      </c>
      <c r="O212" s="52"/>
      <c r="P212" s="76" t="e">
        <f>SUM(P211)</f>
        <v>#REF!</v>
      </c>
      <c r="Q212" s="338" t="e">
        <f>+'Planilla de Avance'!#REF!-O212</f>
        <v>#REF!</v>
      </c>
      <c r="R212" s="1864" t="s">
        <v>269</v>
      </c>
      <c r="S212" s="1864"/>
      <c r="T212" s="1864"/>
      <c r="U212" s="1864"/>
    </row>
    <row r="213" spans="1:21" ht="12.75" customHeight="1">
      <c r="A213" s="285" t="s">
        <v>136</v>
      </c>
      <c r="B213" s="41" t="s">
        <v>137</v>
      </c>
      <c r="C213" s="74"/>
      <c r="D213" s="56"/>
      <c r="E213" s="56"/>
      <c r="F213" s="57"/>
      <c r="G213" s="53"/>
      <c r="H213" s="53"/>
      <c r="I213" s="53"/>
      <c r="J213" s="53"/>
      <c r="K213" s="53"/>
      <c r="L213" s="53"/>
      <c r="M213" s="53"/>
      <c r="N213" s="54"/>
      <c r="O213" s="53"/>
      <c r="P213" s="54"/>
      <c r="Q213" s="338" t="e">
        <f>+'Planilla de Avance'!#REF!-O213</f>
        <v>#REF!</v>
      </c>
      <c r="R213" s="491" t="s">
        <v>270</v>
      </c>
      <c r="T213" t="s">
        <v>271</v>
      </c>
    </row>
    <row r="214" spans="1:21" ht="12.75" customHeight="1">
      <c r="A214" s="287">
        <v>21.1</v>
      </c>
      <c r="B214" s="40" t="s">
        <v>138</v>
      </c>
      <c r="C214" s="58" t="s">
        <v>31</v>
      </c>
      <c r="D214" s="79">
        <v>3356.31</v>
      </c>
      <c r="E214" s="63">
        <v>260</v>
      </c>
      <c r="F214" s="80">
        <f>ROUND(E214*D214,2)</f>
        <v>872640.6</v>
      </c>
      <c r="G214" s="317" t="e">
        <f>SUMIF(#REF!,G4,#REF!)</f>
        <v>#REF!</v>
      </c>
      <c r="H214" s="73" t="e">
        <f>+($D214*G214)</f>
        <v>#REF!</v>
      </c>
      <c r="I214" s="317" t="e">
        <f>SUMIF(#REF!,I4,#REF!)</f>
        <v>#REF!</v>
      </c>
      <c r="J214" s="73" t="e">
        <f>($D214*I214)</f>
        <v>#REF!</v>
      </c>
      <c r="K214" s="317" t="e">
        <f>SUMIF(#REF!,K4,#REF!)</f>
        <v>#REF!</v>
      </c>
      <c r="L214" s="73" t="e">
        <f>($D214*K214)</f>
        <v>#REF!</v>
      </c>
      <c r="M214" s="317" t="e">
        <f>SUMIF(#REF!,M4,#REF!)</f>
        <v>#REF!</v>
      </c>
      <c r="N214" s="73" t="e">
        <f>($D214*M214)</f>
        <v>#REF!</v>
      </c>
      <c r="O214" s="317" t="e">
        <f t="shared" ref="O214:P218" si="94">+G214+I214+K214+M214</f>
        <v>#REF!</v>
      </c>
      <c r="P214" s="73" t="e">
        <f t="shared" si="94"/>
        <v>#REF!</v>
      </c>
      <c r="Q214" s="338" t="e">
        <f>+'Planilla de Avance'!#REF!-O214</f>
        <v>#REF!</v>
      </c>
      <c r="R214" s="490">
        <v>2.97</v>
      </c>
      <c r="S214" s="489">
        <f>+R214*D214</f>
        <v>9968.2407000000003</v>
      </c>
      <c r="T214">
        <v>2.89</v>
      </c>
      <c r="U214" s="489">
        <f>+T214*D214</f>
        <v>9699.7358999999997</v>
      </c>
    </row>
    <row r="215" spans="1:21" ht="12.75" customHeight="1">
      <c r="A215" s="288">
        <v>21.2</v>
      </c>
      <c r="B215" s="35" t="s">
        <v>139</v>
      </c>
      <c r="C215" s="59" t="s">
        <v>140</v>
      </c>
      <c r="D215" s="81">
        <v>62.01</v>
      </c>
      <c r="E215" s="36">
        <v>14600</v>
      </c>
      <c r="F215" s="82">
        <f>ROUND(E215*D215,2)</f>
        <v>905346</v>
      </c>
      <c r="G215" s="318" t="e">
        <f>SUMIF(#REF!,G4,#REF!)</f>
        <v>#REF!</v>
      </c>
      <c r="H215" s="37" t="e">
        <f>+($D215*G215)</f>
        <v>#REF!</v>
      </c>
      <c r="I215" s="318" t="e">
        <f>SUMIF(#REF!,I4,#REF!)</f>
        <v>#REF!</v>
      </c>
      <c r="J215" s="37" t="e">
        <f>($D215*I215)</f>
        <v>#REF!</v>
      </c>
      <c r="K215" s="318" t="e">
        <f>SUMIF(#REF!,K4,#REF!)</f>
        <v>#REF!</v>
      </c>
      <c r="L215" s="37" t="e">
        <f>($D215*K215)</f>
        <v>#REF!</v>
      </c>
      <c r="M215" s="318" t="e">
        <f>SUMIF(#REF!,M4,#REF!)</f>
        <v>#REF!</v>
      </c>
      <c r="N215" s="37" t="e">
        <f>($D215*M215)</f>
        <v>#REF!</v>
      </c>
      <c r="O215" s="318" t="e">
        <f t="shared" si="94"/>
        <v>#REF!</v>
      </c>
      <c r="P215" s="37" t="e">
        <f t="shared" si="94"/>
        <v>#REF!</v>
      </c>
      <c r="Q215" s="338" t="e">
        <f>+'Planilla de Avance'!#REF!-O215</f>
        <v>#REF!</v>
      </c>
      <c r="R215" s="490">
        <v>177.88</v>
      </c>
      <c r="S215" s="489">
        <f>+R215*D215</f>
        <v>11030.3388</v>
      </c>
      <c r="T215">
        <v>172.66</v>
      </c>
      <c r="U215" s="489">
        <f>+T215*D215</f>
        <v>10706.6466</v>
      </c>
    </row>
    <row r="216" spans="1:21" ht="12.75" customHeight="1">
      <c r="A216" s="288">
        <v>21.3</v>
      </c>
      <c r="B216" s="35" t="s">
        <v>141</v>
      </c>
      <c r="C216" s="59" t="s">
        <v>142</v>
      </c>
      <c r="D216" s="81">
        <v>13777.98</v>
      </c>
      <c r="E216" s="36">
        <v>24</v>
      </c>
      <c r="F216" s="82">
        <f>ROUND(E216*D216,2)</f>
        <v>330671.52</v>
      </c>
      <c r="G216" s="318" t="e">
        <f>SUMIF(#REF!,G4,#REF!)</f>
        <v>#REF!</v>
      </c>
      <c r="H216" s="37" t="e">
        <f>+($D216*G216)</f>
        <v>#REF!</v>
      </c>
      <c r="I216" s="318" t="e">
        <f>SUMIF(#REF!,I4,#REF!)</f>
        <v>#REF!</v>
      </c>
      <c r="J216" s="37" t="e">
        <f>($D216*I216)</f>
        <v>#REF!</v>
      </c>
      <c r="K216" s="318" t="e">
        <f>SUMIF(#REF!,K4,#REF!)</f>
        <v>#REF!</v>
      </c>
      <c r="L216" s="37" t="e">
        <f>($D216*K216)</f>
        <v>#REF!</v>
      </c>
      <c r="M216" s="318" t="e">
        <f>SUMIF(#REF!,M4,#REF!)</f>
        <v>#REF!</v>
      </c>
      <c r="N216" s="37" t="e">
        <f>($D216*M216)</f>
        <v>#REF!</v>
      </c>
      <c r="O216" s="318" t="e">
        <f t="shared" si="94"/>
        <v>#REF!</v>
      </c>
      <c r="P216" s="37" t="e">
        <f t="shared" si="94"/>
        <v>#REF!</v>
      </c>
      <c r="Q216" s="338" t="e">
        <f>+'Planilla de Avance'!#REF!-O216</f>
        <v>#REF!</v>
      </c>
      <c r="R216" s="490">
        <v>0.23</v>
      </c>
      <c r="S216" s="489">
        <f>+R216*D216</f>
        <v>3168.9353999999998</v>
      </c>
      <c r="T216">
        <v>0.22</v>
      </c>
      <c r="U216" s="489">
        <f>+T216*D216</f>
        <v>3031.1556</v>
      </c>
    </row>
    <row r="217" spans="1:21" ht="12.75" customHeight="1">
      <c r="A217" s="288">
        <v>21.4</v>
      </c>
      <c r="B217" s="35" t="s">
        <v>143</v>
      </c>
      <c r="C217" s="59" t="s">
        <v>156</v>
      </c>
      <c r="D217" s="81">
        <v>373989.45</v>
      </c>
      <c r="E217" s="36">
        <v>1</v>
      </c>
      <c r="F217" s="82">
        <f>ROUND(E217*D217,2)</f>
        <v>373989.45</v>
      </c>
      <c r="G217" s="318" t="e">
        <f>SUMIF(#REF!,G4,#REF!)</f>
        <v>#REF!</v>
      </c>
      <c r="H217" s="37" t="e">
        <f>+($D217*G217)</f>
        <v>#REF!</v>
      </c>
      <c r="I217" s="318" t="e">
        <f>SUMIF(#REF!,I4,#REF!)</f>
        <v>#REF!</v>
      </c>
      <c r="J217" s="37" t="e">
        <f>($D217*I217)</f>
        <v>#REF!</v>
      </c>
      <c r="K217" s="318" t="e">
        <f>SUMIF(#REF!,K4,#REF!)</f>
        <v>#REF!</v>
      </c>
      <c r="L217" s="37" t="e">
        <f>($D217*K217)</f>
        <v>#REF!</v>
      </c>
      <c r="M217" s="318" t="e">
        <f>SUMIF(#REF!,M4,#REF!)</f>
        <v>#REF!</v>
      </c>
      <c r="N217" s="37" t="e">
        <f>($D217*M217)</f>
        <v>#REF!</v>
      </c>
      <c r="O217" s="318" t="e">
        <f t="shared" si="94"/>
        <v>#REF!</v>
      </c>
      <c r="P217" s="37" t="e">
        <f t="shared" si="94"/>
        <v>#REF!</v>
      </c>
      <c r="Q217" s="338" t="e">
        <f>+'Planilla de Avance'!#REF!-O217</f>
        <v>#REF!</v>
      </c>
    </row>
    <row r="218" spans="1:21" ht="12.75" customHeight="1">
      <c r="A218" s="289">
        <v>21.5</v>
      </c>
      <c r="B218" s="45" t="s">
        <v>144</v>
      </c>
      <c r="C218" s="60" t="s">
        <v>156</v>
      </c>
      <c r="D218" s="83">
        <v>523232.51</v>
      </c>
      <c r="E218" s="46">
        <v>2</v>
      </c>
      <c r="F218" s="84">
        <f>ROUND(E218*D218,2)</f>
        <v>1046465.02</v>
      </c>
      <c r="G218" s="319" t="e">
        <f>SUMIF(#REF!,G4,#REF!)</f>
        <v>#REF!</v>
      </c>
      <c r="H218" s="47" t="e">
        <f>+($D218*G218)</f>
        <v>#REF!</v>
      </c>
      <c r="I218" s="319" t="e">
        <f>SUMIF(#REF!,I4,#REF!)</f>
        <v>#REF!</v>
      </c>
      <c r="J218" s="47" t="e">
        <f>($D218*I218)</f>
        <v>#REF!</v>
      </c>
      <c r="K218" s="319" t="e">
        <f>SUMIF(#REF!,K4,#REF!)</f>
        <v>#REF!</v>
      </c>
      <c r="L218" s="47" t="e">
        <f>($D218*K218)</f>
        <v>#REF!</v>
      </c>
      <c r="M218" s="319" t="e">
        <f>SUMIF(#REF!,M4,#REF!)</f>
        <v>#REF!</v>
      </c>
      <c r="N218" s="47" t="e">
        <f>($D218*M218)</f>
        <v>#REF!</v>
      </c>
      <c r="O218" s="319" t="e">
        <f t="shared" si="94"/>
        <v>#REF!</v>
      </c>
      <c r="P218" s="47" t="e">
        <f t="shared" si="94"/>
        <v>#REF!</v>
      </c>
      <c r="Q218" s="338" t="e">
        <f>+'Planilla de Avance'!#REF!-O218</f>
        <v>#REF!</v>
      </c>
    </row>
    <row r="219" spans="1:21" ht="12.75" customHeight="1">
      <c r="A219" s="286"/>
      <c r="B219" s="48" t="s">
        <v>10</v>
      </c>
      <c r="C219" s="49"/>
      <c r="D219" s="69"/>
      <c r="E219" s="51"/>
      <c r="F219" s="70">
        <f>SUM(F214:F218)</f>
        <v>3529112.5900000003</v>
      </c>
      <c r="G219" s="52"/>
      <c r="H219" s="76" t="e">
        <f>SUM(H214:H218)</f>
        <v>#REF!</v>
      </c>
      <c r="I219" s="52"/>
      <c r="J219" s="76" t="e">
        <f>SUM(J214:J218)</f>
        <v>#REF!</v>
      </c>
      <c r="K219" s="52"/>
      <c r="L219" s="76" t="e">
        <f>SUM(L214:L218)</f>
        <v>#REF!</v>
      </c>
      <c r="M219" s="52"/>
      <c r="N219" s="76" t="e">
        <f>SUM(N214:N218)</f>
        <v>#REF!</v>
      </c>
      <c r="O219" s="52"/>
      <c r="P219" s="76" t="e">
        <f>SUM(P214:P218)</f>
        <v>#REF!</v>
      </c>
      <c r="Q219" s="338" t="e">
        <f>+'Planilla de Avance'!#REF!-O219</f>
        <v>#REF!</v>
      </c>
      <c r="S219" s="489">
        <f>SUM(S214:S218)</f>
        <v>24167.514899999998</v>
      </c>
      <c r="T219" s="489"/>
      <c r="U219" s="489">
        <f>SUM(U214:U218)</f>
        <v>23437.538099999998</v>
      </c>
    </row>
    <row r="220" spans="1:21" ht="12.75" customHeight="1">
      <c r="A220" s="285" t="s">
        <v>145</v>
      </c>
      <c r="B220" s="41" t="s">
        <v>146</v>
      </c>
      <c r="C220" s="74"/>
      <c r="D220" s="57"/>
      <c r="E220" s="75"/>
      <c r="F220" s="57"/>
      <c r="G220" s="53"/>
      <c r="H220" s="53"/>
      <c r="I220" s="53"/>
      <c r="J220" s="53"/>
      <c r="K220" s="53"/>
      <c r="L220" s="53"/>
      <c r="M220" s="53"/>
      <c r="N220" s="54"/>
      <c r="O220" s="53"/>
      <c r="P220" s="54"/>
      <c r="Q220" s="338" t="e">
        <f>+'Planilla de Avance'!#REF!-O220</f>
        <v>#REF!</v>
      </c>
    </row>
    <row r="221" spans="1:21" ht="12.75" customHeight="1">
      <c r="A221" s="287">
        <v>22.1</v>
      </c>
      <c r="B221" s="40" t="s">
        <v>147</v>
      </c>
      <c r="C221" s="58" t="s">
        <v>148</v>
      </c>
      <c r="D221" s="79">
        <v>125.69</v>
      </c>
      <c r="E221" s="63">
        <v>15000</v>
      </c>
      <c r="F221" s="80">
        <f t="shared" ref="F221:F226" si="95">ROUND(E221*D221,2)</f>
        <v>1885350</v>
      </c>
      <c r="G221" s="317" t="e">
        <f>SUMIF(#REF!,G4,#REF!)</f>
        <v>#REF!</v>
      </c>
      <c r="H221" s="73" t="e">
        <f t="shared" ref="H221:H226" si="96">+($D221*G221)</f>
        <v>#REF!</v>
      </c>
      <c r="I221" s="317" t="e">
        <f>SUMIF(#REF!,I4,#REF!)</f>
        <v>#REF!</v>
      </c>
      <c r="J221" s="73" t="e">
        <f t="shared" ref="J221:J226" si="97">($D221*I221)</f>
        <v>#REF!</v>
      </c>
      <c r="K221" s="317" t="e">
        <f>SUMIF(#REF!,K4,#REF!)</f>
        <v>#REF!</v>
      </c>
      <c r="L221" s="73" t="e">
        <f t="shared" ref="L221:L226" si="98">($D221*K221)</f>
        <v>#REF!</v>
      </c>
      <c r="M221" s="317" t="e">
        <f>SUMIF(#REF!,M4,#REF!)</f>
        <v>#REF!</v>
      </c>
      <c r="N221" s="73" t="e">
        <f t="shared" ref="N221:N226" si="99">($D221*M221)</f>
        <v>#REF!</v>
      </c>
      <c r="O221" s="317" t="e">
        <f t="shared" ref="O221:P226" si="100">+G221+I221+K221+M221</f>
        <v>#REF!</v>
      </c>
      <c r="P221" s="73" t="e">
        <f t="shared" si="100"/>
        <v>#REF!</v>
      </c>
      <c r="Q221" s="338" t="e">
        <f>+'Planilla de Avance'!#REF!-O221</f>
        <v>#REF!</v>
      </c>
      <c r="R221">
        <v>212.07</v>
      </c>
      <c r="S221" s="489">
        <f t="shared" ref="S221:S226" si="101">+R221*D221</f>
        <v>26655.078299999997</v>
      </c>
      <c r="T221">
        <v>205.83</v>
      </c>
      <c r="U221" s="489">
        <f t="shared" ref="U221:U226" si="102">+T221*D221</f>
        <v>25870.772700000001</v>
      </c>
    </row>
    <row r="222" spans="1:21" ht="12.75" customHeight="1">
      <c r="A222" s="288">
        <v>22.2</v>
      </c>
      <c r="B222" s="35" t="s">
        <v>149</v>
      </c>
      <c r="C222" s="59" t="s">
        <v>27</v>
      </c>
      <c r="D222" s="81">
        <v>127.29999999999998</v>
      </c>
      <c r="E222" s="36">
        <v>2350</v>
      </c>
      <c r="F222" s="82">
        <f t="shared" si="95"/>
        <v>299155</v>
      </c>
      <c r="G222" s="318" t="e">
        <f>SUMIF(#REF!,G4,#REF!)</f>
        <v>#REF!</v>
      </c>
      <c r="H222" s="37" t="e">
        <f t="shared" si="96"/>
        <v>#REF!</v>
      </c>
      <c r="I222" s="318" t="e">
        <f>SUMIF(#REF!,I4,#REF!)</f>
        <v>#REF!</v>
      </c>
      <c r="J222" s="37" t="e">
        <f t="shared" si="97"/>
        <v>#REF!</v>
      </c>
      <c r="K222" s="318" t="e">
        <f>SUMIF(#REF!,K4,#REF!)</f>
        <v>#REF!</v>
      </c>
      <c r="L222" s="37" t="e">
        <f t="shared" si="98"/>
        <v>#REF!</v>
      </c>
      <c r="M222" s="318" t="e">
        <f>SUMIF(#REF!,M4,#REF!)</f>
        <v>#REF!</v>
      </c>
      <c r="N222" s="37" t="e">
        <f t="shared" si="99"/>
        <v>#REF!</v>
      </c>
      <c r="O222" s="318" t="e">
        <f t="shared" si="100"/>
        <v>#REF!</v>
      </c>
      <c r="P222" s="37" t="e">
        <f t="shared" si="100"/>
        <v>#REF!</v>
      </c>
      <c r="Q222" s="338" t="e">
        <f>+'Planilla de Avance'!#REF!-O222</f>
        <v>#REF!</v>
      </c>
      <c r="R222">
        <v>85.68</v>
      </c>
      <c r="S222" s="489">
        <f t="shared" si="101"/>
        <v>10907.064</v>
      </c>
      <c r="T222">
        <v>83.16</v>
      </c>
      <c r="U222" s="489">
        <f t="shared" si="102"/>
        <v>10586.267999999998</v>
      </c>
    </row>
    <row r="223" spans="1:21" ht="12.75" customHeight="1">
      <c r="A223" s="288">
        <v>22.3</v>
      </c>
      <c r="B223" s="35" t="s">
        <v>150</v>
      </c>
      <c r="C223" s="59" t="s">
        <v>27</v>
      </c>
      <c r="D223" s="81">
        <v>79.399999999999991</v>
      </c>
      <c r="E223" s="36">
        <v>10000</v>
      </c>
      <c r="F223" s="82">
        <f t="shared" si="95"/>
        <v>794000</v>
      </c>
      <c r="G223" s="318" t="e">
        <f>SUMIF(#REF!,G4,#REF!)</f>
        <v>#REF!</v>
      </c>
      <c r="H223" s="37" t="e">
        <f t="shared" si="96"/>
        <v>#REF!</v>
      </c>
      <c r="I223" s="318" t="e">
        <f>SUMIF(#REF!,I4,#REF!)</f>
        <v>#REF!</v>
      </c>
      <c r="J223" s="37" t="e">
        <f t="shared" si="97"/>
        <v>#REF!</v>
      </c>
      <c r="K223" s="318" t="e">
        <f>SUMIF(#REF!,K4,#REF!)</f>
        <v>#REF!</v>
      </c>
      <c r="L223" s="37" t="e">
        <f t="shared" si="98"/>
        <v>#REF!</v>
      </c>
      <c r="M223" s="318" t="e">
        <f>SUMIF(#REF!,M4,#REF!)</f>
        <v>#REF!</v>
      </c>
      <c r="N223" s="37" t="e">
        <f t="shared" si="99"/>
        <v>#REF!</v>
      </c>
      <c r="O223" s="318" t="e">
        <f t="shared" si="100"/>
        <v>#REF!</v>
      </c>
      <c r="P223" s="37" t="e">
        <f t="shared" si="100"/>
        <v>#REF!</v>
      </c>
      <c r="Q223" s="338" t="e">
        <f>+'Planilla de Avance'!#REF!-O223</f>
        <v>#REF!</v>
      </c>
      <c r="R223">
        <v>268.92</v>
      </c>
      <c r="S223" s="489">
        <f t="shared" si="101"/>
        <v>21352.248</v>
      </c>
      <c r="T223">
        <v>261.01</v>
      </c>
      <c r="U223" s="489">
        <f t="shared" si="102"/>
        <v>20724.193999999996</v>
      </c>
    </row>
    <row r="224" spans="1:21" ht="12.75" customHeight="1">
      <c r="A224" s="288">
        <v>22.4</v>
      </c>
      <c r="B224" s="35" t="s">
        <v>151</v>
      </c>
      <c r="C224" s="59" t="s">
        <v>27</v>
      </c>
      <c r="D224" s="81">
        <v>15.46</v>
      </c>
      <c r="E224" s="36">
        <v>5000</v>
      </c>
      <c r="F224" s="82">
        <f t="shared" si="95"/>
        <v>77300</v>
      </c>
      <c r="G224" s="318" t="e">
        <f>SUMIF(#REF!,G4,#REF!)</f>
        <v>#REF!</v>
      </c>
      <c r="H224" s="37" t="e">
        <f t="shared" si="96"/>
        <v>#REF!</v>
      </c>
      <c r="I224" s="318" t="e">
        <f>SUMIF(#REF!,I4,#REF!)</f>
        <v>#REF!</v>
      </c>
      <c r="J224" s="37" t="e">
        <f t="shared" si="97"/>
        <v>#REF!</v>
      </c>
      <c r="K224" s="318" t="e">
        <f>SUMIF(#REF!,K4,#REF!)</f>
        <v>#REF!</v>
      </c>
      <c r="L224" s="37" t="e">
        <f t="shared" si="98"/>
        <v>#REF!</v>
      </c>
      <c r="M224" s="318" t="e">
        <f>SUMIF(#REF!,M4,#REF!)</f>
        <v>#REF!</v>
      </c>
      <c r="N224" s="37" t="e">
        <f t="shared" si="99"/>
        <v>#REF!</v>
      </c>
      <c r="O224" s="318" t="e">
        <f t="shared" si="100"/>
        <v>#REF!</v>
      </c>
      <c r="P224" s="37" t="e">
        <f t="shared" si="100"/>
        <v>#REF!</v>
      </c>
      <c r="Q224" s="338" t="e">
        <f>+'Planilla de Avance'!#REF!-O224</f>
        <v>#REF!</v>
      </c>
      <c r="R224">
        <v>122.44</v>
      </c>
      <c r="S224" s="489">
        <f t="shared" si="101"/>
        <v>1892.9224000000002</v>
      </c>
      <c r="T224">
        <v>118.85</v>
      </c>
      <c r="U224" s="489">
        <f t="shared" si="102"/>
        <v>1837.421</v>
      </c>
    </row>
    <row r="225" spans="1:21" ht="12.75" customHeight="1">
      <c r="A225" s="288">
        <v>22.5</v>
      </c>
      <c r="B225" s="35" t="s">
        <v>152</v>
      </c>
      <c r="C225" s="59" t="s">
        <v>20</v>
      </c>
      <c r="D225" s="81">
        <v>1507.63</v>
      </c>
      <c r="E225" s="36">
        <v>50</v>
      </c>
      <c r="F225" s="82">
        <f t="shared" si="95"/>
        <v>75381.5</v>
      </c>
      <c r="G225" s="318" t="e">
        <f>SUMIF(#REF!,G4,#REF!)</f>
        <v>#REF!</v>
      </c>
      <c r="H225" s="37" t="e">
        <f t="shared" si="96"/>
        <v>#REF!</v>
      </c>
      <c r="I225" s="318" t="e">
        <f>SUMIF(#REF!,I4,#REF!)</f>
        <v>#REF!</v>
      </c>
      <c r="J225" s="37" t="e">
        <f t="shared" si="97"/>
        <v>#REF!</v>
      </c>
      <c r="K225" s="318" t="e">
        <f>SUMIF(#REF!,K4,#REF!)</f>
        <v>#REF!</v>
      </c>
      <c r="L225" s="37" t="e">
        <f t="shared" si="98"/>
        <v>#REF!</v>
      </c>
      <c r="M225" s="318" t="e">
        <f>SUMIF(#REF!,M4,#REF!)</f>
        <v>#REF!</v>
      </c>
      <c r="N225" s="37" t="e">
        <f t="shared" si="99"/>
        <v>#REF!</v>
      </c>
      <c r="O225" s="318" t="e">
        <f t="shared" si="100"/>
        <v>#REF!</v>
      </c>
      <c r="P225" s="37" t="e">
        <f t="shared" si="100"/>
        <v>#REF!</v>
      </c>
      <c r="Q225" s="338" t="e">
        <f>+'Planilla de Avance'!#REF!-O225</f>
        <v>#REF!</v>
      </c>
      <c r="S225" s="489">
        <f t="shared" si="101"/>
        <v>0</v>
      </c>
      <c r="T225" t="e">
        <f>+O225*0.33</f>
        <v>#REF!</v>
      </c>
      <c r="U225" s="489" t="e">
        <f t="shared" si="102"/>
        <v>#REF!</v>
      </c>
    </row>
    <row r="226" spans="1:21" ht="12.75" customHeight="1">
      <c r="A226" s="289">
        <v>22.6</v>
      </c>
      <c r="B226" s="45" t="s">
        <v>153</v>
      </c>
      <c r="C226" s="60" t="s">
        <v>23</v>
      </c>
      <c r="D226" s="83">
        <v>97537.360000000015</v>
      </c>
      <c r="E226" s="46">
        <v>1</v>
      </c>
      <c r="F226" s="84">
        <f t="shared" si="95"/>
        <v>97537.36</v>
      </c>
      <c r="G226" s="319" t="e">
        <f>SUMIF(#REF!,G4,#REF!)</f>
        <v>#REF!</v>
      </c>
      <c r="H226" s="47" t="e">
        <f t="shared" si="96"/>
        <v>#REF!</v>
      </c>
      <c r="I226" s="319" t="e">
        <f>SUMIF(#REF!,I4,#REF!)</f>
        <v>#REF!</v>
      </c>
      <c r="J226" s="47" t="e">
        <f t="shared" si="97"/>
        <v>#REF!</v>
      </c>
      <c r="K226" s="319" t="e">
        <f>SUMIF(#REF!,K4,#REF!)</f>
        <v>#REF!</v>
      </c>
      <c r="L226" s="47" t="e">
        <f t="shared" si="98"/>
        <v>#REF!</v>
      </c>
      <c r="M226" s="319" t="e">
        <f>SUMIF(#REF!,M4,#REF!)</f>
        <v>#REF!</v>
      </c>
      <c r="N226" s="47" t="e">
        <f t="shared" si="99"/>
        <v>#REF!</v>
      </c>
      <c r="O226" s="319" t="e">
        <f t="shared" si="100"/>
        <v>#REF!</v>
      </c>
      <c r="P226" s="47" t="e">
        <f t="shared" si="100"/>
        <v>#REF!</v>
      </c>
      <c r="Q226" s="338" t="e">
        <f>+'Planilla de Avance'!#REF!-O226</f>
        <v>#REF!</v>
      </c>
      <c r="R226">
        <v>0.02</v>
      </c>
      <c r="S226" s="489">
        <f t="shared" si="101"/>
        <v>1950.7472000000002</v>
      </c>
      <c r="T226">
        <v>0.01</v>
      </c>
      <c r="U226" s="489">
        <f t="shared" si="102"/>
        <v>975.37360000000012</v>
      </c>
    </row>
    <row r="227" spans="1:21" ht="12.75" customHeight="1">
      <c r="A227" s="286"/>
      <c r="B227" s="48" t="s">
        <v>10</v>
      </c>
      <c r="C227" s="49"/>
      <c r="D227" s="69"/>
      <c r="E227" s="51"/>
      <c r="F227" s="70">
        <f>SUM(F221:F226)</f>
        <v>3228723.86</v>
      </c>
      <c r="G227" s="52"/>
      <c r="H227" s="76" t="e">
        <f>SUM(H221:H226)</f>
        <v>#REF!</v>
      </c>
      <c r="I227" s="52"/>
      <c r="J227" s="76" t="e">
        <f>SUM(J221:J226)</f>
        <v>#REF!</v>
      </c>
      <c r="K227" s="52"/>
      <c r="L227" s="76" t="e">
        <f>SUM(L221:L226)</f>
        <v>#REF!</v>
      </c>
      <c r="M227" s="52"/>
      <c r="N227" s="76" t="e">
        <f>SUM(N221:N226)</f>
        <v>#REF!</v>
      </c>
      <c r="O227" s="52"/>
      <c r="P227" s="76" t="e">
        <f>SUM(P221:P226)</f>
        <v>#REF!</v>
      </c>
      <c r="S227" s="489">
        <f>SUM(S221:S226)</f>
        <v>62758.0599</v>
      </c>
      <c r="T227" s="489"/>
      <c r="U227" s="489" t="e">
        <f>SUM(U221:U226)</f>
        <v>#REF!</v>
      </c>
    </row>
    <row r="228" spans="1:21" ht="12.75" customHeight="1">
      <c r="A228" s="286"/>
      <c r="B228" s="332" t="s">
        <v>204</v>
      </c>
      <c r="C228" s="49"/>
      <c r="D228" s="335">
        <f>+'Avance Financiero'!Q12</f>
        <v>168319.91</v>
      </c>
      <c r="E228" s="51"/>
      <c r="F228" s="70"/>
      <c r="G228" s="336"/>
      <c r="H228" s="76">
        <f>ROUND($D228*G228,2)</f>
        <v>0</v>
      </c>
      <c r="I228" s="333"/>
      <c r="J228" s="334">
        <f>ROUND($D228*I228,2)</f>
        <v>0</v>
      </c>
      <c r="K228" s="52"/>
      <c r="L228" s="334">
        <f>ROUND($D228*K228,2)</f>
        <v>0</v>
      </c>
      <c r="M228" s="52"/>
      <c r="N228" s="334">
        <f>ROUND($D228*M228,2)</f>
        <v>0</v>
      </c>
      <c r="O228" s="52"/>
      <c r="P228" s="334">
        <f>ROUND($D228*O228,2)</f>
        <v>0</v>
      </c>
    </row>
    <row r="229" spans="1:21" ht="12.75" customHeight="1">
      <c r="A229" s="286"/>
      <c r="B229" s="102" t="s">
        <v>154</v>
      </c>
      <c r="C229" s="49"/>
      <c r="D229" s="69"/>
      <c r="E229" s="51"/>
      <c r="F229" s="70">
        <f>+F227+F219+F212+F209+F197+F187+F180+F174+F171+F159+F151+F148+F138+F128+F125+F113+F103+F100+F88+F80+F70+F60+F55+F47+F35+F32+F28+F13</f>
        <v>162917236.21000001</v>
      </c>
      <c r="G229" s="52"/>
      <c r="H229" s="76" t="e">
        <f ca="1">+H227+H219+H212+H209+H197+H187+H180+H174+H171+H159+H151+H148+H138+H128+H125+H113+H103+H100+H88+H80+H70+H60+H55+H47+H35+H32+H28+H13</f>
        <v>#REF!</v>
      </c>
      <c r="I229" s="52"/>
      <c r="J229" s="76" t="e">
        <f ca="1">+J227+J219+J212+J209+J197+J187+J180+J174+J171+J159+J151+J148+J138+J128+J125+J113+J103+J100+J88+J80+J70+J60+J55+J47+J35+J32+J28+J13</f>
        <v>#REF!</v>
      </c>
      <c r="K229" s="52"/>
      <c r="L229" s="76" t="e">
        <f ca="1">+L227+L219+L212+L209+L197+L187+L180+L174+L171+L159+L151+L148+L138+L128+L125+L113+L103+L100+L88+L80+L70+L60+L55+L47+L35+L32+L28+L13</f>
        <v>#REF!</v>
      </c>
      <c r="M229" s="52"/>
      <c r="N229" s="76" t="e">
        <f ca="1">+N227+N219+N212+N209+N197+N187+N180+N174+N171+N159+N151+N148+N138+N128+N125+N113+N103+N100+N88+N80+N70+N60+N55+N47+N35+N32+N28+N13</f>
        <v>#REF!</v>
      </c>
      <c r="O229" s="52"/>
      <c r="P229" s="76" t="e">
        <f ca="1">+P227+P219+P212+P209+P197+P187+P180+P174+P171+P159+P151+P148+P138+P128+P125+P113+P103+P100+P88+P80+P70+P60+P55+P47+P35+P32+P28+P13</f>
        <v>#REF!</v>
      </c>
      <c r="S229" s="489">
        <f>+S227+S219</f>
        <v>86925.574800000002</v>
      </c>
    </row>
    <row r="230" spans="1:21" ht="12.75" customHeight="1">
      <c r="A230" s="424"/>
      <c r="B230" s="425"/>
      <c r="C230" s="426"/>
      <c r="D230" s="427"/>
      <c r="E230" s="428"/>
      <c r="F230" s="427"/>
      <c r="G230" s="429"/>
      <c r="H230" s="429"/>
      <c r="I230" s="429"/>
      <c r="J230" s="429"/>
      <c r="K230" s="429"/>
      <c r="L230" s="429"/>
      <c r="M230" s="429"/>
      <c r="N230" s="429"/>
      <c r="O230" s="429"/>
      <c r="P230" s="429"/>
      <c r="S230" s="489" t="e">
        <f ca="1">+L229+S229</f>
        <v>#REF!</v>
      </c>
      <c r="U230">
        <v>318.72000000000003</v>
      </c>
    </row>
    <row r="231" spans="1:21" ht="12.75" customHeight="1">
      <c r="A231" s="418"/>
      <c r="B231" s="419"/>
      <c r="C231" s="431" t="s">
        <v>285</v>
      </c>
      <c r="D231" s="421"/>
      <c r="E231" s="422"/>
      <c r="F231" s="421"/>
      <c r="G231" s="423"/>
      <c r="H231" s="423"/>
      <c r="I231" s="423"/>
      <c r="J231" s="423"/>
      <c r="K231" s="423"/>
      <c r="L231" s="423"/>
      <c r="M231" s="423"/>
      <c r="N231" s="423" t="e">
        <f>+N219*0.34</f>
        <v>#REF!</v>
      </c>
      <c r="O231" s="423"/>
      <c r="P231" s="423"/>
      <c r="U231">
        <v>318.7</v>
      </c>
    </row>
    <row r="232" spans="1:21" ht="12.75" customHeight="1" thickBot="1">
      <c r="A232" s="418"/>
      <c r="B232" s="419"/>
      <c r="C232" s="420"/>
      <c r="D232" s="421"/>
      <c r="E232" s="422"/>
      <c r="F232" s="421"/>
      <c r="G232" s="423"/>
      <c r="H232" s="423"/>
      <c r="I232" s="423"/>
      <c r="J232" s="423"/>
      <c r="K232" s="423"/>
      <c r="L232" s="423"/>
      <c r="M232" s="423"/>
      <c r="N232" s="423" t="e">
        <f>+N219*0.33</f>
        <v>#REF!</v>
      </c>
      <c r="O232" s="423"/>
      <c r="P232" s="423"/>
      <c r="R232" s="489" t="e">
        <f>+N222/D223</f>
        <v>#REF!</v>
      </c>
    </row>
    <row r="233" spans="1:21" ht="12.75" customHeight="1">
      <c r="A233" s="418"/>
      <c r="B233" s="1821" t="s">
        <v>189</v>
      </c>
      <c r="C233" s="1822"/>
      <c r="D233" s="1866" t="s">
        <v>249</v>
      </c>
      <c r="E233" s="1867"/>
      <c r="F233" s="1868"/>
      <c r="G233" s="1857" t="s">
        <v>252</v>
      </c>
      <c r="H233" s="1859" t="s">
        <v>260</v>
      </c>
      <c r="I233" s="1871" t="s">
        <v>277</v>
      </c>
      <c r="J233" s="1872"/>
      <c r="K233" s="1873"/>
      <c r="L233" s="1869" t="s">
        <v>252</v>
      </c>
      <c r="M233" s="493"/>
      <c r="N233" s="493"/>
      <c r="O233" s="493"/>
      <c r="P233" s="493"/>
      <c r="S233">
        <v>637.41999999999996</v>
      </c>
    </row>
    <row r="234" spans="1:21" ht="12.75" customHeight="1">
      <c r="A234" s="418"/>
      <c r="B234" s="1823"/>
      <c r="C234" s="1824"/>
      <c r="D234" s="432" t="s">
        <v>261</v>
      </c>
      <c r="E234" s="430" t="s">
        <v>262</v>
      </c>
      <c r="F234" s="433" t="s">
        <v>268</v>
      </c>
      <c r="G234" s="1858"/>
      <c r="H234" s="1859"/>
      <c r="I234" s="501" t="s">
        <v>279</v>
      </c>
      <c r="J234" s="502" t="s">
        <v>275</v>
      </c>
      <c r="K234" s="503" t="s">
        <v>276</v>
      </c>
      <c r="L234" s="1870"/>
      <c r="M234" s="493"/>
      <c r="N234" s="493"/>
      <c r="O234" s="493"/>
      <c r="P234" s="493"/>
    </row>
    <row r="235" spans="1:21" ht="12.75" customHeight="1">
      <c r="A235" s="418"/>
      <c r="B235" s="1833" t="s">
        <v>250</v>
      </c>
      <c r="C235" s="1834"/>
      <c r="D235" s="434" t="e">
        <f ca="1">+H229</f>
        <v>#REF!</v>
      </c>
      <c r="E235" s="435" t="e">
        <f ca="1">+J229</f>
        <v>#REF!</v>
      </c>
      <c r="F235" s="436" t="e">
        <f ca="1">+L229</f>
        <v>#REF!</v>
      </c>
      <c r="G235" s="437" t="e">
        <f ca="1">SUM(D235:F235)</f>
        <v>#REF!</v>
      </c>
      <c r="H235" s="423"/>
      <c r="I235" s="496" t="s">
        <v>278</v>
      </c>
      <c r="J235" s="505">
        <v>19823706.192586798</v>
      </c>
      <c r="K235" s="506">
        <v>8064403.1900000004</v>
      </c>
      <c r="L235" s="494">
        <f>SUM(J235:K235)</f>
        <v>27888109.3825868</v>
      </c>
      <c r="M235" s="493"/>
      <c r="N235" s="493"/>
      <c r="O235" s="493"/>
      <c r="P235" s="493"/>
    </row>
    <row r="236" spans="1:21" ht="12.75" customHeight="1" thickBot="1">
      <c r="A236" s="418"/>
      <c r="B236" s="1819" t="s">
        <v>251</v>
      </c>
      <c r="C236" s="1820"/>
      <c r="D236" s="438" t="e">
        <f ca="1">+N229*0.33</f>
        <v>#REF!</v>
      </c>
      <c r="E236" s="439" t="e">
        <f ca="1">+N229*0.33</f>
        <v>#REF!</v>
      </c>
      <c r="F236" s="440" t="e">
        <f ca="1">+N229*0.34</f>
        <v>#REF!</v>
      </c>
      <c r="G236" s="441" t="e">
        <f ca="1">SUM(D236:F236)</f>
        <v>#REF!</v>
      </c>
      <c r="H236" s="423"/>
      <c r="I236" s="497" t="s">
        <v>283</v>
      </c>
      <c r="J236" s="498" t="e">
        <f>+J235*100/Certificado!L16</f>
        <v>#DIV/0!</v>
      </c>
      <c r="K236" s="499" t="e">
        <f>+K235*100/Certificado!L16</f>
        <v>#DIV/0!</v>
      </c>
      <c r="L236" s="495" t="e">
        <f>SUM(J236:K236)</f>
        <v>#DIV/0!</v>
      </c>
      <c r="M236" s="493"/>
      <c r="N236" s="493"/>
      <c r="O236" s="493"/>
      <c r="P236" s="493"/>
    </row>
    <row r="237" spans="1:21" ht="12.75" customHeight="1" thickBot="1">
      <c r="A237" s="418"/>
      <c r="B237" s="1831" t="s">
        <v>253</v>
      </c>
      <c r="C237" s="1832"/>
      <c r="D237" s="442" t="e">
        <f ca="1">+D236+D235</f>
        <v>#REF!</v>
      </c>
      <c r="E237" s="443" t="e">
        <f ca="1">+E236+E235</f>
        <v>#REF!</v>
      </c>
      <c r="F237" s="444" t="e">
        <f ca="1">+F236+F235</f>
        <v>#REF!</v>
      </c>
      <c r="G237" s="445" t="e">
        <f ca="1">+G236+G235</f>
        <v>#REF!</v>
      </c>
      <c r="H237" s="423" t="e">
        <f ca="1">+IF((SUM(D237:F237))=G237,"OK","ERROR")</f>
        <v>#REF!</v>
      </c>
      <c r="I237" s="423"/>
      <c r="J237" s="507"/>
      <c r="K237" s="507"/>
      <c r="L237" s="423"/>
      <c r="M237" s="493"/>
      <c r="N237" s="493"/>
      <c r="O237" s="493"/>
      <c r="P237" s="493"/>
    </row>
    <row r="238" spans="1:21" ht="12.75" customHeight="1">
      <c r="A238" s="418"/>
      <c r="B238" s="1862"/>
      <c r="C238" s="1863"/>
      <c r="D238" s="446"/>
      <c r="E238" s="447"/>
      <c r="F238" s="448"/>
      <c r="G238" s="449"/>
      <c r="H238" s="423"/>
      <c r="I238" s="1874" t="s">
        <v>280</v>
      </c>
      <c r="J238" s="1875"/>
      <c r="K238" s="1876"/>
      <c r="L238" s="500">
        <f>SUM(L239:L241)</f>
        <v>27888109.380000003</v>
      </c>
      <c r="M238" s="493"/>
      <c r="N238" s="493"/>
      <c r="O238" s="493"/>
      <c r="P238" s="493"/>
    </row>
    <row r="239" spans="1:21" ht="12.75" customHeight="1">
      <c r="A239" s="418"/>
      <c r="B239" s="1825" t="s">
        <v>281</v>
      </c>
      <c r="C239" s="1826"/>
      <c r="D239" s="450">
        <v>58.26</v>
      </c>
      <c r="E239" s="451">
        <v>1.69</v>
      </c>
      <c r="F239" s="452">
        <v>6.98</v>
      </c>
      <c r="G239" s="453">
        <v>72.260000000000005</v>
      </c>
      <c r="H239" s="423"/>
      <c r="I239" s="508" t="s">
        <v>199</v>
      </c>
      <c r="J239" s="509">
        <f>8064403.19-1329293.87</f>
        <v>6735109.3200000003</v>
      </c>
      <c r="K239" s="510"/>
      <c r="L239" s="494">
        <f t="shared" ref="L239:L244" si="103">SUM(J239:K239)</f>
        <v>6735109.3200000003</v>
      </c>
      <c r="M239" s="493"/>
      <c r="N239" s="493"/>
      <c r="O239" s="493"/>
      <c r="P239" s="493"/>
    </row>
    <row r="240" spans="1:21" ht="12.75" customHeight="1">
      <c r="A240" s="418"/>
      <c r="B240" s="1827" t="s">
        <v>273</v>
      </c>
      <c r="C240" s="1828"/>
      <c r="D240" s="478" t="e">
        <f ca="1">+D239*G237/100</f>
        <v>#REF!</v>
      </c>
      <c r="E240" s="479" t="e">
        <f ca="1">+E239*G237/100</f>
        <v>#REF!</v>
      </c>
      <c r="F240" s="480" t="e">
        <f ca="1">+F239*G237/100</f>
        <v>#REF!</v>
      </c>
      <c r="G240" s="454" t="e">
        <f ca="1">+G239*G237/100</f>
        <v>#REF!</v>
      </c>
      <c r="H240" s="423" t="e">
        <f ca="1">+IF((SUM(D240:F240,D242:F242))=G240,"OK","ERROR")</f>
        <v>#REF!</v>
      </c>
      <c r="I240" s="511" t="s">
        <v>200</v>
      </c>
      <c r="J240" s="36">
        <f>2688134.4-132372.88</f>
        <v>2555761.52</v>
      </c>
      <c r="K240" s="512">
        <v>8064403.1900000004</v>
      </c>
      <c r="L240" s="513">
        <f t="shared" si="103"/>
        <v>10620164.710000001</v>
      </c>
      <c r="M240" s="493"/>
      <c r="N240" s="493"/>
      <c r="O240" s="493"/>
      <c r="P240" s="493"/>
    </row>
    <row r="241" spans="1:16" ht="12.75" customHeight="1">
      <c r="A241" s="418"/>
      <c r="B241" s="1825" t="s">
        <v>282</v>
      </c>
      <c r="C241" s="1826"/>
      <c r="D241" s="478"/>
      <c r="E241" s="479">
        <v>5.33</v>
      </c>
      <c r="F241" s="480"/>
      <c r="G241" s="454"/>
      <c r="H241" s="423"/>
      <c r="I241" s="519" t="s">
        <v>201</v>
      </c>
      <c r="J241" s="520">
        <f>11078372.06-545536.71</f>
        <v>10532835.350000001</v>
      </c>
      <c r="K241" s="521"/>
      <c r="L241" s="522">
        <f t="shared" si="103"/>
        <v>10532835.350000001</v>
      </c>
      <c r="M241" s="493"/>
      <c r="N241" s="493"/>
      <c r="O241" s="493"/>
      <c r="P241" s="493"/>
    </row>
    <row r="242" spans="1:16" ht="12.75" customHeight="1">
      <c r="A242" s="418"/>
      <c r="B242" s="1827" t="s">
        <v>274</v>
      </c>
      <c r="C242" s="1828"/>
      <c r="D242" s="478" t="e">
        <f ca="1">+D241*G240/100</f>
        <v>#REF!</v>
      </c>
      <c r="E242" s="479" t="e">
        <f ca="1">+E241*G237/100</f>
        <v>#REF!</v>
      </c>
      <c r="F242" s="480" t="e">
        <f ca="1">+F241*G240/100</f>
        <v>#REF!</v>
      </c>
      <c r="G242" s="454"/>
      <c r="H242" s="423"/>
      <c r="I242" s="515" t="s">
        <v>199</v>
      </c>
      <c r="J242" s="516" t="e">
        <f>(8064403.19-1329293.87)*100/Certificado!L16</f>
        <v>#DIV/0!</v>
      </c>
      <c r="K242" s="517"/>
      <c r="L242" s="518" t="e">
        <f t="shared" si="103"/>
        <v>#DIV/0!</v>
      </c>
      <c r="M242" s="493"/>
      <c r="N242" s="493"/>
      <c r="O242" s="493"/>
      <c r="P242" s="493"/>
    </row>
    <row r="243" spans="1:16" ht="12.75" customHeight="1">
      <c r="A243" s="418"/>
      <c r="B243" s="1835" t="s">
        <v>284</v>
      </c>
      <c r="C243" s="1836"/>
      <c r="D243" s="455">
        <f>-0.49*'Avance Financiero'!K19</f>
        <v>0</v>
      </c>
      <c r="E243" s="456"/>
      <c r="F243" s="457">
        <f>-0.51*'Avance Financiero'!K19</f>
        <v>0</v>
      </c>
      <c r="G243" s="458">
        <f>+Certificado!K25</f>
        <v>0</v>
      </c>
      <c r="H243" s="423"/>
      <c r="I243" s="511" t="s">
        <v>200</v>
      </c>
      <c r="J243" s="516" t="e">
        <f>(2688134.4-132372.88)*100/Certificado!L16</f>
        <v>#DIV/0!</v>
      </c>
      <c r="K243" s="516" t="e">
        <f>8064403.19*100/Certificado!L16</f>
        <v>#DIV/0!</v>
      </c>
      <c r="L243" s="513" t="e">
        <f t="shared" si="103"/>
        <v>#DIV/0!</v>
      </c>
      <c r="M243" s="493"/>
      <c r="N243" s="493"/>
      <c r="O243" s="493"/>
      <c r="P243" s="493"/>
    </row>
    <row r="244" spans="1:16" ht="12.75" customHeight="1" thickBot="1">
      <c r="A244" s="418"/>
      <c r="B244" s="1829" t="s">
        <v>254</v>
      </c>
      <c r="C244" s="1830"/>
      <c r="D244" s="459" t="e">
        <f ca="1">+D237-D240-D242+D243</f>
        <v>#REF!</v>
      </c>
      <c r="E244" s="460" t="e">
        <f ca="1">+E237-E240-E242+E243</f>
        <v>#REF!</v>
      </c>
      <c r="F244" s="461" t="e">
        <f ca="1">+F237-F240-F242+F243</f>
        <v>#REF!</v>
      </c>
      <c r="G244" s="462" t="e">
        <f ca="1">+G237-G240-G243</f>
        <v>#REF!</v>
      </c>
      <c r="H244" s="423" t="e">
        <f ca="1">+IF((SUM(D244:F244))=G244,"OK","ERROR")</f>
        <v>#REF!</v>
      </c>
      <c r="I244" s="514" t="s">
        <v>201</v>
      </c>
      <c r="J244" s="523" t="e">
        <f>(11078372.06-545536.71)*100/Certificado!L16</f>
        <v>#DIV/0!</v>
      </c>
      <c r="K244" s="523"/>
      <c r="L244" s="495" t="e">
        <f t="shared" si="103"/>
        <v>#DIV/0!</v>
      </c>
      <c r="M244" s="493"/>
      <c r="N244" s="493"/>
      <c r="O244" s="493"/>
      <c r="P244" s="493"/>
    </row>
    <row r="245" spans="1:16" ht="12.75" customHeight="1" thickBot="1">
      <c r="A245" s="418"/>
      <c r="B245" s="1831" t="s">
        <v>255</v>
      </c>
      <c r="C245" s="1832"/>
      <c r="D245" s="446"/>
      <c r="E245" s="447"/>
      <c r="F245" s="448"/>
      <c r="G245" s="463"/>
      <c r="H245" s="423"/>
      <c r="I245" s="493"/>
      <c r="J245" s="493"/>
      <c r="K245" s="493"/>
      <c r="L245" s="493"/>
      <c r="M245" s="493"/>
      <c r="N245" s="493"/>
      <c r="O245" s="493"/>
      <c r="P245" s="493"/>
    </row>
    <row r="246" spans="1:16" ht="12.75" customHeight="1">
      <c r="A246" s="418"/>
      <c r="B246" s="1833" t="s">
        <v>256</v>
      </c>
      <c r="C246" s="1834"/>
      <c r="D246" s="464"/>
      <c r="E246" s="465"/>
      <c r="F246" s="466"/>
      <c r="G246" s="467"/>
      <c r="H246" s="423"/>
      <c r="I246" s="1866" t="s">
        <v>277</v>
      </c>
      <c r="J246" s="1867"/>
      <c r="K246" s="1868"/>
      <c r="L246" s="493"/>
      <c r="M246" s="493"/>
      <c r="N246" s="493"/>
      <c r="O246" s="493"/>
      <c r="P246" s="493"/>
    </row>
    <row r="247" spans="1:16" ht="12.75" customHeight="1">
      <c r="A247" s="418"/>
      <c r="B247" s="1819" t="s">
        <v>257</v>
      </c>
      <c r="C247" s="1820"/>
      <c r="D247" s="438" t="e">
        <f ca="1">+ABS(IF(E244&lt;0,E244*D246,IF(F244&lt;0,F244*D246)))/100</f>
        <v>#REF!</v>
      </c>
      <c r="E247" s="439" t="e">
        <f ca="1">+ABS(IF(D244&lt;0,D244*E246,IF(F244&lt;0,F244*E246)))/100</f>
        <v>#REF!</v>
      </c>
      <c r="F247" s="440" t="e">
        <f ca="1">+ABS(IF(D244&lt;0,D244*F246,IF(E244&lt;0,E244*F246)))/100</f>
        <v>#REF!</v>
      </c>
      <c r="G247" s="468"/>
      <c r="H247" s="423"/>
      <c r="I247" s="432" t="s">
        <v>199</v>
      </c>
      <c r="J247" s="430" t="s">
        <v>200</v>
      </c>
      <c r="K247" s="433" t="s">
        <v>201</v>
      </c>
      <c r="L247" s="493"/>
      <c r="M247" s="493"/>
      <c r="N247" s="493"/>
      <c r="O247" s="493"/>
      <c r="P247" s="493"/>
    </row>
    <row r="248" spans="1:16" ht="12.75" customHeight="1">
      <c r="A248" s="418"/>
      <c r="B248" s="1831" t="s">
        <v>258</v>
      </c>
      <c r="C248" s="1832"/>
      <c r="D248" s="469" t="e">
        <f ca="1">+(((D240+D242+D247+IF(D244&lt;0,D244,0))))</f>
        <v>#REF!</v>
      </c>
      <c r="E248" s="470" t="e">
        <f ca="1">+(E240+E242+E247+IF(E244&lt;0,E244,0))</f>
        <v>#REF!</v>
      </c>
      <c r="F248" s="471" t="e">
        <f ca="1">+F240+F242+F247+IF(F244&lt;0,F244,0)</f>
        <v>#REF!</v>
      </c>
      <c r="G248" s="472" t="e">
        <f ca="1">+G240</f>
        <v>#REF!</v>
      </c>
      <c r="H248" s="423" t="e">
        <f ca="1">+IF((SUM(D248:F248))=G248,"OK","ERROR")</f>
        <v>#REF!</v>
      </c>
      <c r="I248" s="450">
        <v>4.45</v>
      </c>
      <c r="J248" s="451">
        <v>1.69</v>
      </c>
      <c r="K248" s="452">
        <v>6.98</v>
      </c>
      <c r="L248" s="493">
        <f>+I248+J248+K248+J250</f>
        <v>18.450000000000003</v>
      </c>
      <c r="M248" s="493"/>
      <c r="N248" s="493"/>
      <c r="O248" s="493"/>
      <c r="P248" s="493"/>
    </row>
    <row r="249" spans="1:16" ht="12.75" customHeight="1">
      <c r="A249" s="418"/>
      <c r="B249" s="473"/>
      <c r="C249" s="74"/>
      <c r="D249" s="446"/>
      <c r="E249" s="447"/>
      <c r="F249" s="448"/>
      <c r="G249" s="463"/>
      <c r="H249" s="423"/>
      <c r="I249" s="478" t="e">
        <f ca="1">+I248*G237/100</f>
        <v>#REF!</v>
      </c>
      <c r="J249" s="479" t="e">
        <f ca="1">+J248*G237/100</f>
        <v>#REF!</v>
      </c>
      <c r="K249" s="480" t="e">
        <f ca="1">+K248*G237/100</f>
        <v>#REF!</v>
      </c>
      <c r="L249" s="493"/>
      <c r="M249" s="493"/>
      <c r="N249" s="493"/>
      <c r="O249" s="493"/>
      <c r="P249" s="493"/>
    </row>
    <row r="250" spans="1:16" ht="12.75" customHeight="1" thickBot="1">
      <c r="A250" s="418"/>
      <c r="B250" s="1860" t="s">
        <v>259</v>
      </c>
      <c r="C250" s="1861"/>
      <c r="D250" s="474" t="e">
        <f ca="1">+D237+D243-D248</f>
        <v>#REF!</v>
      </c>
      <c r="E250" s="475" t="e">
        <f ca="1">+E237+E243-E248</f>
        <v>#REF!</v>
      </c>
      <c r="F250" s="476" t="e">
        <f ca="1">+F237+F243-F248</f>
        <v>#REF!</v>
      </c>
      <c r="G250" s="477" t="e">
        <f ca="1">+G237-G248-G243</f>
        <v>#REF!</v>
      </c>
      <c r="H250" s="423" t="e">
        <f ca="1">+IF((SUM(D250:F250))=G250,"OK","ERROR")</f>
        <v>#REF!</v>
      </c>
      <c r="I250" s="478"/>
      <c r="J250" s="479">
        <v>5.33</v>
      </c>
      <c r="K250" s="480"/>
      <c r="L250" s="493"/>
      <c r="M250" s="493"/>
      <c r="N250" s="493"/>
      <c r="O250" s="493"/>
      <c r="P250" s="493"/>
    </row>
    <row r="251" spans="1:16" ht="12.75" customHeight="1">
      <c r="A251" s="418"/>
      <c r="B251" s="419"/>
      <c r="C251" s="420"/>
      <c r="D251" s="421"/>
      <c r="E251" s="422"/>
      <c r="F251" s="421"/>
      <c r="G251" s="423"/>
      <c r="H251" s="423"/>
      <c r="I251" s="478"/>
      <c r="J251" s="479" t="e">
        <f ca="1">+J250*G237/100</f>
        <v>#REF!</v>
      </c>
      <c r="K251" s="480"/>
      <c r="L251" s="493"/>
      <c r="M251" s="493"/>
      <c r="N251" s="493"/>
      <c r="O251" s="493"/>
      <c r="P251" s="493"/>
    </row>
    <row r="252" spans="1:16" s="413" customFormat="1" ht="10.199999999999999">
      <c r="F252" s="414"/>
      <c r="I252" s="530" t="e">
        <f ca="1">+I249+I251</f>
        <v>#REF!</v>
      </c>
      <c r="J252" s="531" t="e">
        <f ca="1">+J249+J251</f>
        <v>#REF!</v>
      </c>
      <c r="K252" s="532" t="e">
        <f ca="1">+K249+K251</f>
        <v>#REF!</v>
      </c>
      <c r="L252" s="529" t="e">
        <f ca="1">+I252+J252+K252</f>
        <v>#REF!</v>
      </c>
      <c r="M252" s="504"/>
      <c r="N252" s="504"/>
      <c r="O252" s="504"/>
      <c r="P252" s="504"/>
    </row>
    <row r="253" spans="1:16" s="413" customFormat="1" ht="10.199999999999999">
      <c r="F253" s="414"/>
      <c r="I253" s="534">
        <f>886000*2</f>
        <v>1772000</v>
      </c>
      <c r="J253" s="535" t="e">
        <f ca="1">+J252</f>
        <v>#REF!</v>
      </c>
      <c r="K253" s="536" t="e">
        <f ca="1">+K252</f>
        <v>#REF!</v>
      </c>
      <c r="L253" s="504" t="e">
        <f ca="1">+I253+J253+K253</f>
        <v>#REF!</v>
      </c>
      <c r="M253" s="533" t="e">
        <f ca="1">+L253/G237</f>
        <v>#REF!</v>
      </c>
      <c r="N253" s="504"/>
      <c r="O253" s="504"/>
      <c r="P253" s="504"/>
    </row>
    <row r="254" spans="1:16" s="413" customFormat="1" ht="10.8" thickBot="1">
      <c r="F254" s="414"/>
      <c r="I254" s="537"/>
      <c r="J254" s="538"/>
      <c r="K254" s="539"/>
      <c r="L254" s="504" t="e">
        <f ca="1">+G240-F244-E244</f>
        <v>#REF!</v>
      </c>
      <c r="M254" s="504">
        <f>+G239-F239-E239-E241</f>
        <v>58.260000000000005</v>
      </c>
      <c r="N254" s="504"/>
      <c r="O254" s="504"/>
      <c r="P254" s="504"/>
    </row>
    <row r="255" spans="1:16" s="413" customFormat="1" ht="10.199999999999999">
      <c r="F255" s="414"/>
      <c r="I255" s="527"/>
      <c r="J255" s="528"/>
      <c r="K255" s="527"/>
      <c r="L255" s="504"/>
      <c r="M255" s="504"/>
      <c r="N255" s="504"/>
      <c r="O255" s="504"/>
      <c r="P255" s="504"/>
    </row>
    <row r="256" spans="1:16" s="413" customFormat="1" ht="10.199999999999999">
      <c r="F256" s="414"/>
      <c r="G256" s="540"/>
      <c r="I256" s="527"/>
      <c r="J256" s="528"/>
      <c r="K256" s="527"/>
      <c r="L256" s="504"/>
      <c r="M256" s="504"/>
      <c r="N256" s="504"/>
      <c r="O256" s="504"/>
      <c r="P256" s="504"/>
    </row>
    <row r="257" spans="1:16" s="413" customFormat="1" ht="10.199999999999999">
      <c r="F257" s="414"/>
      <c r="G257" s="540"/>
      <c r="I257" s="527"/>
      <c r="J257" s="528"/>
      <c r="K257" s="527"/>
      <c r="L257" s="504"/>
      <c r="M257" s="504"/>
      <c r="N257" s="504"/>
      <c r="O257" s="504"/>
      <c r="P257" s="504"/>
    </row>
    <row r="258" spans="1:16" s="413" customFormat="1" ht="10.199999999999999">
      <c r="F258" s="414"/>
      <c r="I258" s="527"/>
      <c r="J258" s="528"/>
      <c r="K258" s="527"/>
      <c r="L258" s="504"/>
      <c r="M258" s="504"/>
      <c r="N258" s="504"/>
      <c r="O258" s="504"/>
      <c r="P258" s="504"/>
    </row>
    <row r="259" spans="1:16" s="413" customFormat="1" ht="10.199999999999999"/>
    <row r="260" spans="1:16" s="413" customFormat="1" ht="10.199999999999999">
      <c r="A260" s="1848" t="s">
        <v>243</v>
      </c>
      <c r="B260" s="1849"/>
      <c r="C260" s="1850"/>
      <c r="D260" s="1851" t="s">
        <v>242</v>
      </c>
      <c r="E260" s="1865"/>
      <c r="F260" s="1852"/>
      <c r="G260" s="1851" t="s">
        <v>246</v>
      </c>
      <c r="H260" s="1852"/>
      <c r="I260" s="1851" t="s">
        <v>247</v>
      </c>
      <c r="J260" s="1852"/>
      <c r="K260" s="1851" t="s">
        <v>244</v>
      </c>
      <c r="L260" s="1852"/>
      <c r="M260" s="1851" t="s">
        <v>248</v>
      </c>
      <c r="N260" s="1852"/>
      <c r="O260" s="1851" t="s">
        <v>245</v>
      </c>
      <c r="P260" s="1852"/>
    </row>
    <row r="261" spans="1:16" s="413" customFormat="1" ht="10.199999999999999">
      <c r="A261" s="415">
        <v>22.1</v>
      </c>
      <c r="B261" s="40" t="s">
        <v>147</v>
      </c>
      <c r="C261" s="58" t="s">
        <v>148</v>
      </c>
      <c r="D261" s="408">
        <v>125.69</v>
      </c>
      <c r="E261" s="62">
        <v>15000</v>
      </c>
      <c r="F261" s="80">
        <f t="shared" ref="F261:F266" si="104">ROUND(E261*D261,2)</f>
        <v>1885350</v>
      </c>
      <c r="G261" s="62">
        <f t="shared" ref="G261:G266" si="105">+E261/26</f>
        <v>576.92307692307691</v>
      </c>
      <c r="H261" s="80">
        <f t="shared" ref="H261:H266" si="106">ROUND(G261*D261,2)</f>
        <v>72513.460000000006</v>
      </c>
      <c r="I261" s="62">
        <v>577</v>
      </c>
      <c r="J261" s="80">
        <f t="shared" ref="J261:J266" si="107">ROUND(I261*D261,2)</f>
        <v>72523.13</v>
      </c>
      <c r="K261" s="62">
        <f t="shared" ref="K261:K266" si="108">+I261*2</f>
        <v>1154</v>
      </c>
      <c r="L261" s="80">
        <f t="shared" ref="L261:L266" si="109">ROUND(K261*D261,2)</f>
        <v>145046.26</v>
      </c>
      <c r="M261" s="62">
        <v>602.24</v>
      </c>
      <c r="N261" s="80">
        <f t="shared" ref="N261:N266" si="110">ROUND(M261*D261,2)</f>
        <v>75695.55</v>
      </c>
      <c r="O261" s="62">
        <f>577+23.99</f>
        <v>600.99</v>
      </c>
      <c r="P261" s="80">
        <f t="shared" ref="P261:P266" si="111">ROUND(O261*D261,2)</f>
        <v>75538.429999999993</v>
      </c>
    </row>
    <row r="262" spans="1:16" s="413" customFormat="1" ht="10.199999999999999">
      <c r="A262" s="416">
        <v>22.2</v>
      </c>
      <c r="B262" s="35" t="s">
        <v>149</v>
      </c>
      <c r="C262" s="59" t="s">
        <v>27</v>
      </c>
      <c r="D262" s="409">
        <v>127.29999999999998</v>
      </c>
      <c r="E262" s="65">
        <v>2350</v>
      </c>
      <c r="F262" s="82">
        <f t="shared" si="104"/>
        <v>299155</v>
      </c>
      <c r="G262" s="65">
        <f t="shared" si="105"/>
        <v>90.384615384615387</v>
      </c>
      <c r="H262" s="82">
        <f t="shared" si="106"/>
        <v>11505.96</v>
      </c>
      <c r="I262" s="65">
        <v>90</v>
      </c>
      <c r="J262" s="82">
        <f t="shared" si="107"/>
        <v>11457</v>
      </c>
      <c r="K262" s="65">
        <f t="shared" si="108"/>
        <v>180</v>
      </c>
      <c r="L262" s="82">
        <f t="shared" si="109"/>
        <v>22914</v>
      </c>
      <c r="M262" s="65">
        <v>180</v>
      </c>
      <c r="N262" s="82">
        <f t="shared" si="110"/>
        <v>22914</v>
      </c>
      <c r="O262" s="65">
        <v>90</v>
      </c>
      <c r="P262" s="82">
        <f t="shared" si="111"/>
        <v>11457</v>
      </c>
    </row>
    <row r="263" spans="1:16" s="413" customFormat="1" ht="10.199999999999999">
      <c r="A263" s="416">
        <v>22.3</v>
      </c>
      <c r="B263" s="35" t="s">
        <v>150</v>
      </c>
      <c r="C263" s="59" t="s">
        <v>27</v>
      </c>
      <c r="D263" s="409">
        <v>79.399999999999991</v>
      </c>
      <c r="E263" s="65">
        <v>10000</v>
      </c>
      <c r="F263" s="82">
        <f t="shared" si="104"/>
        <v>794000</v>
      </c>
      <c r="G263" s="65">
        <f t="shared" si="105"/>
        <v>384.61538461538464</v>
      </c>
      <c r="H263" s="82">
        <f t="shared" si="106"/>
        <v>30538.46</v>
      </c>
      <c r="I263" s="65">
        <v>385</v>
      </c>
      <c r="J263" s="82">
        <f t="shared" si="107"/>
        <v>30569</v>
      </c>
      <c r="K263" s="65">
        <f t="shared" si="108"/>
        <v>770</v>
      </c>
      <c r="L263" s="82">
        <f t="shared" si="109"/>
        <v>61138</v>
      </c>
      <c r="M263" s="65">
        <v>770</v>
      </c>
      <c r="N263" s="82">
        <f t="shared" si="110"/>
        <v>61138</v>
      </c>
      <c r="O263" s="65">
        <v>385</v>
      </c>
      <c r="P263" s="82">
        <f t="shared" si="111"/>
        <v>30569</v>
      </c>
    </row>
    <row r="264" spans="1:16" s="413" customFormat="1" ht="10.199999999999999">
      <c r="A264" s="416">
        <v>22.4</v>
      </c>
      <c r="B264" s="35" t="s">
        <v>151</v>
      </c>
      <c r="C264" s="59" t="s">
        <v>27</v>
      </c>
      <c r="D264" s="409">
        <v>15.46</v>
      </c>
      <c r="E264" s="65">
        <v>5000</v>
      </c>
      <c r="F264" s="82">
        <f t="shared" si="104"/>
        <v>77300</v>
      </c>
      <c r="G264" s="65">
        <f t="shared" si="105"/>
        <v>192.30769230769232</v>
      </c>
      <c r="H264" s="82">
        <f t="shared" si="106"/>
        <v>2973.08</v>
      </c>
      <c r="I264" s="65">
        <v>192</v>
      </c>
      <c r="J264" s="82">
        <f t="shared" si="107"/>
        <v>2968.32</v>
      </c>
      <c r="K264" s="65">
        <f t="shared" si="108"/>
        <v>384</v>
      </c>
      <c r="L264" s="82">
        <f t="shared" si="109"/>
        <v>5936.64</v>
      </c>
      <c r="M264" s="65">
        <v>384</v>
      </c>
      <c r="N264" s="82">
        <f t="shared" si="110"/>
        <v>5936.64</v>
      </c>
      <c r="O264" s="65">
        <v>192</v>
      </c>
      <c r="P264" s="82">
        <f t="shared" si="111"/>
        <v>2968.32</v>
      </c>
    </row>
    <row r="265" spans="1:16" s="413" customFormat="1" ht="10.199999999999999">
      <c r="A265" s="416">
        <v>22.5</v>
      </c>
      <c r="B265" s="35" t="s">
        <v>152</v>
      </c>
      <c r="C265" s="59" t="s">
        <v>20</v>
      </c>
      <c r="D265" s="409">
        <v>1507.63</v>
      </c>
      <c r="E265" s="65">
        <v>50</v>
      </c>
      <c r="F265" s="82">
        <f t="shared" si="104"/>
        <v>75381.5</v>
      </c>
      <c r="G265" s="65">
        <f t="shared" si="105"/>
        <v>1.9230769230769231</v>
      </c>
      <c r="H265" s="82">
        <f t="shared" si="106"/>
        <v>2899.29</v>
      </c>
      <c r="I265" s="65">
        <v>2</v>
      </c>
      <c r="J265" s="82">
        <f t="shared" si="107"/>
        <v>3015.26</v>
      </c>
      <c r="K265" s="65">
        <f t="shared" si="108"/>
        <v>4</v>
      </c>
      <c r="L265" s="82">
        <f t="shared" si="109"/>
        <v>6030.52</v>
      </c>
      <c r="M265" s="65">
        <v>50</v>
      </c>
      <c r="N265" s="82">
        <f t="shared" si="110"/>
        <v>75381.5</v>
      </c>
      <c r="O265" s="65"/>
      <c r="P265" s="82">
        <f t="shared" si="111"/>
        <v>0</v>
      </c>
    </row>
    <row r="266" spans="1:16" s="413" customFormat="1" ht="10.199999999999999">
      <c r="A266" s="417">
        <v>22.6</v>
      </c>
      <c r="B266" s="45" t="s">
        <v>153</v>
      </c>
      <c r="C266" s="60" t="s">
        <v>23</v>
      </c>
      <c r="D266" s="410">
        <v>97537.360000000015</v>
      </c>
      <c r="E266" s="411">
        <v>1</v>
      </c>
      <c r="F266" s="412">
        <f t="shared" si="104"/>
        <v>97537.36</v>
      </c>
      <c r="G266" s="411">
        <f t="shared" si="105"/>
        <v>3.8461538461538464E-2</v>
      </c>
      <c r="H266" s="412">
        <f t="shared" si="106"/>
        <v>3751.44</v>
      </c>
      <c r="I266" s="411">
        <v>0.04</v>
      </c>
      <c r="J266" s="412">
        <f t="shared" si="107"/>
        <v>3901.49</v>
      </c>
      <c r="K266" s="411">
        <f t="shared" si="108"/>
        <v>0.08</v>
      </c>
      <c r="L266" s="412">
        <f t="shared" si="109"/>
        <v>7802.99</v>
      </c>
      <c r="M266" s="411">
        <v>0.08</v>
      </c>
      <c r="N266" s="412">
        <f t="shared" si="110"/>
        <v>7802.99</v>
      </c>
      <c r="O266" s="411">
        <v>0.04</v>
      </c>
      <c r="P266" s="412">
        <f t="shared" si="111"/>
        <v>3901.49</v>
      </c>
    </row>
    <row r="267" spans="1:16" s="413" customFormat="1" ht="10.199999999999999">
      <c r="A267" s="286"/>
      <c r="B267" s="48" t="s">
        <v>10</v>
      </c>
      <c r="C267" s="49"/>
      <c r="D267" s="69"/>
      <c r="E267" s="51"/>
      <c r="F267" s="70">
        <f>SUM(F261:F266)</f>
        <v>3228723.86</v>
      </c>
      <c r="G267" s="51"/>
      <c r="H267" s="70">
        <f>SUM(H261:H266)</f>
        <v>124181.69</v>
      </c>
      <c r="I267" s="51"/>
      <c r="J267" s="70">
        <f>SUM(J261:J266)</f>
        <v>124434.20000000001</v>
      </c>
      <c r="K267" s="51"/>
      <c r="L267" s="70">
        <f>SUM(L261:L266)</f>
        <v>248868.41</v>
      </c>
      <c r="M267" s="51"/>
      <c r="N267" s="70">
        <f>SUM(N261:N266)</f>
        <v>248868.68</v>
      </c>
      <c r="O267" s="51"/>
      <c r="P267" s="70">
        <f>SUM(P261:P266)</f>
        <v>124434.24000000001</v>
      </c>
    </row>
    <row r="268" spans="1:16" s="413" customFormat="1" ht="10.199999999999999"/>
    <row r="269" spans="1:16" s="108" customFormat="1" ht="13.8">
      <c r="M269" s="337"/>
      <c r="N269" s="337"/>
      <c r="O269" s="337"/>
      <c r="P269" s="337"/>
    </row>
    <row r="270" spans="1:16" s="108" customFormat="1" ht="13.8">
      <c r="O270" s="337"/>
    </row>
    <row r="271" spans="1:16" s="108" customFormat="1" ht="13.8">
      <c r="M271" s="337"/>
      <c r="O271" s="337"/>
      <c r="P271" s="337"/>
    </row>
    <row r="272" spans="1:16" s="108" customFormat="1" ht="13.8"/>
    <row r="274" spans="12:12">
      <c r="L274" s="338"/>
    </row>
  </sheetData>
  <mergeCells count="42">
    <mergeCell ref="R212:U212"/>
    <mergeCell ref="M260:N260"/>
    <mergeCell ref="K260:L260"/>
    <mergeCell ref="O260:P260"/>
    <mergeCell ref="D260:F260"/>
    <mergeCell ref="D233:F233"/>
    <mergeCell ref="L233:L234"/>
    <mergeCell ref="I233:K233"/>
    <mergeCell ref="I238:K238"/>
    <mergeCell ref="I246:K246"/>
    <mergeCell ref="A260:C260"/>
    <mergeCell ref="G260:H260"/>
    <mergeCell ref="I260:J260"/>
    <mergeCell ref="A5:A6"/>
    <mergeCell ref="B5:B6"/>
    <mergeCell ref="C5:F5"/>
    <mergeCell ref="G5:H5"/>
    <mergeCell ref="I5:J5"/>
    <mergeCell ref="G233:G234"/>
    <mergeCell ref="H233:H234"/>
    <mergeCell ref="B250:C250"/>
    <mergeCell ref="B235:C235"/>
    <mergeCell ref="B236:C236"/>
    <mergeCell ref="B237:C237"/>
    <mergeCell ref="B238:C238"/>
    <mergeCell ref="B248:C248"/>
    <mergeCell ref="O5:P5"/>
    <mergeCell ref="C1:L1"/>
    <mergeCell ref="C2:L2"/>
    <mergeCell ref="C3:L3"/>
    <mergeCell ref="M5:N5"/>
    <mergeCell ref="K5:L5"/>
    <mergeCell ref="B247:C247"/>
    <mergeCell ref="B233:C234"/>
    <mergeCell ref="B239:C239"/>
    <mergeCell ref="B240:C240"/>
    <mergeCell ref="B244:C244"/>
    <mergeCell ref="B245:C245"/>
    <mergeCell ref="B246:C246"/>
    <mergeCell ref="B242:C242"/>
    <mergeCell ref="B241:C241"/>
    <mergeCell ref="B243:C243"/>
  </mergeCells>
  <hyperlinks>
    <hyperlink ref="A8" location="'1.1'!A1" display="'1.1'!A1"/>
    <hyperlink ref="A9" location="'1.2'!A1" display="'1.2'!A1"/>
    <hyperlink ref="A10" location="'1.3'!A1" display="'1.3'!A1"/>
    <hyperlink ref="A11" location="'1.4'!A1" display="'1.4'!A1"/>
    <hyperlink ref="A12" location="'1.5'!A1" display="'1.5'!A1"/>
    <hyperlink ref="A15" location="'2.1'!A1" display="'2.1'!A1"/>
    <hyperlink ref="A16" location="'2.2'!A1" display="'2.2'!A1"/>
    <hyperlink ref="A17" location="'2.3'!A1" display="'2.3'!A1"/>
    <hyperlink ref="A18" location="'2.4'!A1" display="'2.4'!A1"/>
    <hyperlink ref="A19" location="'2.5'!A1" display="'2.5'!A1"/>
    <hyperlink ref="A20" location="'2.6'!A1" display="'2.6'!A1"/>
    <hyperlink ref="A21" location="'2.7'!A1" display="'2.7'!A1"/>
    <hyperlink ref="A22" location="'2.8'!A1" display="'2.8'!A1"/>
    <hyperlink ref="A23" location="'2.9'!A1" display="'2.9'!A1"/>
    <hyperlink ref="A24" location="'2.10'!A1" display="2.10"/>
    <hyperlink ref="A25" location="'2.11'!A1" display="'2.11'!A1"/>
    <hyperlink ref="A26" location="'2.12'!A1" display="'2.12'!A1"/>
    <hyperlink ref="A27" location="'2.13'!A1" display="'2.13'!A1"/>
    <hyperlink ref="A30" location="'3.1'!A1" display="'3.1'!A1"/>
    <hyperlink ref="A31" location="'3.2'!A1" display="'3.2'!A1"/>
    <hyperlink ref="A34" location="'4.1'!A1" display="'4.1'!A1"/>
    <hyperlink ref="A37" location="'5.1'!A1" display="'5.1'!A1"/>
    <hyperlink ref="A38" location="'5.2'!A1" display="'5.2'!A1"/>
    <hyperlink ref="A39" location="'5.3'!A1" display="'5.3'!A1"/>
    <hyperlink ref="A40" location="'5.4'!A1" display="'5.4'!A1"/>
    <hyperlink ref="A41" location="'5.5'!A1" display="'5.5'!A1"/>
    <hyperlink ref="A42" location="'5.6'!A1" display="'5.6'!A1"/>
    <hyperlink ref="A43" location="'5.7'!A1" display="'5.7'!A1"/>
    <hyperlink ref="A44" location="'5.8'!A1" display="'5.8'!A1"/>
    <hyperlink ref="A45" location="'5.9'!A1" display="'5.9'!A1"/>
    <hyperlink ref="A46" location="'5.10'!A1" display="5.10"/>
    <hyperlink ref="A49" location="'6.1'!A1" display="'6.1'!A1"/>
    <hyperlink ref="A50" location="'6.2'!A1" display="'6.2'!A1"/>
    <hyperlink ref="A51" location="'6.3'!A1" display="'6.3'!A1"/>
    <hyperlink ref="A52" location="'6.4'!A1" display="'6.4'!A1"/>
    <hyperlink ref="A53" location="'6.5'!A1" display="'6.5'!A1"/>
    <hyperlink ref="A54" location="'6.6'!A1" display="'6.6'!A1"/>
    <hyperlink ref="A57" location="'7.1'!A1" display="'7.1'!A1"/>
    <hyperlink ref="A58" location="'7.2'!A1" display="'7.2'!A1"/>
    <hyperlink ref="A59" location="'7.3'!A1" display="'7.3'!A1"/>
    <hyperlink ref="A62" location="'8.1'!A1" display="'8.1'!A1"/>
    <hyperlink ref="A63" location="'8.2'!A1" display="'8.2'!A1"/>
    <hyperlink ref="A64" location="'8.3'!A1" display="'8.3'!A1"/>
    <hyperlink ref="A65" location="'8.4'!A1" display="'8.4'!A1"/>
    <hyperlink ref="A66" location="'8.5'!A1" display="'8.5'!A1"/>
    <hyperlink ref="A67" location="'8.6'!A1" display="'8.6'!A1"/>
    <hyperlink ref="A68" location="'8.7'!A1" display="'8.7'!A1"/>
    <hyperlink ref="A69" location="'8.8'!A1" display="'8.8'!A1"/>
    <hyperlink ref="A72" location="'9.1'!A1" display="'9.1'!A1"/>
    <hyperlink ref="A73" location="'9.2'!A1" display="'9.2'!A1"/>
    <hyperlink ref="A74" location="'9.3'!A1" display="'9.3'!A1"/>
    <hyperlink ref="A75" location="'9.4'!A1" display="'9.4'!A1"/>
    <hyperlink ref="A76" location="'9.5'!A1" display="'9.5'!A1"/>
    <hyperlink ref="A77" location="'9.6'!A1" display="'9.6'!A1"/>
    <hyperlink ref="A78" location="'9.7'!A1" display="'9.7'!A1"/>
    <hyperlink ref="A79" location="'9.8'!A1" display="'9.8'!A1"/>
    <hyperlink ref="A83" location="'10.1'!A1" display="'10.1'!A1"/>
    <hyperlink ref="A84" location="'10.2'!A1" display="'10.2'!A1"/>
    <hyperlink ref="A85" location="'10.3'!A1" display="'10.3'!A1"/>
    <hyperlink ref="A86" location="'10.4'!A1" display="'10.4'!A1"/>
    <hyperlink ref="A87" location="'10.5'!A1" display="'10.5'!A1"/>
    <hyperlink ref="A90" location="'10.6'!A1" display="'10.6'!A1"/>
    <hyperlink ref="A91" location="'10.7'!A1" display="'10.7'!A1"/>
    <hyperlink ref="A92" location="'10.8'!A1" display="'10.8'!A1"/>
    <hyperlink ref="A93" location="'10.9'!A1" display="'10.9'!A1"/>
    <hyperlink ref="A94" location="'10.10'!A1" display="'10.10'!A1"/>
    <hyperlink ref="A95" location="'10.11'!A1" display="'10.11'!A1"/>
    <hyperlink ref="A96" location="'10.12'!A1" display="'10.12'!A1"/>
    <hyperlink ref="A97" location="'10.13'!A1" display="'10.13'!A1"/>
    <hyperlink ref="A98" location="'10.14'!A1" display="'10.14'!A1"/>
    <hyperlink ref="A99" location="'10.15'!A1" display="'10.15'!A1"/>
    <hyperlink ref="A102" location="'10.16'!A1" display="'10.16'!A1"/>
    <hyperlink ref="A106" location="'11.1'!A1" display="'11.1'!A1"/>
    <hyperlink ref="A107" location="'11.2'!A1" display="'11.2'!A1"/>
    <hyperlink ref="A108" location="'11.3'!A1" display="'11.3'!A1"/>
    <hyperlink ref="A109" location="'11.4'!A1" display="'11.4'!A1"/>
    <hyperlink ref="A110" location="'11.5'!A1" display="'11.5'!A1"/>
    <hyperlink ref="A111" location="'11.6'!A1" display="'11.6'!A1"/>
    <hyperlink ref="A112" location="'11.7'!A1" display="'11.7'!A1"/>
    <hyperlink ref="A115" location="'11.8'!A1" display="'11.8'!A1"/>
    <hyperlink ref="A116" location="'11.9'!A1" display="'11.9'!A1"/>
    <hyperlink ref="A117" location="'11.10'!A1" display="11.10"/>
    <hyperlink ref="A118" location="'11.11'!A1" display="'11.11'!A1"/>
    <hyperlink ref="A119" location="'11.12'!A1" display="'11.12'!A1"/>
    <hyperlink ref="A120" location="'11.13'!A1" display="'11.13'!A1"/>
    <hyperlink ref="A121" location="'11.14'!A1" display="'11.14'!A1"/>
    <hyperlink ref="A122" location="'11.15'!A1" display="'11.15'!A1"/>
    <hyperlink ref="A123" location="'11.16'!A1" display="'11.16'!A1"/>
    <hyperlink ref="A124" location="'11.17'!A1" display="'11.17'!A1"/>
    <hyperlink ref="A127" location="'11.18'!A1" display="'11.18'!A1"/>
    <hyperlink ref="A130" location="'12.1'!A1" display="'12.1'!A1"/>
    <hyperlink ref="A131" location="'12.2'!A1" display="'12.2'!A1"/>
    <hyperlink ref="A132" location="'12.3'!A1" display="'12.3'!A1"/>
    <hyperlink ref="A133" location="'12.4'!A1" display="'12.4'!A1"/>
    <hyperlink ref="A134" location="'12.5'!A1" display="'12.5'!A1"/>
    <hyperlink ref="A135" location="'12.6'!A1" display="'12.6'!A1"/>
    <hyperlink ref="A136" location="'12.7'!A1" display="'12.7'!A1"/>
    <hyperlink ref="A137" location="'12.8'!A1" display="'12.8'!A1"/>
    <hyperlink ref="A140" location="'13.1'!A1" display="'13.1'!A1"/>
    <hyperlink ref="A141" location="'13.2'!A1" display="'13.2'!A1"/>
    <hyperlink ref="A142" location="'13.3'!A1" display="'13.3'!A1"/>
    <hyperlink ref="A143" location="'13.4'!A1" display="'13.4'!A1"/>
    <hyperlink ref="A144" location="'13.5'!A1" display="'13.5'!A1"/>
    <hyperlink ref="A145" location="'13.6'!A1" display="'13.6'!A1"/>
    <hyperlink ref="A146" location="'13.7'!A1" display="'13.7'!A1"/>
    <hyperlink ref="A147" location="'13.8'!A1" display="'13.8'!A1"/>
    <hyperlink ref="A150" location="'14.1'!A1" display="'14.1'!A1"/>
    <hyperlink ref="A154" location="'15.1'!A1" display="'15.1'!A1"/>
    <hyperlink ref="A155" location="'15.2'!A1" display="'15.2'!A1"/>
    <hyperlink ref="A156" location="'15.3'!A1" display="'15.3'!A1"/>
    <hyperlink ref="A157" location="'15.4'!A1" display="'15.4'!A1"/>
    <hyperlink ref="A158" location="'15.5'!A1" display="'15.5'!A1"/>
    <hyperlink ref="A161" location="'15.6'!A1" display="'15.6'!A1"/>
    <hyperlink ref="A162" location="'15.7'!A1" display="'15.7'!A1"/>
    <hyperlink ref="A163" location="'15.8'!A1" display="'15.8'!A1"/>
    <hyperlink ref="A164" location="'15.9'!A1" display="'15.9'!A1"/>
    <hyperlink ref="A165" location="'15.10'!A1" display="15.10"/>
    <hyperlink ref="A166" location="'15.11'!A1" display="'15.11'!A1"/>
    <hyperlink ref="A167" location="'15.12'!A1" display="'15.12'!A1"/>
    <hyperlink ref="A168" location="'15.13'!A1" display="'15.13'!A1"/>
    <hyperlink ref="A169" location="'15.14'!A1" display="'15.14'!A1"/>
    <hyperlink ref="A170" location="'15.15'!A1" display="'15.15'!A1"/>
    <hyperlink ref="A173" location="'15.16'!A1" display="'15.16'!A1"/>
    <hyperlink ref="A176" location="'16.1'!A1" display="'16.1'!A1"/>
    <hyperlink ref="A177" location="'16.2'!A1" display="'16.2'!A1"/>
    <hyperlink ref="A178" location="'16.3'!A1" display="'16.3'!A1"/>
    <hyperlink ref="A179" location="'16.4'!A1" display="'16.4'!A1"/>
    <hyperlink ref="A182" location="'17.1'!A1" display="'17.1'!A1"/>
    <hyperlink ref="A183" location="'17.2'!A1" display="'17.2'!A1"/>
    <hyperlink ref="A184" location="'17.3'!A1" display="'17.3'!A1"/>
    <hyperlink ref="A185" location="'17.4'!A1" display="'17.4'!A1"/>
    <hyperlink ref="A186" location="'17.5'!A1" display="'17.5'!A1"/>
    <hyperlink ref="A189" location="'18.1'!A1" display="'18.1'!A1"/>
    <hyperlink ref="A190" location="'18.2'!A1" display="'18.2'!A1"/>
    <hyperlink ref="A191" location="'18.3'!A1" display="'18.3'!A1"/>
    <hyperlink ref="A192" location="'18.4'!A1" display="'18.4'!A1"/>
    <hyperlink ref="A193" location="'18.5'!A1" display="'18.5'!A1"/>
    <hyperlink ref="A194" location="'18.6'!A1" display="'18.6'!A1"/>
    <hyperlink ref="A195" location="'18.7'!A1" display="'18.7'!A1"/>
    <hyperlink ref="A196" location="'18.8'!A1" display="'18.8'!A1"/>
    <hyperlink ref="A199" location="'19.1'!A1" display="'19.1'!A1"/>
    <hyperlink ref="A200" location="'19.2'!A1" display="'19.2'!A1"/>
    <hyperlink ref="A201" location="'19.3'!A1" display="'19.3'!A1"/>
    <hyperlink ref="A202" location="'19.4'!A1" display="'19.4'!A1"/>
    <hyperlink ref="A203" location="'19.5'!A1" display="'19.5'!A1"/>
    <hyperlink ref="A204" location="'19.6'!A1" display="'19.6'!A1"/>
    <hyperlink ref="A205" location="'19.7'!A1" display="'19.7'!A1"/>
    <hyperlink ref="A206" location="'19.8'!A1" display="'19.8'!A1"/>
    <hyperlink ref="A207" location="'19.9'!A1" display="'19.9'!A1"/>
    <hyperlink ref="A208" location="'19.10'!A1" display="19.10"/>
    <hyperlink ref="A211" location="'20.1'!A1" display="'20.1'!A1"/>
    <hyperlink ref="A214" location="'21.1'!A1" display="'21.1'!A1"/>
    <hyperlink ref="A215" location="'21.2'!A1" display="'21.2'!A1"/>
    <hyperlink ref="A216" location="'21.3'!A1" display="'21.3'!A1"/>
    <hyperlink ref="A217" location="'21.4'!A1" display="'21.4'!A1"/>
    <hyperlink ref="A218" location="'21.5'!A1" display="'21.5'!A1"/>
    <hyperlink ref="A221" location="'22.1'!A1" display="'22.1'!A1"/>
    <hyperlink ref="A222" location="'22.2'!A1" display="'22.2'!A1"/>
    <hyperlink ref="A223" location="'22.3'!A1" display="'22.3'!A1"/>
    <hyperlink ref="A224" location="'22.4'!A1" display="'22.4'!A1"/>
    <hyperlink ref="A225" location="'22.5'!A1" display="'22.5'!A1"/>
    <hyperlink ref="A226" location="'22.6'!A1" display="'22.6'!A1"/>
    <hyperlink ref="C1:J1" location="Certificado!A1" display="Certificado!A1"/>
    <hyperlink ref="A261" location="'22.1'!A1" display="'22.1'!A1"/>
    <hyperlink ref="A262" location="'22.2'!A1" display="'22.2'!A1"/>
    <hyperlink ref="A263" location="'22.3'!A1" display="'22.3'!A1"/>
    <hyperlink ref="A264" location="'22.4'!A1" display="'22.4'!A1"/>
    <hyperlink ref="A265" location="'22.5'!A1" display="'22.5'!A1"/>
    <hyperlink ref="A266" location="'22.6'!A1" display="'22.6'!A1"/>
  </hyperlinks>
  <printOptions horizontalCentered="1"/>
  <pageMargins left="0.23622047244094491" right="0.23622047244094491" top="0.74803149606299213" bottom="0.74803149606299213" header="0.31496062992125984" footer="0.31496062992125984"/>
  <pageSetup scale="61" fitToHeight="4" orientation="landscape" horizontalDpi="4294967293" r:id="rId1"/>
  <colBreaks count="1" manualBreakCount="1">
    <brk id="16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FF0000"/>
    <pageSetUpPr fitToPage="1"/>
  </sheetPr>
  <dimension ref="B1:P57"/>
  <sheetViews>
    <sheetView showGridLines="0" view="pageBreakPreview" zoomScaleNormal="100" zoomScaleSheetLayoutView="100" workbookViewId="0">
      <selection activeCell="F15" sqref="F15"/>
    </sheetView>
  </sheetViews>
  <sheetFormatPr baseColWidth="10" defaultColWidth="11.44140625" defaultRowHeight="13.8"/>
  <cols>
    <col min="1" max="1" width="4.6640625" style="108" customWidth="1"/>
    <col min="2" max="7" width="12.44140625" style="108" customWidth="1"/>
    <col min="8" max="8" width="28.6640625" style="108" customWidth="1"/>
    <col min="9" max="12" width="11.44140625" style="108"/>
    <col min="13" max="13" width="0" style="108" hidden="1" customWidth="1"/>
    <col min="14" max="16384" width="11.44140625" style="108"/>
  </cols>
  <sheetData>
    <row r="1" spans="2:16" ht="13.5" customHeight="1">
      <c r="B1" s="1877" t="s">
        <v>241</v>
      </c>
      <c r="C1" s="1878"/>
      <c r="D1" s="1883" t="s">
        <v>641</v>
      </c>
      <c r="E1" s="1884"/>
      <c r="F1" s="1884"/>
      <c r="G1" s="1884"/>
      <c r="H1" s="1885"/>
    </row>
    <row r="2" spans="2:16" ht="13.5" customHeight="1">
      <c r="B2" s="1023"/>
      <c r="C2" s="1024"/>
      <c r="D2" s="1886"/>
      <c r="E2" s="1887"/>
      <c r="F2" s="1887"/>
      <c r="G2" s="1887"/>
      <c r="H2" s="1888"/>
    </row>
    <row r="3" spans="2:16">
      <c r="B3" s="1879"/>
      <c r="C3" s="1880"/>
      <c r="D3" s="1895" t="s">
        <v>184</v>
      </c>
      <c r="E3" s="1895"/>
      <c r="F3" s="1895"/>
      <c r="G3" s="1895"/>
      <c r="H3" s="1896"/>
    </row>
    <row r="4" spans="2:16">
      <c r="B4" s="109"/>
      <c r="C4" s="110"/>
      <c r="D4" s="113" t="s">
        <v>188</v>
      </c>
      <c r="E4" s="136">
        <v>1</v>
      </c>
      <c r="F4" s="137"/>
      <c r="G4" s="137"/>
      <c r="H4" s="110"/>
    </row>
    <row r="5" spans="2:16">
      <c r="B5" s="109"/>
      <c r="C5" s="110"/>
      <c r="D5" s="113" t="s">
        <v>185</v>
      </c>
      <c r="E5" s="137" t="str">
        <f>+VLOOKUP(E4,'Planilla de Avance'!E10:H102,2,)</f>
        <v>DESBROCE, DESTRONQUE Y LIMPIEZA</v>
      </c>
      <c r="F5" s="137"/>
      <c r="G5" s="137"/>
      <c r="H5" s="110"/>
    </row>
    <row r="6" spans="2:16">
      <c r="B6" s="111"/>
      <c r="C6" s="112"/>
      <c r="D6" s="138" t="s">
        <v>186</v>
      </c>
      <c r="E6" s="139" t="str">
        <f>+VLOOKUP(E4,'Planilla de Avance'!E10:H102,3,)</f>
        <v>HAS</v>
      </c>
      <c r="F6" s="139"/>
      <c r="G6" s="589" t="s">
        <v>382</v>
      </c>
      <c r="H6" s="1006">
        <f>+VLOOKUP(E4,'Planilla de Avance'!E10:J102,4,)</f>
        <v>94.18</v>
      </c>
    </row>
    <row r="8" spans="2:16">
      <c r="B8" s="1881" t="s">
        <v>183</v>
      </c>
      <c r="C8" s="1908" t="s">
        <v>180</v>
      </c>
      <c r="D8" s="1909"/>
      <c r="E8" s="1903" t="s">
        <v>160</v>
      </c>
      <c r="F8" s="1904"/>
      <c r="G8" s="1905"/>
      <c r="H8" s="1906" t="s">
        <v>161</v>
      </c>
    </row>
    <row r="9" spans="2:16">
      <c r="B9" s="1882"/>
      <c r="C9" s="282" t="s">
        <v>181</v>
      </c>
      <c r="D9" s="283" t="s">
        <v>182</v>
      </c>
      <c r="E9" s="280" t="s">
        <v>178</v>
      </c>
      <c r="F9" s="281" t="s">
        <v>1</v>
      </c>
      <c r="G9" s="279" t="s">
        <v>179</v>
      </c>
      <c r="H9" s="1907"/>
    </row>
    <row r="10" spans="2:16" s="1302" customFormat="1" ht="26.1" customHeight="1">
      <c r="B10" s="1296">
        <v>1</v>
      </c>
      <c r="C10" s="1297">
        <v>16685</v>
      </c>
      <c r="D10" s="1298">
        <v>23500</v>
      </c>
      <c r="E10" s="1299"/>
      <c r="F10" s="1300">
        <f>IF(B10="","",VLOOKUP($E$4,'Cant. Ejec,'!$E$5:$BB$91,17+B10*2+(B10-2),0))</f>
        <v>9.6300000000000008</v>
      </c>
      <c r="G10" s="1301">
        <f t="shared" ref="G10:G15" si="0">+E10+F10</f>
        <v>9.6300000000000008</v>
      </c>
      <c r="H10" s="1303" t="s">
        <v>660</v>
      </c>
      <c r="I10" s="1314">
        <f>VLOOKUP($E$4,'Cant. Ejec,'!$E$5:$BB$91,17+B10*2+(B10-2),0)</f>
        <v>9.6300000000000008</v>
      </c>
      <c r="J10" s="1302">
        <f>+(18500-16685)*0.002+(23500-20500)*0.002</f>
        <v>9.629999999999999</v>
      </c>
    </row>
    <row r="11" spans="2:16" ht="26.1" customHeight="1">
      <c r="B11" s="1304">
        <f>IF(Datos!$C$20&gt;'5'!B10,'5'!B10+1,"")</f>
        <v>2</v>
      </c>
      <c r="C11" s="1305">
        <v>23500</v>
      </c>
      <c r="D11" s="1306">
        <v>34000</v>
      </c>
      <c r="E11" s="1307">
        <f>+F10</f>
        <v>9.6300000000000008</v>
      </c>
      <c r="F11" s="1308">
        <f>IF(B11="","",VLOOKUP($E$4,'Cant. Ejec,'!$E$5:$BB$91,17+B11*2+(B11-2),0))</f>
        <v>10</v>
      </c>
      <c r="G11" s="1309">
        <f t="shared" si="0"/>
        <v>19.630000000000003</v>
      </c>
      <c r="H11" s="1303" t="s">
        <v>661</v>
      </c>
      <c r="I11" s="1315">
        <f>VLOOKUP($E$4,'Cant. Ejec,'!$E$5:$BB$91,17+B11*2+(B11-2),0)</f>
        <v>10</v>
      </c>
      <c r="J11" s="1427">
        <f>((26500-23500)+(29000-28000)+(34000-33000))*0.002</f>
        <v>10</v>
      </c>
      <c r="K11" s="337"/>
      <c r="L11" s="337"/>
    </row>
    <row r="12" spans="2:16" s="1302" customFormat="1" ht="26.1" customHeight="1">
      <c r="B12" s="1304">
        <f>IF(Datos!$C$20&gt;'5'!B11,'5'!B11+1,"")</f>
        <v>3</v>
      </c>
      <c r="C12" s="1305">
        <v>18500</v>
      </c>
      <c r="D12" s="1306">
        <v>33000</v>
      </c>
      <c r="E12" s="1310">
        <f>+G11</f>
        <v>19.630000000000003</v>
      </c>
      <c r="F12" s="1311">
        <f>IF(B12="","",VLOOKUP($E$4,'Cant. Ejec,'!$E$5:$BB$91,17+B12*2+(B12-2),0))</f>
        <v>15</v>
      </c>
      <c r="G12" s="1312">
        <f t="shared" si="0"/>
        <v>34.630000000000003</v>
      </c>
      <c r="H12" s="1303" t="s">
        <v>662</v>
      </c>
      <c r="I12" s="1314">
        <f>VLOOKUP($E$4,'Cant. Ejec,'!$E$5:$BB$91,17+B12*2+(B12-2),0)</f>
        <v>15</v>
      </c>
      <c r="J12" s="1302">
        <f>+((20500-18500)+(28000-26500)+(33000-29000))*0.002</f>
        <v>15</v>
      </c>
      <c r="K12" s="1313"/>
      <c r="L12" s="1313"/>
      <c r="M12" s="1313"/>
      <c r="N12" s="108" t="s">
        <v>668</v>
      </c>
      <c r="O12" s="1341" t="s">
        <v>669</v>
      </c>
      <c r="P12" s="1341" t="s">
        <v>670</v>
      </c>
    </row>
    <row r="13" spans="2:16">
      <c r="B13" s="146">
        <f>IF(Datos!$C$20&gt;'5'!B12,'5'!B12+1,"")</f>
        <v>4</v>
      </c>
      <c r="C13" s="142">
        <v>8700</v>
      </c>
      <c r="D13" s="143">
        <v>16685</v>
      </c>
      <c r="E13" s="123">
        <f>+G12</f>
        <v>34.630000000000003</v>
      </c>
      <c r="F13" s="124">
        <f>IF(B13="","",VLOOKUP($E$4,'Cant. Ejec,'!$E$5:$BB$91,17+B13*2+(B13-2),0))</f>
        <v>15.97</v>
      </c>
      <c r="G13" s="125">
        <f t="shared" si="0"/>
        <v>50.6</v>
      </c>
      <c r="H13" s="1210" t="s">
        <v>642</v>
      </c>
      <c r="I13" s="1315">
        <f>VLOOKUP($E$4,'Cant. Ejec,'!$E$5:$BB$91,17+B13*2+(B13-2),0)</f>
        <v>15.97</v>
      </c>
      <c r="K13" s="337">
        <v>8700</v>
      </c>
      <c r="L13" s="337">
        <v>16685</v>
      </c>
      <c r="N13" s="337">
        <f>+L13-K13</f>
        <v>7985</v>
      </c>
      <c r="O13" s="1341">
        <f>+N13*20</f>
        <v>159700</v>
      </c>
      <c r="P13" s="1342">
        <f>+O13/10000</f>
        <v>15.97</v>
      </c>
    </row>
    <row r="14" spans="2:16">
      <c r="B14" s="146">
        <f>IF(Datos!$C$20&gt;'5'!B13,'5'!B13+1,"")</f>
        <v>5</v>
      </c>
      <c r="C14" s="142">
        <v>34000</v>
      </c>
      <c r="D14" s="143">
        <v>37500</v>
      </c>
      <c r="E14" s="123">
        <f>+G13</f>
        <v>50.6</v>
      </c>
      <c r="F14" s="124">
        <f>IF(B14="","",VLOOKUP($E$4,'Cant. Ejec,'!$E$5:$BB$91,17+B14*2+(B14-2),0))</f>
        <v>7</v>
      </c>
      <c r="G14" s="125">
        <f t="shared" si="0"/>
        <v>57.6</v>
      </c>
      <c r="H14" s="1210" t="s">
        <v>642</v>
      </c>
      <c r="I14" s="1315">
        <f>VLOOKUP($E$4,'Cant. Ejec,'!$E$5:$BB$91,17+B14*2+(B14-2),0)</f>
        <v>7</v>
      </c>
      <c r="K14" s="337">
        <v>34000</v>
      </c>
      <c r="L14" s="337">
        <v>37500</v>
      </c>
      <c r="M14" s="337"/>
      <c r="N14" s="337">
        <f>+L14-K14</f>
        <v>3500</v>
      </c>
      <c r="O14" s="1341">
        <f>+N14*20</f>
        <v>70000</v>
      </c>
      <c r="P14" s="1342">
        <f>+O14/10000</f>
        <v>7</v>
      </c>
    </row>
    <row r="15" spans="2:16">
      <c r="B15" s="146">
        <v>6</v>
      </c>
      <c r="C15" s="142">
        <v>37500</v>
      </c>
      <c r="D15" s="143">
        <v>45000</v>
      </c>
      <c r="E15" s="123">
        <f>+G14</f>
        <v>57.6</v>
      </c>
      <c r="F15" s="124">
        <f>IF(B15="","",VLOOKUP($E$4,'Cant. Ejec,'!$E$5:$BB$91,17+B15*2+(B15-2),0))</f>
        <v>15</v>
      </c>
      <c r="G15" s="125">
        <f t="shared" si="0"/>
        <v>72.599999999999994</v>
      </c>
      <c r="H15" s="1210" t="s">
        <v>642</v>
      </c>
      <c r="I15" s="1315"/>
      <c r="K15" s="337">
        <v>37500</v>
      </c>
      <c r="L15" s="337">
        <v>45000</v>
      </c>
      <c r="M15" s="337"/>
      <c r="N15" s="337">
        <f>+L15-K15</f>
        <v>7500</v>
      </c>
      <c r="O15" s="1341">
        <f>+N15*20</f>
        <v>150000</v>
      </c>
      <c r="P15" s="1342">
        <f>+O15/10000</f>
        <v>15</v>
      </c>
    </row>
    <row r="16" spans="2:16">
      <c r="B16" s="146" t="str">
        <f>IF(Datos!$C$20&gt;'5'!B18,'5'!B18+1,"")</f>
        <v/>
      </c>
      <c r="C16" s="142"/>
      <c r="D16" s="143"/>
      <c r="E16" s="123"/>
      <c r="F16" s="124" t="str">
        <f>IF(B16="","",VLOOKUP($E$4,'Cant. Ejec,'!$E$5:$BB$91,17+B16*2+(B16-2),0))</f>
        <v/>
      </c>
      <c r="G16" s="125"/>
      <c r="H16" s="1210"/>
      <c r="I16" s="1315"/>
    </row>
    <row r="17" spans="2:14">
      <c r="B17" s="146" t="str">
        <f>IF(Datos!$C$20&gt;'5'!B19,'5'!B19+1,"")</f>
        <v/>
      </c>
      <c r="C17" s="142"/>
      <c r="D17" s="143"/>
      <c r="E17" s="123"/>
      <c r="F17" s="124" t="str">
        <f>IF(B17="","",VLOOKUP($E$4,'Cant. Ejec,'!$E$5:$BB$91,17+B17*2+(B17-2),0))</f>
        <v/>
      </c>
      <c r="G17" s="125"/>
      <c r="H17" s="1210"/>
    </row>
    <row r="18" spans="2:14">
      <c r="B18" s="146" t="str">
        <f>IF(Datos!$C$20&gt;'5'!B20,'5'!B20+1,"")</f>
        <v/>
      </c>
      <c r="C18" s="142"/>
      <c r="D18" s="143"/>
      <c r="E18" s="123"/>
      <c r="F18" s="124" t="str">
        <f>IF(B18="","",VLOOKUP($E$4,'Cant. Ejec,'!$E$5:$BB$91,17+B18*2+(B18-2),0))</f>
        <v/>
      </c>
      <c r="G18" s="125"/>
      <c r="H18" s="1210"/>
      <c r="J18" s="337"/>
    </row>
    <row r="19" spans="2:14">
      <c r="B19" s="146" t="str">
        <f>IF(Datos!$C$20&gt;'5'!B21,'5'!B21+1,"")</f>
        <v/>
      </c>
      <c r="C19" s="142"/>
      <c r="D19" s="143"/>
      <c r="E19" s="123"/>
      <c r="F19" s="124" t="str">
        <f>IF(B19="","",VLOOKUP($E$4,'Cant. Ejec,'!$E$5:$BB$91,17+B19*2+(B19-2),0))</f>
        <v/>
      </c>
      <c r="G19" s="125"/>
      <c r="H19" s="1210"/>
      <c r="N19" s="1424"/>
    </row>
    <row r="20" spans="2:14">
      <c r="B20" s="146" t="str">
        <f>IF(Datos!$C$20&gt;'5'!B22,'5'!B22+1,"")</f>
        <v/>
      </c>
      <c r="C20" s="142"/>
      <c r="D20" s="143"/>
      <c r="E20" s="123"/>
      <c r="F20" s="124" t="str">
        <f>IF(B20="","",VLOOKUP($E$4,'Cant. Ejec,'!$E$5:$BB$91,17+B20*2+(B20-2),0))</f>
        <v/>
      </c>
      <c r="G20" s="125"/>
      <c r="H20" s="1210"/>
    </row>
    <row r="21" spans="2:14">
      <c r="B21" s="146" t="str">
        <f>IF(Datos!$C$20&gt;'5'!B23,'5'!B23+1,"")</f>
        <v/>
      </c>
      <c r="C21" s="142"/>
      <c r="D21" s="143"/>
      <c r="E21" s="123"/>
      <c r="F21" s="124" t="str">
        <f>IF(B21="","",VLOOKUP($E$4,'Cant. Ejec,'!$E$5:$BB$91,17+B21*2+(B21-2),0))</f>
        <v/>
      </c>
      <c r="G21" s="125"/>
      <c r="H21" s="1210"/>
    </row>
    <row r="22" spans="2:14">
      <c r="B22" s="146" t="str">
        <f>IF(Datos!$C$20&gt;'5'!B24,'5'!B24+1,"")</f>
        <v/>
      </c>
      <c r="C22" s="142"/>
      <c r="D22" s="143"/>
      <c r="E22" s="123"/>
      <c r="F22" s="124" t="str">
        <f>IF(B22="","",VLOOKUP($E$4,'Cant. Ejec,'!$E$5:$BB$91,17+B22*2+(B22-2),0))</f>
        <v/>
      </c>
      <c r="G22" s="125"/>
      <c r="H22" s="1210"/>
    </row>
    <row r="23" spans="2:14">
      <c r="B23" s="146" t="str">
        <f>IF(Datos!$C$20&gt;'5'!B25,'5'!B25+1,"")</f>
        <v/>
      </c>
      <c r="C23" s="142"/>
      <c r="D23" s="143"/>
      <c r="E23" s="123"/>
      <c r="F23" s="124" t="str">
        <f>IF(B23="","",VLOOKUP($E$4,'Cant. Ejec,'!$E$5:$BB$91,17+B23*2+(B23-2),0))</f>
        <v/>
      </c>
      <c r="G23" s="125"/>
      <c r="H23" s="1210"/>
    </row>
    <row r="24" spans="2:14">
      <c r="B24" s="146" t="str">
        <f>IF(Datos!$C$20&gt;'5'!B26,'5'!B26+1,"")</f>
        <v/>
      </c>
      <c r="C24" s="142"/>
      <c r="D24" s="143"/>
      <c r="E24" s="123"/>
      <c r="F24" s="124" t="str">
        <f>IF(B24="","",VLOOKUP($E$4,'Cant. Ejec,'!$E$5:$BB$91,17+B24*2+(B24-2),0))</f>
        <v/>
      </c>
      <c r="G24" s="125"/>
      <c r="H24" s="1210"/>
    </row>
    <row r="25" spans="2:14">
      <c r="B25" s="146" t="str">
        <f>IF(Datos!$C$20&gt;'5'!B27,'5'!B27+1,"")</f>
        <v/>
      </c>
      <c r="C25" s="142"/>
      <c r="D25" s="143"/>
      <c r="E25" s="123"/>
      <c r="F25" s="124" t="str">
        <f>IF(B25="","",VLOOKUP($E$4,'Cant. Ejec,'!$E$5:$BB$91,17+B25*2+(B25-2),0))</f>
        <v/>
      </c>
      <c r="G25" s="125"/>
      <c r="H25" s="1210"/>
    </row>
    <row r="26" spans="2:14">
      <c r="B26" s="146" t="str">
        <f>IF(Datos!$C$20&gt;'5'!B28,'5'!B28+1,"")</f>
        <v/>
      </c>
      <c r="C26" s="142"/>
      <c r="D26" s="143"/>
      <c r="E26" s="123"/>
      <c r="F26" s="124" t="str">
        <f>IF(B26="","",VLOOKUP($E$4,'Cant. Ejec,'!$E$5:$BB$91,17+B26*2+(B26-2),0))</f>
        <v/>
      </c>
      <c r="G26" s="125"/>
      <c r="H26" s="1210"/>
    </row>
    <row r="27" spans="2:14">
      <c r="B27" s="146" t="str">
        <f>IF(Datos!$C$20&gt;'5'!B29,'5'!B29+1,"")</f>
        <v/>
      </c>
      <c r="C27" s="142"/>
      <c r="D27" s="143"/>
      <c r="E27" s="123"/>
      <c r="F27" s="124" t="str">
        <f>IF(B27="","",VLOOKUP($E$4,'Cant. Ejec,'!$E$5:$BB$91,17+B27*2+(B27-2),0))</f>
        <v/>
      </c>
      <c r="G27" s="125"/>
      <c r="H27" s="1210"/>
    </row>
    <row r="28" spans="2:14">
      <c r="B28" s="146" t="str">
        <f>IF(Datos!$C$20&gt;'5'!B30,'5'!B30+1,"")</f>
        <v/>
      </c>
      <c r="C28" s="142"/>
      <c r="D28" s="143"/>
      <c r="E28" s="123"/>
      <c r="F28" s="124" t="str">
        <f>IF(B28="","",VLOOKUP($E$4,'Cant. Ejec,'!$E$5:$BB$91,17+B28*2+(B28-2),0))</f>
        <v/>
      </c>
      <c r="G28" s="125"/>
      <c r="H28" s="1210"/>
    </row>
    <row r="29" spans="2:14">
      <c r="B29" s="146" t="str">
        <f>IF(Datos!$C$20&gt;'5'!B31,'5'!B31+1,"")</f>
        <v/>
      </c>
      <c r="C29" s="142"/>
      <c r="D29" s="143"/>
      <c r="E29" s="123"/>
      <c r="F29" s="124" t="str">
        <f>IF(B29="","",VLOOKUP($E$4,'Cant. Ejec,'!$E$5:$BB$91,17+B29*2+(B29-2),0))</f>
        <v/>
      </c>
      <c r="G29" s="125"/>
      <c r="H29" s="1210"/>
    </row>
    <row r="30" spans="2:14">
      <c r="B30" s="146" t="str">
        <f>IF(Datos!$C$20&gt;'5'!B32,'5'!B32+1,"")</f>
        <v/>
      </c>
      <c r="C30" s="142"/>
      <c r="D30" s="143"/>
      <c r="E30" s="123"/>
      <c r="F30" s="124" t="str">
        <f>IF(B30="","",VLOOKUP($E$4,'Cant. Ejec,'!$E$5:$BB$91,17+B30*2+(B30-2),0))</f>
        <v/>
      </c>
      <c r="G30" s="125"/>
      <c r="H30" s="1210"/>
    </row>
    <row r="31" spans="2:14">
      <c r="B31" s="146" t="str">
        <f>IF(Datos!$C$20&gt;'5'!B33,'5'!B33+1,"")</f>
        <v/>
      </c>
      <c r="C31" s="142"/>
      <c r="D31" s="143"/>
      <c r="E31" s="123"/>
      <c r="F31" s="124" t="str">
        <f>IF(B31="","",VLOOKUP($E$4,'Cant. Ejec,'!$E$5:$BB$91,17+B31*2+(B31-2),0))</f>
        <v/>
      </c>
      <c r="G31" s="125"/>
      <c r="H31" s="1210"/>
    </row>
    <row r="32" spans="2:14">
      <c r="B32" s="146" t="str">
        <f>IF(Datos!$C$20&gt;'5'!B34,'5'!B34+1,"")</f>
        <v/>
      </c>
      <c r="C32" s="142"/>
      <c r="D32" s="143"/>
      <c r="E32" s="123"/>
      <c r="F32" s="124" t="str">
        <f>IF(B32="","",VLOOKUP($E$4,'Cant. Ejec,'!$E$5:$BB$91,17+B32*2+(B32-2),0))</f>
        <v/>
      </c>
      <c r="G32" s="125"/>
      <c r="H32" s="1210"/>
    </row>
    <row r="33" spans="2:8">
      <c r="B33" s="146" t="str">
        <f>IF(Datos!$C$20&gt;'5'!B35,'5'!B35+1,"")</f>
        <v/>
      </c>
      <c r="C33" s="142"/>
      <c r="D33" s="143"/>
      <c r="E33" s="123"/>
      <c r="F33" s="124" t="str">
        <f>IF(B33="","",VLOOKUP($E$4,'Cant. Ejec,'!$E$5:$BB$91,17+B33*2+(B33-2),0))</f>
        <v/>
      </c>
      <c r="G33" s="125"/>
      <c r="H33" s="1210"/>
    </row>
    <row r="34" spans="2:8">
      <c r="B34" s="146" t="str">
        <f>IF(Datos!$C$20&gt;'5'!B36,'5'!B36+1,"")</f>
        <v/>
      </c>
      <c r="C34" s="142"/>
      <c r="D34" s="143"/>
      <c r="E34" s="123"/>
      <c r="F34" s="124" t="str">
        <f>IF(B34="","",VLOOKUP($E$4,'Cant. Ejec,'!$E$5:$BB$91,17+B34*2+(B34-2),0))</f>
        <v/>
      </c>
      <c r="G34" s="125"/>
      <c r="H34" s="1210"/>
    </row>
    <row r="35" spans="2:8">
      <c r="B35" s="146" t="str">
        <f>IF(Datos!$C$20&gt;'5'!B37,'5'!B37+1,"")</f>
        <v/>
      </c>
      <c r="C35" s="142"/>
      <c r="D35" s="143"/>
      <c r="E35" s="123"/>
      <c r="F35" s="124" t="str">
        <f>IF(B35="","",VLOOKUP($E$4,'Cant. Ejec,'!$E$5:$BB$91,17+B35*2+(B35-2),0))</f>
        <v/>
      </c>
      <c r="G35" s="125"/>
      <c r="H35" s="1210"/>
    </row>
    <row r="36" spans="2:8">
      <c r="B36" s="146" t="str">
        <f>IF(Datos!$C$20&gt;'5'!B38,'5'!B38+1,"")</f>
        <v/>
      </c>
      <c r="C36" s="142"/>
      <c r="D36" s="143"/>
      <c r="E36" s="123"/>
      <c r="F36" s="124" t="str">
        <f>IF(B36="","",VLOOKUP($E$4,'Cant. Ejec,'!$E$5:$BB$91,17+B36*2+(B36-2),0))</f>
        <v/>
      </c>
      <c r="G36" s="125"/>
      <c r="H36" s="1210"/>
    </row>
    <row r="37" spans="2:8">
      <c r="B37" s="146" t="str">
        <f>IF(Datos!$C$20&gt;'5'!B39,'5'!B39+1,"")</f>
        <v/>
      </c>
      <c r="C37" s="142"/>
      <c r="D37" s="143"/>
      <c r="E37" s="123"/>
      <c r="F37" s="124" t="str">
        <f>IF(B37="","",VLOOKUP($E$4,'Cant. Ejec,'!$E$5:$BB$91,17+B37*2+(B37-2),0))</f>
        <v/>
      </c>
      <c r="G37" s="125"/>
      <c r="H37" s="1210"/>
    </row>
    <row r="38" spans="2:8">
      <c r="B38" s="146" t="str">
        <f>IF(Datos!$C$20&gt;'5'!B40,'5'!B40+1,"")</f>
        <v/>
      </c>
      <c r="C38" s="142"/>
      <c r="D38" s="143"/>
      <c r="E38" s="123"/>
      <c r="F38" s="124" t="str">
        <f>IF(B38="","",VLOOKUP($E$4,'Cant. Ejec,'!$E$5:$BB$91,17+B38*2+(B38-2),0))</f>
        <v/>
      </c>
      <c r="G38" s="125"/>
      <c r="H38" s="1210"/>
    </row>
    <row r="39" spans="2:8">
      <c r="B39" s="146" t="str">
        <f>IF(Datos!$C$20&gt;'5'!B41,'5'!B41+1,"")</f>
        <v/>
      </c>
      <c r="C39" s="142"/>
      <c r="D39" s="143"/>
      <c r="E39" s="123"/>
      <c r="F39" s="124" t="str">
        <f>IF(B39="","",VLOOKUP($E$4,'Cant. Ejec,'!$E$5:$BB$91,17+B39*2+(B39-2),0))</f>
        <v/>
      </c>
      <c r="G39" s="125"/>
      <c r="H39" s="1210"/>
    </row>
    <row r="40" spans="2:8">
      <c r="B40" s="146" t="str">
        <f>IF(Datos!$C$20&gt;'5'!B42,'5'!B42+1,"")</f>
        <v/>
      </c>
      <c r="C40" s="142"/>
      <c r="D40" s="143"/>
      <c r="E40" s="123"/>
      <c r="F40" s="124" t="str">
        <f>IF(B40="","",VLOOKUP($E$4,'Cant. Ejec,'!$E$5:$BB$91,17+B40*2+(B40-2),0))</f>
        <v/>
      </c>
      <c r="G40" s="125"/>
      <c r="H40" s="1210"/>
    </row>
    <row r="41" spans="2:8">
      <c r="B41" s="146" t="str">
        <f>IF(Datos!$C$20&gt;'5'!B43,'5'!B43+1,"")</f>
        <v/>
      </c>
      <c r="C41" s="142"/>
      <c r="D41" s="143"/>
      <c r="E41" s="123"/>
      <c r="F41" s="124" t="str">
        <f>IF(B41="","",VLOOKUP($E$4,'Cant. Ejec,'!$E$5:$BB$91,17+B41*2+(B41-2),0))</f>
        <v/>
      </c>
      <c r="G41" s="125"/>
      <c r="H41" s="1210"/>
    </row>
    <row r="42" spans="2:8">
      <c r="B42" s="146" t="str">
        <f>IF(Datos!$C$20&gt;'5'!B44,'5'!B44+1,"")</f>
        <v/>
      </c>
      <c r="C42" s="142"/>
      <c r="D42" s="143"/>
      <c r="E42" s="123"/>
      <c r="F42" s="124" t="str">
        <f>IF(B42="","",VLOOKUP($E$4,'Cant. Ejec,'!$E$5:$BB$91,17+B42*2+(B42-2),0))</f>
        <v/>
      </c>
      <c r="G42" s="125"/>
      <c r="H42" s="1210"/>
    </row>
    <row r="43" spans="2:8">
      <c r="B43" s="146" t="str">
        <f>IF(Datos!$C$20&gt;'5'!B45,'5'!B45+1,"")</f>
        <v/>
      </c>
      <c r="C43" s="142"/>
      <c r="D43" s="143"/>
      <c r="E43" s="123"/>
      <c r="F43" s="124" t="str">
        <f>IF(B43="","",VLOOKUP($E$4,'Cant. Ejec,'!$E$5:$BB$91,17+B43*2+(B43-2),0))</f>
        <v/>
      </c>
      <c r="G43" s="125"/>
      <c r="H43" s="1210"/>
    </row>
    <row r="44" spans="2:8">
      <c r="B44" s="146" t="str">
        <f>IF(Datos!$C$20&gt;'5'!B46,'5'!B46+1,"")</f>
        <v/>
      </c>
      <c r="C44" s="142"/>
      <c r="D44" s="143"/>
      <c r="E44" s="123"/>
      <c r="F44" s="124" t="str">
        <f>IF(B44="","",VLOOKUP($E$4,'Cant. Ejec,'!$E$5:$BB$91,17+B44*2+(B44-2),0))</f>
        <v/>
      </c>
      <c r="G44" s="125"/>
      <c r="H44" s="1210"/>
    </row>
    <row r="45" spans="2:8">
      <c r="B45" s="146" t="str">
        <f>IF(Datos!$C$20&gt;'5'!B47,'5'!B47+1,"")</f>
        <v/>
      </c>
      <c r="C45" s="142"/>
      <c r="D45" s="143"/>
      <c r="E45" s="123"/>
      <c r="F45" s="124" t="str">
        <f>IF(B45="","",VLOOKUP($E$4,'Cant. Ejec,'!$E$5:$BB$91,17+B45*2+(B45-2),0))</f>
        <v/>
      </c>
      <c r="G45" s="125"/>
      <c r="H45" s="1210"/>
    </row>
    <row r="46" spans="2:8">
      <c r="B46" s="146" t="str">
        <f>IF(Datos!$C$20&gt;'5'!B48,'5'!B48+1,"")</f>
        <v/>
      </c>
      <c r="C46" s="142"/>
      <c r="D46" s="143"/>
      <c r="E46" s="123"/>
      <c r="F46" s="124" t="str">
        <f>IF(B46="","",VLOOKUP($E$4,'Cant. Ejec,'!$E$5:$BB$91,17+B46*2+(B46-2),0))</f>
        <v/>
      </c>
      <c r="G46" s="125"/>
      <c r="H46" s="1210"/>
    </row>
    <row r="47" spans="2:8">
      <c r="B47" s="146" t="str">
        <f>IF(Datos!$C$20&gt;'5'!B49,'5'!B49+1,"")</f>
        <v/>
      </c>
      <c r="C47" s="142"/>
      <c r="D47" s="143"/>
      <c r="E47" s="123"/>
      <c r="F47" s="124" t="str">
        <f>IF(B47="","",VLOOKUP($E$4,'Cant. Ejec,'!$E$5:$BB$91,17+B47*2+(B47-2),0))</f>
        <v/>
      </c>
      <c r="G47" s="125"/>
      <c r="H47" s="1210"/>
    </row>
    <row r="48" spans="2:8">
      <c r="B48" s="146" t="str">
        <f>IF(Datos!$C$20&gt;'5'!B50,'5'!B50+1,"")</f>
        <v/>
      </c>
      <c r="C48" s="142"/>
      <c r="D48" s="143"/>
      <c r="E48" s="123"/>
      <c r="F48" s="124" t="str">
        <f>IF(B48="","",VLOOKUP($E$4,'Cant. Ejec,'!$E$5:$BB$91,17+B48*2+(B48-2),0))</f>
        <v/>
      </c>
      <c r="G48" s="125"/>
      <c r="H48" s="1210"/>
    </row>
    <row r="49" spans="2:8">
      <c r="B49" s="146" t="str">
        <f>IF(Datos!$C$20&gt;'5'!B51,'5'!B51+1,"")</f>
        <v/>
      </c>
      <c r="C49" s="144"/>
      <c r="D49" s="145"/>
      <c r="E49" s="126"/>
      <c r="F49" s="127" t="str">
        <f>IF(B49="","",VLOOKUP($E$4,'Cant. Ejec,'!$E$5:$BB$91,17+B49*2+(B49-2),0))</f>
        <v/>
      </c>
      <c r="G49" s="128"/>
      <c r="H49" s="1210"/>
    </row>
    <row r="50" spans="2:8">
      <c r="B50" s="1897" t="s">
        <v>294</v>
      </c>
      <c r="C50" s="1898"/>
      <c r="D50" s="1899"/>
      <c r="E50" s="129">
        <f>+MAX(E10:E49)</f>
        <v>57.6</v>
      </c>
      <c r="F50" s="130">
        <f>+G50-E50</f>
        <v>14.999999999999993</v>
      </c>
      <c r="G50" s="131">
        <f>+MAX(G10:G49)</f>
        <v>72.599999999999994</v>
      </c>
      <c r="H50" s="118"/>
    </row>
    <row r="51" spans="2:8">
      <c r="B51" s="1900" t="s">
        <v>187</v>
      </c>
      <c r="C51" s="1901"/>
      <c r="D51" s="1902"/>
      <c r="E51" s="1163">
        <f>ROUND((E50/H6),4)</f>
        <v>0.61160000000000003</v>
      </c>
      <c r="F51" s="1164">
        <f>ROUND((F50/H6),4)</f>
        <v>0.1593</v>
      </c>
      <c r="G51" s="1165">
        <f>ROUND((G50/H6),4)</f>
        <v>0.77090000000000003</v>
      </c>
      <c r="H51" s="119"/>
    </row>
    <row r="52" spans="2:8">
      <c r="B52" s="135" t="s">
        <v>162</v>
      </c>
      <c r="C52" s="132"/>
      <c r="D52" s="132"/>
      <c r="E52" s="133"/>
      <c r="F52" s="135" t="s">
        <v>157</v>
      </c>
      <c r="G52" s="132"/>
      <c r="H52" s="133"/>
    </row>
    <row r="53" spans="2:8">
      <c r="B53" s="109"/>
      <c r="C53" s="134"/>
      <c r="D53" s="134"/>
      <c r="E53" s="110"/>
      <c r="F53" s="109"/>
      <c r="G53" s="134"/>
      <c r="H53" s="110"/>
    </row>
    <row r="54" spans="2:8">
      <c r="B54" s="109"/>
      <c r="C54" s="134"/>
      <c r="D54" s="134"/>
      <c r="E54" s="110"/>
      <c r="F54" s="109"/>
      <c r="G54" s="134"/>
      <c r="H54" s="110"/>
    </row>
    <row r="55" spans="2:8">
      <c r="B55" s="109"/>
      <c r="C55" s="134"/>
      <c r="D55" s="134"/>
      <c r="E55" s="110"/>
      <c r="F55" s="109"/>
      <c r="G55" s="134"/>
      <c r="H55" s="110"/>
    </row>
    <row r="56" spans="2:8">
      <c r="B56" s="1892" t="str">
        <f>+'Planilla de Avance'!F113</f>
        <v>Ing. Gabriel Daza Chavez</v>
      </c>
      <c r="C56" s="1893"/>
      <c r="D56" s="1893"/>
      <c r="E56" s="1894"/>
      <c r="F56" s="1892" t="str">
        <f>+'Planilla de Avance'!J113</f>
        <v>Ing. Herlan Rene Ramos Estrada</v>
      </c>
      <c r="G56" s="1893"/>
      <c r="H56" s="1894"/>
    </row>
    <row r="57" spans="2:8">
      <c r="B57" s="1889" t="str">
        <f>+'Planilla de Avance'!F114</f>
        <v>SUPERINTENDENTE DE OBRA</v>
      </c>
      <c r="C57" s="1890"/>
      <c r="D57" s="1890"/>
      <c r="E57" s="1891"/>
      <c r="F57" s="1889" t="str">
        <f>+'Planilla de Avance'!J114</f>
        <v>SUPERVISOR DE OBRA</v>
      </c>
      <c r="G57" s="1890"/>
      <c r="H57" s="1891"/>
    </row>
  </sheetData>
  <mergeCells count="14">
    <mergeCell ref="B1:C1"/>
    <mergeCell ref="B3:C3"/>
    <mergeCell ref="B8:B9"/>
    <mergeCell ref="D1:H2"/>
    <mergeCell ref="B57:E57"/>
    <mergeCell ref="F56:H56"/>
    <mergeCell ref="F57:H57"/>
    <mergeCell ref="D3:H3"/>
    <mergeCell ref="B50:D50"/>
    <mergeCell ref="B51:D51"/>
    <mergeCell ref="B56:E56"/>
    <mergeCell ref="E8:G8"/>
    <mergeCell ref="H8:H9"/>
    <mergeCell ref="C8:D8"/>
  </mergeCells>
  <printOptions horizontalCentered="1"/>
  <pageMargins left="0.78740157480314965" right="0.39370078740157483" top="0.59055118110236227" bottom="0.59055118110236227" header="0" footer="0"/>
  <pageSetup scale="88" orientation="portrait" horizontalDpi="4294967295" verticalDpi="4294967295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O60"/>
  <sheetViews>
    <sheetView showGridLines="0" view="pageBreakPreview" zoomScaleNormal="100" zoomScaleSheetLayoutView="100" workbookViewId="0">
      <selection activeCell="F24" sqref="F24"/>
    </sheetView>
  </sheetViews>
  <sheetFormatPr baseColWidth="10" defaultColWidth="11.44140625" defaultRowHeight="13.8"/>
  <cols>
    <col min="1" max="1" width="4.6640625" style="108" customWidth="1"/>
    <col min="2" max="7" width="12.44140625" style="108" customWidth="1"/>
    <col min="8" max="8" width="28.6640625" style="108" customWidth="1"/>
    <col min="9" max="16384" width="11.44140625" style="108"/>
  </cols>
  <sheetData>
    <row r="1" spans="2:15" ht="13.5" customHeight="1">
      <c r="B1" s="1877" t="s">
        <v>241</v>
      </c>
      <c r="C1" s="1878"/>
      <c r="D1" s="1883" t="s">
        <v>641</v>
      </c>
      <c r="E1" s="1884"/>
      <c r="F1" s="1884"/>
      <c r="G1" s="1884"/>
      <c r="H1" s="1885"/>
    </row>
    <row r="2" spans="2:15" ht="13.5" customHeight="1">
      <c r="B2" s="1023"/>
      <c r="C2" s="1024"/>
      <c r="D2" s="1886"/>
      <c r="E2" s="1887"/>
      <c r="F2" s="1887"/>
      <c r="G2" s="1887"/>
      <c r="H2" s="1888"/>
    </row>
    <row r="3" spans="2:15">
      <c r="B3" s="1879"/>
      <c r="C3" s="1880"/>
      <c r="D3" s="1895" t="s">
        <v>184</v>
      </c>
      <c r="E3" s="1895"/>
      <c r="F3" s="1895"/>
      <c r="G3" s="1895"/>
      <c r="H3" s="1896"/>
    </row>
    <row r="4" spans="2:15">
      <c r="B4" s="109"/>
      <c r="C4" s="110"/>
      <c r="D4" s="113" t="s">
        <v>188</v>
      </c>
      <c r="E4" s="136">
        <v>5</v>
      </c>
      <c r="F4" s="137"/>
      <c r="G4" s="137"/>
      <c r="H4" s="110"/>
    </row>
    <row r="5" spans="2:15">
      <c r="B5" s="109"/>
      <c r="C5" s="110"/>
      <c r="D5" s="113" t="s">
        <v>185</v>
      </c>
      <c r="E5" s="137" t="str">
        <f>+VLOOKUP(E4,'Planilla de Avance'!E10:H102,2,)</f>
        <v>TRANSPORTE DE CAPA BASE REMOVIDA DMT 12.70 KM</v>
      </c>
      <c r="F5" s="137"/>
      <c r="G5" s="137"/>
      <c r="H5" s="110"/>
    </row>
    <row r="6" spans="2:15">
      <c r="B6" s="111"/>
      <c r="C6" s="112"/>
      <c r="D6" s="138" t="s">
        <v>186</v>
      </c>
      <c r="E6" s="139" t="str">
        <f>+VLOOKUP(E4,'Planilla de Avance'!E10:H102,3,)</f>
        <v>M3*KM</v>
      </c>
      <c r="F6" s="139"/>
      <c r="G6" s="589" t="s">
        <v>382</v>
      </c>
      <c r="H6" s="1006">
        <f>+VLOOKUP(E4,'Planilla de Avance'!E10:J102,4,)</f>
        <v>439169.3</v>
      </c>
    </row>
    <row r="8" spans="2:15">
      <c r="B8" s="1881" t="s">
        <v>183</v>
      </c>
      <c r="C8" s="1908" t="s">
        <v>180</v>
      </c>
      <c r="D8" s="1909"/>
      <c r="E8" s="1903" t="s">
        <v>160</v>
      </c>
      <c r="F8" s="1904"/>
      <c r="G8" s="1905"/>
      <c r="H8" s="1906" t="s">
        <v>161</v>
      </c>
    </row>
    <row r="9" spans="2:15">
      <c r="B9" s="1882"/>
      <c r="C9" s="282" t="s">
        <v>181</v>
      </c>
      <c r="D9" s="283" t="s">
        <v>182</v>
      </c>
      <c r="E9" s="280" t="s">
        <v>178</v>
      </c>
      <c r="F9" s="281" t="s">
        <v>1</v>
      </c>
      <c r="G9" s="279" t="s">
        <v>179</v>
      </c>
      <c r="H9" s="1907"/>
    </row>
    <row r="10" spans="2:15">
      <c r="B10" s="117">
        <v>1</v>
      </c>
      <c r="C10" s="140">
        <v>23600</v>
      </c>
      <c r="D10" s="141">
        <v>29600</v>
      </c>
      <c r="E10" s="120"/>
      <c r="F10" s="121">
        <f>IF(B10="","",VLOOKUP($E$4,'Cant. Ejec,'!$E$5:$BB$91,17+B10*2+(B10-2),0))</f>
        <v>47637</v>
      </c>
      <c r="G10" s="122">
        <f>+E10+F10</f>
        <v>47637</v>
      </c>
      <c r="H10" s="1148" t="s">
        <v>642</v>
      </c>
    </row>
    <row r="11" spans="2:15">
      <c r="B11" s="146">
        <f>IF(Datos!$C$20&gt;'5'!B10,'5'!B10+1,"")</f>
        <v>2</v>
      </c>
      <c r="C11" s="142">
        <v>29600</v>
      </c>
      <c r="D11" s="143">
        <v>39000</v>
      </c>
      <c r="E11" s="123">
        <f>+G10</f>
        <v>47637</v>
      </c>
      <c r="F11" s="124">
        <f>IF(B11="","",VLOOKUP($E$4,'Cant. Ejec,'!$E$5:$BB$91,17+B11*2+(B11-2),0))</f>
        <v>112503.9</v>
      </c>
      <c r="G11" s="125">
        <f t="shared" ref="G11:G13" si="0">+E11+F11</f>
        <v>160140.9</v>
      </c>
      <c r="H11" s="1147" t="s">
        <v>642</v>
      </c>
      <c r="K11" s="337"/>
      <c r="L11" s="337"/>
    </row>
    <row r="12" spans="2:15">
      <c r="B12" s="146">
        <f>IF(Datos!$C$20&gt;'5'!B11,'5'!B11+1,"")</f>
        <v>3</v>
      </c>
      <c r="C12" s="142">
        <v>39000</v>
      </c>
      <c r="D12" s="143">
        <v>45000</v>
      </c>
      <c r="E12" s="123">
        <f>+G11</f>
        <v>160140.9</v>
      </c>
      <c r="F12" s="124">
        <f>IF(B12="","",VLOOKUP($E$4,'Cant. Ejec,'!$E$5:$BB$91,17+B12*2+(B12-2),0))</f>
        <v>186282</v>
      </c>
      <c r="G12" s="125">
        <f t="shared" si="0"/>
        <v>346422.9</v>
      </c>
      <c r="H12" s="1147" t="s">
        <v>642</v>
      </c>
      <c r="K12" s="337"/>
      <c r="L12" s="337"/>
      <c r="M12" s="337"/>
    </row>
    <row r="13" spans="2:15">
      <c r="B13" s="146">
        <f>IF(Datos!$C$20&gt;'5'!B12,'5'!B12+1,"")</f>
        <v>4</v>
      </c>
      <c r="C13" s="142"/>
      <c r="D13" s="143"/>
      <c r="E13" s="123">
        <f>+G12</f>
        <v>346422.9</v>
      </c>
      <c r="F13" s="124">
        <f>IF(B13="","",VLOOKUP($E$4,'Cant. Ejec,'!$E$5:$BB$91,17+B13*2+(B13-2),0))</f>
        <v>0</v>
      </c>
      <c r="G13" s="125">
        <f t="shared" si="0"/>
        <v>346422.9</v>
      </c>
      <c r="H13" s="1147"/>
      <c r="K13" s="337"/>
      <c r="O13" s="337"/>
    </row>
    <row r="14" spans="2:15">
      <c r="B14" s="146">
        <f>IF(Datos!$C$20&gt;'5'!B13,'5'!B13+1,"")</f>
        <v>5</v>
      </c>
      <c r="C14" s="142"/>
      <c r="D14" s="143"/>
      <c r="E14" s="123"/>
      <c r="F14" s="124">
        <f>IF(B14="","",VLOOKUP($E$4,'Cant. Ejec,'!$E$5:$BB$91,17+B14*2+(B14-2),0))</f>
        <v>0</v>
      </c>
      <c r="G14" s="125"/>
      <c r="H14" s="1147"/>
      <c r="K14" s="337"/>
      <c r="L14" s="337"/>
      <c r="M14" s="337"/>
      <c r="N14" s="337"/>
      <c r="O14" s="337"/>
    </row>
    <row r="15" spans="2:15">
      <c r="B15" s="146">
        <f>IF(Datos!$C$20&gt;'5'!B14,'5'!B14+1,"")</f>
        <v>6</v>
      </c>
      <c r="C15" s="142"/>
      <c r="D15" s="143"/>
      <c r="E15" s="123"/>
      <c r="F15" s="124">
        <f>IF(B15="","",VLOOKUP($E$4,'Cant. Ejec,'!$E$5:$BB$91,17+B15*2+(B15-2),0))</f>
        <v>0</v>
      </c>
      <c r="G15" s="125"/>
      <c r="H15" s="1147"/>
    </row>
    <row r="16" spans="2:15">
      <c r="B16" s="146" t="str">
        <f>IF(Datos!$C$20&gt;'5'!B15,'5'!B15+1,"")</f>
        <v/>
      </c>
      <c r="C16" s="142"/>
      <c r="D16" s="143"/>
      <c r="E16" s="123"/>
      <c r="F16" s="124" t="str">
        <f>IF(B16="","",VLOOKUP($E$4,'Cant. Ejec,'!$E$5:$BB$91,17+B16*2+(B16-2),0))</f>
        <v/>
      </c>
      <c r="G16" s="125"/>
      <c r="H16" s="1147"/>
      <c r="L16" s="337"/>
    </row>
    <row r="17" spans="2:14">
      <c r="B17" s="146" t="str">
        <f>IF(Datos!$C$20&gt;'5'!B16,'5'!B16+1,"")</f>
        <v/>
      </c>
      <c r="C17" s="142"/>
      <c r="D17" s="143"/>
      <c r="E17" s="123"/>
      <c r="F17" s="124" t="str">
        <f>IF(B17="","",VLOOKUP($E$4,'Cant. Ejec,'!$E$5:$BB$91,17+B17*2+(B17-2),0))</f>
        <v/>
      </c>
      <c r="G17" s="125"/>
      <c r="H17" s="1147"/>
      <c r="L17" s="337"/>
      <c r="M17" s="337"/>
      <c r="N17" s="337"/>
    </row>
    <row r="18" spans="2:14">
      <c r="B18" s="146" t="str">
        <f>IF(Datos!$C$20&gt;'5'!B17,'5'!B17+1,"")</f>
        <v/>
      </c>
      <c r="C18" s="142"/>
      <c r="D18" s="143"/>
      <c r="E18" s="123"/>
      <c r="F18" s="124" t="str">
        <f>IF(B18="","",VLOOKUP($E$4,'Cant. Ejec,'!$E$5:$BB$91,17+B18*2+(B18-2),0))</f>
        <v/>
      </c>
      <c r="G18" s="125"/>
      <c r="H18" s="1147"/>
    </row>
    <row r="19" spans="2:14">
      <c r="B19" s="146" t="str">
        <f>IF(Datos!$C$20&gt;'5'!B18,'5'!B18+1,"")</f>
        <v/>
      </c>
      <c r="C19" s="142"/>
      <c r="D19" s="143"/>
      <c r="E19" s="123"/>
      <c r="F19" s="124" t="str">
        <f>IF(B19="","",VLOOKUP($E$4,'Cant. Ejec,'!$E$5:$BB$91,17+B19*2+(B19-2),0))</f>
        <v/>
      </c>
      <c r="G19" s="125"/>
      <c r="H19" s="1147"/>
    </row>
    <row r="20" spans="2:14">
      <c r="B20" s="146" t="str">
        <f>IF(Datos!$C$20&gt;'5'!B19,'5'!B19+1,"")</f>
        <v/>
      </c>
      <c r="C20" s="142"/>
      <c r="D20" s="143"/>
      <c r="E20" s="123"/>
      <c r="F20" s="124" t="str">
        <f>IF(B20="","",VLOOKUP($E$4,'Cant. Ejec,'!$E$5:$BB$91,17+B20*2+(B20-2),0))</f>
        <v/>
      </c>
      <c r="G20" s="125"/>
      <c r="H20" s="115"/>
    </row>
    <row r="21" spans="2:14">
      <c r="B21" s="146" t="str">
        <f>IF(Datos!$C$20&gt;'5'!B20,'5'!B20+1,"")</f>
        <v/>
      </c>
      <c r="C21" s="142"/>
      <c r="D21" s="143"/>
      <c r="E21" s="123"/>
      <c r="F21" s="124" t="str">
        <f>IF(B21="","",VLOOKUP($E$4,'Cant. Ejec,'!$E$5:$BB$91,17+B21*2+(B21-2),0))</f>
        <v/>
      </c>
      <c r="G21" s="125"/>
      <c r="H21" s="115"/>
      <c r="J21" s="337"/>
    </row>
    <row r="22" spans="2:14">
      <c r="B22" s="146" t="str">
        <f>IF(Datos!$C$20&gt;'5'!B21,'5'!B21+1,"")</f>
        <v/>
      </c>
      <c r="C22" s="142"/>
      <c r="D22" s="143"/>
      <c r="E22" s="123"/>
      <c r="F22" s="124" t="str">
        <f>IF(B22="","",VLOOKUP($E$4,'Cant. Ejec,'!$E$5:$BB$91,17+B22*2+(B22-2),0))</f>
        <v/>
      </c>
      <c r="G22" s="125"/>
      <c r="H22" s="115"/>
    </row>
    <row r="23" spans="2:14">
      <c r="B23" s="146" t="str">
        <f>IF(Datos!$C$20&gt;'5'!B22,'5'!B22+1,"")</f>
        <v/>
      </c>
      <c r="C23" s="142"/>
      <c r="D23" s="143"/>
      <c r="E23" s="123"/>
      <c r="F23" s="124" t="str">
        <f>IF(B23="","",VLOOKUP($E$4,'Cant. Ejec,'!$E$5:$BB$91,17+B23*2+(B23-2),0))</f>
        <v/>
      </c>
      <c r="G23" s="125"/>
      <c r="H23" s="115"/>
    </row>
    <row r="24" spans="2:14">
      <c r="B24" s="146" t="str">
        <f>IF(Datos!$C$20&gt;'5'!B23,'5'!B23+1,"")</f>
        <v/>
      </c>
      <c r="C24" s="142"/>
      <c r="D24" s="143"/>
      <c r="E24" s="123"/>
      <c r="F24" s="124" t="str">
        <f>IF(B24="","",VLOOKUP($E$4,'Cant. Ejec,'!$E$5:$BB$91,17+B24*2+(B24-2),0))</f>
        <v/>
      </c>
      <c r="G24" s="125"/>
      <c r="H24" s="115"/>
    </row>
    <row r="25" spans="2:14">
      <c r="B25" s="146" t="str">
        <f>IF(Datos!$C$20&gt;'5'!B24,'5'!B24+1,"")</f>
        <v/>
      </c>
      <c r="C25" s="142"/>
      <c r="D25" s="143"/>
      <c r="E25" s="123"/>
      <c r="F25" s="124" t="str">
        <f>IF(B25="","",VLOOKUP($E$4,'Cant. Ejec,'!$E$5:$BB$91,17+B25*2+(B25-2),0))</f>
        <v/>
      </c>
      <c r="G25" s="125"/>
      <c r="H25" s="115"/>
    </row>
    <row r="26" spans="2:14">
      <c r="B26" s="146" t="str">
        <f>IF(Datos!$C$20&gt;'5'!B25,'5'!B25+1,"")</f>
        <v/>
      </c>
      <c r="C26" s="142"/>
      <c r="D26" s="143"/>
      <c r="E26" s="123"/>
      <c r="F26" s="124" t="str">
        <f>IF(B26="","",VLOOKUP($E$4,'Cant. Ejec,'!$E$5:$BB$91,17+B26*2+(B26-2),0))</f>
        <v/>
      </c>
      <c r="G26" s="125"/>
      <c r="H26" s="115"/>
    </row>
    <row r="27" spans="2:14">
      <c r="B27" s="146" t="str">
        <f>IF(Datos!$C$20&gt;'5'!B26,'5'!B26+1,"")</f>
        <v/>
      </c>
      <c r="C27" s="142"/>
      <c r="D27" s="143"/>
      <c r="E27" s="123"/>
      <c r="F27" s="124" t="str">
        <f>IF(B27="","",VLOOKUP($E$4,'Cant. Ejec,'!$E$5:$BB$91,17+B27*2+(B27-2),0))</f>
        <v/>
      </c>
      <c r="G27" s="125"/>
      <c r="H27" s="115"/>
    </row>
    <row r="28" spans="2:14">
      <c r="B28" s="146" t="str">
        <f>IF(Datos!$C$20&gt;'5'!B27,'5'!B27+1,"")</f>
        <v/>
      </c>
      <c r="C28" s="142"/>
      <c r="D28" s="143"/>
      <c r="E28" s="123"/>
      <c r="F28" s="124" t="str">
        <f>IF(B28="","",VLOOKUP($E$4,'Cant. Ejec,'!$E$5:$BB$91,17+B28*2+(B28-2),0))</f>
        <v/>
      </c>
      <c r="G28" s="125"/>
      <c r="H28" s="115"/>
    </row>
    <row r="29" spans="2:14">
      <c r="B29" s="146" t="str">
        <f>IF(Datos!$C$20&gt;'5'!B28,'5'!B28+1,"")</f>
        <v/>
      </c>
      <c r="C29" s="142"/>
      <c r="D29" s="143"/>
      <c r="E29" s="123"/>
      <c r="F29" s="124" t="str">
        <f>IF(B29="","",VLOOKUP($E$4,'Cant. Ejec,'!$E$5:$BB$91,17+B29*2+(B29-2),0))</f>
        <v/>
      </c>
      <c r="G29" s="125"/>
      <c r="H29" s="115"/>
    </row>
    <row r="30" spans="2:14">
      <c r="B30" s="146" t="str">
        <f>IF(Datos!$C$20&gt;'5'!B29,'5'!B29+1,"")</f>
        <v/>
      </c>
      <c r="C30" s="142"/>
      <c r="D30" s="143"/>
      <c r="E30" s="123"/>
      <c r="F30" s="124" t="str">
        <f>IF(B30="","",VLOOKUP($E$4,'Cant. Ejec,'!$E$5:$BB$91,17+B30*2+(B30-2),0))</f>
        <v/>
      </c>
      <c r="G30" s="125"/>
      <c r="H30" s="115"/>
    </row>
    <row r="31" spans="2:14">
      <c r="B31" s="146" t="str">
        <f>IF(Datos!$C$20&gt;'5'!B30,'5'!B30+1,"")</f>
        <v/>
      </c>
      <c r="C31" s="142"/>
      <c r="D31" s="143"/>
      <c r="E31" s="123"/>
      <c r="F31" s="124" t="str">
        <f>IF(B31="","",VLOOKUP($E$4,'Cant. Ejec,'!$E$5:$BB$91,17+B31*2+(B31-2),0))</f>
        <v/>
      </c>
      <c r="G31" s="125"/>
      <c r="H31" s="115"/>
    </row>
    <row r="32" spans="2:14">
      <c r="B32" s="146" t="str">
        <f>IF(Datos!$C$20&gt;'5'!B31,'5'!B31+1,"")</f>
        <v/>
      </c>
      <c r="C32" s="142"/>
      <c r="D32" s="143"/>
      <c r="E32" s="123"/>
      <c r="F32" s="124" t="str">
        <f>IF(B32="","",VLOOKUP($E$4,'Cant. Ejec,'!$E$5:$BB$91,17+B32*2+(B32-2),0))</f>
        <v/>
      </c>
      <c r="G32" s="125"/>
      <c r="H32" s="115"/>
    </row>
    <row r="33" spans="2:8">
      <c r="B33" s="146" t="str">
        <f>IF(Datos!$C$20&gt;'5'!B32,'5'!B32+1,"")</f>
        <v/>
      </c>
      <c r="C33" s="142"/>
      <c r="D33" s="143"/>
      <c r="E33" s="123"/>
      <c r="F33" s="124" t="str">
        <f>IF(B33="","",VLOOKUP($E$4,'Cant. Ejec,'!$E$5:$BB$91,17+B33*2+(B33-2),0))</f>
        <v/>
      </c>
      <c r="G33" s="125"/>
      <c r="H33" s="115"/>
    </row>
    <row r="34" spans="2:8">
      <c r="B34" s="146" t="str">
        <f>IF(Datos!$C$20&gt;'5'!B33,'5'!B33+1,"")</f>
        <v/>
      </c>
      <c r="C34" s="142"/>
      <c r="D34" s="143"/>
      <c r="E34" s="123"/>
      <c r="F34" s="124" t="str">
        <f>IF(B34="","",VLOOKUP($E$4,'Cant. Ejec,'!$E$5:$BB$91,17+B34*2+(B34-2),0))</f>
        <v/>
      </c>
      <c r="G34" s="125"/>
      <c r="H34" s="115"/>
    </row>
    <row r="35" spans="2:8">
      <c r="B35" s="146" t="str">
        <f>IF(Datos!$C$20&gt;'5'!B34,'5'!B34+1,"")</f>
        <v/>
      </c>
      <c r="C35" s="142"/>
      <c r="D35" s="143"/>
      <c r="E35" s="123"/>
      <c r="F35" s="124" t="str">
        <f>IF(B35="","",VLOOKUP($E$4,'Cant. Ejec,'!$E$5:$BB$91,17+B35*2+(B35-2),0))</f>
        <v/>
      </c>
      <c r="G35" s="125"/>
      <c r="H35" s="115"/>
    </row>
    <row r="36" spans="2:8">
      <c r="B36" s="146" t="str">
        <f>IF(Datos!$C$20&gt;'5'!B35,'5'!B35+1,"")</f>
        <v/>
      </c>
      <c r="C36" s="142"/>
      <c r="D36" s="143"/>
      <c r="E36" s="123"/>
      <c r="F36" s="124" t="str">
        <f>IF(B36="","",VLOOKUP($E$4,'Cant. Ejec,'!$E$5:$BB$91,17+B36*2+(B36-2),0))</f>
        <v/>
      </c>
      <c r="G36" s="125"/>
      <c r="H36" s="115"/>
    </row>
    <row r="37" spans="2:8">
      <c r="B37" s="146" t="str">
        <f>IF(Datos!$C$20&gt;'5'!B36,'5'!B36+1,"")</f>
        <v/>
      </c>
      <c r="C37" s="142"/>
      <c r="D37" s="143"/>
      <c r="E37" s="123"/>
      <c r="F37" s="124" t="str">
        <f>IF(B37="","",VLOOKUP($E$4,'Cant. Ejec,'!$E$5:$BB$91,17+B37*2+(B37-2),0))</f>
        <v/>
      </c>
      <c r="G37" s="125"/>
      <c r="H37" s="115"/>
    </row>
    <row r="38" spans="2:8">
      <c r="B38" s="146" t="str">
        <f>IF(Datos!$C$20&gt;'5'!B37,'5'!B37+1,"")</f>
        <v/>
      </c>
      <c r="C38" s="142"/>
      <c r="D38" s="143"/>
      <c r="E38" s="123"/>
      <c r="F38" s="124" t="str">
        <f>IF(B38="","",VLOOKUP($E$4,'Cant. Ejec,'!$E$5:$BB$91,17+B38*2+(B38-2),0))</f>
        <v/>
      </c>
      <c r="G38" s="125"/>
      <c r="H38" s="115"/>
    </row>
    <row r="39" spans="2:8">
      <c r="B39" s="146" t="str">
        <f>IF(Datos!$C$20&gt;'5'!B38,'5'!B38+1,"")</f>
        <v/>
      </c>
      <c r="C39" s="142"/>
      <c r="D39" s="143"/>
      <c r="E39" s="123"/>
      <c r="F39" s="124" t="str">
        <f>IF(B39="","",VLOOKUP($E$4,'Cant. Ejec,'!$E$5:$BB$91,17+B39*2+(B39-2),0))</f>
        <v/>
      </c>
      <c r="G39" s="125"/>
      <c r="H39" s="115"/>
    </row>
    <row r="40" spans="2:8">
      <c r="B40" s="146" t="str">
        <f>IF(Datos!$C$20&gt;'5'!B39,'5'!B39+1,"")</f>
        <v/>
      </c>
      <c r="C40" s="142"/>
      <c r="D40" s="143"/>
      <c r="E40" s="123"/>
      <c r="F40" s="124" t="str">
        <f>IF(B40="","",VLOOKUP($E$4,'Cant. Ejec,'!$E$5:$BB$91,17+B40*2+(B40-2),0))</f>
        <v/>
      </c>
      <c r="G40" s="125"/>
      <c r="H40" s="115"/>
    </row>
    <row r="41" spans="2:8">
      <c r="B41" s="146" t="str">
        <f>IF(Datos!$C$20&gt;'5'!B40,'5'!B40+1,"")</f>
        <v/>
      </c>
      <c r="C41" s="142"/>
      <c r="D41" s="143"/>
      <c r="E41" s="123"/>
      <c r="F41" s="124" t="str">
        <f>IF(B41="","",VLOOKUP($E$4,'Cant. Ejec,'!$E$5:$BB$91,17+B41*2+(B41-2),0))</f>
        <v/>
      </c>
      <c r="G41" s="125"/>
      <c r="H41" s="115"/>
    </row>
    <row r="42" spans="2:8">
      <c r="B42" s="146" t="str">
        <f>IF(Datos!$C$20&gt;'5'!B41,'5'!B41+1,"")</f>
        <v/>
      </c>
      <c r="C42" s="142"/>
      <c r="D42" s="143"/>
      <c r="E42" s="123"/>
      <c r="F42" s="124" t="str">
        <f>IF(B42="","",VLOOKUP($E$4,'Cant. Ejec,'!$E$5:$BB$91,17+B42*2+(B42-2),0))</f>
        <v/>
      </c>
      <c r="G42" s="125"/>
      <c r="H42" s="115"/>
    </row>
    <row r="43" spans="2:8">
      <c r="B43" s="146" t="str">
        <f>IF(Datos!$C$20&gt;'5'!B42,'5'!B42+1,"")</f>
        <v/>
      </c>
      <c r="C43" s="142"/>
      <c r="D43" s="143"/>
      <c r="E43" s="123"/>
      <c r="F43" s="124" t="str">
        <f>IF(B43="","",VLOOKUP($E$4,'Cant. Ejec,'!$E$5:$BB$91,17+B43*2+(B43-2),0))</f>
        <v/>
      </c>
      <c r="G43" s="125"/>
      <c r="H43" s="115"/>
    </row>
    <row r="44" spans="2:8">
      <c r="B44" s="146" t="str">
        <f>IF(Datos!$C$20&gt;'5'!B43,'5'!B43+1,"")</f>
        <v/>
      </c>
      <c r="C44" s="142"/>
      <c r="D44" s="143"/>
      <c r="E44" s="123"/>
      <c r="F44" s="124" t="str">
        <f>IF(B44="","",VLOOKUP($E$4,'Cant. Ejec,'!$E$5:$BB$91,17+B44*2+(B44-2),0))</f>
        <v/>
      </c>
      <c r="G44" s="125"/>
      <c r="H44" s="115"/>
    </row>
    <row r="45" spans="2:8">
      <c r="B45" s="146" t="str">
        <f>IF(Datos!$C$20&gt;'5'!B44,'5'!B44+1,"")</f>
        <v/>
      </c>
      <c r="C45" s="142"/>
      <c r="D45" s="143"/>
      <c r="E45" s="123"/>
      <c r="F45" s="124" t="str">
        <f>IF(B45="","",VLOOKUP($E$4,'Cant. Ejec,'!$E$5:$BB$91,17+B45*2+(B45-2),0))</f>
        <v/>
      </c>
      <c r="G45" s="125"/>
      <c r="H45" s="115"/>
    </row>
    <row r="46" spans="2:8">
      <c r="B46" s="146" t="str">
        <f>IF(Datos!$C$20&gt;'5'!B45,'5'!B45+1,"")</f>
        <v/>
      </c>
      <c r="C46" s="142"/>
      <c r="D46" s="143"/>
      <c r="E46" s="123"/>
      <c r="F46" s="124" t="str">
        <f>IF(B46="","",VLOOKUP($E$4,'Cant. Ejec,'!$E$5:$BB$91,17+B46*2+(B46-2),0))</f>
        <v/>
      </c>
      <c r="G46" s="125"/>
      <c r="H46" s="115"/>
    </row>
    <row r="47" spans="2:8">
      <c r="B47" s="146" t="str">
        <f>IF(Datos!$C$20&gt;'5'!B46,'5'!B46+1,"")</f>
        <v/>
      </c>
      <c r="C47" s="142"/>
      <c r="D47" s="143"/>
      <c r="E47" s="123"/>
      <c r="F47" s="124" t="str">
        <f>IF(B47="","",VLOOKUP($E$4,'Cant. Ejec,'!$E$5:$BB$91,17+B47*2+(B47-2),0))</f>
        <v/>
      </c>
      <c r="G47" s="125"/>
      <c r="H47" s="115"/>
    </row>
    <row r="48" spans="2:8">
      <c r="B48" s="146" t="str">
        <f>IF(Datos!$C$20&gt;'5'!B47,'5'!B47+1,"")</f>
        <v/>
      </c>
      <c r="C48" s="142"/>
      <c r="D48" s="143"/>
      <c r="E48" s="123"/>
      <c r="F48" s="124" t="str">
        <f>IF(B48="","",VLOOKUP($E$4,'Cant. Ejec,'!$E$5:$BB$91,17+B48*2+(B48-2),0))</f>
        <v/>
      </c>
      <c r="G48" s="125"/>
      <c r="H48" s="115"/>
    </row>
    <row r="49" spans="2:8">
      <c r="B49" s="146" t="str">
        <f>IF(Datos!$C$20&gt;'5'!B48,'5'!B48+1,"")</f>
        <v/>
      </c>
      <c r="C49" s="142"/>
      <c r="D49" s="143"/>
      <c r="E49" s="123"/>
      <c r="F49" s="124" t="str">
        <f>IF(B49="","",VLOOKUP($E$4,'Cant. Ejec,'!$E$5:$BB$91,17+B49*2+(B49-2),0))</f>
        <v/>
      </c>
      <c r="G49" s="125"/>
      <c r="H49" s="115"/>
    </row>
    <row r="50" spans="2:8">
      <c r="B50" s="146" t="str">
        <f>IF(Datos!$C$20&gt;'5'!B49,'5'!B49+1,"")</f>
        <v/>
      </c>
      <c r="C50" s="142"/>
      <c r="D50" s="143"/>
      <c r="E50" s="123"/>
      <c r="F50" s="124" t="str">
        <f>IF(B50="","",VLOOKUP($E$4,'Cant. Ejec,'!$E$5:$BB$91,17+B50*2+(B50-2),0))</f>
        <v/>
      </c>
      <c r="G50" s="125"/>
      <c r="H50" s="115"/>
    </row>
    <row r="51" spans="2:8">
      <c r="B51" s="146" t="str">
        <f>IF(Datos!$C$20&gt;'5'!B50,'5'!B50+1,"")</f>
        <v/>
      </c>
      <c r="C51" s="142"/>
      <c r="D51" s="143"/>
      <c r="E51" s="123"/>
      <c r="F51" s="124" t="str">
        <f>IF(B51="","",VLOOKUP($E$4,'Cant. Ejec,'!$E$5:$BB$91,17+B51*2+(B51-2),0))</f>
        <v/>
      </c>
      <c r="G51" s="125"/>
      <c r="H51" s="115"/>
    </row>
    <row r="52" spans="2:8">
      <c r="B52" s="147" t="str">
        <f>IF(Datos!$C$20&gt;'5'!B51,'5'!B51+1,"")</f>
        <v/>
      </c>
      <c r="C52" s="144"/>
      <c r="D52" s="145"/>
      <c r="E52" s="126"/>
      <c r="F52" s="127" t="str">
        <f>IF(B52="","",VLOOKUP($E$4,'Cant. Ejec,'!$E$5:$BB$91,17+B52*2+(B52-2),0))</f>
        <v/>
      </c>
      <c r="G52" s="128"/>
      <c r="H52" s="116"/>
    </row>
    <row r="53" spans="2:8">
      <c r="B53" s="1897" t="s">
        <v>294</v>
      </c>
      <c r="C53" s="1898"/>
      <c r="D53" s="1899"/>
      <c r="E53" s="129">
        <f>+MAX(E10:E52)</f>
        <v>346422.9</v>
      </c>
      <c r="F53" s="130">
        <f>+G53-E53</f>
        <v>0</v>
      </c>
      <c r="G53" s="131">
        <f>+MAX(G10:G52)</f>
        <v>346422.9</v>
      </c>
      <c r="H53" s="118"/>
    </row>
    <row r="54" spans="2:8">
      <c r="B54" s="1900" t="s">
        <v>187</v>
      </c>
      <c r="C54" s="1901"/>
      <c r="D54" s="1902"/>
      <c r="E54" s="1163">
        <f>ROUND((E53/H6),4)</f>
        <v>0.78879999999999995</v>
      </c>
      <c r="F54" s="1164">
        <f>ROUND((F53/H6),4)</f>
        <v>0</v>
      </c>
      <c r="G54" s="1165">
        <f>ROUND((G53/H6),4)</f>
        <v>0.78879999999999995</v>
      </c>
      <c r="H54" s="119"/>
    </row>
    <row r="55" spans="2:8">
      <c r="B55" s="135" t="s">
        <v>162</v>
      </c>
      <c r="C55" s="132"/>
      <c r="D55" s="132"/>
      <c r="E55" s="133"/>
      <c r="F55" s="135" t="s">
        <v>157</v>
      </c>
      <c r="G55" s="132"/>
      <c r="H55" s="133"/>
    </row>
    <row r="56" spans="2:8">
      <c r="B56" s="109"/>
      <c r="C56" s="134"/>
      <c r="D56" s="134"/>
      <c r="E56" s="110"/>
      <c r="F56" s="109"/>
      <c r="G56" s="134"/>
      <c r="H56" s="110"/>
    </row>
    <row r="57" spans="2:8">
      <c r="B57" s="109"/>
      <c r="C57" s="134"/>
      <c r="D57" s="134"/>
      <c r="E57" s="110"/>
      <c r="F57" s="109"/>
      <c r="G57" s="134"/>
      <c r="H57" s="110"/>
    </row>
    <row r="58" spans="2:8">
      <c r="B58" s="109"/>
      <c r="C58" s="134"/>
      <c r="D58" s="134"/>
      <c r="E58" s="110"/>
      <c r="F58" s="109"/>
      <c r="G58" s="134"/>
      <c r="H58" s="110"/>
    </row>
    <row r="59" spans="2:8">
      <c r="B59" s="1892" t="str">
        <f>+'Planilla de Avance'!F113</f>
        <v>Ing. Gabriel Daza Chavez</v>
      </c>
      <c r="C59" s="1893"/>
      <c r="D59" s="1893"/>
      <c r="E59" s="1894"/>
      <c r="F59" s="1892" t="str">
        <f>+'Planilla de Avance'!J113</f>
        <v>Ing. Herlan Rene Ramos Estrada</v>
      </c>
      <c r="G59" s="1893"/>
      <c r="H59" s="1894"/>
    </row>
    <row r="60" spans="2:8">
      <c r="B60" s="1889" t="str">
        <f>+'Planilla de Avance'!F114</f>
        <v>SUPERINTENDENTE DE OBRA</v>
      </c>
      <c r="C60" s="1890"/>
      <c r="D60" s="1890"/>
      <c r="E60" s="1891"/>
      <c r="F60" s="1889" t="str">
        <f>+'Planilla de Avance'!J114</f>
        <v>SUPERVISOR DE OBRA</v>
      </c>
      <c r="G60" s="1890"/>
      <c r="H60" s="1891"/>
    </row>
  </sheetData>
  <mergeCells count="14">
    <mergeCell ref="B53:D53"/>
    <mergeCell ref="B54:D54"/>
    <mergeCell ref="B59:E59"/>
    <mergeCell ref="F59:H59"/>
    <mergeCell ref="B60:E60"/>
    <mergeCell ref="F60:H60"/>
    <mergeCell ref="B1:C1"/>
    <mergeCell ref="D1:H2"/>
    <mergeCell ref="B3:C3"/>
    <mergeCell ref="D3:H3"/>
    <mergeCell ref="B8:B9"/>
    <mergeCell ref="C8:D8"/>
    <mergeCell ref="E8:G8"/>
    <mergeCell ref="H8:H9"/>
  </mergeCells>
  <printOptions horizontalCentered="1"/>
  <pageMargins left="0.62992125984251968" right="0.23622047244094491" top="0.47244094488188981" bottom="0.35433070866141736" header="0.31496062992125984" footer="0.31496062992125984"/>
  <pageSetup scale="91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showGridLines="0" workbookViewId="0">
      <selection activeCell="E27" sqref="E27"/>
    </sheetView>
  </sheetViews>
  <sheetFormatPr baseColWidth="10" defaultRowHeight="13.2"/>
  <cols>
    <col min="1" max="1" width="19.5546875" customWidth="1"/>
    <col min="3" max="3" width="18.44140625" customWidth="1"/>
    <col min="5" max="5" width="14.109375" customWidth="1"/>
  </cols>
  <sheetData>
    <row r="1" spans="1:17">
      <c r="A1" s="783" t="s">
        <v>444</v>
      </c>
      <c r="B1" s="783" t="s">
        <v>443</v>
      </c>
    </row>
    <row r="2" spans="1:17" ht="27.75" customHeight="1">
      <c r="B2" s="1445" t="s">
        <v>689</v>
      </c>
      <c r="C2" s="1445"/>
      <c r="D2" s="1445"/>
      <c r="E2" s="1445"/>
      <c r="F2" s="1445"/>
      <c r="G2" s="1445"/>
      <c r="H2" s="1445"/>
    </row>
    <row r="3" spans="1:17">
      <c r="B3" s="783" t="s">
        <v>508</v>
      </c>
    </row>
    <row r="4" spans="1:17">
      <c r="A4" s="917" t="s">
        <v>645</v>
      </c>
      <c r="B4" s="783" t="s">
        <v>509</v>
      </c>
    </row>
    <row r="5" spans="1:17">
      <c r="A5" s="917" t="s">
        <v>644</v>
      </c>
      <c r="B5" s="783" t="s">
        <v>643</v>
      </c>
    </row>
    <row r="6" spans="1:17">
      <c r="A6" s="917" t="s">
        <v>685</v>
      </c>
      <c r="B6" s="783" t="s">
        <v>680</v>
      </c>
    </row>
    <row r="7" spans="1:17" ht="13.8">
      <c r="B7" s="1048" t="s">
        <v>623</v>
      </c>
      <c r="D7" t="str">
        <f>+B7&amp;"        "&amp;B8</f>
        <v>Ing. Herlan Rene Ramos Estrada        SUPERVISOR DE OBRA</v>
      </c>
    </row>
    <row r="8" spans="1:17" ht="13.8">
      <c r="B8" s="922" t="s">
        <v>505</v>
      </c>
    </row>
    <row r="9" spans="1:17" ht="15.6">
      <c r="B9" s="922" t="s">
        <v>506</v>
      </c>
      <c r="N9" s="1067" t="str">
        <f>+C26</f>
        <v>01-Abr-2021</v>
      </c>
      <c r="O9" s="1068"/>
      <c r="P9" s="1069" t="str">
        <f>+E26</f>
        <v>30-Abr-2021</v>
      </c>
      <c r="Q9" s="1066"/>
    </row>
    <row r="10" spans="1:17" ht="13.8">
      <c r="B10" s="1049" t="s">
        <v>624</v>
      </c>
      <c r="D10" t="str">
        <f>+B10&amp;"                     "&amp;B11</f>
        <v>Ing. Franz Reynaldo Salazar Martinez                     FISCAL DE OBRA</v>
      </c>
    </row>
    <row r="11" spans="1:17" ht="13.8">
      <c r="B11" s="923" t="s">
        <v>507</v>
      </c>
    </row>
    <row r="12" spans="1:17" ht="13.8">
      <c r="B12" s="922" t="s">
        <v>506</v>
      </c>
    </row>
    <row r="13" spans="1:17" ht="13.8">
      <c r="B13" s="108"/>
    </row>
    <row r="14" spans="1:17" ht="13.8">
      <c r="B14" s="108"/>
    </row>
    <row r="15" spans="1:17" ht="13.8">
      <c r="B15" s="1049" t="s">
        <v>648</v>
      </c>
      <c r="D15" t="str">
        <f>+B15&amp;"        "&amp;B16</f>
        <v>Ing. Gabriel Daza Chavez        SUPERINTENDENTE DE OBRA</v>
      </c>
    </row>
    <row r="16" spans="1:17" ht="13.8">
      <c r="B16" s="924" t="s">
        <v>158</v>
      </c>
    </row>
    <row r="17" spans="1:7" ht="28.5" customHeight="1">
      <c r="B17" s="1446" t="s">
        <v>688</v>
      </c>
      <c r="C17" s="1446"/>
      <c r="D17" s="1446"/>
      <c r="E17" s="1446"/>
      <c r="F17" s="1446"/>
    </row>
    <row r="20" spans="1:7" ht="15.6">
      <c r="A20" s="1032"/>
      <c r="B20" s="1033" t="s">
        <v>628</v>
      </c>
      <c r="C20" s="1031">
        <v>6</v>
      </c>
      <c r="D20" s="1032"/>
      <c r="E20" s="1032"/>
    </row>
    <row r="21" spans="1:7">
      <c r="A21" s="1032"/>
      <c r="B21" s="1032"/>
      <c r="C21" s="1032"/>
      <c r="D21" s="1032"/>
      <c r="E21" s="1032"/>
    </row>
    <row r="22" spans="1:7" ht="13.8">
      <c r="A22" s="1032"/>
      <c r="B22" s="1032"/>
      <c r="C22" s="1030" t="str">
        <f>B20&amp;C20</f>
        <v>CERTIFICADO DE PAGO Nº 6</v>
      </c>
      <c r="D22" s="1032"/>
      <c r="E22" s="1032"/>
    </row>
    <row r="23" spans="1:7">
      <c r="A23" s="1032"/>
      <c r="B23" s="1032"/>
      <c r="C23" s="1032"/>
      <c r="D23" s="1032"/>
      <c r="E23" s="1032"/>
    </row>
    <row r="24" spans="1:7" ht="15.6">
      <c r="A24" s="1032"/>
      <c r="B24" s="1033" t="s">
        <v>211</v>
      </c>
      <c r="C24" s="1129" t="s">
        <v>696</v>
      </c>
      <c r="D24" s="1032"/>
      <c r="E24" s="1032"/>
    </row>
    <row r="26" spans="1:7" ht="15.6">
      <c r="B26" s="1033" t="s">
        <v>634</v>
      </c>
      <c r="C26" s="1063" t="s">
        <v>697</v>
      </c>
      <c r="D26" s="1062" t="s">
        <v>177</v>
      </c>
      <c r="E26" s="1063" t="s">
        <v>698</v>
      </c>
    </row>
    <row r="27" spans="1:7">
      <c r="G27" s="1065"/>
    </row>
  </sheetData>
  <mergeCells count="2">
    <mergeCell ref="B2:H2"/>
    <mergeCell ref="B17:F17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O60"/>
  <sheetViews>
    <sheetView showGridLines="0" view="pageBreakPreview" zoomScaleNormal="100" zoomScaleSheetLayoutView="100" workbookViewId="0">
      <selection activeCell="G14" sqref="G14"/>
    </sheetView>
  </sheetViews>
  <sheetFormatPr baseColWidth="10" defaultColWidth="11.44140625" defaultRowHeight="13.8"/>
  <cols>
    <col min="1" max="1" width="4.6640625" style="108" customWidth="1"/>
    <col min="2" max="7" width="12.44140625" style="108" customWidth="1"/>
    <col min="8" max="8" width="28.6640625" style="108" customWidth="1"/>
    <col min="9" max="16384" width="11.44140625" style="108"/>
  </cols>
  <sheetData>
    <row r="1" spans="2:15" ht="13.5" customHeight="1">
      <c r="B1" s="1877" t="s">
        <v>241</v>
      </c>
      <c r="C1" s="1878"/>
      <c r="D1" s="1883" t="s">
        <v>641</v>
      </c>
      <c r="E1" s="1884"/>
      <c r="F1" s="1884"/>
      <c r="G1" s="1884"/>
      <c r="H1" s="1885"/>
    </row>
    <row r="2" spans="2:15" ht="13.5" customHeight="1">
      <c r="B2" s="1112"/>
      <c r="C2" s="1113"/>
      <c r="D2" s="1886"/>
      <c r="E2" s="1887"/>
      <c r="F2" s="1887"/>
      <c r="G2" s="1887"/>
      <c r="H2" s="1888"/>
    </row>
    <row r="3" spans="2:15">
      <c r="B3" s="1879"/>
      <c r="C3" s="1880"/>
      <c r="D3" s="1895" t="s">
        <v>184</v>
      </c>
      <c r="E3" s="1895"/>
      <c r="F3" s="1895"/>
      <c r="G3" s="1895"/>
      <c r="H3" s="1896"/>
    </row>
    <row r="4" spans="2:15">
      <c r="B4" s="109"/>
      <c r="C4" s="110"/>
      <c r="D4" s="113" t="s">
        <v>188</v>
      </c>
      <c r="E4" s="136">
        <v>74</v>
      </c>
      <c r="F4" s="137"/>
      <c r="G4" s="137"/>
      <c r="H4" s="110"/>
    </row>
    <row r="5" spans="2:15">
      <c r="B5" s="109"/>
      <c r="C5" s="110"/>
      <c r="D5" s="113" t="s">
        <v>185</v>
      </c>
      <c r="E5" s="137" t="str">
        <f>+VLOOKUP(E4,'Planilla de Avance'!E10:H102,2,)</f>
        <v>MEDIDAS DE MITIGACION AMBIENTAL</v>
      </c>
      <c r="F5" s="137"/>
      <c r="G5" s="137"/>
      <c r="H5" s="110"/>
    </row>
    <row r="6" spans="2:15">
      <c r="B6" s="111"/>
      <c r="C6" s="112"/>
      <c r="D6" s="138" t="s">
        <v>186</v>
      </c>
      <c r="E6" s="139" t="str">
        <f>+VLOOKUP(E4,'Planilla de Avance'!E10:H102,3,)</f>
        <v>GLB</v>
      </c>
      <c r="F6" s="139"/>
      <c r="G6" s="589" t="s">
        <v>382</v>
      </c>
      <c r="H6" s="1006">
        <f>+VLOOKUP(E4,'Planilla de Avance'!E10:J102,4,)</f>
        <v>1</v>
      </c>
    </row>
    <row r="8" spans="2:15">
      <c r="B8" s="1881" t="s">
        <v>183</v>
      </c>
      <c r="C8" s="1908" t="s">
        <v>180</v>
      </c>
      <c r="D8" s="1909"/>
      <c r="E8" s="1903" t="s">
        <v>160</v>
      </c>
      <c r="F8" s="1904"/>
      <c r="G8" s="1905"/>
      <c r="H8" s="1906" t="s">
        <v>161</v>
      </c>
    </row>
    <row r="9" spans="2:15">
      <c r="B9" s="1882"/>
      <c r="C9" s="282" t="s">
        <v>181</v>
      </c>
      <c r="D9" s="283" t="s">
        <v>182</v>
      </c>
      <c r="E9" s="280" t="s">
        <v>178</v>
      </c>
      <c r="F9" s="281" t="s">
        <v>1</v>
      </c>
      <c r="G9" s="279" t="s">
        <v>179</v>
      </c>
      <c r="H9" s="1907"/>
    </row>
    <row r="10" spans="2:15">
      <c r="B10" s="117">
        <v>1</v>
      </c>
      <c r="C10" s="140"/>
      <c r="D10" s="141"/>
      <c r="E10" s="120"/>
      <c r="F10" s="121">
        <f>IF(B10="","",VLOOKUP($E$4,'Cant. Ejec,'!$E$5:$BB$91,17+B10*2+(B10-2),0))</f>
        <v>0</v>
      </c>
      <c r="G10" s="122">
        <f>+E10+F10</f>
        <v>0</v>
      </c>
      <c r="H10" s="114"/>
    </row>
    <row r="11" spans="2:15">
      <c r="B11" s="146">
        <f>IF(Datos!$C$20&gt;'5'!B10,'5'!B10+1,"")</f>
        <v>2</v>
      </c>
      <c r="C11" s="142"/>
      <c r="D11" s="143"/>
      <c r="E11" s="123">
        <v>0</v>
      </c>
      <c r="F11" s="124">
        <f>IF(B11="","",VLOOKUP($E$4,'Cant. Ejec,'!$E$5:$BB$91,17+B11*2+(B11-2),0))</f>
        <v>0.04</v>
      </c>
      <c r="G11" s="125">
        <f t="shared" ref="G11:G13" si="0">+E11+F11</f>
        <v>0.04</v>
      </c>
      <c r="H11" s="115"/>
      <c r="K11" s="337"/>
      <c r="L11" s="337"/>
    </row>
    <row r="12" spans="2:15">
      <c r="B12" s="146">
        <f>IF(Datos!$C$20&gt;'5'!B11,'5'!B11+1,"")</f>
        <v>3</v>
      </c>
      <c r="C12" s="142"/>
      <c r="D12" s="143"/>
      <c r="E12" s="123">
        <f>+G11</f>
        <v>0.04</v>
      </c>
      <c r="F12" s="124">
        <f>IF(B12="","",VLOOKUP($E$4,'Cant. Ejec,'!$E$5:$BB$91,17+B12*2+(B12-2),0))</f>
        <v>0</v>
      </c>
      <c r="G12" s="125">
        <f t="shared" si="0"/>
        <v>0.04</v>
      </c>
      <c r="H12" s="115"/>
      <c r="K12" s="337"/>
      <c r="L12" s="337"/>
      <c r="M12" s="337"/>
    </row>
    <row r="13" spans="2:15">
      <c r="B13" s="146">
        <f>IF(Datos!$C$20&gt;'5'!B12,'5'!B12+1,"")</f>
        <v>4</v>
      </c>
      <c r="C13" s="142"/>
      <c r="D13" s="143"/>
      <c r="E13" s="123">
        <f>+G12</f>
        <v>0.04</v>
      </c>
      <c r="F13" s="124">
        <f>IF(B13="","",VLOOKUP($E$4,'Cant. Ejec,'!$E$5:$BB$91,17+B13*2+(B13-2),0))</f>
        <v>0</v>
      </c>
      <c r="G13" s="125">
        <f t="shared" si="0"/>
        <v>0.04</v>
      </c>
      <c r="H13" s="115"/>
      <c r="K13" s="337"/>
      <c r="O13" s="337"/>
    </row>
    <row r="14" spans="2:15">
      <c r="B14" s="146">
        <f>IF(Datos!$C$20&gt;'5'!B13,'5'!B13+1,"")</f>
        <v>5</v>
      </c>
      <c r="C14" s="142"/>
      <c r="D14" s="143"/>
      <c r="E14" s="123"/>
      <c r="F14" s="124">
        <f>IF(B14="","",VLOOKUP($E$4,'Cant. Ejec,'!$E$5:$BB$91,17+B14*2+(B14-2),0))</f>
        <v>0</v>
      </c>
      <c r="G14" s="125"/>
      <c r="H14" s="115"/>
      <c r="K14" s="337"/>
      <c r="L14" s="337"/>
      <c r="M14" s="337"/>
      <c r="N14" s="337"/>
      <c r="O14" s="337"/>
    </row>
    <row r="15" spans="2:15">
      <c r="B15" s="146">
        <f>IF(Datos!$C$20&gt;'5'!B14,'5'!B14+1,"")</f>
        <v>6</v>
      </c>
      <c r="C15" s="142"/>
      <c r="D15" s="143"/>
      <c r="E15" s="123"/>
      <c r="F15" s="124">
        <f>IF(B15="","",VLOOKUP($E$4,'Cant. Ejec,'!$E$5:$BB$91,17+B15*2+(B15-2),0))</f>
        <v>0</v>
      </c>
      <c r="G15" s="125"/>
      <c r="H15" s="115"/>
    </row>
    <row r="16" spans="2:15">
      <c r="B16" s="146" t="str">
        <f>IF(Datos!$C$20&gt;'5'!B15,'5'!B15+1,"")</f>
        <v/>
      </c>
      <c r="C16" s="142"/>
      <c r="D16" s="143"/>
      <c r="E16" s="123"/>
      <c r="F16" s="124" t="str">
        <f>IF(B16="","",VLOOKUP($E$4,'Cant. Ejec,'!$E$5:$BB$91,17+B16*2+(B16-2),0))</f>
        <v/>
      </c>
      <c r="G16" s="125"/>
      <c r="H16" s="115"/>
      <c r="L16" s="337"/>
    </row>
    <row r="17" spans="2:14">
      <c r="B17" s="146" t="str">
        <f>IF(Datos!$C$20&gt;'5'!B16,'5'!B16+1,"")</f>
        <v/>
      </c>
      <c r="C17" s="142"/>
      <c r="D17" s="143"/>
      <c r="E17" s="123"/>
      <c r="F17" s="124" t="str">
        <f>IF(B17="","",VLOOKUP($E$4,'Cant. Ejec,'!$E$5:$BB$91,17+B17*2+(B17-2),0))</f>
        <v/>
      </c>
      <c r="G17" s="125"/>
      <c r="H17" s="115"/>
      <c r="L17" s="337"/>
      <c r="M17" s="337"/>
      <c r="N17" s="337"/>
    </row>
    <row r="18" spans="2:14">
      <c r="B18" s="146" t="str">
        <f>IF(Datos!$C$20&gt;'5'!B17,'5'!B17+1,"")</f>
        <v/>
      </c>
      <c r="C18" s="142"/>
      <c r="D18" s="143"/>
      <c r="E18" s="123"/>
      <c r="F18" s="124" t="str">
        <f>IF(B18="","",VLOOKUP($E$4,'Cant. Ejec,'!$E$5:$BB$91,17+B18*2+(B18-2),0))</f>
        <v/>
      </c>
      <c r="G18" s="125"/>
      <c r="H18" s="115"/>
    </row>
    <row r="19" spans="2:14">
      <c r="B19" s="146" t="str">
        <f>IF(Datos!$C$20&gt;'5'!B18,'5'!B18+1,"")</f>
        <v/>
      </c>
      <c r="C19" s="142"/>
      <c r="D19" s="143"/>
      <c r="E19" s="123"/>
      <c r="F19" s="124" t="str">
        <f>IF(B19="","",VLOOKUP($E$4,'Cant. Ejec,'!$E$5:$BB$91,17+B19*2+(B19-2),0))</f>
        <v/>
      </c>
      <c r="G19" s="125"/>
      <c r="H19" s="115"/>
    </row>
    <row r="20" spans="2:14">
      <c r="B20" s="146" t="str">
        <f>IF(Datos!$C$20&gt;'5'!B19,'5'!B19+1,"")</f>
        <v/>
      </c>
      <c r="C20" s="142"/>
      <c r="D20" s="143"/>
      <c r="E20" s="123"/>
      <c r="F20" s="124" t="str">
        <f>IF(B20="","",VLOOKUP($E$4,'Cant. Ejec,'!$E$5:$BB$91,17+B20*2+(B20-2),0))</f>
        <v/>
      </c>
      <c r="G20" s="125"/>
      <c r="H20" s="115"/>
    </row>
    <row r="21" spans="2:14">
      <c r="B21" s="146" t="str">
        <f>IF(Datos!$C$20&gt;'5'!B20,'5'!B20+1,"")</f>
        <v/>
      </c>
      <c r="C21" s="142"/>
      <c r="D21" s="143"/>
      <c r="E21" s="123"/>
      <c r="F21" s="124" t="str">
        <f>IF(B21="","",VLOOKUP($E$4,'Cant. Ejec,'!$E$5:$BB$91,17+B21*2+(B21-2),0))</f>
        <v/>
      </c>
      <c r="G21" s="125"/>
      <c r="H21" s="115"/>
      <c r="J21" s="337"/>
    </row>
    <row r="22" spans="2:14">
      <c r="B22" s="146" t="str">
        <f>IF(Datos!$C$20&gt;'5'!B21,'5'!B21+1,"")</f>
        <v/>
      </c>
      <c r="C22" s="142"/>
      <c r="D22" s="143"/>
      <c r="E22" s="123"/>
      <c r="F22" s="124" t="str">
        <f>IF(B22="","",VLOOKUP($E$4,'Cant. Ejec,'!$E$5:$BB$91,17+B22*2+(B22-2),0))</f>
        <v/>
      </c>
      <c r="G22" s="125"/>
      <c r="H22" s="115"/>
    </row>
    <row r="23" spans="2:14">
      <c r="B23" s="146" t="str">
        <f>IF(Datos!$C$20&gt;'5'!B22,'5'!B22+1,"")</f>
        <v/>
      </c>
      <c r="C23" s="142"/>
      <c r="D23" s="143"/>
      <c r="E23" s="123"/>
      <c r="F23" s="124" t="str">
        <f>IF(B23="","",VLOOKUP($E$4,'Cant. Ejec,'!$E$5:$BB$91,17+B23*2+(B23-2),0))</f>
        <v/>
      </c>
      <c r="G23" s="125"/>
      <c r="H23" s="115"/>
    </row>
    <row r="24" spans="2:14">
      <c r="B24" s="146" t="str">
        <f>IF(Datos!$C$20&gt;'5'!B23,'5'!B23+1,"")</f>
        <v/>
      </c>
      <c r="C24" s="142"/>
      <c r="D24" s="143"/>
      <c r="E24" s="123"/>
      <c r="F24" s="124" t="str">
        <f>IF(B24="","",VLOOKUP($E$4,'Cant. Ejec,'!$E$5:$BB$91,17+B24*2+(B24-2),0))</f>
        <v/>
      </c>
      <c r="G24" s="125"/>
      <c r="H24" s="115"/>
    </row>
    <row r="25" spans="2:14">
      <c r="B25" s="146" t="str">
        <f>IF(Datos!$C$20&gt;'5'!B24,'5'!B24+1,"")</f>
        <v/>
      </c>
      <c r="C25" s="142"/>
      <c r="D25" s="143"/>
      <c r="E25" s="123"/>
      <c r="F25" s="124" t="str">
        <f>IF(B25="","",VLOOKUP($E$4,'Cant. Ejec,'!$E$5:$BB$91,17+B25*2+(B25-2),0))</f>
        <v/>
      </c>
      <c r="G25" s="125"/>
      <c r="H25" s="115"/>
    </row>
    <row r="26" spans="2:14">
      <c r="B26" s="146" t="str">
        <f>IF(Datos!$C$20&gt;'5'!B25,'5'!B25+1,"")</f>
        <v/>
      </c>
      <c r="C26" s="142"/>
      <c r="D26" s="143"/>
      <c r="E26" s="123"/>
      <c r="F26" s="124" t="str">
        <f>IF(B26="","",VLOOKUP($E$4,'Cant. Ejec,'!$E$5:$BB$91,17+B26*2+(B26-2),0))</f>
        <v/>
      </c>
      <c r="G26" s="125"/>
      <c r="H26" s="115"/>
    </row>
    <row r="27" spans="2:14">
      <c r="B27" s="146" t="str">
        <f>IF(Datos!$C$20&gt;'5'!B26,'5'!B26+1,"")</f>
        <v/>
      </c>
      <c r="C27" s="142"/>
      <c r="D27" s="143"/>
      <c r="E27" s="123"/>
      <c r="F27" s="124" t="str">
        <f>IF(B27="","",VLOOKUP($E$4,'Cant. Ejec,'!$E$5:$BB$91,17+B27*2+(B27-2),0))</f>
        <v/>
      </c>
      <c r="G27" s="125"/>
      <c r="H27" s="115"/>
    </row>
    <row r="28" spans="2:14">
      <c r="B28" s="146" t="str">
        <f>IF(Datos!$C$20&gt;'5'!B27,'5'!B27+1,"")</f>
        <v/>
      </c>
      <c r="C28" s="142"/>
      <c r="D28" s="143"/>
      <c r="E28" s="123"/>
      <c r="F28" s="124" t="str">
        <f>IF(B28="","",VLOOKUP($E$4,'Cant. Ejec,'!$E$5:$BB$91,17+B28*2+(B28-2),0))</f>
        <v/>
      </c>
      <c r="G28" s="125"/>
      <c r="H28" s="115"/>
    </row>
    <row r="29" spans="2:14">
      <c r="B29" s="146" t="str">
        <f>IF(Datos!$C$20&gt;'5'!B28,'5'!B28+1,"")</f>
        <v/>
      </c>
      <c r="C29" s="142"/>
      <c r="D29" s="143"/>
      <c r="E29" s="123"/>
      <c r="F29" s="124" t="str">
        <f>IF(B29="","",VLOOKUP($E$4,'Cant. Ejec,'!$E$5:$BB$91,17+B29*2+(B29-2),0))</f>
        <v/>
      </c>
      <c r="G29" s="125"/>
      <c r="H29" s="115"/>
    </row>
    <row r="30" spans="2:14">
      <c r="B30" s="146" t="str">
        <f>IF(Datos!$C$20&gt;'5'!B29,'5'!B29+1,"")</f>
        <v/>
      </c>
      <c r="C30" s="142"/>
      <c r="D30" s="143"/>
      <c r="E30" s="123"/>
      <c r="F30" s="124" t="str">
        <f>IF(B30="","",VLOOKUP($E$4,'Cant. Ejec,'!$E$5:$BB$91,17+B30*2+(B30-2),0))</f>
        <v/>
      </c>
      <c r="G30" s="125"/>
      <c r="H30" s="115"/>
    </row>
    <row r="31" spans="2:14">
      <c r="B31" s="146" t="str">
        <f>IF(Datos!$C$20&gt;'5'!B30,'5'!B30+1,"")</f>
        <v/>
      </c>
      <c r="C31" s="142"/>
      <c r="D31" s="143"/>
      <c r="E31" s="123"/>
      <c r="F31" s="124" t="str">
        <f>IF(B31="","",VLOOKUP($E$4,'Cant. Ejec,'!$E$5:$BB$91,17+B31*2+(B31-2),0))</f>
        <v/>
      </c>
      <c r="G31" s="125"/>
      <c r="H31" s="115"/>
    </row>
    <row r="32" spans="2:14">
      <c r="B32" s="146" t="str">
        <f>IF(Datos!$C$20&gt;'5'!B31,'5'!B31+1,"")</f>
        <v/>
      </c>
      <c r="C32" s="142"/>
      <c r="D32" s="143"/>
      <c r="E32" s="123"/>
      <c r="F32" s="124" t="str">
        <f>IF(B32="","",VLOOKUP($E$4,'Cant. Ejec,'!$E$5:$BB$91,17+B32*2+(B32-2),0))</f>
        <v/>
      </c>
      <c r="G32" s="125"/>
      <c r="H32" s="115"/>
    </row>
    <row r="33" spans="2:8">
      <c r="B33" s="146" t="str">
        <f>IF(Datos!$C$20&gt;'5'!B32,'5'!B32+1,"")</f>
        <v/>
      </c>
      <c r="C33" s="142"/>
      <c r="D33" s="143"/>
      <c r="E33" s="123"/>
      <c r="F33" s="124" t="str">
        <f>IF(B33="","",VLOOKUP($E$4,'Cant. Ejec,'!$E$5:$BB$91,17+B33*2+(B33-2),0))</f>
        <v/>
      </c>
      <c r="G33" s="125"/>
      <c r="H33" s="115"/>
    </row>
    <row r="34" spans="2:8">
      <c r="B34" s="146" t="str">
        <f>IF(Datos!$C$20&gt;'5'!B33,'5'!B33+1,"")</f>
        <v/>
      </c>
      <c r="C34" s="142"/>
      <c r="D34" s="143"/>
      <c r="E34" s="123"/>
      <c r="F34" s="124" t="str">
        <f>IF(B34="","",VLOOKUP($E$4,'Cant. Ejec,'!$E$5:$BB$91,17+B34*2+(B34-2),0))</f>
        <v/>
      </c>
      <c r="G34" s="125"/>
      <c r="H34" s="115"/>
    </row>
    <row r="35" spans="2:8">
      <c r="B35" s="146" t="str">
        <f>IF(Datos!$C$20&gt;'5'!B34,'5'!B34+1,"")</f>
        <v/>
      </c>
      <c r="C35" s="142"/>
      <c r="D35" s="143"/>
      <c r="E35" s="123"/>
      <c r="F35" s="124" t="str">
        <f>IF(B35="","",VLOOKUP($E$4,'Cant. Ejec,'!$E$5:$BB$91,17+B35*2+(B35-2),0))</f>
        <v/>
      </c>
      <c r="G35" s="125"/>
      <c r="H35" s="115"/>
    </row>
    <row r="36" spans="2:8">
      <c r="B36" s="146" t="str">
        <f>IF(Datos!$C$20&gt;'5'!B35,'5'!B35+1,"")</f>
        <v/>
      </c>
      <c r="C36" s="142"/>
      <c r="D36" s="143"/>
      <c r="E36" s="123"/>
      <c r="F36" s="124" t="str">
        <f>IF(B36="","",VLOOKUP($E$4,'Cant. Ejec,'!$E$5:$BB$91,17+B36*2+(B36-2),0))</f>
        <v/>
      </c>
      <c r="G36" s="125"/>
      <c r="H36" s="115"/>
    </row>
    <row r="37" spans="2:8">
      <c r="B37" s="146" t="str">
        <f>IF(Datos!$C$20&gt;'5'!B36,'5'!B36+1,"")</f>
        <v/>
      </c>
      <c r="C37" s="142"/>
      <c r="D37" s="143"/>
      <c r="E37" s="123"/>
      <c r="F37" s="124" t="str">
        <f>IF(B37="","",VLOOKUP($E$4,'Cant. Ejec,'!$E$5:$BB$91,17+B37*2+(B37-2),0))</f>
        <v/>
      </c>
      <c r="G37" s="125"/>
      <c r="H37" s="115"/>
    </row>
    <row r="38" spans="2:8">
      <c r="B38" s="146" t="str">
        <f>IF(Datos!$C$20&gt;'5'!B37,'5'!B37+1,"")</f>
        <v/>
      </c>
      <c r="C38" s="142"/>
      <c r="D38" s="143"/>
      <c r="E38" s="123"/>
      <c r="F38" s="124" t="str">
        <f>IF(B38="","",VLOOKUP($E$4,'Cant. Ejec,'!$E$5:$BB$91,17+B38*2+(B38-2),0))</f>
        <v/>
      </c>
      <c r="G38" s="125"/>
      <c r="H38" s="115"/>
    </row>
    <row r="39" spans="2:8">
      <c r="B39" s="146" t="str">
        <f>IF(Datos!$C$20&gt;'5'!B38,'5'!B38+1,"")</f>
        <v/>
      </c>
      <c r="C39" s="142"/>
      <c r="D39" s="143"/>
      <c r="E39" s="123"/>
      <c r="F39" s="124" t="str">
        <f>IF(B39="","",VLOOKUP($E$4,'Cant. Ejec,'!$E$5:$BB$91,17+B39*2+(B39-2),0))</f>
        <v/>
      </c>
      <c r="G39" s="125"/>
      <c r="H39" s="115"/>
    </row>
    <row r="40" spans="2:8">
      <c r="B40" s="146" t="str">
        <f>IF(Datos!$C$20&gt;'5'!B39,'5'!B39+1,"")</f>
        <v/>
      </c>
      <c r="C40" s="142"/>
      <c r="D40" s="143"/>
      <c r="E40" s="123"/>
      <c r="F40" s="124" t="str">
        <f>IF(B40="","",VLOOKUP($E$4,'Cant. Ejec,'!$E$5:$BB$91,17+B40*2+(B40-2),0))</f>
        <v/>
      </c>
      <c r="G40" s="125"/>
      <c r="H40" s="115"/>
    </row>
    <row r="41" spans="2:8">
      <c r="B41" s="146" t="str">
        <f>IF(Datos!$C$20&gt;'5'!B40,'5'!B40+1,"")</f>
        <v/>
      </c>
      <c r="C41" s="142"/>
      <c r="D41" s="143"/>
      <c r="E41" s="123"/>
      <c r="F41" s="124" t="str">
        <f>IF(B41="","",VLOOKUP($E$4,'Cant. Ejec,'!$E$5:$BB$91,17+B41*2+(B41-2),0))</f>
        <v/>
      </c>
      <c r="G41" s="125"/>
      <c r="H41" s="115"/>
    </row>
    <row r="42" spans="2:8">
      <c r="B42" s="146" t="str">
        <f>IF(Datos!$C$20&gt;'5'!B41,'5'!B41+1,"")</f>
        <v/>
      </c>
      <c r="C42" s="142"/>
      <c r="D42" s="143"/>
      <c r="E42" s="123"/>
      <c r="F42" s="124" t="str">
        <f>IF(B42="","",VLOOKUP($E$4,'Cant. Ejec,'!$E$5:$BB$91,17+B42*2+(B42-2),0))</f>
        <v/>
      </c>
      <c r="G42" s="125"/>
      <c r="H42" s="115"/>
    </row>
    <row r="43" spans="2:8">
      <c r="B43" s="146" t="str">
        <f>IF(Datos!$C$20&gt;'5'!B42,'5'!B42+1,"")</f>
        <v/>
      </c>
      <c r="C43" s="142"/>
      <c r="D43" s="143"/>
      <c r="E43" s="123"/>
      <c r="F43" s="124" t="str">
        <f>IF(B43="","",VLOOKUP($E$4,'Cant. Ejec,'!$E$5:$BB$91,17+B43*2+(B43-2),0))</f>
        <v/>
      </c>
      <c r="G43" s="125"/>
      <c r="H43" s="115"/>
    </row>
    <row r="44" spans="2:8">
      <c r="B44" s="146" t="str">
        <f>IF(Datos!$C$20&gt;'5'!B43,'5'!B43+1,"")</f>
        <v/>
      </c>
      <c r="C44" s="142"/>
      <c r="D44" s="143"/>
      <c r="E44" s="123"/>
      <c r="F44" s="124" t="str">
        <f>IF(B44="","",VLOOKUP($E$4,'Cant. Ejec,'!$E$5:$BB$91,17+B44*2+(B44-2),0))</f>
        <v/>
      </c>
      <c r="G44" s="125"/>
      <c r="H44" s="115"/>
    </row>
    <row r="45" spans="2:8">
      <c r="B45" s="146" t="str">
        <f>IF(Datos!$C$20&gt;'5'!B44,'5'!B44+1,"")</f>
        <v/>
      </c>
      <c r="C45" s="142"/>
      <c r="D45" s="143"/>
      <c r="E45" s="123"/>
      <c r="F45" s="124" t="str">
        <f>IF(B45="","",VLOOKUP($E$4,'Cant. Ejec,'!$E$5:$BB$91,17+B45*2+(B45-2),0))</f>
        <v/>
      </c>
      <c r="G45" s="125"/>
      <c r="H45" s="115"/>
    </row>
    <row r="46" spans="2:8">
      <c r="B46" s="146" t="str">
        <f>IF(Datos!$C$20&gt;'5'!B45,'5'!B45+1,"")</f>
        <v/>
      </c>
      <c r="C46" s="142"/>
      <c r="D46" s="143"/>
      <c r="E46" s="123"/>
      <c r="F46" s="124" t="str">
        <f>IF(B46="","",VLOOKUP($E$4,'Cant. Ejec,'!$E$5:$BB$91,17+B46*2+(B46-2),0))</f>
        <v/>
      </c>
      <c r="G46" s="125"/>
      <c r="H46" s="115"/>
    </row>
    <row r="47" spans="2:8">
      <c r="B47" s="146" t="str">
        <f>IF(Datos!$C$20&gt;'5'!B46,'5'!B46+1,"")</f>
        <v/>
      </c>
      <c r="C47" s="142"/>
      <c r="D47" s="143"/>
      <c r="E47" s="123"/>
      <c r="F47" s="124" t="str">
        <f>IF(B47="","",VLOOKUP($E$4,'Cant. Ejec,'!$E$5:$BB$91,17+B47*2+(B47-2),0))</f>
        <v/>
      </c>
      <c r="G47" s="125"/>
      <c r="H47" s="115"/>
    </row>
    <row r="48" spans="2:8">
      <c r="B48" s="146" t="str">
        <f>IF(Datos!$C$20&gt;'5'!B47,'5'!B47+1,"")</f>
        <v/>
      </c>
      <c r="C48" s="142"/>
      <c r="D48" s="143"/>
      <c r="E48" s="123"/>
      <c r="F48" s="124" t="str">
        <f>IF(B48="","",VLOOKUP($E$4,'Cant. Ejec,'!$E$5:$BB$91,17+B48*2+(B48-2),0))</f>
        <v/>
      </c>
      <c r="G48" s="125"/>
      <c r="H48" s="115"/>
    </row>
    <row r="49" spans="2:8">
      <c r="B49" s="146" t="str">
        <f>IF(Datos!$C$20&gt;'5'!B48,'5'!B48+1,"")</f>
        <v/>
      </c>
      <c r="C49" s="142"/>
      <c r="D49" s="143"/>
      <c r="E49" s="123"/>
      <c r="F49" s="124" t="str">
        <f>IF(B49="","",VLOOKUP($E$4,'Cant. Ejec,'!$E$5:$BB$91,17+B49*2+(B49-2),0))</f>
        <v/>
      </c>
      <c r="G49" s="125"/>
      <c r="H49" s="115"/>
    </row>
    <row r="50" spans="2:8">
      <c r="B50" s="146" t="str">
        <f>IF(Datos!$C$20&gt;'5'!B49,'5'!B49+1,"")</f>
        <v/>
      </c>
      <c r="C50" s="142"/>
      <c r="D50" s="143"/>
      <c r="E50" s="123"/>
      <c r="F50" s="124" t="str">
        <f>IF(B50="","",VLOOKUP($E$4,'Cant. Ejec,'!$E$5:$BB$91,17+B50*2+(B50-2),0))</f>
        <v/>
      </c>
      <c r="G50" s="125"/>
      <c r="H50" s="115"/>
    </row>
    <row r="51" spans="2:8">
      <c r="B51" s="146" t="str">
        <f>IF(Datos!$C$20&gt;'5'!B50,'5'!B50+1,"")</f>
        <v/>
      </c>
      <c r="C51" s="142"/>
      <c r="D51" s="143"/>
      <c r="E51" s="123"/>
      <c r="F51" s="124" t="str">
        <f>IF(B51="","",VLOOKUP($E$4,'Cant. Ejec,'!$E$5:$BB$91,17+B51*2+(B51-2),0))</f>
        <v/>
      </c>
      <c r="G51" s="125"/>
      <c r="H51" s="115"/>
    </row>
    <row r="52" spans="2:8">
      <c r="B52" s="147" t="str">
        <f>IF(Datos!$C$20&gt;'5'!B51,'5'!B51+1,"")</f>
        <v/>
      </c>
      <c r="C52" s="144"/>
      <c r="D52" s="145"/>
      <c r="E52" s="126"/>
      <c r="F52" s="127" t="str">
        <f>IF(B52="","",VLOOKUP($E$4,'Cant. Ejec,'!$E$5:$BB$91,17+B52*2+(B52-2),0))</f>
        <v/>
      </c>
      <c r="G52" s="128"/>
      <c r="H52" s="116"/>
    </row>
    <row r="53" spans="2:8">
      <c r="B53" s="1897" t="s">
        <v>294</v>
      </c>
      <c r="C53" s="1898"/>
      <c r="D53" s="1899"/>
      <c r="E53" s="129">
        <f>+MAX(E10:E52)</f>
        <v>0.04</v>
      </c>
      <c r="F53" s="130">
        <f>+G53-E53</f>
        <v>0</v>
      </c>
      <c r="G53" s="131">
        <f>+MAX(G10:G52)</f>
        <v>0.04</v>
      </c>
      <c r="H53" s="118"/>
    </row>
    <row r="54" spans="2:8">
      <c r="B54" s="1900" t="s">
        <v>187</v>
      </c>
      <c r="C54" s="1901"/>
      <c r="D54" s="1902"/>
      <c r="E54" s="1163">
        <f>ROUND((E53/H6),4)</f>
        <v>0.04</v>
      </c>
      <c r="F54" s="1164">
        <f>ROUND((F53/H6),4)</f>
        <v>0</v>
      </c>
      <c r="G54" s="1165">
        <f>ROUND((G53/H6),4)</f>
        <v>0.04</v>
      </c>
      <c r="H54" s="119"/>
    </row>
    <row r="55" spans="2:8">
      <c r="B55" s="135" t="s">
        <v>162</v>
      </c>
      <c r="C55" s="132"/>
      <c r="D55" s="132"/>
      <c r="E55" s="133"/>
      <c r="F55" s="135" t="s">
        <v>157</v>
      </c>
      <c r="G55" s="132"/>
      <c r="H55" s="133"/>
    </row>
    <row r="56" spans="2:8">
      <c r="B56" s="109"/>
      <c r="C56" s="134"/>
      <c r="D56" s="134"/>
      <c r="E56" s="110"/>
      <c r="F56" s="109"/>
      <c r="G56" s="134"/>
      <c r="H56" s="110"/>
    </row>
    <row r="57" spans="2:8">
      <c r="B57" s="109"/>
      <c r="C57" s="134"/>
      <c r="D57" s="134"/>
      <c r="E57" s="110"/>
      <c r="F57" s="109"/>
      <c r="G57" s="134"/>
      <c r="H57" s="110"/>
    </row>
    <row r="58" spans="2:8">
      <c r="B58" s="109"/>
      <c r="C58" s="134"/>
      <c r="D58" s="134"/>
      <c r="E58" s="110"/>
      <c r="F58" s="109"/>
      <c r="G58" s="134"/>
      <c r="H58" s="110"/>
    </row>
    <row r="59" spans="2:8">
      <c r="B59" s="1892" t="str">
        <f>+'Planilla de Avance'!F113</f>
        <v>Ing. Gabriel Daza Chavez</v>
      </c>
      <c r="C59" s="1893"/>
      <c r="D59" s="1893"/>
      <c r="E59" s="1894"/>
      <c r="F59" s="1892" t="str">
        <f>+'Planilla de Avance'!J113</f>
        <v>Ing. Herlan Rene Ramos Estrada</v>
      </c>
      <c r="G59" s="1893"/>
      <c r="H59" s="1894"/>
    </row>
    <row r="60" spans="2:8">
      <c r="B60" s="1889" t="str">
        <f>+'Planilla de Avance'!F114</f>
        <v>SUPERINTENDENTE DE OBRA</v>
      </c>
      <c r="C60" s="1890"/>
      <c r="D60" s="1890"/>
      <c r="E60" s="1891"/>
      <c r="F60" s="1889" t="str">
        <f>+'Planilla de Avance'!J114</f>
        <v>SUPERVISOR DE OBRA</v>
      </c>
      <c r="G60" s="1890"/>
      <c r="H60" s="1891"/>
    </row>
  </sheetData>
  <mergeCells count="14">
    <mergeCell ref="B53:D53"/>
    <mergeCell ref="B54:D54"/>
    <mergeCell ref="B59:E59"/>
    <mergeCell ref="F59:H59"/>
    <mergeCell ref="B60:E60"/>
    <mergeCell ref="F60:H60"/>
    <mergeCell ref="B1:C1"/>
    <mergeCell ref="D1:H2"/>
    <mergeCell ref="B3:C3"/>
    <mergeCell ref="D3:H3"/>
    <mergeCell ref="B8:B9"/>
    <mergeCell ref="C8:D8"/>
    <mergeCell ref="E8:G8"/>
    <mergeCell ref="H8:H9"/>
  </mergeCells>
  <printOptions horizontalCentered="1"/>
  <pageMargins left="0.62992125984251968" right="0.23622047244094491" top="0.47244094488188981" bottom="0.35433070866141736" header="0.31496062992125984" footer="0.31496062992125984"/>
  <pageSetup scale="91" orientation="portrait" horizontalDpi="4294967295" verticalDpi="4294967295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O60"/>
  <sheetViews>
    <sheetView showGridLines="0" view="pageBreakPreview" zoomScaleNormal="100" zoomScaleSheetLayoutView="100" workbookViewId="0">
      <selection activeCell="J17" sqref="J17"/>
    </sheetView>
  </sheetViews>
  <sheetFormatPr baseColWidth="10" defaultColWidth="11.44140625" defaultRowHeight="13.8"/>
  <cols>
    <col min="1" max="1" width="4.6640625" style="108" customWidth="1"/>
    <col min="2" max="7" width="12.44140625" style="108" customWidth="1"/>
    <col min="8" max="8" width="28.6640625" style="108" customWidth="1"/>
    <col min="9" max="16384" width="11.44140625" style="108"/>
  </cols>
  <sheetData>
    <row r="1" spans="2:15" ht="13.5" customHeight="1">
      <c r="B1" s="1877" t="s">
        <v>241</v>
      </c>
      <c r="C1" s="1878"/>
      <c r="D1" s="1883" t="s">
        <v>641</v>
      </c>
      <c r="E1" s="1884"/>
      <c r="F1" s="1884"/>
      <c r="G1" s="1884"/>
      <c r="H1" s="1885"/>
    </row>
    <row r="2" spans="2:15" ht="13.5" customHeight="1">
      <c r="B2" s="1023"/>
      <c r="C2" s="1024"/>
      <c r="D2" s="1886"/>
      <c r="E2" s="1887"/>
      <c r="F2" s="1887"/>
      <c r="G2" s="1887"/>
      <c r="H2" s="1888"/>
    </row>
    <row r="3" spans="2:15">
      <c r="B3" s="1879"/>
      <c r="C3" s="1880"/>
      <c r="D3" s="1895" t="s">
        <v>184</v>
      </c>
      <c r="E3" s="1895"/>
      <c r="F3" s="1895"/>
      <c r="G3" s="1895"/>
      <c r="H3" s="1896"/>
    </row>
    <row r="4" spans="2:15">
      <c r="B4" s="109"/>
      <c r="C4" s="110"/>
      <c r="D4" s="113" t="s">
        <v>188</v>
      </c>
      <c r="E4" s="136">
        <v>79</v>
      </c>
      <c r="F4" s="137"/>
      <c r="G4" s="137"/>
      <c r="H4" s="110"/>
    </row>
    <row r="5" spans="2:15">
      <c r="B5" s="109"/>
      <c r="C5" s="110"/>
      <c r="D5" s="113" t="s">
        <v>185</v>
      </c>
      <c r="E5" s="137" t="str">
        <f>+VLOOKUP(E4,'Planilla de Avance'!E10:H102,2,)</f>
        <v>ALQUILER DE OFICINAS  VIVIENDAS Y OTRAS INSTALACIONES</v>
      </c>
      <c r="F5" s="137"/>
      <c r="G5" s="137"/>
      <c r="H5" s="110"/>
    </row>
    <row r="6" spans="2:15">
      <c r="B6" s="111"/>
      <c r="C6" s="112"/>
      <c r="D6" s="138" t="s">
        <v>186</v>
      </c>
      <c r="E6" s="139" t="str">
        <f>+VLOOKUP(E4,'Planilla de Avance'!E10:H102,3,)</f>
        <v>M2*M</v>
      </c>
      <c r="F6" s="139"/>
      <c r="G6" s="589" t="s">
        <v>382</v>
      </c>
      <c r="H6" s="1006">
        <f>+VLOOKUP(E4,'Planilla de Avance'!E10:J102,4,)</f>
        <v>33004.019999999997</v>
      </c>
    </row>
    <row r="8" spans="2:15">
      <c r="B8" s="1881" t="s">
        <v>183</v>
      </c>
      <c r="C8" s="1908" t="s">
        <v>180</v>
      </c>
      <c r="D8" s="1909"/>
      <c r="E8" s="1903" t="s">
        <v>160</v>
      </c>
      <c r="F8" s="1904"/>
      <c r="G8" s="1905"/>
      <c r="H8" s="1906" t="s">
        <v>161</v>
      </c>
    </row>
    <row r="9" spans="2:15">
      <c r="B9" s="1882"/>
      <c r="C9" s="282" t="s">
        <v>181</v>
      </c>
      <c r="D9" s="283" t="s">
        <v>182</v>
      </c>
      <c r="E9" s="280" t="s">
        <v>178</v>
      </c>
      <c r="F9" s="281" t="s">
        <v>1</v>
      </c>
      <c r="G9" s="279" t="s">
        <v>179</v>
      </c>
      <c r="H9" s="1907"/>
    </row>
    <row r="10" spans="2:15">
      <c r="B10" s="117">
        <v>1</v>
      </c>
      <c r="C10" s="140"/>
      <c r="D10" s="141"/>
      <c r="E10" s="120"/>
      <c r="F10" s="121">
        <f>IF(B10="","",VLOOKUP($E$4,'Cant. Ejec,'!$E$5:$BB$91,17+B10*2+(B10-2),0))</f>
        <v>0</v>
      </c>
      <c r="G10" s="122">
        <f>+E10+F10</f>
        <v>0</v>
      </c>
      <c r="H10" s="114"/>
    </row>
    <row r="11" spans="2:15">
      <c r="B11" s="146">
        <f>IF(Datos!$C$20&gt;'5'!B10,'5'!B10+1,"")</f>
        <v>2</v>
      </c>
      <c r="C11" s="142"/>
      <c r="D11" s="143"/>
      <c r="E11" s="123">
        <f t="shared" ref="E11:E13" si="0">+G10</f>
        <v>0</v>
      </c>
      <c r="F11" s="124">
        <f>IF(B11="","",VLOOKUP($E$4,'Cant. Ejec,'!$E$5:$BB$91,17+B11*2+(B11-2),0))</f>
        <v>0</v>
      </c>
      <c r="G11" s="125">
        <f>+E11+F11</f>
        <v>0</v>
      </c>
      <c r="H11" s="115"/>
      <c r="K11" s="337"/>
      <c r="L11" s="337"/>
    </row>
    <row r="12" spans="2:15">
      <c r="B12" s="146">
        <f>IF(Datos!$C$20&gt;'5'!B11,'5'!B11+1,"")</f>
        <v>3</v>
      </c>
      <c r="C12" s="142"/>
      <c r="D12" s="143"/>
      <c r="E12" s="123">
        <f t="shared" si="0"/>
        <v>0</v>
      </c>
      <c r="F12" s="124">
        <f>IF(B12="","",VLOOKUP($E$4,'Cant. Ejec,'!$E$5:$BB$91,17+B12*2+(B12-2),0))</f>
        <v>0</v>
      </c>
      <c r="G12" s="125">
        <f t="shared" ref="G12" si="1">+E12+F12</f>
        <v>0</v>
      </c>
      <c r="H12" s="115"/>
      <c r="K12" s="337"/>
      <c r="L12" s="337"/>
      <c r="M12" s="337"/>
    </row>
    <row r="13" spans="2:15">
      <c r="B13" s="146">
        <f>IF(Datos!$C$20&gt;'5'!B12,'5'!B12+1,"")</f>
        <v>4</v>
      </c>
      <c r="C13" s="142"/>
      <c r="D13" s="143"/>
      <c r="E13" s="123">
        <f t="shared" si="0"/>
        <v>0</v>
      </c>
      <c r="F13" s="124">
        <f>IF(B13="","",VLOOKUP($E$4,'Cant. Ejec,'!$E$5:$BB$91,17+B13*2+(B13-2),0))</f>
        <v>0</v>
      </c>
      <c r="G13" s="125">
        <f>+E13+F13</f>
        <v>0</v>
      </c>
      <c r="H13" s="115"/>
      <c r="K13" s="337"/>
      <c r="O13" s="337"/>
    </row>
    <row r="14" spans="2:15">
      <c r="B14" s="146">
        <f>IF(Datos!$C$20&gt;'5'!B13,'5'!B13+1,"")</f>
        <v>5</v>
      </c>
      <c r="C14" s="142"/>
      <c r="D14" s="143"/>
      <c r="E14" s="123"/>
      <c r="F14" s="124">
        <f>IF(B14="","",VLOOKUP($E$4,'Cant. Ejec,'!$E$5:$BB$91,17+B14*2+(B14-2),0))</f>
        <v>0</v>
      </c>
      <c r="G14" s="125"/>
      <c r="H14" s="115"/>
      <c r="K14" s="337"/>
      <c r="L14" s="337"/>
      <c r="M14" s="337"/>
      <c r="N14" s="337"/>
      <c r="O14" s="337"/>
    </row>
    <row r="15" spans="2:15">
      <c r="B15" s="146">
        <f>IF(Datos!$C$20&gt;'5'!B14,'5'!B14+1,"")</f>
        <v>6</v>
      </c>
      <c r="C15" s="142"/>
      <c r="D15" s="143"/>
      <c r="E15" s="123"/>
      <c r="F15" s="124">
        <f>IF(B15="","",VLOOKUP($E$4,'Cant. Ejec,'!$E$5:$BB$91,17+B15*2+(B15-2),0))</f>
        <v>0</v>
      </c>
      <c r="G15" s="125"/>
      <c r="H15" s="115"/>
    </row>
    <row r="16" spans="2:15">
      <c r="B16" s="146" t="str">
        <f>IF(Datos!$C$20&gt;'5'!B15,'5'!B15+1,"")</f>
        <v/>
      </c>
      <c r="C16" s="142"/>
      <c r="D16" s="143"/>
      <c r="E16" s="123"/>
      <c r="F16" s="124" t="str">
        <f>IF(B16="","",VLOOKUP($E$4,'Cant. Ejec,'!$E$5:$BB$91,17+B16*2+(B16-2),0))</f>
        <v/>
      </c>
      <c r="G16" s="125"/>
      <c r="H16" s="115"/>
      <c r="L16" s="337"/>
    </row>
    <row r="17" spans="2:14">
      <c r="B17" s="146" t="str">
        <f>IF(Datos!$C$20&gt;'5'!B16,'5'!B16+1,"")</f>
        <v/>
      </c>
      <c r="C17" s="142"/>
      <c r="D17" s="143"/>
      <c r="E17" s="123"/>
      <c r="F17" s="124" t="str">
        <f>IF(B17="","",VLOOKUP($E$4,'Cant. Ejec,'!$E$5:$BB$91,17+B17*2+(B17-2),0))</f>
        <v/>
      </c>
      <c r="G17" s="125"/>
      <c r="H17" s="115"/>
      <c r="L17" s="337"/>
      <c r="M17" s="337"/>
      <c r="N17" s="337"/>
    </row>
    <row r="18" spans="2:14">
      <c r="B18" s="146" t="str">
        <f>IF(Datos!$C$20&gt;'5'!B17,'5'!B17+1,"")</f>
        <v/>
      </c>
      <c r="C18" s="142"/>
      <c r="D18" s="143"/>
      <c r="E18" s="123"/>
      <c r="F18" s="124" t="str">
        <f>IF(B18="","",VLOOKUP($E$4,'Cant. Ejec,'!$E$5:$BB$91,17+B18*2+(B18-2),0))</f>
        <v/>
      </c>
      <c r="G18" s="125"/>
      <c r="H18" s="115"/>
    </row>
    <row r="19" spans="2:14">
      <c r="B19" s="146" t="str">
        <f>IF(Datos!$C$20&gt;'5'!B18,'5'!B18+1,"")</f>
        <v/>
      </c>
      <c r="C19" s="142"/>
      <c r="D19" s="143"/>
      <c r="E19" s="123"/>
      <c r="F19" s="124" t="str">
        <f>IF(B19="","",VLOOKUP($E$4,'Cant. Ejec,'!$E$5:$BB$91,17+B19*2+(B19-2),0))</f>
        <v/>
      </c>
      <c r="G19" s="125"/>
      <c r="H19" s="115"/>
    </row>
    <row r="20" spans="2:14">
      <c r="B20" s="146" t="str">
        <f>IF(Datos!$C$20&gt;'5'!B19,'5'!B19+1,"")</f>
        <v/>
      </c>
      <c r="C20" s="142"/>
      <c r="D20" s="143"/>
      <c r="E20" s="123"/>
      <c r="F20" s="124" t="str">
        <f>IF(B20="","",VLOOKUP($E$4,'Cant. Ejec,'!$E$5:$BB$91,17+B20*2+(B20-2),0))</f>
        <v/>
      </c>
      <c r="G20" s="125"/>
      <c r="H20" s="115"/>
    </row>
    <row r="21" spans="2:14">
      <c r="B21" s="146" t="str">
        <f>IF(Datos!$C$20&gt;'5'!B20,'5'!B20+1,"")</f>
        <v/>
      </c>
      <c r="C21" s="142"/>
      <c r="D21" s="143"/>
      <c r="E21" s="123"/>
      <c r="F21" s="124" t="str">
        <f>IF(B21="","",VLOOKUP($E$4,'Cant. Ejec,'!$E$5:$BB$91,17+B21*2+(B21-2),0))</f>
        <v/>
      </c>
      <c r="G21" s="125"/>
      <c r="H21" s="115"/>
      <c r="J21" s="337"/>
    </row>
    <row r="22" spans="2:14">
      <c r="B22" s="146" t="str">
        <f>IF(Datos!$C$20&gt;'5'!B21,'5'!B21+1,"")</f>
        <v/>
      </c>
      <c r="C22" s="142"/>
      <c r="D22" s="143"/>
      <c r="E22" s="123"/>
      <c r="F22" s="124" t="str">
        <f>IF(B22="","",VLOOKUP($E$4,'Cant. Ejec,'!$E$5:$BB$91,17+B22*2+(B22-2),0))</f>
        <v/>
      </c>
      <c r="G22" s="125"/>
      <c r="H22" s="115"/>
    </row>
    <row r="23" spans="2:14">
      <c r="B23" s="146" t="str">
        <f>IF(Datos!$C$20&gt;'5'!B22,'5'!B22+1,"")</f>
        <v/>
      </c>
      <c r="C23" s="142"/>
      <c r="D23" s="143"/>
      <c r="E23" s="123"/>
      <c r="F23" s="124" t="str">
        <f>IF(B23="","",VLOOKUP($E$4,'Cant. Ejec,'!$E$5:$BB$91,17+B23*2+(B23-2),0))</f>
        <v/>
      </c>
      <c r="G23" s="125"/>
      <c r="H23" s="115"/>
    </row>
    <row r="24" spans="2:14">
      <c r="B24" s="146" t="str">
        <f>IF(Datos!$C$20&gt;'5'!B23,'5'!B23+1,"")</f>
        <v/>
      </c>
      <c r="C24" s="142"/>
      <c r="D24" s="143"/>
      <c r="E24" s="123"/>
      <c r="F24" s="124" t="str">
        <f>IF(B24="","",VLOOKUP($E$4,'Cant. Ejec,'!$E$5:$BB$91,17+B24*2+(B24-2),0))</f>
        <v/>
      </c>
      <c r="G24" s="125"/>
      <c r="H24" s="115"/>
    </row>
    <row r="25" spans="2:14">
      <c r="B25" s="146" t="str">
        <f>IF(Datos!$C$20&gt;'5'!B24,'5'!B24+1,"")</f>
        <v/>
      </c>
      <c r="C25" s="142"/>
      <c r="D25" s="143"/>
      <c r="E25" s="123"/>
      <c r="F25" s="124" t="str">
        <f>IF(B25="","",VLOOKUP($E$4,'Cant. Ejec,'!$E$5:$BB$91,17+B25*2+(B25-2),0))</f>
        <v/>
      </c>
      <c r="G25" s="125"/>
      <c r="H25" s="115"/>
    </row>
    <row r="26" spans="2:14">
      <c r="B26" s="146" t="str">
        <f>IF(Datos!$C$20&gt;'5'!B25,'5'!B25+1,"")</f>
        <v/>
      </c>
      <c r="C26" s="142"/>
      <c r="D26" s="143"/>
      <c r="E26" s="123"/>
      <c r="F26" s="124" t="str">
        <f>IF(B26="","",VLOOKUP($E$4,'Cant. Ejec,'!$E$5:$BB$91,17+B26*2+(B26-2),0))</f>
        <v/>
      </c>
      <c r="G26" s="125"/>
      <c r="H26" s="115"/>
    </row>
    <row r="27" spans="2:14">
      <c r="B27" s="146" t="str">
        <f>IF(Datos!$C$20&gt;'5'!B26,'5'!B26+1,"")</f>
        <v/>
      </c>
      <c r="C27" s="142"/>
      <c r="D27" s="143"/>
      <c r="E27" s="123"/>
      <c r="F27" s="124" t="str">
        <f>IF(B27="","",VLOOKUP($E$4,'Cant. Ejec,'!$E$5:$BB$91,17+B27*2+(B27-2),0))</f>
        <v/>
      </c>
      <c r="G27" s="125"/>
      <c r="H27" s="115"/>
    </row>
    <row r="28" spans="2:14">
      <c r="B28" s="146" t="str">
        <f>IF(Datos!$C$20&gt;'5'!B27,'5'!B27+1,"")</f>
        <v/>
      </c>
      <c r="C28" s="142"/>
      <c r="D28" s="143"/>
      <c r="E28" s="123"/>
      <c r="F28" s="124" t="str">
        <f>IF(B28="","",VLOOKUP($E$4,'Cant. Ejec,'!$E$5:$BB$91,17+B28*2+(B28-2),0))</f>
        <v/>
      </c>
      <c r="G28" s="125"/>
      <c r="H28" s="115"/>
    </row>
    <row r="29" spans="2:14">
      <c r="B29" s="146" t="str">
        <f>IF(Datos!$C$20&gt;'5'!B28,'5'!B28+1,"")</f>
        <v/>
      </c>
      <c r="C29" s="142"/>
      <c r="D29" s="143"/>
      <c r="E29" s="123"/>
      <c r="F29" s="124" t="str">
        <f>IF(B29="","",VLOOKUP($E$4,'Cant. Ejec,'!$E$5:$BB$91,17+B29*2+(B29-2),0))</f>
        <v/>
      </c>
      <c r="G29" s="125"/>
      <c r="H29" s="115"/>
    </row>
    <row r="30" spans="2:14">
      <c r="B30" s="146" t="str">
        <f>IF(Datos!$C$20&gt;'5'!B29,'5'!B29+1,"")</f>
        <v/>
      </c>
      <c r="C30" s="142"/>
      <c r="D30" s="143"/>
      <c r="E30" s="123"/>
      <c r="F30" s="124" t="str">
        <f>IF(B30="","",VLOOKUP($E$4,'Cant. Ejec,'!$E$5:$BB$91,17+B30*2+(B30-2),0))</f>
        <v/>
      </c>
      <c r="G30" s="125"/>
      <c r="H30" s="115"/>
    </row>
    <row r="31" spans="2:14">
      <c r="B31" s="146" t="str">
        <f>IF(Datos!$C$20&gt;'5'!B30,'5'!B30+1,"")</f>
        <v/>
      </c>
      <c r="C31" s="142"/>
      <c r="D31" s="143"/>
      <c r="E31" s="123"/>
      <c r="F31" s="124" t="str">
        <f>IF(B31="","",VLOOKUP($E$4,'Cant. Ejec,'!$E$5:$BB$91,17+B31*2+(B31-2),0))</f>
        <v/>
      </c>
      <c r="G31" s="125"/>
      <c r="H31" s="115"/>
    </row>
    <row r="32" spans="2:14">
      <c r="B32" s="146" t="str">
        <f>IF(Datos!$C$20&gt;'5'!B31,'5'!B31+1,"")</f>
        <v/>
      </c>
      <c r="C32" s="142"/>
      <c r="D32" s="143"/>
      <c r="E32" s="123"/>
      <c r="F32" s="124" t="str">
        <f>IF(B32="","",VLOOKUP($E$4,'Cant. Ejec,'!$E$5:$BB$91,17+B32*2+(B32-2),0))</f>
        <v/>
      </c>
      <c r="G32" s="125"/>
      <c r="H32" s="115"/>
    </row>
    <row r="33" spans="2:8">
      <c r="B33" s="146" t="str">
        <f>IF(Datos!$C$20&gt;'5'!B32,'5'!B32+1,"")</f>
        <v/>
      </c>
      <c r="C33" s="142"/>
      <c r="D33" s="143"/>
      <c r="E33" s="123"/>
      <c r="F33" s="124" t="str">
        <f>IF(B33="","",VLOOKUP($E$4,'Cant. Ejec,'!$E$5:$BB$91,17+B33*2+(B33-2),0))</f>
        <v/>
      </c>
      <c r="G33" s="125"/>
      <c r="H33" s="115"/>
    </row>
    <row r="34" spans="2:8">
      <c r="B34" s="146" t="str">
        <f>IF(Datos!$C$20&gt;'5'!B33,'5'!B33+1,"")</f>
        <v/>
      </c>
      <c r="C34" s="142"/>
      <c r="D34" s="143"/>
      <c r="E34" s="123"/>
      <c r="F34" s="124" t="str">
        <f>IF(B34="","",VLOOKUP($E$4,'Cant. Ejec,'!$E$5:$BB$91,17+B34*2+(B34-2),0))</f>
        <v/>
      </c>
      <c r="G34" s="125"/>
      <c r="H34" s="115"/>
    </row>
    <row r="35" spans="2:8">
      <c r="B35" s="146" t="str">
        <f>IF(Datos!$C$20&gt;'5'!B34,'5'!B34+1,"")</f>
        <v/>
      </c>
      <c r="C35" s="142"/>
      <c r="D35" s="143"/>
      <c r="E35" s="123"/>
      <c r="F35" s="124" t="str">
        <f>IF(B35="","",VLOOKUP($E$4,'Cant. Ejec,'!$E$5:$BB$91,17+B35*2+(B35-2),0))</f>
        <v/>
      </c>
      <c r="G35" s="125"/>
      <c r="H35" s="115"/>
    </row>
    <row r="36" spans="2:8">
      <c r="B36" s="146" t="str">
        <f>IF(Datos!$C$20&gt;'5'!B35,'5'!B35+1,"")</f>
        <v/>
      </c>
      <c r="C36" s="142"/>
      <c r="D36" s="143"/>
      <c r="E36" s="123"/>
      <c r="F36" s="124" t="str">
        <f>IF(B36="","",VLOOKUP($E$4,'Cant. Ejec,'!$E$5:$BB$91,17+B36*2+(B36-2),0))</f>
        <v/>
      </c>
      <c r="G36" s="125"/>
      <c r="H36" s="115"/>
    </row>
    <row r="37" spans="2:8">
      <c r="B37" s="146" t="str">
        <f>IF(Datos!$C$20&gt;'5'!B36,'5'!B36+1,"")</f>
        <v/>
      </c>
      <c r="C37" s="142"/>
      <c r="D37" s="143"/>
      <c r="E37" s="123"/>
      <c r="F37" s="124" t="str">
        <f>IF(B37="","",VLOOKUP($E$4,'Cant. Ejec,'!$E$5:$BB$91,17+B37*2+(B37-2),0))</f>
        <v/>
      </c>
      <c r="G37" s="125"/>
      <c r="H37" s="115"/>
    </row>
    <row r="38" spans="2:8">
      <c r="B38" s="146" t="str">
        <f>IF(Datos!$C$20&gt;'5'!B37,'5'!B37+1,"")</f>
        <v/>
      </c>
      <c r="C38" s="142"/>
      <c r="D38" s="143"/>
      <c r="E38" s="123"/>
      <c r="F38" s="124" t="str">
        <f>IF(B38="","",VLOOKUP($E$4,'Cant. Ejec,'!$E$5:$BB$91,17+B38*2+(B38-2),0))</f>
        <v/>
      </c>
      <c r="G38" s="125"/>
      <c r="H38" s="115"/>
    </row>
    <row r="39" spans="2:8">
      <c r="B39" s="146" t="str">
        <f>IF(Datos!$C$20&gt;'5'!B38,'5'!B38+1,"")</f>
        <v/>
      </c>
      <c r="C39" s="142"/>
      <c r="D39" s="143"/>
      <c r="E39" s="123"/>
      <c r="F39" s="124" t="str">
        <f>IF(B39="","",VLOOKUP($E$4,'Cant. Ejec,'!$E$5:$BB$91,17+B39*2+(B39-2),0))</f>
        <v/>
      </c>
      <c r="G39" s="125"/>
      <c r="H39" s="115"/>
    </row>
    <row r="40" spans="2:8">
      <c r="B40" s="146" t="str">
        <f>IF(Datos!$C$20&gt;'5'!B39,'5'!B39+1,"")</f>
        <v/>
      </c>
      <c r="C40" s="142"/>
      <c r="D40" s="143"/>
      <c r="E40" s="123"/>
      <c r="F40" s="124" t="str">
        <f>IF(B40="","",VLOOKUP($E$4,'Cant. Ejec,'!$E$5:$BB$91,17+B40*2+(B40-2),0))</f>
        <v/>
      </c>
      <c r="G40" s="125"/>
      <c r="H40" s="115"/>
    </row>
    <row r="41" spans="2:8">
      <c r="B41" s="146" t="str">
        <f>IF(Datos!$C$20&gt;'5'!B40,'5'!B40+1,"")</f>
        <v/>
      </c>
      <c r="C41" s="142"/>
      <c r="D41" s="143"/>
      <c r="E41" s="123"/>
      <c r="F41" s="124" t="str">
        <f>IF(B41="","",VLOOKUP($E$4,'Cant. Ejec,'!$E$5:$BB$91,17+B41*2+(B41-2),0))</f>
        <v/>
      </c>
      <c r="G41" s="125"/>
      <c r="H41" s="115"/>
    </row>
    <row r="42" spans="2:8">
      <c r="B42" s="146" t="str">
        <f>IF(Datos!$C$20&gt;'5'!B41,'5'!B41+1,"")</f>
        <v/>
      </c>
      <c r="C42" s="142"/>
      <c r="D42" s="143"/>
      <c r="E42" s="123"/>
      <c r="F42" s="124" t="str">
        <f>IF(B42="","",VLOOKUP($E$4,'Cant. Ejec,'!$E$5:$BB$91,17+B42*2+(B42-2),0))</f>
        <v/>
      </c>
      <c r="G42" s="125"/>
      <c r="H42" s="115"/>
    </row>
    <row r="43" spans="2:8">
      <c r="B43" s="146" t="str">
        <f>IF(Datos!$C$20&gt;'5'!B42,'5'!B42+1,"")</f>
        <v/>
      </c>
      <c r="C43" s="142"/>
      <c r="D43" s="143"/>
      <c r="E43" s="123"/>
      <c r="F43" s="124" t="str">
        <f>IF(B43="","",VLOOKUP($E$4,'Cant. Ejec,'!$E$5:$BB$91,17+B43*2+(B43-2),0))</f>
        <v/>
      </c>
      <c r="G43" s="125"/>
      <c r="H43" s="115"/>
    </row>
    <row r="44" spans="2:8">
      <c r="B44" s="146" t="str">
        <f>IF(Datos!$C$20&gt;'5'!B43,'5'!B43+1,"")</f>
        <v/>
      </c>
      <c r="C44" s="142"/>
      <c r="D44" s="143"/>
      <c r="E44" s="123"/>
      <c r="F44" s="124" t="str">
        <f>IF(B44="","",VLOOKUP($E$4,'Cant. Ejec,'!$E$5:$BB$91,17+B44*2+(B44-2),0))</f>
        <v/>
      </c>
      <c r="G44" s="125"/>
      <c r="H44" s="115"/>
    </row>
    <row r="45" spans="2:8">
      <c r="B45" s="146" t="str">
        <f>IF(Datos!$C$20&gt;'5'!B44,'5'!B44+1,"")</f>
        <v/>
      </c>
      <c r="C45" s="142"/>
      <c r="D45" s="143"/>
      <c r="E45" s="123"/>
      <c r="F45" s="124" t="str">
        <f>IF(B45="","",VLOOKUP($E$4,'Cant. Ejec,'!$E$5:$BB$91,17+B45*2+(B45-2),0))</f>
        <v/>
      </c>
      <c r="G45" s="125"/>
      <c r="H45" s="115"/>
    </row>
    <row r="46" spans="2:8">
      <c r="B46" s="146" t="str">
        <f>IF(Datos!$C$20&gt;'5'!B45,'5'!B45+1,"")</f>
        <v/>
      </c>
      <c r="C46" s="142"/>
      <c r="D46" s="143"/>
      <c r="E46" s="123"/>
      <c r="F46" s="124" t="str">
        <f>IF(B46="","",VLOOKUP($E$4,'Cant. Ejec,'!$E$5:$BB$91,17+B46*2+(B46-2),0))</f>
        <v/>
      </c>
      <c r="G46" s="125"/>
      <c r="H46" s="115"/>
    </row>
    <row r="47" spans="2:8">
      <c r="B47" s="146" t="str">
        <f>IF(Datos!$C$20&gt;'5'!B46,'5'!B46+1,"")</f>
        <v/>
      </c>
      <c r="C47" s="142"/>
      <c r="D47" s="143"/>
      <c r="E47" s="123"/>
      <c r="F47" s="124" t="str">
        <f>IF(B47="","",VLOOKUP($E$4,'Cant. Ejec,'!$E$5:$BB$91,17+B47*2+(B47-2),0))</f>
        <v/>
      </c>
      <c r="G47" s="125"/>
      <c r="H47" s="115"/>
    </row>
    <row r="48" spans="2:8">
      <c r="B48" s="146" t="str">
        <f>IF(Datos!$C$20&gt;'5'!B47,'5'!B47+1,"")</f>
        <v/>
      </c>
      <c r="C48" s="142"/>
      <c r="D48" s="143"/>
      <c r="E48" s="123"/>
      <c r="F48" s="124" t="str">
        <f>IF(B48="","",VLOOKUP($E$4,'Cant. Ejec,'!$E$5:$BB$91,17+B48*2+(B48-2),0))</f>
        <v/>
      </c>
      <c r="G48" s="125"/>
      <c r="H48" s="115"/>
    </row>
    <row r="49" spans="2:8">
      <c r="B49" s="146" t="str">
        <f>IF(Datos!$C$20&gt;'5'!B48,'5'!B48+1,"")</f>
        <v/>
      </c>
      <c r="C49" s="142"/>
      <c r="D49" s="143"/>
      <c r="E49" s="123"/>
      <c r="F49" s="124" t="str">
        <f>IF(B49="","",VLOOKUP($E$4,'Cant. Ejec,'!$E$5:$BB$91,17+B49*2+(B49-2),0))</f>
        <v/>
      </c>
      <c r="G49" s="125"/>
      <c r="H49" s="115"/>
    </row>
    <row r="50" spans="2:8">
      <c r="B50" s="146" t="str">
        <f>IF(Datos!$C$20&gt;'5'!B49,'5'!B49+1,"")</f>
        <v/>
      </c>
      <c r="C50" s="142"/>
      <c r="D50" s="143"/>
      <c r="E50" s="123"/>
      <c r="F50" s="124" t="str">
        <f>IF(B50="","",VLOOKUP($E$4,'Cant. Ejec,'!$E$5:$BB$91,17+B50*2+(B50-2),0))</f>
        <v/>
      </c>
      <c r="G50" s="125"/>
      <c r="H50" s="115"/>
    </row>
    <row r="51" spans="2:8">
      <c r="B51" s="146" t="str">
        <f>IF(Datos!$C$20&gt;'5'!B50,'5'!B50+1,"")</f>
        <v/>
      </c>
      <c r="C51" s="142"/>
      <c r="D51" s="143"/>
      <c r="E51" s="123"/>
      <c r="F51" s="124" t="str">
        <f>IF(B51="","",VLOOKUP($E$4,'Cant. Ejec,'!$E$5:$BB$91,17+B51*2+(B51-2),0))</f>
        <v/>
      </c>
      <c r="G51" s="125"/>
      <c r="H51" s="115"/>
    </row>
    <row r="52" spans="2:8">
      <c r="B52" s="147" t="str">
        <f>IF(Datos!$C$20&gt;'5'!B51,'5'!B51+1,"")</f>
        <v/>
      </c>
      <c r="C52" s="144"/>
      <c r="D52" s="145"/>
      <c r="E52" s="126"/>
      <c r="F52" s="127" t="str">
        <f>IF(B52="","",VLOOKUP($E$4,'Cant. Ejec,'!$E$5:$BB$91,17+B52*2+(B52-2),0))</f>
        <v/>
      </c>
      <c r="G52" s="128"/>
      <c r="H52" s="116"/>
    </row>
    <row r="53" spans="2:8">
      <c r="B53" s="1897" t="s">
        <v>294</v>
      </c>
      <c r="C53" s="1898"/>
      <c r="D53" s="1899"/>
      <c r="E53" s="129">
        <f>+MAX(E10:E52)</f>
        <v>0</v>
      </c>
      <c r="F53" s="130">
        <f>+G53-E53</f>
        <v>0</v>
      </c>
      <c r="G53" s="131">
        <f>+MAX(G10:G52)</f>
        <v>0</v>
      </c>
      <c r="H53" s="118"/>
    </row>
    <row r="54" spans="2:8">
      <c r="B54" s="1900" t="s">
        <v>187</v>
      </c>
      <c r="C54" s="1901"/>
      <c r="D54" s="1902"/>
      <c r="E54" s="1163">
        <f>ROUND((E53/H6),4)</f>
        <v>0</v>
      </c>
      <c r="F54" s="1164">
        <f>ROUND((F53/H6),4)</f>
        <v>0</v>
      </c>
      <c r="G54" s="1165">
        <f>ROUND((G53/H6),4)</f>
        <v>0</v>
      </c>
      <c r="H54" s="119"/>
    </row>
    <row r="55" spans="2:8">
      <c r="B55" s="135" t="s">
        <v>162</v>
      </c>
      <c r="C55" s="132"/>
      <c r="D55" s="132"/>
      <c r="E55" s="133"/>
      <c r="F55" s="135" t="s">
        <v>157</v>
      </c>
      <c r="G55" s="132"/>
      <c r="H55" s="133"/>
    </row>
    <row r="56" spans="2:8">
      <c r="B56" s="109"/>
      <c r="C56" s="134"/>
      <c r="D56" s="134"/>
      <c r="E56" s="110"/>
      <c r="F56" s="109"/>
      <c r="G56" s="134"/>
      <c r="H56" s="110"/>
    </row>
    <row r="57" spans="2:8">
      <c r="B57" s="109"/>
      <c r="C57" s="134"/>
      <c r="D57" s="134"/>
      <c r="E57" s="110"/>
      <c r="F57" s="109"/>
      <c r="G57" s="134"/>
      <c r="H57" s="110"/>
    </row>
    <row r="58" spans="2:8">
      <c r="B58" s="109"/>
      <c r="C58" s="134"/>
      <c r="D58" s="134"/>
      <c r="E58" s="110"/>
      <c r="F58" s="109"/>
      <c r="G58" s="134"/>
      <c r="H58" s="110"/>
    </row>
    <row r="59" spans="2:8">
      <c r="B59" s="1892" t="str">
        <f>+'Planilla de Avance'!F113</f>
        <v>Ing. Gabriel Daza Chavez</v>
      </c>
      <c r="C59" s="1893"/>
      <c r="D59" s="1893"/>
      <c r="E59" s="1894"/>
      <c r="F59" s="1892" t="str">
        <f>+'Planilla de Avance'!J113</f>
        <v>Ing. Herlan Rene Ramos Estrada</v>
      </c>
      <c r="G59" s="1893"/>
      <c r="H59" s="1894"/>
    </row>
    <row r="60" spans="2:8">
      <c r="B60" s="1889" t="str">
        <f>+'Planilla de Avance'!F114</f>
        <v>SUPERINTENDENTE DE OBRA</v>
      </c>
      <c r="C60" s="1890"/>
      <c r="D60" s="1890"/>
      <c r="E60" s="1891"/>
      <c r="F60" s="1889" t="str">
        <f>+'Planilla de Avance'!J114</f>
        <v>SUPERVISOR DE OBRA</v>
      </c>
      <c r="G60" s="1890"/>
      <c r="H60" s="1891"/>
    </row>
  </sheetData>
  <mergeCells count="14">
    <mergeCell ref="B53:D53"/>
    <mergeCell ref="B54:D54"/>
    <mergeCell ref="B59:E59"/>
    <mergeCell ref="F59:H59"/>
    <mergeCell ref="B60:E60"/>
    <mergeCell ref="F60:H60"/>
    <mergeCell ref="B1:C1"/>
    <mergeCell ref="D1:H2"/>
    <mergeCell ref="B3:C3"/>
    <mergeCell ref="D3:H3"/>
    <mergeCell ref="B8:B9"/>
    <mergeCell ref="C8:D8"/>
    <mergeCell ref="E8:G8"/>
    <mergeCell ref="H8:H9"/>
  </mergeCells>
  <printOptions horizontalCentered="1"/>
  <pageMargins left="0.62992125984251968" right="0.23622047244094491" top="0.47244094488188981" bottom="0.35433070866141736" header="0.31496062992125984" footer="0.31496062992125984"/>
  <pageSetup scale="91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06"/>
  <sheetViews>
    <sheetView showGridLines="0" topLeftCell="E1" zoomScale="115" zoomScaleNormal="115" zoomScaleSheetLayoutView="115" workbookViewId="0">
      <pane xSplit="10" ySplit="4" topLeftCell="O5" activePane="bottomRight" state="frozen"/>
      <selection activeCell="K33" sqref="K33"/>
      <selection pane="topRight" activeCell="K33" sqref="K33"/>
      <selection pane="bottomLeft" activeCell="K33" sqref="K33"/>
      <selection pane="bottomRight" activeCell="L6" sqref="L6"/>
    </sheetView>
  </sheetViews>
  <sheetFormatPr baseColWidth="10" defaultColWidth="12.6640625" defaultRowHeight="10.199999999999999"/>
  <cols>
    <col min="1" max="4" width="0" style="19" hidden="1" customWidth="1"/>
    <col min="5" max="5" width="3.88671875" style="20" bestFit="1" customWidth="1"/>
    <col min="6" max="6" width="44" style="19" customWidth="1"/>
    <col min="7" max="7" width="9.44140625" style="20" customWidth="1"/>
    <col min="8" max="8" width="10.33203125" style="20" customWidth="1"/>
    <col min="9" max="9" width="10.33203125" style="19" customWidth="1"/>
    <col min="10" max="10" width="12.6640625" style="19"/>
    <col min="11" max="11" width="11" style="19" customWidth="1"/>
    <col min="12" max="12" width="12.6640625" style="19"/>
    <col min="13" max="13" width="11.44140625" style="19" customWidth="1"/>
    <col min="14" max="14" width="12.6640625" style="19"/>
    <col min="15" max="15" width="12" style="19" customWidth="1"/>
    <col min="16" max="16" width="12.6640625" style="19"/>
    <col min="17" max="17" width="11" style="19" customWidth="1"/>
    <col min="18" max="18" width="12.6640625" style="19"/>
    <col min="19" max="21" width="6.6640625" style="19" customWidth="1"/>
    <col min="22" max="22" width="8.6640625" style="19" customWidth="1"/>
    <col min="23" max="23" width="15.5546875" style="19" bestFit="1" customWidth="1"/>
    <col min="24" max="24" width="8.6640625" style="19" customWidth="1"/>
    <col min="25" max="25" width="9.88671875" style="19" bestFit="1" customWidth="1"/>
    <col min="26" max="26" width="12.6640625" style="19"/>
    <col min="27" max="27" width="8.6640625" style="19" customWidth="1"/>
    <col min="28" max="28" width="9.88671875" style="19" bestFit="1" customWidth="1"/>
    <col min="29" max="29" width="12.6640625" style="19"/>
    <col min="30" max="31" width="8.6640625" style="19" customWidth="1"/>
    <col min="32" max="32" width="12.6640625" style="19"/>
    <col min="33" max="34" width="8.6640625" style="19" customWidth="1"/>
    <col min="35" max="35" width="13.5546875" style="19" bestFit="1" customWidth="1"/>
    <col min="36" max="37" width="8.6640625" style="19" customWidth="1"/>
    <col min="38" max="38" width="12.6640625" style="19"/>
    <col min="39" max="40" width="8.6640625" style="19" customWidth="1"/>
    <col min="41" max="41" width="12.6640625" style="19"/>
    <col min="42" max="43" width="8.6640625" style="19" customWidth="1"/>
    <col min="44" max="44" width="12.6640625" style="19"/>
    <col min="45" max="46" width="8.6640625" style="19" customWidth="1"/>
    <col min="47" max="47" width="12.6640625" style="19"/>
    <col min="48" max="49" width="8.6640625" style="19" customWidth="1"/>
    <col min="50" max="50" width="12.6640625" style="19"/>
    <col min="51" max="52" width="8.6640625" style="19" customWidth="1"/>
    <col min="53" max="53" width="12.6640625" style="19"/>
    <col min="54" max="54" width="8.6640625" style="19" customWidth="1"/>
    <col min="55" max="16384" width="12.6640625" style="19"/>
  </cols>
  <sheetData>
    <row r="1" spans="1:55">
      <c r="J1" s="897">
        <f>+J93</f>
        <v>108397839.64</v>
      </c>
      <c r="L1" s="897">
        <f>+L93</f>
        <v>1649850.16</v>
      </c>
      <c r="N1" s="897">
        <f>+N93</f>
        <v>81632.100000000006</v>
      </c>
      <c r="P1" s="897">
        <f>+P93</f>
        <v>1731482.2599999998</v>
      </c>
      <c r="R1" s="897">
        <f>+R93</f>
        <v>106666357.38000001</v>
      </c>
      <c r="V1" s="19">
        <v>5</v>
      </c>
      <c r="W1" s="1234">
        <f>+W4*0.16</f>
        <v>36892.035199999998</v>
      </c>
      <c r="Z1" s="1234">
        <f>+Z4*0.16</f>
        <v>82550.751999999993</v>
      </c>
    </row>
    <row r="2" spans="1:55" ht="12" customHeight="1" thickBot="1">
      <c r="E2" s="631"/>
      <c r="F2" s="789"/>
      <c r="G2" s="790"/>
      <c r="H2" s="632"/>
      <c r="I2" s="632"/>
      <c r="J2" s="632"/>
      <c r="K2" s="632"/>
      <c r="L2" s="632"/>
      <c r="M2" s="632"/>
      <c r="N2" s="632"/>
      <c r="O2" s="632"/>
      <c r="P2" s="632"/>
      <c r="Q2" s="633"/>
      <c r="R2" s="633"/>
      <c r="S2" s="633"/>
      <c r="T2" s="633"/>
      <c r="U2" s="634"/>
      <c r="W2" s="19">
        <v>1</v>
      </c>
      <c r="Z2" s="19">
        <v>2</v>
      </c>
      <c r="AC2" s="19">
        <v>3</v>
      </c>
      <c r="AF2" s="19">
        <v>4</v>
      </c>
      <c r="AI2" s="19">
        <v>5</v>
      </c>
      <c r="AL2" s="19">
        <v>6</v>
      </c>
      <c r="AP2" s="19">
        <v>7</v>
      </c>
      <c r="AS2" s="19">
        <v>8</v>
      </c>
      <c r="AV2" s="19">
        <v>9</v>
      </c>
      <c r="AY2" s="19">
        <v>10</v>
      </c>
      <c r="BB2" s="19">
        <v>11</v>
      </c>
    </row>
    <row r="3" spans="1:55" s="77" customFormat="1" ht="15" customHeight="1">
      <c r="E3" s="1447" t="s">
        <v>2</v>
      </c>
      <c r="F3" s="1448" t="s">
        <v>595</v>
      </c>
      <c r="G3" s="1449" t="s">
        <v>4</v>
      </c>
      <c r="H3" s="1449"/>
      <c r="I3" s="1449"/>
      <c r="J3" s="1449"/>
      <c r="K3" s="1450" t="s">
        <v>397</v>
      </c>
      <c r="L3" s="1450"/>
      <c r="M3" s="1450" t="s">
        <v>398</v>
      </c>
      <c r="N3" s="1450"/>
      <c r="O3" s="1450" t="s">
        <v>399</v>
      </c>
      <c r="P3" s="1450"/>
      <c r="Q3" s="1450" t="s">
        <v>400</v>
      </c>
      <c r="R3" s="1450"/>
      <c r="S3" s="1452" t="s">
        <v>187</v>
      </c>
      <c r="T3" s="1452"/>
      <c r="U3" s="1453"/>
      <c r="V3" s="1192">
        <v>1</v>
      </c>
      <c r="W3" s="1193"/>
      <c r="X3" s="1194"/>
      <c r="Y3" s="1187">
        <v>2</v>
      </c>
      <c r="Z3" s="1188"/>
      <c r="AA3" s="1189"/>
      <c r="AB3" s="1187">
        <v>3</v>
      </c>
      <c r="AC3" s="1188"/>
      <c r="AD3" s="1189"/>
      <c r="AE3" s="1187">
        <v>4</v>
      </c>
      <c r="AF3" s="1188"/>
      <c r="AG3" s="1189"/>
      <c r="AH3" s="1187">
        <v>5</v>
      </c>
      <c r="AI3" s="1188"/>
      <c r="AJ3" s="1189"/>
      <c r="AK3" s="1187">
        <v>6</v>
      </c>
      <c r="AL3" s="1188"/>
      <c r="AM3" s="1189"/>
      <c r="AN3" s="1187"/>
      <c r="AO3" s="1188">
        <v>7</v>
      </c>
      <c r="AP3" s="1189"/>
      <c r="AQ3" s="1187"/>
      <c r="AR3" s="1188">
        <v>8</v>
      </c>
      <c r="AS3" s="1189"/>
      <c r="AT3" s="1187"/>
      <c r="AU3" s="1188">
        <v>9</v>
      </c>
      <c r="AV3" s="1189"/>
      <c r="AW3" s="1187"/>
      <c r="AX3" s="1188">
        <v>10</v>
      </c>
      <c r="AY3" s="1189"/>
      <c r="AZ3" s="1187"/>
      <c r="BA3" s="1188">
        <v>11</v>
      </c>
      <c r="BB3" s="1189"/>
    </row>
    <row r="4" spans="1:55" s="77" customFormat="1" ht="21.9" customHeight="1">
      <c r="E4" s="1447"/>
      <c r="F4" s="1448"/>
      <c r="G4" s="1175" t="s">
        <v>395</v>
      </c>
      <c r="H4" s="1174" t="s">
        <v>380</v>
      </c>
      <c r="I4" s="1174" t="s">
        <v>396</v>
      </c>
      <c r="J4" s="1174" t="s">
        <v>191</v>
      </c>
      <c r="K4" s="1173" t="s">
        <v>380</v>
      </c>
      <c r="L4" s="1172" t="s">
        <v>191</v>
      </c>
      <c r="M4" s="1173" t="s">
        <v>380</v>
      </c>
      <c r="N4" s="1173" t="s">
        <v>191</v>
      </c>
      <c r="O4" s="1173" t="s">
        <v>380</v>
      </c>
      <c r="P4" s="1172" t="s">
        <v>191</v>
      </c>
      <c r="Q4" s="1173" t="s">
        <v>380</v>
      </c>
      <c r="R4" s="1172" t="s">
        <v>191</v>
      </c>
      <c r="S4" s="1172" t="s">
        <v>401</v>
      </c>
      <c r="T4" s="1172" t="s">
        <v>272</v>
      </c>
      <c r="U4" s="1181" t="s">
        <v>637</v>
      </c>
      <c r="V4" s="1190">
        <v>44075</v>
      </c>
      <c r="W4" s="1205">
        <f>SUM(W5:W103)/2</f>
        <v>230575.22</v>
      </c>
      <c r="X4" s="1195">
        <f>+W4/$J$93</f>
        <v>2.1271200677593135E-3</v>
      </c>
      <c r="Y4" s="1190">
        <v>44105</v>
      </c>
      <c r="Z4" s="1205">
        <f>SUM(Z5:Z103)/2</f>
        <v>515942.19999999995</v>
      </c>
      <c r="AA4" s="1195">
        <f>+Z4/$J$93</f>
        <v>4.7597092498660055E-3</v>
      </c>
      <c r="AB4" s="1190">
        <v>44136</v>
      </c>
      <c r="AC4" s="1205">
        <f>SUM(AC5:AC103)/2</f>
        <v>778326.78</v>
      </c>
      <c r="AD4" s="1191">
        <f>+AC4/$J$93</f>
        <v>7.1802794463884205E-3</v>
      </c>
      <c r="AE4" s="1209" t="s">
        <v>652</v>
      </c>
      <c r="AF4" s="1205">
        <f>SUM(AF5:AF103)/2</f>
        <v>86910.98</v>
      </c>
      <c r="AG4" s="1191">
        <f>+AF4/$J$93</f>
        <v>8.0177778716476267E-4</v>
      </c>
      <c r="AH4" s="1190">
        <v>44256</v>
      </c>
      <c r="AI4" s="1205">
        <f>SUM(AI5:AI103)/2</f>
        <v>38094.980000000003</v>
      </c>
      <c r="AJ4" s="1191">
        <f>+AI4/$J$93</f>
        <v>3.5143670876206775E-4</v>
      </c>
      <c r="AK4" s="1190">
        <v>44287</v>
      </c>
      <c r="AL4" s="1205">
        <f>SUM(AL5:AL103)/2</f>
        <v>81632.100000000006</v>
      </c>
      <c r="AM4" s="1191">
        <f>+AL4/$J$93</f>
        <v>7.5307866163300231E-4</v>
      </c>
      <c r="AN4" s="1190">
        <v>44317</v>
      </c>
      <c r="AO4" s="1205">
        <f>SUM(AO5:AO103)/2</f>
        <v>0</v>
      </c>
      <c r="AP4" s="1191">
        <f>+AO4/$J$93</f>
        <v>0</v>
      </c>
      <c r="AQ4" s="1190">
        <v>44348</v>
      </c>
      <c r="AR4" s="1205">
        <f>SUM(AR5:AR103)/2</f>
        <v>0</v>
      </c>
      <c r="AS4" s="1191">
        <f>+AR4/$J$93</f>
        <v>0</v>
      </c>
      <c r="AT4" s="1190">
        <v>44378</v>
      </c>
      <c r="AU4" s="1205">
        <f>SUM(AU5:AU103)/2</f>
        <v>0</v>
      </c>
      <c r="AV4" s="1191">
        <f>+AU4/$J$93</f>
        <v>0</v>
      </c>
      <c r="AW4" s="1190">
        <v>44409</v>
      </c>
      <c r="AX4" s="1205">
        <f>SUM(AX5:AX103)/2</f>
        <v>0</v>
      </c>
      <c r="AY4" s="1191">
        <f>+AX4/$J$93</f>
        <v>0</v>
      </c>
      <c r="AZ4" s="1190">
        <v>44440</v>
      </c>
      <c r="BA4" s="1205">
        <f>SUM(BA5:BA103)/2</f>
        <v>0</v>
      </c>
      <c r="BB4" s="1191">
        <f>+BA4/$J$93</f>
        <v>0</v>
      </c>
      <c r="BC4" s="77" t="s">
        <v>702</v>
      </c>
    </row>
    <row r="5" spans="1:55" ht="13.5" customHeight="1">
      <c r="A5" s="888"/>
      <c r="B5" s="889"/>
      <c r="C5" s="889">
        <v>0</v>
      </c>
      <c r="D5" s="890"/>
      <c r="E5" s="936" t="s">
        <v>597</v>
      </c>
      <c r="F5" s="902" t="s">
        <v>286</v>
      </c>
      <c r="G5" s="950"/>
      <c r="H5" s="951"/>
      <c r="I5" s="952"/>
      <c r="J5" s="953">
        <f>SUM(J6)</f>
        <v>512540.75</v>
      </c>
      <c r="K5" s="954"/>
      <c r="L5" s="953">
        <f>SUM(L6)</f>
        <v>313472.3</v>
      </c>
      <c r="M5" s="955"/>
      <c r="N5" s="953">
        <f>SUM(N6)</f>
        <v>81632.100000000006</v>
      </c>
      <c r="O5" s="954"/>
      <c r="P5" s="953">
        <f>SUM(P6)</f>
        <v>395104.4</v>
      </c>
      <c r="Q5" s="955"/>
      <c r="R5" s="953">
        <f>SUM(R6)</f>
        <v>117436.34999999998</v>
      </c>
      <c r="S5" s="976">
        <f>(N5/J5)</f>
        <v>0.15926948247529588</v>
      </c>
      <c r="T5" s="1076">
        <f>(P5/J5)</f>
        <v>0.77087412074064354</v>
      </c>
      <c r="U5" s="1183">
        <f>(R5/J5)</f>
        <v>0.2291258792593564</v>
      </c>
      <c r="V5" s="1196"/>
      <c r="W5" s="1197">
        <f>SUM(W6)</f>
        <v>52412.84</v>
      </c>
      <c r="X5" s="1198">
        <f t="shared" ref="X5:X31" si="0">+W5/$J5</f>
        <v>0.1022608251148811</v>
      </c>
      <c r="Y5" s="1196"/>
      <c r="Z5" s="1197">
        <f>SUM(Z6)</f>
        <v>54421.4</v>
      </c>
      <c r="AA5" s="1198">
        <f t="shared" ref="AA5:AA31" si="1">+Z5/$J5</f>
        <v>0.10617965498353057</v>
      </c>
      <c r="AB5" s="1196"/>
      <c r="AC5" s="1197">
        <f>SUM(AC6)</f>
        <v>81632.100000000006</v>
      </c>
      <c r="AD5" s="1198">
        <f t="shared" ref="AD5:AD31" si="2">+AC5/$J5</f>
        <v>0.15926948247529588</v>
      </c>
      <c r="AE5" s="1196"/>
      <c r="AF5" s="1197">
        <f>SUM(AF6)</f>
        <v>86910.98</v>
      </c>
      <c r="AG5" s="1198">
        <f t="shared" ref="AG5:AG31" si="3">+AF5/$J5</f>
        <v>0.16956891720316872</v>
      </c>
      <c r="AH5" s="1196"/>
      <c r="AI5" s="1197">
        <f>SUM(AI6)</f>
        <v>38094.980000000003</v>
      </c>
      <c r="AJ5" s="1198">
        <f t="shared" ref="AJ5:AJ31" si="4">+AI5/$J5</f>
        <v>7.4325758488471408E-2</v>
      </c>
      <c r="AK5" s="1196"/>
      <c r="AL5" s="1197">
        <f>SUM(AL6)</f>
        <v>81632.100000000006</v>
      </c>
      <c r="AM5" s="1198">
        <f t="shared" ref="AM5:AM31" si="5">+AL5/$J5</f>
        <v>0.15926948247529588</v>
      </c>
      <c r="AN5" s="1196"/>
      <c r="AO5" s="1197">
        <f>SUM(AO6)</f>
        <v>0</v>
      </c>
      <c r="AP5" s="1198">
        <f t="shared" ref="AP5:AP31" si="6">+AO5/$J5</f>
        <v>0</v>
      </c>
      <c r="AQ5" s="1196"/>
      <c r="AR5" s="1197">
        <f>SUM(AR6)</f>
        <v>0</v>
      </c>
      <c r="AS5" s="1198">
        <f t="shared" ref="AS5:AS31" si="7">+AR5/$J5</f>
        <v>0</v>
      </c>
      <c r="AT5" s="1196"/>
      <c r="AU5" s="1197">
        <f>SUM(AU6)</f>
        <v>0</v>
      </c>
      <c r="AV5" s="1198">
        <f t="shared" ref="AV5:AV31" si="8">+AU5/$J5</f>
        <v>0</v>
      </c>
      <c r="AW5" s="1196"/>
      <c r="AX5" s="1197">
        <f>SUM(AX6)</f>
        <v>0</v>
      </c>
      <c r="AY5" s="1198">
        <f t="shared" ref="AY5:AY31" si="9">+AX5/$J5</f>
        <v>0</v>
      </c>
      <c r="AZ5" s="1196"/>
      <c r="BA5" s="1197">
        <f>SUM(BA6)</f>
        <v>0</v>
      </c>
      <c r="BB5" s="1198">
        <f t="shared" ref="BB5:BB31" si="10">+BA5/$J5</f>
        <v>0</v>
      </c>
      <c r="BC5" s="1433">
        <f>+W5+Z5+AC5+AF5+AI5+AL5</f>
        <v>395104.4</v>
      </c>
    </row>
    <row r="6" spans="1:55" ht="13.5" customHeight="1">
      <c r="A6" s="888">
        <f>+IF(B6&gt;0,B6+C5,IF(C6&gt;C5,C6,0))</f>
        <v>1</v>
      </c>
      <c r="B6" s="889">
        <f>+IF(M6&gt;=0.01,1,0)</f>
        <v>1</v>
      </c>
      <c r="C6" s="891">
        <f>+B6+C5</f>
        <v>1</v>
      </c>
      <c r="D6" s="892" t="str">
        <f>+E5&amp;". "&amp;F5</f>
        <v>1. MOVIMIENTO DE TIERRAS</v>
      </c>
      <c r="E6" s="937">
        <v>1</v>
      </c>
      <c r="F6" s="772" t="s">
        <v>511</v>
      </c>
      <c r="G6" s="769" t="s">
        <v>446</v>
      </c>
      <c r="H6" s="63">
        <v>94.18</v>
      </c>
      <c r="I6" s="766">
        <v>5442.14</v>
      </c>
      <c r="J6" s="66">
        <f>ROUND(H6*I6,2)</f>
        <v>512540.75</v>
      </c>
      <c r="K6" s="61">
        <f>SUMIF($V$3:$CH$3,"&lt;"&amp;Datos!$C$20,V6:CH6)</f>
        <v>57.6</v>
      </c>
      <c r="L6" s="73">
        <f>SUMIF($V$2:$CH$2,"&lt;"&amp;Datos!$C$20,V6:CH6)</f>
        <v>313472.3</v>
      </c>
      <c r="M6" s="72">
        <f>LOOKUP(Datos!$C$20,'Cant. Ejec,'!$V$3:$BB$3,'Cant. Ejec,'!$V6:$BB6)</f>
        <v>15</v>
      </c>
      <c r="N6" s="73">
        <f>+ROUND(I6*M6,2)</f>
        <v>81632.100000000006</v>
      </c>
      <c r="O6" s="61">
        <f>+V6+Y6+AB6+AE6+AH6+AK6+AN6+AQ6+AT6+AW6+AZ6</f>
        <v>72.599999999999994</v>
      </c>
      <c r="P6" s="1225">
        <f>L6+N6</f>
        <v>395104.4</v>
      </c>
      <c r="Q6" s="61">
        <f>H6-O6</f>
        <v>21.580000000000013</v>
      </c>
      <c r="R6" s="73">
        <f>+J6-P6</f>
        <v>117436.34999999998</v>
      </c>
      <c r="S6" s="935">
        <f>(N6/J6)</f>
        <v>0.15926948247529588</v>
      </c>
      <c r="T6" s="1075">
        <f>(P6/J6)</f>
        <v>0.77087412074064354</v>
      </c>
      <c r="U6" s="1182">
        <f>(R6/J6)</f>
        <v>0.2291258792593564</v>
      </c>
      <c r="V6" s="1199">
        <v>9.6300000000000008</v>
      </c>
      <c r="W6" s="1435">
        <f>ROUND(V6*$I6,2)+5.03</f>
        <v>52412.84</v>
      </c>
      <c r="X6" s="1201">
        <f t="shared" si="0"/>
        <v>0.1022608251148811</v>
      </c>
      <c r="Y6" s="1199">
        <v>10</v>
      </c>
      <c r="Z6" s="1200">
        <f>ROUND(Y6*$I6,2)</f>
        <v>54421.4</v>
      </c>
      <c r="AA6" s="1201">
        <f t="shared" si="1"/>
        <v>0.10617965498353057</v>
      </c>
      <c r="AB6" s="1199">
        <v>15</v>
      </c>
      <c r="AC6" s="1200">
        <f>ROUND(AB6*$I6,2)</f>
        <v>81632.100000000006</v>
      </c>
      <c r="AD6" s="1201">
        <f t="shared" si="2"/>
        <v>0.15926948247529588</v>
      </c>
      <c r="AE6" s="1199">
        <v>15.97</v>
      </c>
      <c r="AF6" s="1200">
        <f>ROUND(AE6*$I6,2)</f>
        <v>86910.98</v>
      </c>
      <c r="AG6" s="1201">
        <f t="shared" si="3"/>
        <v>0.16956891720316872</v>
      </c>
      <c r="AH6" s="1199">
        <v>7</v>
      </c>
      <c r="AI6" s="1200">
        <f>ROUND(AH6*$I6,2)</f>
        <v>38094.980000000003</v>
      </c>
      <c r="AJ6" s="1201">
        <f t="shared" si="4"/>
        <v>7.4325758488471408E-2</v>
      </c>
      <c r="AK6" s="1199">
        <v>15</v>
      </c>
      <c r="AL6" s="1200">
        <f>ROUND(AK6*$I6,2)</f>
        <v>81632.100000000006</v>
      </c>
      <c r="AM6" s="1201">
        <f t="shared" si="5"/>
        <v>0.15926948247529588</v>
      </c>
      <c r="AN6" s="1199"/>
      <c r="AO6" s="1200">
        <f>ROUND(AN6*$I6,2)</f>
        <v>0</v>
      </c>
      <c r="AP6" s="1201">
        <f t="shared" si="6"/>
        <v>0</v>
      </c>
      <c r="AQ6" s="1199"/>
      <c r="AR6" s="1200">
        <f>ROUND(AQ6*$I6,2)</f>
        <v>0</v>
      </c>
      <c r="AS6" s="1201">
        <f t="shared" si="7"/>
        <v>0</v>
      </c>
      <c r="AT6" s="1199"/>
      <c r="AU6" s="1200">
        <f>ROUND(AT6*$I6,2)</f>
        <v>0</v>
      </c>
      <c r="AV6" s="1201">
        <f t="shared" si="8"/>
        <v>0</v>
      </c>
      <c r="AW6" s="1199"/>
      <c r="AX6" s="1200">
        <f>ROUND(AW6*$I6,2)</f>
        <v>0</v>
      </c>
      <c r="AY6" s="1201">
        <f t="shared" si="9"/>
        <v>0</v>
      </c>
      <c r="AZ6" s="1199"/>
      <c r="BA6" s="1200">
        <f>ROUND(AZ6*$I6,2)</f>
        <v>0</v>
      </c>
      <c r="BB6" s="1201">
        <f t="shared" si="10"/>
        <v>0</v>
      </c>
      <c r="BC6" s="1433">
        <f>+W6+Z6+AC6+AF6+AI6+AL6</f>
        <v>395104.4</v>
      </c>
    </row>
    <row r="7" spans="1:55" ht="13.5" customHeight="1">
      <c r="A7" s="888" t="e">
        <f>+IF(B7&gt;0,B7+#REF!,IF(C7&gt;#REF!,C7,0))</f>
        <v>#REF!</v>
      </c>
      <c r="B7" s="889" t="e">
        <f>+IF(#REF!&gt;=0.01,1,0)</f>
        <v>#REF!</v>
      </c>
      <c r="C7" s="891" t="e">
        <f>+B7+#REF!</f>
        <v>#REF!</v>
      </c>
      <c r="D7" s="892"/>
      <c r="E7" s="936" t="s">
        <v>598</v>
      </c>
      <c r="F7" s="902" t="s">
        <v>523</v>
      </c>
      <c r="G7" s="950"/>
      <c r="H7" s="951"/>
      <c r="I7" s="952"/>
      <c r="J7" s="953">
        <f>SUM(J8:J17)</f>
        <v>57368959.560000002</v>
      </c>
      <c r="K7" s="954"/>
      <c r="L7" s="953">
        <f>SUM(L8:L17)</f>
        <v>1295621.6499999999</v>
      </c>
      <c r="M7" s="955"/>
      <c r="N7" s="953">
        <f>SUM(N8:N17)</f>
        <v>0</v>
      </c>
      <c r="O7" s="954"/>
      <c r="P7" s="953">
        <f>SUM(P8:P17)</f>
        <v>1295621.6499999999</v>
      </c>
      <c r="Q7" s="955"/>
      <c r="R7" s="953">
        <f>SUM(R8:R17)</f>
        <v>56073337.910000004</v>
      </c>
      <c r="S7" s="976">
        <f>(N7/J7)</f>
        <v>0</v>
      </c>
      <c r="T7" s="1076">
        <f>(P7/J7)</f>
        <v>2.2584018604084301E-2</v>
      </c>
      <c r="U7" s="1183">
        <f>(R7/J7)</f>
        <v>0.97741598139591568</v>
      </c>
      <c r="V7" s="1196"/>
      <c r="W7" s="1197">
        <f>SUM(W8:W17)</f>
        <v>178162.38</v>
      </c>
      <c r="X7" s="1198">
        <f t="shared" si="0"/>
        <v>3.1055536193517119E-3</v>
      </c>
      <c r="Y7" s="1196"/>
      <c r="Z7" s="1197">
        <f>SUM(Z8:Z17)</f>
        <v>420764.59</v>
      </c>
      <c r="AA7" s="1198">
        <f t="shared" si="1"/>
        <v>7.3343597866706717E-3</v>
      </c>
      <c r="AB7" s="1196"/>
      <c r="AC7" s="1197">
        <f>SUM(AC8:AC17)</f>
        <v>696694.68</v>
      </c>
      <c r="AD7" s="1198">
        <f t="shared" si="2"/>
        <v>1.214410519806192E-2</v>
      </c>
      <c r="AE7" s="1196"/>
      <c r="AF7" s="1197">
        <f>SUM(AF8:AF17)</f>
        <v>0</v>
      </c>
      <c r="AG7" s="1198">
        <f t="shared" si="3"/>
        <v>0</v>
      </c>
      <c r="AH7" s="1196"/>
      <c r="AI7" s="1197">
        <f>SUM(AI8:AI17)</f>
        <v>0</v>
      </c>
      <c r="AJ7" s="1198">
        <f t="shared" si="4"/>
        <v>0</v>
      </c>
      <c r="AK7" s="1196"/>
      <c r="AL7" s="1197">
        <f>SUM(AL8:AL17)</f>
        <v>0</v>
      </c>
      <c r="AM7" s="1198">
        <f t="shared" si="5"/>
        <v>0</v>
      </c>
      <c r="AN7" s="1196"/>
      <c r="AO7" s="1197">
        <f>SUM(AO8:AO17)</f>
        <v>0</v>
      </c>
      <c r="AP7" s="1198">
        <f t="shared" si="6"/>
        <v>0</v>
      </c>
      <c r="AQ7" s="1196"/>
      <c r="AR7" s="1197">
        <f>SUM(AR8:AR17)</f>
        <v>0</v>
      </c>
      <c r="AS7" s="1198">
        <f t="shared" si="7"/>
        <v>0</v>
      </c>
      <c r="AT7" s="1196"/>
      <c r="AU7" s="1197">
        <f>SUM(AU8:AU17)</f>
        <v>0</v>
      </c>
      <c r="AV7" s="1198">
        <f t="shared" si="8"/>
        <v>0</v>
      </c>
      <c r="AW7" s="1196"/>
      <c r="AX7" s="1197">
        <f>SUM(AX8:AX17)</f>
        <v>0</v>
      </c>
      <c r="AY7" s="1198">
        <f t="shared" si="9"/>
        <v>0</v>
      </c>
      <c r="AZ7" s="1196"/>
      <c r="BA7" s="1197">
        <f>SUM(BA8:BA17)</f>
        <v>0</v>
      </c>
      <c r="BB7" s="1198">
        <f t="shared" si="10"/>
        <v>0</v>
      </c>
      <c r="BC7" s="1433">
        <f t="shared" ref="BC7:BC70" si="11">+W7+Z7+AC7+AF7+AI7+AL7</f>
        <v>1295621.6499999999</v>
      </c>
    </row>
    <row r="8" spans="1:55" ht="13.8">
      <c r="A8" s="888" t="e">
        <f t="shared" ref="A8:A65" si="12">+IF(B8&gt;0,B8+C7,IF(C8&gt;C7,C8,0))</f>
        <v>#REF!</v>
      </c>
      <c r="B8" s="889">
        <f t="shared" ref="B8:B65" si="13">+IF(M8&gt;=0.01,1,0)</f>
        <v>0</v>
      </c>
      <c r="C8" s="891" t="e">
        <f t="shared" ref="C8:C65" si="14">+B8+C7</f>
        <v>#REF!</v>
      </c>
      <c r="D8" s="892" t="str">
        <f>+E7&amp;". "&amp;F7</f>
        <v>2. PAVIMENTACION</v>
      </c>
      <c r="E8" s="937">
        <v>2</v>
      </c>
      <c r="F8" s="772" t="s">
        <v>512</v>
      </c>
      <c r="G8" s="925" t="s">
        <v>288</v>
      </c>
      <c r="H8" s="926">
        <v>266002</v>
      </c>
      <c r="I8" s="927">
        <v>1.46</v>
      </c>
      <c r="J8" s="66">
        <f t="shared" ref="J8:J17" si="15">ROUND(H8*I8,2)</f>
        <v>388362.92</v>
      </c>
      <c r="K8" s="61">
        <f>SUMIF($V$3:$CH$3,"&lt;"&amp;Datos!$C$20,V8:CH8)</f>
        <v>0</v>
      </c>
      <c r="L8" s="71">
        <f t="shared" ref="L8:L17" si="16">+ROUND(I8*K8,2)</f>
        <v>0</v>
      </c>
      <c r="M8" s="72">
        <f>LOOKUP(Datos!$C$20,'Cant. Ejec,'!$V$3:$BB$3,'Cant. Ejec,'!$V8:$BB8)</f>
        <v>0</v>
      </c>
      <c r="N8" s="73">
        <f t="shared" ref="N8:N17" si="17">+ROUND(I8*M8,2)</f>
        <v>0</v>
      </c>
      <c r="O8" s="61">
        <f t="shared" ref="O8:O17" si="18">K8+M8</f>
        <v>0</v>
      </c>
      <c r="P8" s="73">
        <f t="shared" ref="P8:P17" si="19">L8+N8</f>
        <v>0</v>
      </c>
      <c r="Q8" s="61">
        <f t="shared" ref="Q8:Q17" si="20">H8-O8</f>
        <v>266002</v>
      </c>
      <c r="R8" s="73">
        <f t="shared" ref="R8:R17" si="21">+J8-P8</f>
        <v>388362.92</v>
      </c>
      <c r="S8" s="792">
        <f>(N8/J8)</f>
        <v>0</v>
      </c>
      <c r="T8" s="792">
        <f t="shared" ref="T8:T17" si="22">(P8/J8)</f>
        <v>0</v>
      </c>
      <c r="U8" s="1184">
        <f t="shared" ref="U8:U17" si="23">(R8/J8)</f>
        <v>1</v>
      </c>
      <c r="V8" s="1202"/>
      <c r="W8" s="1203">
        <f t="shared" ref="W8:W17" si="24">ROUND(V8*$I8,2)</f>
        <v>0</v>
      </c>
      <c r="X8" s="1204">
        <f t="shared" si="0"/>
        <v>0</v>
      </c>
      <c r="Y8" s="1202"/>
      <c r="Z8" s="1203">
        <f t="shared" ref="Z8:Z17" si="25">ROUND(Y8*$I8,2)</f>
        <v>0</v>
      </c>
      <c r="AA8" s="1204">
        <f t="shared" si="1"/>
        <v>0</v>
      </c>
      <c r="AB8" s="1202"/>
      <c r="AC8" s="1203">
        <f t="shared" ref="AC8:AC17" si="26">ROUND(AB8*$I8,2)</f>
        <v>0</v>
      </c>
      <c r="AD8" s="1204">
        <f t="shared" si="2"/>
        <v>0</v>
      </c>
      <c r="AE8" s="1202"/>
      <c r="AF8" s="1203">
        <f t="shared" ref="AF8:AF17" si="27">ROUND(AE8*$I8,2)</f>
        <v>0</v>
      </c>
      <c r="AG8" s="1204">
        <f t="shared" si="3"/>
        <v>0</v>
      </c>
      <c r="AH8" s="1202"/>
      <c r="AI8" s="1203">
        <f t="shared" ref="AI8:AI17" si="28">ROUND(AH8*$I8,2)</f>
        <v>0</v>
      </c>
      <c r="AJ8" s="1204">
        <f t="shared" si="4"/>
        <v>0</v>
      </c>
      <c r="AK8" s="1202"/>
      <c r="AL8" s="1203">
        <f t="shared" ref="AL8:AL17" si="29">ROUND(AK8*$I8,2)</f>
        <v>0</v>
      </c>
      <c r="AM8" s="1204">
        <f t="shared" si="5"/>
        <v>0</v>
      </c>
      <c r="AN8" s="1202"/>
      <c r="AO8" s="1203">
        <f t="shared" ref="AO8:AO17" si="30">ROUND(AN8*$I8,2)</f>
        <v>0</v>
      </c>
      <c r="AP8" s="1204">
        <f t="shared" si="6"/>
        <v>0</v>
      </c>
      <c r="AQ8" s="1202"/>
      <c r="AR8" s="1203">
        <f t="shared" ref="AR8:AR17" si="31">ROUND(AQ8*$I8,2)</f>
        <v>0</v>
      </c>
      <c r="AS8" s="1204">
        <f t="shared" si="7"/>
        <v>0</v>
      </c>
      <c r="AT8" s="1202"/>
      <c r="AU8" s="1203">
        <f t="shared" ref="AU8:AU17" si="32">ROUND(AT8*$I8,2)</f>
        <v>0</v>
      </c>
      <c r="AV8" s="1204">
        <f t="shared" si="8"/>
        <v>0</v>
      </c>
      <c r="AW8" s="1202"/>
      <c r="AX8" s="1203">
        <f t="shared" ref="AX8:AX17" si="33">ROUND(AW8*$I8,2)</f>
        <v>0</v>
      </c>
      <c r="AY8" s="1204">
        <f t="shared" si="9"/>
        <v>0</v>
      </c>
      <c r="AZ8" s="1202"/>
      <c r="BA8" s="1203">
        <f t="shared" ref="BA8:BA17" si="34">ROUND(AZ8*$I8,2)</f>
        <v>0</v>
      </c>
      <c r="BB8" s="1204">
        <f t="shared" si="10"/>
        <v>0</v>
      </c>
      <c r="BC8" s="1433">
        <f t="shared" si="11"/>
        <v>0</v>
      </c>
    </row>
    <row r="9" spans="1:55" ht="13.8">
      <c r="A9" s="888" t="e">
        <f t="shared" si="12"/>
        <v>#REF!</v>
      </c>
      <c r="B9" s="889">
        <f t="shared" si="13"/>
        <v>0</v>
      </c>
      <c r="C9" s="891" t="e">
        <f t="shared" si="14"/>
        <v>#REF!</v>
      </c>
      <c r="D9" s="892" t="str">
        <f>+D8</f>
        <v>2. PAVIMENTACION</v>
      </c>
      <c r="E9" s="937">
        <v>3</v>
      </c>
      <c r="F9" s="772" t="s">
        <v>513</v>
      </c>
      <c r="G9" s="925" t="s">
        <v>287</v>
      </c>
      <c r="H9" s="926">
        <v>34368.400000000001</v>
      </c>
      <c r="I9" s="927">
        <v>96.9</v>
      </c>
      <c r="J9" s="66">
        <f t="shared" si="15"/>
        <v>3330297.96</v>
      </c>
      <c r="K9" s="61">
        <f>SUMIF($V$3:$CH$3,"&lt;"&amp;Datos!$C$20,V9:CH9)</f>
        <v>0</v>
      </c>
      <c r="L9" s="71">
        <f t="shared" si="16"/>
        <v>0</v>
      </c>
      <c r="M9" s="928">
        <f>LOOKUP(Datos!$C$20,'Cant. Ejec,'!$V$3:$BB$3,'Cant. Ejec,'!$V9:$BB9)</f>
        <v>0</v>
      </c>
      <c r="N9" s="896">
        <f t="shared" si="17"/>
        <v>0</v>
      </c>
      <c r="O9" s="61">
        <f t="shared" si="18"/>
        <v>0</v>
      </c>
      <c r="P9" s="896">
        <f t="shared" si="19"/>
        <v>0</v>
      </c>
      <c r="Q9" s="61">
        <f>H9-O9</f>
        <v>34368.400000000001</v>
      </c>
      <c r="R9" s="896">
        <f t="shared" si="21"/>
        <v>3330297.96</v>
      </c>
      <c r="S9" s="792">
        <f t="shared" ref="S9:S17" si="35">(N9/J9)</f>
        <v>0</v>
      </c>
      <c r="T9" s="792">
        <f t="shared" si="22"/>
        <v>0</v>
      </c>
      <c r="U9" s="1184">
        <f t="shared" si="23"/>
        <v>1</v>
      </c>
      <c r="V9" s="1202"/>
      <c r="W9" s="1203">
        <f t="shared" si="24"/>
        <v>0</v>
      </c>
      <c r="X9" s="1204">
        <f t="shared" si="0"/>
        <v>0</v>
      </c>
      <c r="Y9" s="1202"/>
      <c r="Z9" s="1203">
        <f t="shared" si="25"/>
        <v>0</v>
      </c>
      <c r="AA9" s="1204">
        <f t="shared" si="1"/>
        <v>0</v>
      </c>
      <c r="AB9" s="1202"/>
      <c r="AC9" s="1203">
        <f t="shared" si="26"/>
        <v>0</v>
      </c>
      <c r="AD9" s="1204">
        <f t="shared" si="2"/>
        <v>0</v>
      </c>
      <c r="AE9" s="1202"/>
      <c r="AF9" s="1203">
        <f t="shared" si="27"/>
        <v>0</v>
      </c>
      <c r="AG9" s="1204">
        <f t="shared" si="3"/>
        <v>0</v>
      </c>
      <c r="AH9" s="1202"/>
      <c r="AI9" s="1203">
        <f t="shared" si="28"/>
        <v>0</v>
      </c>
      <c r="AJ9" s="1204">
        <f t="shared" si="4"/>
        <v>0</v>
      </c>
      <c r="AK9" s="1202"/>
      <c r="AL9" s="1203">
        <f t="shared" si="29"/>
        <v>0</v>
      </c>
      <c r="AM9" s="1204">
        <f t="shared" si="5"/>
        <v>0</v>
      </c>
      <c r="AN9" s="1202"/>
      <c r="AO9" s="1203">
        <f t="shared" si="30"/>
        <v>0</v>
      </c>
      <c r="AP9" s="1204">
        <f t="shared" si="6"/>
        <v>0</v>
      </c>
      <c r="AQ9" s="1202"/>
      <c r="AR9" s="1203">
        <f t="shared" si="31"/>
        <v>0</v>
      </c>
      <c r="AS9" s="1204">
        <f t="shared" si="7"/>
        <v>0</v>
      </c>
      <c r="AT9" s="1202"/>
      <c r="AU9" s="1203">
        <f t="shared" si="32"/>
        <v>0</v>
      </c>
      <c r="AV9" s="1204">
        <f t="shared" si="8"/>
        <v>0</v>
      </c>
      <c r="AW9" s="1202"/>
      <c r="AX9" s="1203">
        <f t="shared" si="33"/>
        <v>0</v>
      </c>
      <c r="AY9" s="1204">
        <f t="shared" si="9"/>
        <v>0</v>
      </c>
      <c r="AZ9" s="1202"/>
      <c r="BA9" s="1203">
        <f t="shared" si="34"/>
        <v>0</v>
      </c>
      <c r="BB9" s="1204">
        <f t="shared" si="10"/>
        <v>0</v>
      </c>
      <c r="BC9" s="1433">
        <f t="shared" si="11"/>
        <v>0</v>
      </c>
    </row>
    <row r="10" spans="1:55" ht="13.8">
      <c r="A10" s="888" t="e">
        <f t="shared" si="12"/>
        <v>#REF!</v>
      </c>
      <c r="B10" s="889">
        <f t="shared" si="13"/>
        <v>0</v>
      </c>
      <c r="C10" s="891" t="e">
        <f t="shared" si="14"/>
        <v>#REF!</v>
      </c>
      <c r="D10" s="892" t="str">
        <f t="shared" ref="D10:D17" si="36">+D9</f>
        <v>2. PAVIMENTACION</v>
      </c>
      <c r="E10" s="937">
        <v>4</v>
      </c>
      <c r="F10" s="772" t="s">
        <v>514</v>
      </c>
      <c r="G10" s="925" t="s">
        <v>287</v>
      </c>
      <c r="H10" s="956">
        <v>18832</v>
      </c>
      <c r="I10" s="927">
        <v>96.9</v>
      </c>
      <c r="J10" s="66">
        <f t="shared" si="15"/>
        <v>1824820.8</v>
      </c>
      <c r="K10" s="61">
        <f>SUMIF($V$3:$CH$3,"&lt;"&amp;Datos!$C$20,V10:CH10)</f>
        <v>0</v>
      </c>
      <c r="L10" s="71">
        <f t="shared" si="16"/>
        <v>0</v>
      </c>
      <c r="M10" s="928">
        <f>LOOKUP(Datos!$C$20,'Cant. Ejec,'!$V$3:$BB$3,'Cant. Ejec,'!$V10:$BB10)</f>
        <v>0</v>
      </c>
      <c r="N10" s="896">
        <f t="shared" si="17"/>
        <v>0</v>
      </c>
      <c r="O10" s="61">
        <f t="shared" si="18"/>
        <v>0</v>
      </c>
      <c r="P10" s="896">
        <f t="shared" si="19"/>
        <v>0</v>
      </c>
      <c r="Q10" s="61">
        <f t="shared" si="20"/>
        <v>18832</v>
      </c>
      <c r="R10" s="896">
        <f t="shared" si="21"/>
        <v>1824820.8</v>
      </c>
      <c r="S10" s="792">
        <f t="shared" si="35"/>
        <v>0</v>
      </c>
      <c r="T10" s="792">
        <f t="shared" si="22"/>
        <v>0</v>
      </c>
      <c r="U10" s="1184">
        <f t="shared" si="23"/>
        <v>1</v>
      </c>
      <c r="V10" s="1202"/>
      <c r="W10" s="1203">
        <f t="shared" si="24"/>
        <v>0</v>
      </c>
      <c r="X10" s="1204">
        <f t="shared" si="0"/>
        <v>0</v>
      </c>
      <c r="Y10" s="1202"/>
      <c r="Z10" s="1203">
        <f t="shared" si="25"/>
        <v>0</v>
      </c>
      <c r="AA10" s="1204">
        <f t="shared" si="1"/>
        <v>0</v>
      </c>
      <c r="AB10" s="1202"/>
      <c r="AC10" s="1203">
        <f t="shared" si="26"/>
        <v>0</v>
      </c>
      <c r="AD10" s="1204">
        <f t="shared" si="2"/>
        <v>0</v>
      </c>
      <c r="AE10" s="1202"/>
      <c r="AF10" s="1203">
        <f t="shared" si="27"/>
        <v>0</v>
      </c>
      <c r="AG10" s="1204">
        <f t="shared" si="3"/>
        <v>0</v>
      </c>
      <c r="AH10" s="1202"/>
      <c r="AI10" s="1203">
        <f t="shared" si="28"/>
        <v>0</v>
      </c>
      <c r="AJ10" s="1204">
        <f t="shared" si="4"/>
        <v>0</v>
      </c>
      <c r="AK10" s="1202"/>
      <c r="AL10" s="1203">
        <f t="shared" si="29"/>
        <v>0</v>
      </c>
      <c r="AM10" s="1204">
        <f t="shared" si="5"/>
        <v>0</v>
      </c>
      <c r="AN10" s="1202"/>
      <c r="AO10" s="1203">
        <f t="shared" si="30"/>
        <v>0</v>
      </c>
      <c r="AP10" s="1204">
        <f t="shared" si="6"/>
        <v>0</v>
      </c>
      <c r="AQ10" s="1202"/>
      <c r="AR10" s="1203">
        <f t="shared" si="31"/>
        <v>0</v>
      </c>
      <c r="AS10" s="1204">
        <f t="shared" si="7"/>
        <v>0</v>
      </c>
      <c r="AT10" s="1202"/>
      <c r="AU10" s="1203">
        <f t="shared" si="32"/>
        <v>0</v>
      </c>
      <c r="AV10" s="1204">
        <f t="shared" si="8"/>
        <v>0</v>
      </c>
      <c r="AW10" s="1202"/>
      <c r="AX10" s="1203">
        <f t="shared" si="33"/>
        <v>0</v>
      </c>
      <c r="AY10" s="1204">
        <f t="shared" si="9"/>
        <v>0</v>
      </c>
      <c r="AZ10" s="1202"/>
      <c r="BA10" s="1203">
        <f t="shared" si="34"/>
        <v>0</v>
      </c>
      <c r="BB10" s="1204">
        <f t="shared" si="10"/>
        <v>0</v>
      </c>
      <c r="BC10" s="1433">
        <f t="shared" si="11"/>
        <v>0</v>
      </c>
    </row>
    <row r="11" spans="1:55" ht="13.8">
      <c r="A11" s="888" t="e">
        <f t="shared" si="12"/>
        <v>#REF!</v>
      </c>
      <c r="B11" s="889">
        <f t="shared" si="13"/>
        <v>0</v>
      </c>
      <c r="C11" s="891" t="e">
        <f t="shared" si="14"/>
        <v>#REF!</v>
      </c>
      <c r="D11" s="892" t="str">
        <f t="shared" si="36"/>
        <v>2. PAVIMENTACION</v>
      </c>
      <c r="E11" s="937">
        <v>5</v>
      </c>
      <c r="F11" s="772" t="s">
        <v>515</v>
      </c>
      <c r="G11" s="925" t="s">
        <v>647</v>
      </c>
      <c r="H11" s="926">
        <v>439169.3</v>
      </c>
      <c r="I11" s="927">
        <v>3.74</v>
      </c>
      <c r="J11" s="66">
        <f t="shared" si="15"/>
        <v>1642493.18</v>
      </c>
      <c r="K11" s="61">
        <f>SUMIF($V$3:$CH$3,"&lt;"&amp;Datos!$C$20,V11:CH11)</f>
        <v>346422.9</v>
      </c>
      <c r="L11" s="71">
        <f>+ROUND(I11*K11,2)</f>
        <v>1295621.6499999999</v>
      </c>
      <c r="M11" s="928">
        <f>LOOKUP(Datos!$C$20,'Cant. Ejec,'!$V$3:$BB$3,'Cant. Ejec,'!$V11:$BB11)</f>
        <v>0</v>
      </c>
      <c r="N11" s="896">
        <f t="shared" si="17"/>
        <v>0</v>
      </c>
      <c r="O11" s="61">
        <f t="shared" si="18"/>
        <v>346422.9</v>
      </c>
      <c r="P11" s="896">
        <f t="shared" si="19"/>
        <v>1295621.6499999999</v>
      </c>
      <c r="Q11" s="61">
        <f t="shared" si="20"/>
        <v>92746.399999999965</v>
      </c>
      <c r="R11" s="896">
        <f t="shared" si="21"/>
        <v>346871.53</v>
      </c>
      <c r="S11" s="792">
        <f t="shared" si="35"/>
        <v>0</v>
      </c>
      <c r="T11" s="792">
        <f t="shared" si="22"/>
        <v>0.78881402113340893</v>
      </c>
      <c r="U11" s="1184">
        <f t="shared" si="23"/>
        <v>0.21118597886659113</v>
      </c>
      <c r="V11" s="1202">
        <v>47637</v>
      </c>
      <c r="W11" s="1203">
        <f t="shared" si="24"/>
        <v>178162.38</v>
      </c>
      <c r="X11" s="1204">
        <f t="shared" si="0"/>
        <v>0.10847069696812989</v>
      </c>
      <c r="Y11" s="1202">
        <v>112503.9</v>
      </c>
      <c r="Z11" s="1203">
        <f t="shared" si="25"/>
        <v>420764.59</v>
      </c>
      <c r="AA11" s="1204">
        <f t="shared" si="1"/>
        <v>0.25617433005109952</v>
      </c>
      <c r="AB11" s="1202">
        <v>186282</v>
      </c>
      <c r="AC11" s="1203">
        <f t="shared" si="26"/>
        <v>696694.68</v>
      </c>
      <c r="AD11" s="1204">
        <f t="shared" si="2"/>
        <v>0.42416899411417958</v>
      </c>
      <c r="AE11" s="1202"/>
      <c r="AF11" s="1203">
        <f t="shared" si="27"/>
        <v>0</v>
      </c>
      <c r="AG11" s="1204">
        <f t="shared" si="3"/>
        <v>0</v>
      </c>
      <c r="AH11" s="1202"/>
      <c r="AI11" s="1203">
        <f t="shared" si="28"/>
        <v>0</v>
      </c>
      <c r="AJ11" s="1204">
        <f t="shared" si="4"/>
        <v>0</v>
      </c>
      <c r="AK11" s="1202"/>
      <c r="AL11" s="1203">
        <f t="shared" si="29"/>
        <v>0</v>
      </c>
      <c r="AM11" s="1204">
        <f t="shared" si="5"/>
        <v>0</v>
      </c>
      <c r="AN11" s="1202"/>
      <c r="AO11" s="1203">
        <f t="shared" si="30"/>
        <v>0</v>
      </c>
      <c r="AP11" s="1204">
        <f t="shared" si="6"/>
        <v>0</v>
      </c>
      <c r="AQ11" s="1202"/>
      <c r="AR11" s="1203">
        <f t="shared" si="31"/>
        <v>0</v>
      </c>
      <c r="AS11" s="1204">
        <f t="shared" si="7"/>
        <v>0</v>
      </c>
      <c r="AT11" s="1202"/>
      <c r="AU11" s="1203">
        <f t="shared" si="32"/>
        <v>0</v>
      </c>
      <c r="AV11" s="1204">
        <f t="shared" si="8"/>
        <v>0</v>
      </c>
      <c r="AW11" s="1202"/>
      <c r="AX11" s="1203">
        <f t="shared" si="33"/>
        <v>0</v>
      </c>
      <c r="AY11" s="1204">
        <f t="shared" si="9"/>
        <v>0</v>
      </c>
      <c r="AZ11" s="1202"/>
      <c r="BA11" s="1203">
        <f t="shared" si="34"/>
        <v>0</v>
      </c>
      <c r="BB11" s="1204">
        <f t="shared" si="10"/>
        <v>0</v>
      </c>
      <c r="BC11" s="1433">
        <f t="shared" si="11"/>
        <v>1295621.6499999999</v>
      </c>
    </row>
    <row r="12" spans="1:55" ht="13.8">
      <c r="A12" s="888" t="e">
        <f t="shared" si="12"/>
        <v>#REF!</v>
      </c>
      <c r="B12" s="889">
        <f t="shared" si="13"/>
        <v>0</v>
      </c>
      <c r="C12" s="891" t="e">
        <f t="shared" si="14"/>
        <v>#REF!</v>
      </c>
      <c r="D12" s="892" t="str">
        <f t="shared" si="36"/>
        <v>2. PAVIMENTACION</v>
      </c>
      <c r="E12" s="937">
        <v>6</v>
      </c>
      <c r="F12" s="772" t="s">
        <v>516</v>
      </c>
      <c r="G12" s="925" t="s">
        <v>287</v>
      </c>
      <c r="H12" s="926">
        <v>41713.949999999997</v>
      </c>
      <c r="I12" s="927">
        <v>191.25</v>
      </c>
      <c r="J12" s="66">
        <f t="shared" si="15"/>
        <v>7977792.9400000004</v>
      </c>
      <c r="K12" s="61">
        <f>SUMIF($V$3:$CH$3,"&lt;"&amp;Datos!$C$20,V12:CH12)</f>
        <v>0</v>
      </c>
      <c r="L12" s="71">
        <f t="shared" si="16"/>
        <v>0</v>
      </c>
      <c r="M12" s="928">
        <f>LOOKUP(Datos!$C$20,'Cant. Ejec,'!$V$3:$BB$3,'Cant. Ejec,'!$V12:$BB12)</f>
        <v>0</v>
      </c>
      <c r="N12" s="896">
        <f t="shared" si="17"/>
        <v>0</v>
      </c>
      <c r="O12" s="61">
        <f t="shared" si="18"/>
        <v>0</v>
      </c>
      <c r="P12" s="896">
        <f t="shared" si="19"/>
        <v>0</v>
      </c>
      <c r="Q12" s="61">
        <f t="shared" si="20"/>
        <v>41713.949999999997</v>
      </c>
      <c r="R12" s="896">
        <f t="shared" si="21"/>
        <v>7977792.9400000004</v>
      </c>
      <c r="S12" s="792">
        <f t="shared" si="35"/>
        <v>0</v>
      </c>
      <c r="T12" s="792">
        <f t="shared" si="22"/>
        <v>0</v>
      </c>
      <c r="U12" s="1184">
        <f t="shared" si="23"/>
        <v>1</v>
      </c>
      <c r="V12" s="1202"/>
      <c r="W12" s="1203">
        <f t="shared" si="24"/>
        <v>0</v>
      </c>
      <c r="X12" s="1204">
        <f t="shared" si="0"/>
        <v>0</v>
      </c>
      <c r="Y12" s="1202"/>
      <c r="Z12" s="1203">
        <f t="shared" si="25"/>
        <v>0</v>
      </c>
      <c r="AA12" s="1204">
        <f t="shared" si="1"/>
        <v>0</v>
      </c>
      <c r="AB12" s="1202"/>
      <c r="AC12" s="1203">
        <f t="shared" si="26"/>
        <v>0</v>
      </c>
      <c r="AD12" s="1204">
        <f t="shared" si="2"/>
        <v>0</v>
      </c>
      <c r="AE12" s="1202"/>
      <c r="AF12" s="1203">
        <f t="shared" si="27"/>
        <v>0</v>
      </c>
      <c r="AG12" s="1204">
        <f t="shared" si="3"/>
        <v>0</v>
      </c>
      <c r="AH12" s="1202"/>
      <c r="AI12" s="1203">
        <f t="shared" si="28"/>
        <v>0</v>
      </c>
      <c r="AJ12" s="1204">
        <f t="shared" si="4"/>
        <v>0</v>
      </c>
      <c r="AK12" s="1202"/>
      <c r="AL12" s="1203">
        <f t="shared" si="29"/>
        <v>0</v>
      </c>
      <c r="AM12" s="1204">
        <f t="shared" si="5"/>
        <v>0</v>
      </c>
      <c r="AN12" s="1202"/>
      <c r="AO12" s="1203">
        <f t="shared" si="30"/>
        <v>0</v>
      </c>
      <c r="AP12" s="1204">
        <f t="shared" si="6"/>
        <v>0</v>
      </c>
      <c r="AQ12" s="1202"/>
      <c r="AR12" s="1203">
        <f t="shared" si="31"/>
        <v>0</v>
      </c>
      <c r="AS12" s="1204">
        <f t="shared" si="7"/>
        <v>0</v>
      </c>
      <c r="AT12" s="1202"/>
      <c r="AU12" s="1203">
        <f t="shared" si="32"/>
        <v>0</v>
      </c>
      <c r="AV12" s="1204">
        <f t="shared" si="8"/>
        <v>0</v>
      </c>
      <c r="AW12" s="1202"/>
      <c r="AX12" s="1203">
        <f t="shared" si="33"/>
        <v>0</v>
      </c>
      <c r="AY12" s="1204">
        <f t="shared" si="9"/>
        <v>0</v>
      </c>
      <c r="AZ12" s="1202"/>
      <c r="BA12" s="1203">
        <f t="shared" si="34"/>
        <v>0</v>
      </c>
      <c r="BB12" s="1204">
        <f t="shared" si="10"/>
        <v>0</v>
      </c>
      <c r="BC12" s="1433">
        <f t="shared" si="11"/>
        <v>0</v>
      </c>
    </row>
    <row r="13" spans="1:55" ht="13.8">
      <c r="A13" s="888" t="e">
        <f t="shared" si="12"/>
        <v>#REF!</v>
      </c>
      <c r="B13" s="889">
        <f t="shared" si="13"/>
        <v>0</v>
      </c>
      <c r="C13" s="891" t="e">
        <f t="shared" si="14"/>
        <v>#REF!</v>
      </c>
      <c r="D13" s="892" t="str">
        <f t="shared" si="36"/>
        <v>2. PAVIMENTACION</v>
      </c>
      <c r="E13" s="937">
        <v>7</v>
      </c>
      <c r="F13" s="772" t="s">
        <v>517</v>
      </c>
      <c r="G13" s="925" t="s">
        <v>287</v>
      </c>
      <c r="H13" s="926">
        <v>17411.04</v>
      </c>
      <c r="I13" s="927">
        <v>594.04999999999995</v>
      </c>
      <c r="J13" s="66">
        <f t="shared" si="15"/>
        <v>10343028.310000001</v>
      </c>
      <c r="K13" s="61">
        <f>SUMIF($V$3:$CH$3,"&lt;"&amp;Datos!$C$20,V13:CH13)</f>
        <v>0</v>
      </c>
      <c r="L13" s="71">
        <f t="shared" si="16"/>
        <v>0</v>
      </c>
      <c r="M13" s="928">
        <f>LOOKUP(Datos!$C$20,'Cant. Ejec,'!$V$3:$BB$3,'Cant. Ejec,'!$V13:$BB13)</f>
        <v>0</v>
      </c>
      <c r="N13" s="896">
        <f t="shared" si="17"/>
        <v>0</v>
      </c>
      <c r="O13" s="61">
        <f t="shared" si="18"/>
        <v>0</v>
      </c>
      <c r="P13" s="896">
        <f t="shared" si="19"/>
        <v>0</v>
      </c>
      <c r="Q13" s="61">
        <f t="shared" si="20"/>
        <v>17411.04</v>
      </c>
      <c r="R13" s="896">
        <f t="shared" si="21"/>
        <v>10343028.310000001</v>
      </c>
      <c r="S13" s="792">
        <f t="shared" si="35"/>
        <v>0</v>
      </c>
      <c r="T13" s="792">
        <f t="shared" si="22"/>
        <v>0</v>
      </c>
      <c r="U13" s="1184">
        <f t="shared" si="23"/>
        <v>1</v>
      </c>
      <c r="V13" s="1202"/>
      <c r="W13" s="1203">
        <f t="shared" si="24"/>
        <v>0</v>
      </c>
      <c r="X13" s="1204">
        <f t="shared" si="0"/>
        <v>0</v>
      </c>
      <c r="Y13" s="1202"/>
      <c r="Z13" s="1203">
        <f t="shared" si="25"/>
        <v>0</v>
      </c>
      <c r="AA13" s="1204">
        <f t="shared" si="1"/>
        <v>0</v>
      </c>
      <c r="AB13" s="1202"/>
      <c r="AC13" s="1203">
        <f t="shared" si="26"/>
        <v>0</v>
      </c>
      <c r="AD13" s="1204">
        <f t="shared" si="2"/>
        <v>0</v>
      </c>
      <c r="AE13" s="1202"/>
      <c r="AF13" s="1203">
        <f t="shared" si="27"/>
        <v>0</v>
      </c>
      <c r="AG13" s="1204">
        <f t="shared" si="3"/>
        <v>0</v>
      </c>
      <c r="AH13" s="1202"/>
      <c r="AI13" s="1203">
        <f t="shared" si="28"/>
        <v>0</v>
      </c>
      <c r="AJ13" s="1204">
        <f t="shared" si="4"/>
        <v>0</v>
      </c>
      <c r="AK13" s="1202"/>
      <c r="AL13" s="1203">
        <f t="shared" si="29"/>
        <v>0</v>
      </c>
      <c r="AM13" s="1204">
        <f t="shared" si="5"/>
        <v>0</v>
      </c>
      <c r="AN13" s="1202"/>
      <c r="AO13" s="1203">
        <f t="shared" si="30"/>
        <v>0</v>
      </c>
      <c r="AP13" s="1204">
        <f t="shared" si="6"/>
        <v>0</v>
      </c>
      <c r="AQ13" s="1202"/>
      <c r="AR13" s="1203">
        <f t="shared" si="31"/>
        <v>0</v>
      </c>
      <c r="AS13" s="1204">
        <f t="shared" si="7"/>
        <v>0</v>
      </c>
      <c r="AT13" s="1202"/>
      <c r="AU13" s="1203">
        <f t="shared" si="32"/>
        <v>0</v>
      </c>
      <c r="AV13" s="1204">
        <f t="shared" si="8"/>
        <v>0</v>
      </c>
      <c r="AW13" s="1202"/>
      <c r="AX13" s="1203">
        <f t="shared" si="33"/>
        <v>0</v>
      </c>
      <c r="AY13" s="1204">
        <f t="shared" si="9"/>
        <v>0</v>
      </c>
      <c r="AZ13" s="1202"/>
      <c r="BA13" s="1203">
        <f t="shared" si="34"/>
        <v>0</v>
      </c>
      <c r="BB13" s="1204">
        <f t="shared" si="10"/>
        <v>0</v>
      </c>
      <c r="BC13" s="1433">
        <f t="shared" si="11"/>
        <v>0</v>
      </c>
    </row>
    <row r="14" spans="1:55" ht="13.8">
      <c r="A14" s="888" t="e">
        <f t="shared" si="12"/>
        <v>#REF!</v>
      </c>
      <c r="B14" s="889">
        <f t="shared" si="13"/>
        <v>0</v>
      </c>
      <c r="C14" s="891" t="e">
        <f t="shared" si="14"/>
        <v>#REF!</v>
      </c>
      <c r="D14" s="892" t="str">
        <f t="shared" si="36"/>
        <v>2. PAVIMENTACION</v>
      </c>
      <c r="E14" s="937">
        <v>8</v>
      </c>
      <c r="F14" s="772" t="s">
        <v>518</v>
      </c>
      <c r="G14" s="925" t="s">
        <v>174</v>
      </c>
      <c r="H14" s="926">
        <v>399003</v>
      </c>
      <c r="I14" s="927">
        <v>12.04</v>
      </c>
      <c r="J14" s="66">
        <f t="shared" si="15"/>
        <v>4803996.12</v>
      </c>
      <c r="K14" s="61">
        <f>SUMIF($V$3:$CH$3,"&lt;"&amp;Datos!$C$20,V14:CH14)</f>
        <v>0</v>
      </c>
      <c r="L14" s="71">
        <f t="shared" si="16"/>
        <v>0</v>
      </c>
      <c r="M14" s="928">
        <f>LOOKUP(Datos!$C$20,'Cant. Ejec,'!$V$3:$BB$3,'Cant. Ejec,'!$V14:$BB14)</f>
        <v>0</v>
      </c>
      <c r="N14" s="896">
        <f t="shared" si="17"/>
        <v>0</v>
      </c>
      <c r="O14" s="61">
        <f t="shared" si="18"/>
        <v>0</v>
      </c>
      <c r="P14" s="896">
        <f t="shared" si="19"/>
        <v>0</v>
      </c>
      <c r="Q14" s="61">
        <f t="shared" si="20"/>
        <v>399003</v>
      </c>
      <c r="R14" s="896">
        <f t="shared" si="21"/>
        <v>4803996.12</v>
      </c>
      <c r="S14" s="792">
        <f t="shared" si="35"/>
        <v>0</v>
      </c>
      <c r="T14" s="792">
        <f t="shared" si="22"/>
        <v>0</v>
      </c>
      <c r="U14" s="1184">
        <f t="shared" si="23"/>
        <v>1</v>
      </c>
      <c r="V14" s="1202"/>
      <c r="W14" s="1203">
        <f t="shared" si="24"/>
        <v>0</v>
      </c>
      <c r="X14" s="1204">
        <f t="shared" si="0"/>
        <v>0</v>
      </c>
      <c r="Y14" s="1202"/>
      <c r="Z14" s="1203">
        <f t="shared" si="25"/>
        <v>0</v>
      </c>
      <c r="AA14" s="1204">
        <f t="shared" si="1"/>
        <v>0</v>
      </c>
      <c r="AB14" s="1202"/>
      <c r="AC14" s="1203">
        <f t="shared" si="26"/>
        <v>0</v>
      </c>
      <c r="AD14" s="1204">
        <f t="shared" si="2"/>
        <v>0</v>
      </c>
      <c r="AE14" s="1202"/>
      <c r="AF14" s="1203">
        <f t="shared" si="27"/>
        <v>0</v>
      </c>
      <c r="AG14" s="1204">
        <f t="shared" si="3"/>
        <v>0</v>
      </c>
      <c r="AH14" s="1202"/>
      <c r="AI14" s="1203">
        <f t="shared" si="28"/>
        <v>0</v>
      </c>
      <c r="AJ14" s="1204">
        <f t="shared" si="4"/>
        <v>0</v>
      </c>
      <c r="AK14" s="1202"/>
      <c r="AL14" s="1203">
        <f t="shared" si="29"/>
        <v>0</v>
      </c>
      <c r="AM14" s="1204">
        <f t="shared" si="5"/>
        <v>0</v>
      </c>
      <c r="AN14" s="1202"/>
      <c r="AO14" s="1203">
        <f t="shared" si="30"/>
        <v>0</v>
      </c>
      <c r="AP14" s="1204">
        <f t="shared" si="6"/>
        <v>0</v>
      </c>
      <c r="AQ14" s="1202"/>
      <c r="AR14" s="1203">
        <f t="shared" si="31"/>
        <v>0</v>
      </c>
      <c r="AS14" s="1204">
        <f t="shared" si="7"/>
        <v>0</v>
      </c>
      <c r="AT14" s="1202"/>
      <c r="AU14" s="1203">
        <f t="shared" si="32"/>
        <v>0</v>
      </c>
      <c r="AV14" s="1204">
        <f t="shared" si="8"/>
        <v>0</v>
      </c>
      <c r="AW14" s="1202"/>
      <c r="AX14" s="1203">
        <f t="shared" si="33"/>
        <v>0</v>
      </c>
      <c r="AY14" s="1204">
        <f t="shared" si="9"/>
        <v>0</v>
      </c>
      <c r="AZ14" s="1202"/>
      <c r="BA14" s="1203">
        <f t="shared" si="34"/>
        <v>0</v>
      </c>
      <c r="BB14" s="1204">
        <f t="shared" si="10"/>
        <v>0</v>
      </c>
      <c r="BC14" s="1433">
        <f t="shared" si="11"/>
        <v>0</v>
      </c>
    </row>
    <row r="15" spans="1:55" ht="20.399999999999999">
      <c r="A15" s="888" t="e">
        <f t="shared" si="12"/>
        <v>#REF!</v>
      </c>
      <c r="B15" s="889">
        <f t="shared" si="13"/>
        <v>0</v>
      </c>
      <c r="C15" s="891" t="e">
        <f t="shared" si="14"/>
        <v>#REF!</v>
      </c>
      <c r="D15" s="892" t="str">
        <f t="shared" si="36"/>
        <v>2. PAVIMENTACION</v>
      </c>
      <c r="E15" s="937">
        <v>9</v>
      </c>
      <c r="F15" s="772" t="s">
        <v>519</v>
      </c>
      <c r="G15" s="925" t="s">
        <v>520</v>
      </c>
      <c r="H15" s="926">
        <v>2437.5500000000002</v>
      </c>
      <c r="I15" s="927">
        <v>9167.4599999999991</v>
      </c>
      <c r="J15" s="66">
        <f>ROUND(H15*I15,2)</f>
        <v>22346142.120000001</v>
      </c>
      <c r="K15" s="61">
        <f>SUMIF($V$3:$CH$3,"&lt;"&amp;Datos!$C$20,V15:CH15)</f>
        <v>0</v>
      </c>
      <c r="L15" s="71">
        <f t="shared" si="16"/>
        <v>0</v>
      </c>
      <c r="M15" s="928">
        <f>LOOKUP(Datos!$C$20,'Cant. Ejec,'!$V$3:$BB$3,'Cant. Ejec,'!$V15:$BB15)</f>
        <v>0</v>
      </c>
      <c r="N15" s="896">
        <f t="shared" si="17"/>
        <v>0</v>
      </c>
      <c r="O15" s="61">
        <f t="shared" si="18"/>
        <v>0</v>
      </c>
      <c r="P15" s="896">
        <f t="shared" si="19"/>
        <v>0</v>
      </c>
      <c r="Q15" s="61">
        <f t="shared" si="20"/>
        <v>2437.5500000000002</v>
      </c>
      <c r="R15" s="896">
        <f t="shared" si="21"/>
        <v>22346142.120000001</v>
      </c>
      <c r="S15" s="792">
        <f t="shared" si="35"/>
        <v>0</v>
      </c>
      <c r="T15" s="792">
        <f t="shared" si="22"/>
        <v>0</v>
      </c>
      <c r="U15" s="1184">
        <f t="shared" si="23"/>
        <v>1</v>
      </c>
      <c r="V15" s="1202"/>
      <c r="W15" s="1203">
        <f t="shared" si="24"/>
        <v>0</v>
      </c>
      <c r="X15" s="1204">
        <f t="shared" si="0"/>
        <v>0</v>
      </c>
      <c r="Y15" s="1202"/>
      <c r="Z15" s="1203">
        <f t="shared" si="25"/>
        <v>0</v>
      </c>
      <c r="AA15" s="1204">
        <f t="shared" si="1"/>
        <v>0</v>
      </c>
      <c r="AB15" s="1202"/>
      <c r="AC15" s="1203">
        <f t="shared" si="26"/>
        <v>0</v>
      </c>
      <c r="AD15" s="1204">
        <f t="shared" si="2"/>
        <v>0</v>
      </c>
      <c r="AE15" s="1202"/>
      <c r="AF15" s="1203">
        <f t="shared" si="27"/>
        <v>0</v>
      </c>
      <c r="AG15" s="1204">
        <f t="shared" si="3"/>
        <v>0</v>
      </c>
      <c r="AH15" s="1202"/>
      <c r="AI15" s="1203">
        <f t="shared" si="28"/>
        <v>0</v>
      </c>
      <c r="AJ15" s="1204">
        <f t="shared" si="4"/>
        <v>0</v>
      </c>
      <c r="AK15" s="1202"/>
      <c r="AL15" s="1203">
        <f t="shared" si="29"/>
        <v>0</v>
      </c>
      <c r="AM15" s="1204">
        <f t="shared" si="5"/>
        <v>0</v>
      </c>
      <c r="AN15" s="1202"/>
      <c r="AO15" s="1203">
        <f t="shared" si="30"/>
        <v>0</v>
      </c>
      <c r="AP15" s="1204">
        <f t="shared" si="6"/>
        <v>0</v>
      </c>
      <c r="AQ15" s="1202"/>
      <c r="AR15" s="1203">
        <f t="shared" si="31"/>
        <v>0</v>
      </c>
      <c r="AS15" s="1204">
        <f t="shared" si="7"/>
        <v>0</v>
      </c>
      <c r="AT15" s="1202"/>
      <c r="AU15" s="1203">
        <f t="shared" si="32"/>
        <v>0</v>
      </c>
      <c r="AV15" s="1204">
        <f t="shared" si="8"/>
        <v>0</v>
      </c>
      <c r="AW15" s="1202"/>
      <c r="AX15" s="1203">
        <f t="shared" si="33"/>
        <v>0</v>
      </c>
      <c r="AY15" s="1204">
        <f t="shared" si="9"/>
        <v>0</v>
      </c>
      <c r="AZ15" s="1202"/>
      <c r="BA15" s="1203">
        <f t="shared" si="34"/>
        <v>0</v>
      </c>
      <c r="BB15" s="1204">
        <f t="shared" si="10"/>
        <v>0</v>
      </c>
      <c r="BC15" s="1433">
        <f t="shared" si="11"/>
        <v>0</v>
      </c>
    </row>
    <row r="16" spans="1:55" ht="13.8">
      <c r="A16" s="888" t="e">
        <f t="shared" si="12"/>
        <v>#REF!</v>
      </c>
      <c r="B16" s="889">
        <f t="shared" si="13"/>
        <v>0</v>
      </c>
      <c r="C16" s="891" t="e">
        <f t="shared" si="14"/>
        <v>#REF!</v>
      </c>
      <c r="D16" s="892" t="str">
        <f t="shared" si="36"/>
        <v>2. PAVIMENTACION</v>
      </c>
      <c r="E16" s="937">
        <v>10</v>
      </c>
      <c r="F16" s="772" t="s">
        <v>521</v>
      </c>
      <c r="G16" s="925" t="s">
        <v>647</v>
      </c>
      <c r="H16" s="926">
        <v>510143.47</v>
      </c>
      <c r="I16" s="927">
        <v>2.72</v>
      </c>
      <c r="J16" s="66">
        <f t="shared" si="15"/>
        <v>1387590.24</v>
      </c>
      <c r="K16" s="61">
        <f>SUMIF($V$3:$CH$3,"&lt;"&amp;Datos!$C$20,V16:CH16)</f>
        <v>0</v>
      </c>
      <c r="L16" s="71">
        <f t="shared" si="16"/>
        <v>0</v>
      </c>
      <c r="M16" s="928">
        <f>LOOKUP(Datos!$C$20,'Cant. Ejec,'!$V$3:$BB$3,'Cant. Ejec,'!$V16:$BB16)</f>
        <v>0</v>
      </c>
      <c r="N16" s="896">
        <f t="shared" si="17"/>
        <v>0</v>
      </c>
      <c r="O16" s="61">
        <f t="shared" si="18"/>
        <v>0</v>
      </c>
      <c r="P16" s="896">
        <f t="shared" si="19"/>
        <v>0</v>
      </c>
      <c r="Q16" s="61">
        <f t="shared" si="20"/>
        <v>510143.47</v>
      </c>
      <c r="R16" s="896">
        <f t="shared" si="21"/>
        <v>1387590.24</v>
      </c>
      <c r="S16" s="792">
        <f t="shared" si="35"/>
        <v>0</v>
      </c>
      <c r="T16" s="792">
        <f t="shared" si="22"/>
        <v>0</v>
      </c>
      <c r="U16" s="1184">
        <f t="shared" si="23"/>
        <v>1</v>
      </c>
      <c r="V16" s="1202"/>
      <c r="W16" s="1203">
        <f t="shared" si="24"/>
        <v>0</v>
      </c>
      <c r="X16" s="1204">
        <f t="shared" si="0"/>
        <v>0</v>
      </c>
      <c r="Y16" s="1202"/>
      <c r="Z16" s="1203">
        <f t="shared" si="25"/>
        <v>0</v>
      </c>
      <c r="AA16" s="1204">
        <f t="shared" si="1"/>
        <v>0</v>
      </c>
      <c r="AB16" s="1202"/>
      <c r="AC16" s="1203">
        <f t="shared" si="26"/>
        <v>0</v>
      </c>
      <c r="AD16" s="1204">
        <f t="shared" si="2"/>
        <v>0</v>
      </c>
      <c r="AE16" s="1202"/>
      <c r="AF16" s="1203">
        <f t="shared" si="27"/>
        <v>0</v>
      </c>
      <c r="AG16" s="1204">
        <f t="shared" si="3"/>
        <v>0</v>
      </c>
      <c r="AH16" s="1202"/>
      <c r="AI16" s="1203">
        <f t="shared" si="28"/>
        <v>0</v>
      </c>
      <c r="AJ16" s="1204">
        <f t="shared" si="4"/>
        <v>0</v>
      </c>
      <c r="AK16" s="1202"/>
      <c r="AL16" s="1203">
        <f t="shared" si="29"/>
        <v>0</v>
      </c>
      <c r="AM16" s="1204">
        <f t="shared" si="5"/>
        <v>0</v>
      </c>
      <c r="AN16" s="1202"/>
      <c r="AO16" s="1203">
        <f t="shared" si="30"/>
        <v>0</v>
      </c>
      <c r="AP16" s="1204">
        <f t="shared" si="6"/>
        <v>0</v>
      </c>
      <c r="AQ16" s="1202"/>
      <c r="AR16" s="1203">
        <f t="shared" si="31"/>
        <v>0</v>
      </c>
      <c r="AS16" s="1204">
        <f t="shared" si="7"/>
        <v>0</v>
      </c>
      <c r="AT16" s="1202"/>
      <c r="AU16" s="1203">
        <f t="shared" si="32"/>
        <v>0</v>
      </c>
      <c r="AV16" s="1204">
        <f t="shared" si="8"/>
        <v>0</v>
      </c>
      <c r="AW16" s="1202"/>
      <c r="AX16" s="1203">
        <f t="shared" si="33"/>
        <v>0</v>
      </c>
      <c r="AY16" s="1204">
        <f t="shared" si="9"/>
        <v>0</v>
      </c>
      <c r="AZ16" s="1202"/>
      <c r="BA16" s="1203">
        <f t="shared" si="34"/>
        <v>0</v>
      </c>
      <c r="BB16" s="1204">
        <f t="shared" si="10"/>
        <v>0</v>
      </c>
      <c r="BC16" s="1433">
        <f t="shared" si="11"/>
        <v>0</v>
      </c>
    </row>
    <row r="17" spans="1:55" ht="13.8">
      <c r="A17" s="888" t="e">
        <f t="shared" si="12"/>
        <v>#REF!</v>
      </c>
      <c r="B17" s="889">
        <f t="shared" si="13"/>
        <v>0</v>
      </c>
      <c r="C17" s="891" t="e">
        <f t="shared" si="14"/>
        <v>#REF!</v>
      </c>
      <c r="D17" s="892" t="str">
        <f t="shared" si="36"/>
        <v>2. PAVIMENTACION</v>
      </c>
      <c r="E17" s="937">
        <v>11</v>
      </c>
      <c r="F17" s="772" t="s">
        <v>522</v>
      </c>
      <c r="G17" s="925" t="s">
        <v>647</v>
      </c>
      <c r="H17" s="926">
        <v>1222218.74</v>
      </c>
      <c r="I17" s="927">
        <v>2.72</v>
      </c>
      <c r="J17" s="66">
        <f t="shared" si="15"/>
        <v>3324434.97</v>
      </c>
      <c r="K17" s="61">
        <f>SUMIF($V$3:$CH$3,"&lt;"&amp;Datos!$C$20,V17:CH17)</f>
        <v>0</v>
      </c>
      <c r="L17" s="71">
        <f t="shared" si="16"/>
        <v>0</v>
      </c>
      <c r="M17" s="928">
        <f>LOOKUP(Datos!$C$20,'Cant. Ejec,'!$V$3:$BB$3,'Cant. Ejec,'!$V17:$BB17)</f>
        <v>0</v>
      </c>
      <c r="N17" s="896">
        <f t="shared" si="17"/>
        <v>0</v>
      </c>
      <c r="O17" s="61">
        <f t="shared" si="18"/>
        <v>0</v>
      </c>
      <c r="P17" s="896">
        <f t="shared" si="19"/>
        <v>0</v>
      </c>
      <c r="Q17" s="61">
        <f t="shared" si="20"/>
        <v>1222218.74</v>
      </c>
      <c r="R17" s="896">
        <f t="shared" si="21"/>
        <v>3324434.97</v>
      </c>
      <c r="S17" s="932">
        <f t="shared" si="35"/>
        <v>0</v>
      </c>
      <c r="T17" s="932">
        <f t="shared" si="22"/>
        <v>0</v>
      </c>
      <c r="U17" s="1185">
        <f t="shared" si="23"/>
        <v>1</v>
      </c>
      <c r="V17" s="1202"/>
      <c r="W17" s="1203">
        <f t="shared" si="24"/>
        <v>0</v>
      </c>
      <c r="X17" s="1204">
        <f t="shared" si="0"/>
        <v>0</v>
      </c>
      <c r="Y17" s="1202"/>
      <c r="Z17" s="1203">
        <f t="shared" si="25"/>
        <v>0</v>
      </c>
      <c r="AA17" s="1204">
        <f t="shared" si="1"/>
        <v>0</v>
      </c>
      <c r="AB17" s="1202"/>
      <c r="AC17" s="1203">
        <f t="shared" si="26"/>
        <v>0</v>
      </c>
      <c r="AD17" s="1204">
        <f t="shared" si="2"/>
        <v>0</v>
      </c>
      <c r="AE17" s="1202"/>
      <c r="AF17" s="1203">
        <f t="shared" si="27"/>
        <v>0</v>
      </c>
      <c r="AG17" s="1204">
        <f t="shared" si="3"/>
        <v>0</v>
      </c>
      <c r="AH17" s="1202"/>
      <c r="AI17" s="1203">
        <f t="shared" si="28"/>
        <v>0</v>
      </c>
      <c r="AJ17" s="1204">
        <f t="shared" si="4"/>
        <v>0</v>
      </c>
      <c r="AK17" s="1202"/>
      <c r="AL17" s="1203">
        <f t="shared" si="29"/>
        <v>0</v>
      </c>
      <c r="AM17" s="1204">
        <f t="shared" si="5"/>
        <v>0</v>
      </c>
      <c r="AN17" s="1202"/>
      <c r="AO17" s="1203">
        <f t="shared" si="30"/>
        <v>0</v>
      </c>
      <c r="AP17" s="1204">
        <f t="shared" si="6"/>
        <v>0</v>
      </c>
      <c r="AQ17" s="1202"/>
      <c r="AR17" s="1203">
        <f t="shared" si="31"/>
        <v>0</v>
      </c>
      <c r="AS17" s="1204">
        <f t="shared" si="7"/>
        <v>0</v>
      </c>
      <c r="AT17" s="1202"/>
      <c r="AU17" s="1203">
        <f t="shared" si="32"/>
        <v>0</v>
      </c>
      <c r="AV17" s="1204">
        <f t="shared" si="8"/>
        <v>0</v>
      </c>
      <c r="AW17" s="1202"/>
      <c r="AX17" s="1203">
        <f t="shared" si="33"/>
        <v>0</v>
      </c>
      <c r="AY17" s="1204">
        <f t="shared" si="9"/>
        <v>0</v>
      </c>
      <c r="AZ17" s="1202"/>
      <c r="BA17" s="1203">
        <f t="shared" si="34"/>
        <v>0</v>
      </c>
      <c r="BB17" s="1204">
        <f t="shared" si="10"/>
        <v>0</v>
      </c>
      <c r="BC17" s="1433">
        <f t="shared" si="11"/>
        <v>0</v>
      </c>
    </row>
    <row r="18" spans="1:55" ht="13.5" customHeight="1">
      <c r="A18" s="888" t="e">
        <f>+IF(B18&gt;0,B18+#REF!,IF(C18&gt;#REF!,C18,0))</f>
        <v>#REF!</v>
      </c>
      <c r="B18" s="889" t="e">
        <f>+IF(#REF!&gt;=0.01,1,0)</f>
        <v>#REF!</v>
      </c>
      <c r="C18" s="891" t="e">
        <f>+B18+#REF!</f>
        <v>#REF!</v>
      </c>
      <c r="D18" s="892"/>
      <c r="E18" s="936" t="s">
        <v>596</v>
      </c>
      <c r="F18" s="902" t="s">
        <v>524</v>
      </c>
      <c r="G18" s="950"/>
      <c r="H18" s="951"/>
      <c r="I18" s="952"/>
      <c r="J18" s="953">
        <f>SUM(J19:J24)</f>
        <v>18406118.689999998</v>
      </c>
      <c r="K18" s="954"/>
      <c r="L18" s="953">
        <f>SUM(L19:L24)</f>
        <v>0</v>
      </c>
      <c r="M18" s="955"/>
      <c r="N18" s="953">
        <f>SUM(N19:N24)</f>
        <v>0</v>
      </c>
      <c r="O18" s="954"/>
      <c r="P18" s="953">
        <f>SUM(P19:P24)</f>
        <v>0</v>
      </c>
      <c r="Q18" s="955"/>
      <c r="R18" s="953">
        <f>SUM(R19:R24)</f>
        <v>18406118.689999998</v>
      </c>
      <c r="S18" s="976">
        <f>(N18/J18)</f>
        <v>0</v>
      </c>
      <c r="T18" s="1076">
        <f>(P18/J18)</f>
        <v>0</v>
      </c>
      <c r="U18" s="1183">
        <f>(R18/J18)</f>
        <v>1</v>
      </c>
      <c r="V18" s="1196"/>
      <c r="W18" s="1197">
        <f>SUM(W19:W24)</f>
        <v>0</v>
      </c>
      <c r="X18" s="1198">
        <f t="shared" si="0"/>
        <v>0</v>
      </c>
      <c r="Y18" s="1196"/>
      <c r="Z18" s="1197">
        <f>SUM(Z19:Z24)</f>
        <v>0</v>
      </c>
      <c r="AA18" s="1198">
        <f t="shared" si="1"/>
        <v>0</v>
      </c>
      <c r="AB18" s="1196"/>
      <c r="AC18" s="1197">
        <f>SUM(AC19:AC24)</f>
        <v>0</v>
      </c>
      <c r="AD18" s="1198">
        <f t="shared" si="2"/>
        <v>0</v>
      </c>
      <c r="AE18" s="1196"/>
      <c r="AF18" s="1197">
        <f>SUM(AF19:AF24)</f>
        <v>0</v>
      </c>
      <c r="AG18" s="1198">
        <f t="shared" si="3"/>
        <v>0</v>
      </c>
      <c r="AH18" s="1196"/>
      <c r="AI18" s="1197">
        <f>SUM(AI19:AI24)</f>
        <v>0</v>
      </c>
      <c r="AJ18" s="1198">
        <f t="shared" si="4"/>
        <v>0</v>
      </c>
      <c r="AK18" s="1196"/>
      <c r="AL18" s="1197">
        <f>SUM(AL19:AL24)</f>
        <v>0</v>
      </c>
      <c r="AM18" s="1198">
        <f t="shared" si="5"/>
        <v>0</v>
      </c>
      <c r="AN18" s="1196"/>
      <c r="AO18" s="1197">
        <f>SUM(AO19:AO24)</f>
        <v>0</v>
      </c>
      <c r="AP18" s="1198">
        <f t="shared" si="6"/>
        <v>0</v>
      </c>
      <c r="AQ18" s="1196"/>
      <c r="AR18" s="1197">
        <f>SUM(AR19:AR24)</f>
        <v>0</v>
      </c>
      <c r="AS18" s="1198">
        <f t="shared" si="7"/>
        <v>0</v>
      </c>
      <c r="AT18" s="1196"/>
      <c r="AU18" s="1197">
        <f>SUM(AU19:AU24)</f>
        <v>0</v>
      </c>
      <c r="AV18" s="1198">
        <f t="shared" si="8"/>
        <v>0</v>
      </c>
      <c r="AW18" s="1196"/>
      <c r="AX18" s="1197">
        <f>SUM(AX19:AX24)</f>
        <v>0</v>
      </c>
      <c r="AY18" s="1198">
        <f t="shared" si="9"/>
        <v>0</v>
      </c>
      <c r="AZ18" s="1196"/>
      <c r="BA18" s="1197">
        <f>SUM(BA19:BA24)</f>
        <v>0</v>
      </c>
      <c r="BB18" s="1198">
        <f t="shared" si="10"/>
        <v>0</v>
      </c>
      <c r="BC18" s="1433">
        <f t="shared" si="11"/>
        <v>0</v>
      </c>
    </row>
    <row r="19" spans="1:55" ht="13.8">
      <c r="A19" s="888" t="e">
        <f t="shared" si="12"/>
        <v>#REF!</v>
      </c>
      <c r="B19" s="889">
        <f t="shared" si="13"/>
        <v>0</v>
      </c>
      <c r="C19" s="891" t="e">
        <f t="shared" si="14"/>
        <v>#REF!</v>
      </c>
      <c r="D19" s="892" t="str">
        <f t="shared" ref="D19:D26" si="37">+E18&amp;". "&amp;F18</f>
        <v>3. REHABILITACION Y MANTENIMIENTO</v>
      </c>
      <c r="E19" s="937">
        <v>12</v>
      </c>
      <c r="F19" s="772" t="s">
        <v>525</v>
      </c>
      <c r="G19" s="925" t="s">
        <v>290</v>
      </c>
      <c r="H19" s="926">
        <v>61360</v>
      </c>
      <c r="I19" s="927">
        <v>18.399999999999999</v>
      </c>
      <c r="J19" s="66">
        <f t="shared" ref="J19:J24" si="38">ROUND(H19*I19,2)</f>
        <v>1129024</v>
      </c>
      <c r="K19" s="61">
        <f>SUMIF($V$3:$CH$3,"&lt;"&amp;Datos!$C$20,V19:CH19)</f>
        <v>0</v>
      </c>
      <c r="L19" s="71">
        <f t="shared" ref="L19:L24" si="39">+ROUND(I19*K19,2)</f>
        <v>0</v>
      </c>
      <c r="M19" s="928">
        <f>LOOKUP(Datos!$C$20,'Cant. Ejec,'!$V$3:$BB$3,'Cant. Ejec,'!$V19:$BB19)</f>
        <v>0</v>
      </c>
      <c r="N19" s="896">
        <f t="shared" ref="N19:N24" si="40">+ROUND(I19*M19,2)</f>
        <v>0</v>
      </c>
      <c r="O19" s="61">
        <f t="shared" ref="O19:O24" si="41">K19+M19</f>
        <v>0</v>
      </c>
      <c r="P19" s="896">
        <f t="shared" ref="P19:P24" si="42">L19+N19</f>
        <v>0</v>
      </c>
      <c r="Q19" s="61">
        <f t="shared" ref="Q19:Q24" si="43">H19-O19</f>
        <v>61360</v>
      </c>
      <c r="R19" s="896">
        <f t="shared" ref="R19:R24" si="44">+J19-P19</f>
        <v>1129024</v>
      </c>
      <c r="S19" s="792">
        <f t="shared" ref="S19:S24" si="45">(N19/J19)</f>
        <v>0</v>
      </c>
      <c r="T19" s="792">
        <f t="shared" ref="T19:T24" si="46">(P19/J19)</f>
        <v>0</v>
      </c>
      <c r="U19" s="1184">
        <f t="shared" ref="U19:U24" si="47">(R19/J19)</f>
        <v>1</v>
      </c>
      <c r="V19" s="1202"/>
      <c r="W19" s="1203">
        <f t="shared" ref="W19:W24" si="48">ROUND(V19*$I19,2)</f>
        <v>0</v>
      </c>
      <c r="X19" s="1204">
        <f t="shared" si="0"/>
        <v>0</v>
      </c>
      <c r="Y19" s="1202"/>
      <c r="Z19" s="1203">
        <f t="shared" ref="Z19:Z24" si="49">ROUND(Y19*$I19,2)</f>
        <v>0</v>
      </c>
      <c r="AA19" s="1204">
        <f t="shared" si="1"/>
        <v>0</v>
      </c>
      <c r="AB19" s="1202"/>
      <c r="AC19" s="1203">
        <f t="shared" ref="AC19:AC24" si="50">ROUND(AB19*$I19,2)</f>
        <v>0</v>
      </c>
      <c r="AD19" s="1204">
        <f t="shared" si="2"/>
        <v>0</v>
      </c>
      <c r="AE19" s="1202"/>
      <c r="AF19" s="1203">
        <f t="shared" ref="AF19:AF24" si="51">ROUND(AE19*$I19,2)</f>
        <v>0</v>
      </c>
      <c r="AG19" s="1204">
        <f t="shared" si="3"/>
        <v>0</v>
      </c>
      <c r="AH19" s="1202"/>
      <c r="AI19" s="1203">
        <f t="shared" ref="AI19:AI24" si="52">ROUND(AH19*$I19,2)</f>
        <v>0</v>
      </c>
      <c r="AJ19" s="1204">
        <f t="shared" si="4"/>
        <v>0</v>
      </c>
      <c r="AK19" s="1202"/>
      <c r="AL19" s="1203">
        <f t="shared" ref="AL19:AL24" si="53">ROUND(AK19*$I19,2)</f>
        <v>0</v>
      </c>
      <c r="AM19" s="1204">
        <f t="shared" si="5"/>
        <v>0</v>
      </c>
      <c r="AN19" s="1202"/>
      <c r="AO19" s="1203">
        <f t="shared" ref="AO19:AO24" si="54">ROUND(AN19*$I19,2)</f>
        <v>0</v>
      </c>
      <c r="AP19" s="1204">
        <f t="shared" si="6"/>
        <v>0</v>
      </c>
      <c r="AQ19" s="1202"/>
      <c r="AR19" s="1203">
        <f t="shared" ref="AR19:AR24" si="55">ROUND(AQ19*$I19,2)</f>
        <v>0</v>
      </c>
      <c r="AS19" s="1204">
        <f t="shared" si="7"/>
        <v>0</v>
      </c>
      <c r="AT19" s="1202"/>
      <c r="AU19" s="1203">
        <f t="shared" ref="AU19:AU24" si="56">ROUND(AT19*$I19,2)</f>
        <v>0</v>
      </c>
      <c r="AV19" s="1204">
        <f t="shared" si="8"/>
        <v>0</v>
      </c>
      <c r="AW19" s="1202"/>
      <c r="AX19" s="1203">
        <f t="shared" ref="AX19:AX24" si="57">ROUND(AW19*$I19,2)</f>
        <v>0</v>
      </c>
      <c r="AY19" s="1204">
        <f t="shared" si="9"/>
        <v>0</v>
      </c>
      <c r="AZ19" s="1202"/>
      <c r="BA19" s="1203">
        <f t="shared" ref="BA19:BA24" si="58">ROUND(AZ19*$I19,2)</f>
        <v>0</v>
      </c>
      <c r="BB19" s="1204">
        <f t="shared" si="10"/>
        <v>0</v>
      </c>
      <c r="BC19" s="1433">
        <f t="shared" si="11"/>
        <v>0</v>
      </c>
    </row>
    <row r="20" spans="1:55" ht="13.8">
      <c r="A20" s="888" t="e">
        <f t="shared" si="12"/>
        <v>#REF!</v>
      </c>
      <c r="B20" s="889">
        <f t="shared" si="13"/>
        <v>0</v>
      </c>
      <c r="C20" s="891" t="e">
        <f t="shared" si="14"/>
        <v>#REF!</v>
      </c>
      <c r="D20" s="892" t="str">
        <f>+D19</f>
        <v>3. REHABILITACION Y MANTENIMIENTO</v>
      </c>
      <c r="E20" s="937">
        <v>13</v>
      </c>
      <c r="F20" s="772" t="s">
        <v>526</v>
      </c>
      <c r="G20" s="925" t="s">
        <v>288</v>
      </c>
      <c r="H20" s="926">
        <v>9907</v>
      </c>
      <c r="I20" s="927">
        <v>129.19</v>
      </c>
      <c r="J20" s="66">
        <f t="shared" si="38"/>
        <v>1279885.33</v>
      </c>
      <c r="K20" s="61">
        <f>SUMIF($V$3:$CH$3,"&lt;"&amp;Datos!$C$20,V20:CH20)</f>
        <v>0</v>
      </c>
      <c r="L20" s="71">
        <f t="shared" si="39"/>
        <v>0</v>
      </c>
      <c r="M20" s="928">
        <f>LOOKUP(Datos!$C$20,'Cant. Ejec,'!$V$3:$BB$3,'Cant. Ejec,'!$V20:$BB20)</f>
        <v>0</v>
      </c>
      <c r="N20" s="896">
        <f t="shared" si="40"/>
        <v>0</v>
      </c>
      <c r="O20" s="61">
        <f t="shared" si="41"/>
        <v>0</v>
      </c>
      <c r="P20" s="896">
        <f t="shared" si="42"/>
        <v>0</v>
      </c>
      <c r="Q20" s="61">
        <f t="shared" si="43"/>
        <v>9907</v>
      </c>
      <c r="R20" s="896">
        <f t="shared" si="44"/>
        <v>1279885.33</v>
      </c>
      <c r="S20" s="792">
        <f t="shared" si="45"/>
        <v>0</v>
      </c>
      <c r="T20" s="792">
        <f t="shared" si="46"/>
        <v>0</v>
      </c>
      <c r="U20" s="1184">
        <f t="shared" si="47"/>
        <v>1</v>
      </c>
      <c r="V20" s="1202"/>
      <c r="W20" s="1203">
        <f t="shared" si="48"/>
        <v>0</v>
      </c>
      <c r="X20" s="1204">
        <f t="shared" si="0"/>
        <v>0</v>
      </c>
      <c r="Y20" s="1202"/>
      <c r="Z20" s="1203">
        <f t="shared" si="49"/>
        <v>0</v>
      </c>
      <c r="AA20" s="1204">
        <f t="shared" si="1"/>
        <v>0</v>
      </c>
      <c r="AB20" s="1202"/>
      <c r="AC20" s="1203">
        <f t="shared" si="50"/>
        <v>0</v>
      </c>
      <c r="AD20" s="1204">
        <f t="shared" si="2"/>
        <v>0</v>
      </c>
      <c r="AE20" s="1202"/>
      <c r="AF20" s="1203">
        <f t="shared" si="51"/>
        <v>0</v>
      </c>
      <c r="AG20" s="1204">
        <f t="shared" si="3"/>
        <v>0</v>
      </c>
      <c r="AH20" s="1202"/>
      <c r="AI20" s="1203">
        <f t="shared" si="52"/>
        <v>0</v>
      </c>
      <c r="AJ20" s="1204">
        <f t="shared" si="4"/>
        <v>0</v>
      </c>
      <c r="AK20" s="1202"/>
      <c r="AL20" s="1203">
        <f t="shared" si="53"/>
        <v>0</v>
      </c>
      <c r="AM20" s="1204">
        <f t="shared" si="5"/>
        <v>0</v>
      </c>
      <c r="AN20" s="1202"/>
      <c r="AO20" s="1203">
        <f t="shared" si="54"/>
        <v>0</v>
      </c>
      <c r="AP20" s="1204">
        <f t="shared" si="6"/>
        <v>0</v>
      </c>
      <c r="AQ20" s="1202"/>
      <c r="AR20" s="1203">
        <f t="shared" si="55"/>
        <v>0</v>
      </c>
      <c r="AS20" s="1204">
        <f t="shared" si="7"/>
        <v>0</v>
      </c>
      <c r="AT20" s="1202"/>
      <c r="AU20" s="1203">
        <f t="shared" si="56"/>
        <v>0</v>
      </c>
      <c r="AV20" s="1204">
        <f t="shared" si="8"/>
        <v>0</v>
      </c>
      <c r="AW20" s="1202"/>
      <c r="AX20" s="1203">
        <f t="shared" si="57"/>
        <v>0</v>
      </c>
      <c r="AY20" s="1204">
        <f t="shared" si="9"/>
        <v>0</v>
      </c>
      <c r="AZ20" s="1202"/>
      <c r="BA20" s="1203">
        <f t="shared" si="58"/>
        <v>0</v>
      </c>
      <c r="BB20" s="1204">
        <f t="shared" si="10"/>
        <v>0</v>
      </c>
      <c r="BC20" s="1433">
        <f t="shared" si="11"/>
        <v>0</v>
      </c>
    </row>
    <row r="21" spans="1:55" ht="13.8">
      <c r="A21" s="888" t="e">
        <f t="shared" si="12"/>
        <v>#REF!</v>
      </c>
      <c r="B21" s="889">
        <f t="shared" si="13"/>
        <v>0</v>
      </c>
      <c r="C21" s="891" t="e">
        <f t="shared" si="14"/>
        <v>#REF!</v>
      </c>
      <c r="D21" s="892" t="str">
        <f t="shared" ref="D21:D24" si="59">+D20</f>
        <v>3. REHABILITACION Y MANTENIMIENTO</v>
      </c>
      <c r="E21" s="937">
        <v>14</v>
      </c>
      <c r="F21" s="775" t="s">
        <v>527</v>
      </c>
      <c r="G21" s="771" t="s">
        <v>520</v>
      </c>
      <c r="H21" s="36">
        <v>6.14</v>
      </c>
      <c r="I21" s="765">
        <v>8520.98</v>
      </c>
      <c r="J21" s="66">
        <f t="shared" si="38"/>
        <v>52318.82</v>
      </c>
      <c r="K21" s="61">
        <f>SUMIF($V$3:$CH$3,"&lt;"&amp;Datos!$C$20,V21:CH21)</f>
        <v>0</v>
      </c>
      <c r="L21" s="71">
        <f t="shared" si="39"/>
        <v>0</v>
      </c>
      <c r="M21" s="928">
        <f>LOOKUP(Datos!$C$20,'Cant. Ejec,'!$V$3:$BB$3,'Cant. Ejec,'!$V21:$BB21)</f>
        <v>0</v>
      </c>
      <c r="N21" s="896">
        <f t="shared" si="40"/>
        <v>0</v>
      </c>
      <c r="O21" s="61">
        <f t="shared" si="41"/>
        <v>0</v>
      </c>
      <c r="P21" s="896">
        <f t="shared" si="42"/>
        <v>0</v>
      </c>
      <c r="Q21" s="61">
        <f t="shared" si="43"/>
        <v>6.14</v>
      </c>
      <c r="R21" s="896">
        <f t="shared" si="44"/>
        <v>52318.82</v>
      </c>
      <c r="S21" s="792">
        <f t="shared" si="45"/>
        <v>0</v>
      </c>
      <c r="T21" s="792">
        <f t="shared" si="46"/>
        <v>0</v>
      </c>
      <c r="U21" s="1184">
        <f t="shared" si="47"/>
        <v>1</v>
      </c>
      <c r="V21" s="1202"/>
      <c r="W21" s="1203">
        <f t="shared" si="48"/>
        <v>0</v>
      </c>
      <c r="X21" s="1204">
        <f t="shared" si="0"/>
        <v>0</v>
      </c>
      <c r="Y21" s="1202"/>
      <c r="Z21" s="1203">
        <f t="shared" si="49"/>
        <v>0</v>
      </c>
      <c r="AA21" s="1204">
        <f t="shared" si="1"/>
        <v>0</v>
      </c>
      <c r="AB21" s="1202"/>
      <c r="AC21" s="1203">
        <f t="shared" si="50"/>
        <v>0</v>
      </c>
      <c r="AD21" s="1204">
        <f t="shared" si="2"/>
        <v>0</v>
      </c>
      <c r="AE21" s="1202"/>
      <c r="AF21" s="1203">
        <f t="shared" si="51"/>
        <v>0</v>
      </c>
      <c r="AG21" s="1204">
        <f t="shared" si="3"/>
        <v>0</v>
      </c>
      <c r="AH21" s="1202"/>
      <c r="AI21" s="1203">
        <f t="shared" si="52"/>
        <v>0</v>
      </c>
      <c r="AJ21" s="1204">
        <f t="shared" si="4"/>
        <v>0</v>
      </c>
      <c r="AK21" s="1202"/>
      <c r="AL21" s="1203">
        <f t="shared" si="53"/>
        <v>0</v>
      </c>
      <c r="AM21" s="1204">
        <f t="shared" si="5"/>
        <v>0</v>
      </c>
      <c r="AN21" s="1202"/>
      <c r="AO21" s="1203">
        <f t="shared" si="54"/>
        <v>0</v>
      </c>
      <c r="AP21" s="1204">
        <f t="shared" si="6"/>
        <v>0</v>
      </c>
      <c r="AQ21" s="1202"/>
      <c r="AR21" s="1203">
        <f t="shared" si="55"/>
        <v>0</v>
      </c>
      <c r="AS21" s="1204">
        <f t="shared" si="7"/>
        <v>0</v>
      </c>
      <c r="AT21" s="1202"/>
      <c r="AU21" s="1203">
        <f t="shared" si="56"/>
        <v>0</v>
      </c>
      <c r="AV21" s="1204">
        <f t="shared" si="8"/>
        <v>0</v>
      </c>
      <c r="AW21" s="1202"/>
      <c r="AX21" s="1203">
        <f t="shared" si="57"/>
        <v>0</v>
      </c>
      <c r="AY21" s="1204">
        <f t="shared" si="9"/>
        <v>0</v>
      </c>
      <c r="AZ21" s="1202"/>
      <c r="BA21" s="1203">
        <f t="shared" si="58"/>
        <v>0</v>
      </c>
      <c r="BB21" s="1204">
        <f t="shared" si="10"/>
        <v>0</v>
      </c>
      <c r="BC21" s="1433">
        <f t="shared" si="11"/>
        <v>0</v>
      </c>
    </row>
    <row r="22" spans="1:55" ht="13.8">
      <c r="A22" s="888" t="e">
        <f t="shared" si="12"/>
        <v>#REF!</v>
      </c>
      <c r="B22" s="889">
        <f t="shared" si="13"/>
        <v>0</v>
      </c>
      <c r="C22" s="891" t="e">
        <f t="shared" si="14"/>
        <v>#REF!</v>
      </c>
      <c r="D22" s="892" t="str">
        <f t="shared" si="59"/>
        <v>3. REHABILITACION Y MANTENIMIENTO</v>
      </c>
      <c r="E22" s="937">
        <v>15</v>
      </c>
      <c r="F22" s="768" t="s">
        <v>528</v>
      </c>
      <c r="G22" s="771" t="s">
        <v>520</v>
      </c>
      <c r="H22" s="36">
        <v>69.349999999999994</v>
      </c>
      <c r="I22" s="765">
        <v>8520.98</v>
      </c>
      <c r="J22" s="66">
        <f t="shared" si="38"/>
        <v>590929.96</v>
      </c>
      <c r="K22" s="61">
        <f>SUMIF($V$3:$CH$3,"&lt;"&amp;Datos!$C$20,V22:CH22)</f>
        <v>0</v>
      </c>
      <c r="L22" s="71">
        <f t="shared" si="39"/>
        <v>0</v>
      </c>
      <c r="M22" s="928">
        <f>LOOKUP(Datos!$C$20,'Cant. Ejec,'!$V$3:$BB$3,'Cant. Ejec,'!$V22:$BB22)</f>
        <v>0</v>
      </c>
      <c r="N22" s="896">
        <f t="shared" si="40"/>
        <v>0</v>
      </c>
      <c r="O22" s="61">
        <f t="shared" si="41"/>
        <v>0</v>
      </c>
      <c r="P22" s="896">
        <f t="shared" si="42"/>
        <v>0</v>
      </c>
      <c r="Q22" s="61">
        <f t="shared" si="43"/>
        <v>69.349999999999994</v>
      </c>
      <c r="R22" s="896">
        <f t="shared" si="44"/>
        <v>590929.96</v>
      </c>
      <c r="S22" s="792">
        <f t="shared" si="45"/>
        <v>0</v>
      </c>
      <c r="T22" s="792">
        <f t="shared" si="46"/>
        <v>0</v>
      </c>
      <c r="U22" s="1184">
        <f t="shared" si="47"/>
        <v>1</v>
      </c>
      <c r="V22" s="1202"/>
      <c r="W22" s="1203">
        <f t="shared" si="48"/>
        <v>0</v>
      </c>
      <c r="X22" s="1204">
        <f t="shared" si="0"/>
        <v>0</v>
      </c>
      <c r="Y22" s="1202"/>
      <c r="Z22" s="1203">
        <f t="shared" si="49"/>
        <v>0</v>
      </c>
      <c r="AA22" s="1204">
        <f t="shared" si="1"/>
        <v>0</v>
      </c>
      <c r="AB22" s="1202"/>
      <c r="AC22" s="1203">
        <f t="shared" si="50"/>
        <v>0</v>
      </c>
      <c r="AD22" s="1204">
        <f t="shared" si="2"/>
        <v>0</v>
      </c>
      <c r="AE22" s="1202"/>
      <c r="AF22" s="1203">
        <f t="shared" si="51"/>
        <v>0</v>
      </c>
      <c r="AG22" s="1204">
        <f t="shared" si="3"/>
        <v>0</v>
      </c>
      <c r="AH22" s="1202"/>
      <c r="AI22" s="1203">
        <f t="shared" si="52"/>
        <v>0</v>
      </c>
      <c r="AJ22" s="1204">
        <f t="shared" si="4"/>
        <v>0</v>
      </c>
      <c r="AK22" s="1202"/>
      <c r="AL22" s="1203">
        <f t="shared" si="53"/>
        <v>0</v>
      </c>
      <c r="AM22" s="1204">
        <f t="shared" si="5"/>
        <v>0</v>
      </c>
      <c r="AN22" s="1202"/>
      <c r="AO22" s="1203">
        <f t="shared" si="54"/>
        <v>0</v>
      </c>
      <c r="AP22" s="1204">
        <f t="shared" si="6"/>
        <v>0</v>
      </c>
      <c r="AQ22" s="1202"/>
      <c r="AR22" s="1203">
        <f t="shared" si="55"/>
        <v>0</v>
      </c>
      <c r="AS22" s="1204">
        <f t="shared" si="7"/>
        <v>0</v>
      </c>
      <c r="AT22" s="1202"/>
      <c r="AU22" s="1203">
        <f t="shared" si="56"/>
        <v>0</v>
      </c>
      <c r="AV22" s="1204">
        <f t="shared" si="8"/>
        <v>0</v>
      </c>
      <c r="AW22" s="1202"/>
      <c r="AX22" s="1203">
        <f t="shared" si="57"/>
        <v>0</v>
      </c>
      <c r="AY22" s="1204">
        <f t="shared" si="9"/>
        <v>0</v>
      </c>
      <c r="AZ22" s="1202"/>
      <c r="BA22" s="1203">
        <f t="shared" si="58"/>
        <v>0</v>
      </c>
      <c r="BB22" s="1204">
        <f t="shared" si="10"/>
        <v>0</v>
      </c>
      <c r="BC22" s="1433">
        <f t="shared" si="11"/>
        <v>0</v>
      </c>
    </row>
    <row r="23" spans="1:55" ht="13.8">
      <c r="A23" s="888" t="e">
        <f t="shared" si="12"/>
        <v>#REF!</v>
      </c>
      <c r="B23" s="889">
        <f t="shared" si="13"/>
        <v>0</v>
      </c>
      <c r="C23" s="891" t="e">
        <f t="shared" si="14"/>
        <v>#REF!</v>
      </c>
      <c r="D23" s="892" t="str">
        <f t="shared" si="59"/>
        <v>3. REHABILITACION Y MANTENIMIENTO</v>
      </c>
      <c r="E23" s="937">
        <v>16</v>
      </c>
      <c r="F23" s="768" t="s">
        <v>529</v>
      </c>
      <c r="G23" s="771" t="s">
        <v>288</v>
      </c>
      <c r="H23" s="36">
        <v>180894</v>
      </c>
      <c r="I23" s="765">
        <v>65.069999999999993</v>
      </c>
      <c r="J23" s="66">
        <f t="shared" si="38"/>
        <v>11770772.58</v>
      </c>
      <c r="K23" s="61">
        <f>SUMIF($V$3:$CH$3,"&lt;"&amp;Datos!$C$20,V23:CH23)</f>
        <v>0</v>
      </c>
      <c r="L23" s="71">
        <f t="shared" si="39"/>
        <v>0</v>
      </c>
      <c r="M23" s="928">
        <f>LOOKUP(Datos!$C$20,'Cant. Ejec,'!$V$3:$BB$3,'Cant. Ejec,'!$V23:$BB23)</f>
        <v>0</v>
      </c>
      <c r="N23" s="896">
        <f t="shared" si="40"/>
        <v>0</v>
      </c>
      <c r="O23" s="61">
        <f t="shared" si="41"/>
        <v>0</v>
      </c>
      <c r="P23" s="896">
        <f t="shared" si="42"/>
        <v>0</v>
      </c>
      <c r="Q23" s="61">
        <f t="shared" si="43"/>
        <v>180894</v>
      </c>
      <c r="R23" s="896">
        <f t="shared" si="44"/>
        <v>11770772.58</v>
      </c>
      <c r="S23" s="792">
        <f t="shared" si="45"/>
        <v>0</v>
      </c>
      <c r="T23" s="792">
        <f t="shared" si="46"/>
        <v>0</v>
      </c>
      <c r="U23" s="1184">
        <f t="shared" si="47"/>
        <v>1</v>
      </c>
      <c r="V23" s="1202"/>
      <c r="W23" s="1203">
        <f t="shared" si="48"/>
        <v>0</v>
      </c>
      <c r="X23" s="1204">
        <f t="shared" si="0"/>
        <v>0</v>
      </c>
      <c r="Y23" s="1202"/>
      <c r="Z23" s="1203">
        <f t="shared" si="49"/>
        <v>0</v>
      </c>
      <c r="AA23" s="1204">
        <f t="shared" si="1"/>
        <v>0</v>
      </c>
      <c r="AB23" s="1202"/>
      <c r="AC23" s="1203">
        <f t="shared" si="50"/>
        <v>0</v>
      </c>
      <c r="AD23" s="1204">
        <f t="shared" si="2"/>
        <v>0</v>
      </c>
      <c r="AE23" s="1202"/>
      <c r="AF23" s="1203">
        <f t="shared" si="51"/>
        <v>0</v>
      </c>
      <c r="AG23" s="1204">
        <f t="shared" si="3"/>
        <v>0</v>
      </c>
      <c r="AH23" s="1202"/>
      <c r="AI23" s="1203">
        <f t="shared" si="52"/>
        <v>0</v>
      </c>
      <c r="AJ23" s="1204">
        <f t="shared" si="4"/>
        <v>0</v>
      </c>
      <c r="AK23" s="1202"/>
      <c r="AL23" s="1203">
        <f t="shared" si="53"/>
        <v>0</v>
      </c>
      <c r="AM23" s="1204">
        <f t="shared" si="5"/>
        <v>0</v>
      </c>
      <c r="AN23" s="1202"/>
      <c r="AO23" s="1203">
        <f t="shared" si="54"/>
        <v>0</v>
      </c>
      <c r="AP23" s="1204">
        <f t="shared" si="6"/>
        <v>0</v>
      </c>
      <c r="AQ23" s="1202"/>
      <c r="AR23" s="1203">
        <f t="shared" si="55"/>
        <v>0</v>
      </c>
      <c r="AS23" s="1204">
        <f t="shared" si="7"/>
        <v>0</v>
      </c>
      <c r="AT23" s="1202"/>
      <c r="AU23" s="1203">
        <f t="shared" si="56"/>
        <v>0</v>
      </c>
      <c r="AV23" s="1204">
        <f t="shared" si="8"/>
        <v>0</v>
      </c>
      <c r="AW23" s="1202"/>
      <c r="AX23" s="1203">
        <f t="shared" si="57"/>
        <v>0</v>
      </c>
      <c r="AY23" s="1204">
        <f t="shared" si="9"/>
        <v>0</v>
      </c>
      <c r="AZ23" s="1202"/>
      <c r="BA23" s="1203">
        <f t="shared" si="58"/>
        <v>0</v>
      </c>
      <c r="BB23" s="1204">
        <f t="shared" si="10"/>
        <v>0</v>
      </c>
      <c r="BC23" s="1433">
        <f t="shared" si="11"/>
        <v>0</v>
      </c>
    </row>
    <row r="24" spans="1:55" ht="13.8">
      <c r="A24" s="888" t="e">
        <f t="shared" si="12"/>
        <v>#REF!</v>
      </c>
      <c r="B24" s="889">
        <f t="shared" si="13"/>
        <v>0</v>
      </c>
      <c r="C24" s="891" t="e">
        <f t="shared" si="14"/>
        <v>#REF!</v>
      </c>
      <c r="D24" s="892" t="str">
        <f t="shared" si="59"/>
        <v>3. REHABILITACION Y MANTENIMIENTO</v>
      </c>
      <c r="E24" s="939">
        <v>17</v>
      </c>
      <c r="F24" s="773" t="s">
        <v>530</v>
      </c>
      <c r="G24" s="774" t="s">
        <v>288</v>
      </c>
      <c r="H24" s="46">
        <v>99120</v>
      </c>
      <c r="I24" s="767">
        <v>36.15</v>
      </c>
      <c r="J24" s="68">
        <f t="shared" si="38"/>
        <v>3583188</v>
      </c>
      <c r="K24" s="929">
        <f>SUMIF($V$3:$CH$3,"&lt;"&amp;Datos!$C$20,V24:CH24)</f>
        <v>0</v>
      </c>
      <c r="L24" s="930">
        <f t="shared" si="39"/>
        <v>0</v>
      </c>
      <c r="M24" s="931">
        <f>LOOKUP(Datos!$C$20,'Cant. Ejec,'!$V$3:$BB$3,'Cant. Ejec,'!$V24:$BB24)</f>
        <v>0</v>
      </c>
      <c r="N24" s="96">
        <f t="shared" si="40"/>
        <v>0</v>
      </c>
      <c r="O24" s="929">
        <f t="shared" si="41"/>
        <v>0</v>
      </c>
      <c r="P24" s="96">
        <f t="shared" si="42"/>
        <v>0</v>
      </c>
      <c r="Q24" s="929">
        <f t="shared" si="43"/>
        <v>99120</v>
      </c>
      <c r="R24" s="96">
        <f t="shared" si="44"/>
        <v>3583188</v>
      </c>
      <c r="S24" s="932">
        <f t="shared" si="45"/>
        <v>0</v>
      </c>
      <c r="T24" s="932">
        <f t="shared" si="46"/>
        <v>0</v>
      </c>
      <c r="U24" s="1185">
        <f t="shared" si="47"/>
        <v>1</v>
      </c>
      <c r="V24" s="1202"/>
      <c r="W24" s="1203">
        <f t="shared" si="48"/>
        <v>0</v>
      </c>
      <c r="X24" s="1204">
        <f t="shared" si="0"/>
        <v>0</v>
      </c>
      <c r="Y24" s="1202"/>
      <c r="Z24" s="1203">
        <f t="shared" si="49"/>
        <v>0</v>
      </c>
      <c r="AA24" s="1204">
        <f t="shared" si="1"/>
        <v>0</v>
      </c>
      <c r="AB24" s="1202"/>
      <c r="AC24" s="1203">
        <f t="shared" si="50"/>
        <v>0</v>
      </c>
      <c r="AD24" s="1204">
        <f t="shared" si="2"/>
        <v>0</v>
      </c>
      <c r="AE24" s="1202"/>
      <c r="AF24" s="1203">
        <f t="shared" si="51"/>
        <v>0</v>
      </c>
      <c r="AG24" s="1204">
        <f t="shared" si="3"/>
        <v>0</v>
      </c>
      <c r="AH24" s="1202"/>
      <c r="AI24" s="1203">
        <f t="shared" si="52"/>
        <v>0</v>
      </c>
      <c r="AJ24" s="1204">
        <f t="shared" si="4"/>
        <v>0</v>
      </c>
      <c r="AK24" s="1202"/>
      <c r="AL24" s="1203">
        <f t="shared" si="53"/>
        <v>0</v>
      </c>
      <c r="AM24" s="1204">
        <f t="shared" si="5"/>
        <v>0</v>
      </c>
      <c r="AN24" s="1202"/>
      <c r="AO24" s="1203">
        <f t="shared" si="54"/>
        <v>0</v>
      </c>
      <c r="AP24" s="1204">
        <f t="shared" si="6"/>
        <v>0</v>
      </c>
      <c r="AQ24" s="1202"/>
      <c r="AR24" s="1203">
        <f t="shared" si="55"/>
        <v>0</v>
      </c>
      <c r="AS24" s="1204">
        <f t="shared" si="7"/>
        <v>0</v>
      </c>
      <c r="AT24" s="1202"/>
      <c r="AU24" s="1203">
        <f t="shared" si="56"/>
        <v>0</v>
      </c>
      <c r="AV24" s="1204">
        <f t="shared" si="8"/>
        <v>0</v>
      </c>
      <c r="AW24" s="1202"/>
      <c r="AX24" s="1203">
        <f t="shared" si="57"/>
        <v>0</v>
      </c>
      <c r="AY24" s="1204">
        <f t="shared" si="9"/>
        <v>0</v>
      </c>
      <c r="AZ24" s="1202"/>
      <c r="BA24" s="1203">
        <f t="shared" si="58"/>
        <v>0</v>
      </c>
      <c r="BB24" s="1204">
        <f t="shared" si="10"/>
        <v>0</v>
      </c>
      <c r="BC24" s="1433">
        <f t="shared" si="11"/>
        <v>0</v>
      </c>
    </row>
    <row r="25" spans="1:55" s="77" customFormat="1" ht="13.5" customHeight="1">
      <c r="A25" s="888" t="e">
        <f>+IF(B25&gt;0,B25+#REF!,IF(C25&gt;#REF!,C25,0))</f>
        <v>#REF!</v>
      </c>
      <c r="B25" s="889" t="e">
        <f>+IF(#REF!&gt;=0.01,1,0)</f>
        <v>#REF!</v>
      </c>
      <c r="C25" s="891" t="e">
        <f>+B25+#REF!</f>
        <v>#REF!</v>
      </c>
      <c r="D25" s="892"/>
      <c r="E25" s="936">
        <v>4</v>
      </c>
      <c r="F25" s="902" t="s">
        <v>289</v>
      </c>
      <c r="G25" s="950"/>
      <c r="H25" s="951"/>
      <c r="I25" s="952"/>
      <c r="J25" s="953">
        <f>SUM(J26:J65)</f>
        <v>16778276.030000001</v>
      </c>
      <c r="K25" s="954"/>
      <c r="L25" s="953">
        <f>SUM(L26:L65)</f>
        <v>0</v>
      </c>
      <c r="M25" s="955"/>
      <c r="N25" s="953">
        <f>SUM(N26:N65)</f>
        <v>0</v>
      </c>
      <c r="O25" s="954"/>
      <c r="P25" s="953">
        <f>SUM(P26:P65)</f>
        <v>0</v>
      </c>
      <c r="Q25" s="955"/>
      <c r="R25" s="953">
        <f>SUM(R26:R65)</f>
        <v>16778276.030000001</v>
      </c>
      <c r="S25" s="976">
        <f>(N25/J25)</f>
        <v>0</v>
      </c>
      <c r="T25" s="1076">
        <f>(P25/J25)</f>
        <v>0</v>
      </c>
      <c r="U25" s="1183">
        <f>(R25/J25)</f>
        <v>1</v>
      </c>
      <c r="V25" s="1196"/>
      <c r="W25" s="1197">
        <f>SUM(W26:W65)</f>
        <v>0</v>
      </c>
      <c r="X25" s="1198">
        <f t="shared" si="0"/>
        <v>0</v>
      </c>
      <c r="Y25" s="1196"/>
      <c r="Z25" s="1197">
        <f>SUM(Z26:Z65)</f>
        <v>0</v>
      </c>
      <c r="AA25" s="1198">
        <f t="shared" si="1"/>
        <v>0</v>
      </c>
      <c r="AB25" s="1196"/>
      <c r="AC25" s="1197">
        <f>SUM(AC26:AC65)</f>
        <v>0</v>
      </c>
      <c r="AD25" s="1198">
        <f t="shared" si="2"/>
        <v>0</v>
      </c>
      <c r="AE25" s="1196"/>
      <c r="AF25" s="1197">
        <f>SUM(AF26:AF65)</f>
        <v>0</v>
      </c>
      <c r="AG25" s="1198">
        <f t="shared" si="3"/>
        <v>0</v>
      </c>
      <c r="AH25" s="1196"/>
      <c r="AI25" s="1197">
        <f>SUM(AI26:AI65)</f>
        <v>0</v>
      </c>
      <c r="AJ25" s="1198">
        <f t="shared" si="4"/>
        <v>0</v>
      </c>
      <c r="AK25" s="1196"/>
      <c r="AL25" s="1197">
        <f>SUM(AL26:AL65)</f>
        <v>0</v>
      </c>
      <c r="AM25" s="1198">
        <f t="shared" si="5"/>
        <v>0</v>
      </c>
      <c r="AN25" s="1196"/>
      <c r="AO25" s="1197">
        <f>SUM(AO26:AO65)</f>
        <v>0</v>
      </c>
      <c r="AP25" s="1198">
        <f t="shared" si="6"/>
        <v>0</v>
      </c>
      <c r="AQ25" s="1196"/>
      <c r="AR25" s="1197">
        <f>SUM(AR26:AR65)</f>
        <v>0</v>
      </c>
      <c r="AS25" s="1198">
        <f t="shared" si="7"/>
        <v>0</v>
      </c>
      <c r="AT25" s="1196"/>
      <c r="AU25" s="1197">
        <f>SUM(AU26:AU65)</f>
        <v>0</v>
      </c>
      <c r="AV25" s="1198">
        <f t="shared" si="8"/>
        <v>0</v>
      </c>
      <c r="AW25" s="1196"/>
      <c r="AX25" s="1197">
        <f>SUM(AX26:AX65)</f>
        <v>0</v>
      </c>
      <c r="AY25" s="1198">
        <f t="shared" si="9"/>
        <v>0</v>
      </c>
      <c r="AZ25" s="1196"/>
      <c r="BA25" s="1197">
        <f>SUM(BA26:BA65)</f>
        <v>0</v>
      </c>
      <c r="BB25" s="1198">
        <f t="shared" si="10"/>
        <v>0</v>
      </c>
      <c r="BC25" s="1433">
        <f t="shared" si="11"/>
        <v>0</v>
      </c>
    </row>
    <row r="26" spans="1:55" ht="13.8">
      <c r="A26" s="888" t="e">
        <f t="shared" si="12"/>
        <v>#REF!</v>
      </c>
      <c r="B26" s="889">
        <f t="shared" si="13"/>
        <v>0</v>
      </c>
      <c r="C26" s="891" t="e">
        <f t="shared" si="14"/>
        <v>#REF!</v>
      </c>
      <c r="D26" s="892" t="str">
        <f t="shared" si="37"/>
        <v>4. OBRAS DE DRENAJE</v>
      </c>
      <c r="E26" s="937">
        <v>18</v>
      </c>
      <c r="F26" s="772" t="s">
        <v>531</v>
      </c>
      <c r="G26" s="794" t="s">
        <v>446</v>
      </c>
      <c r="H26" s="63">
        <v>5</v>
      </c>
      <c r="I26" s="63">
        <v>5170.03</v>
      </c>
      <c r="J26" s="64">
        <f>ROUND(H26*I26,2)</f>
        <v>25850.15</v>
      </c>
      <c r="K26" s="61">
        <f>SUMIF($V$3:$CH$3,"&lt;"&amp;Datos!$C$20,V26:CH26)</f>
        <v>0</v>
      </c>
      <c r="L26" s="71">
        <f t="shared" ref="L26:L46" si="60">+ROUND(I26*K26,2)</f>
        <v>0</v>
      </c>
      <c r="M26" s="62">
        <f>LOOKUP(Datos!$C$20,'Cant. Ejec,'!$V$3:$BB$3,'Cant. Ejec,'!$V26:$BB26)</f>
        <v>0</v>
      </c>
      <c r="N26" s="73">
        <f t="shared" ref="N26:N65" si="61">+ROUND(I26*M26,2)</f>
        <v>0</v>
      </c>
      <c r="O26" s="61">
        <f t="shared" ref="O26:P41" si="62">K26+M26</f>
        <v>0</v>
      </c>
      <c r="P26" s="896">
        <f t="shared" si="62"/>
        <v>0</v>
      </c>
      <c r="Q26" s="61">
        <f t="shared" ref="Q26:Q65" si="63">H26-O26</f>
        <v>5</v>
      </c>
      <c r="R26" s="896">
        <f t="shared" ref="R26:R65" si="64">+J26-P26</f>
        <v>25850.15</v>
      </c>
      <c r="S26" s="792">
        <f t="shared" ref="S26:S65" si="65">(N26/J26)</f>
        <v>0</v>
      </c>
      <c r="T26" s="792">
        <f t="shared" ref="T26:T65" si="66">(P26/J26)</f>
        <v>0</v>
      </c>
      <c r="U26" s="1184">
        <f t="shared" ref="U26:U65" si="67">(R26/J26)</f>
        <v>1</v>
      </c>
      <c r="V26" s="1202"/>
      <c r="W26" s="1203">
        <f t="shared" ref="W26:W31" si="68">ROUND(V26*$I26,2)</f>
        <v>0</v>
      </c>
      <c r="X26" s="1204">
        <f t="shared" si="0"/>
        <v>0</v>
      </c>
      <c r="Y26" s="1202"/>
      <c r="Z26" s="1203">
        <f t="shared" ref="Z26:Z31" si="69">ROUND(Y26*$I26,2)</f>
        <v>0</v>
      </c>
      <c r="AA26" s="1204">
        <f t="shared" si="1"/>
        <v>0</v>
      </c>
      <c r="AB26" s="1202"/>
      <c r="AC26" s="1203">
        <f t="shared" ref="AC26:AC31" si="70">ROUND(AB26*$I26,2)</f>
        <v>0</v>
      </c>
      <c r="AD26" s="1204">
        <f t="shared" si="2"/>
        <v>0</v>
      </c>
      <c r="AE26" s="1202"/>
      <c r="AF26" s="1203">
        <f t="shared" ref="AF26:AF31" si="71">ROUND(AE26*$I26,2)</f>
        <v>0</v>
      </c>
      <c r="AG26" s="1204">
        <f t="shared" si="3"/>
        <v>0</v>
      </c>
      <c r="AH26" s="1202"/>
      <c r="AI26" s="1203">
        <f t="shared" ref="AI26:AI31" si="72">ROUND(AH26*$I26,2)</f>
        <v>0</v>
      </c>
      <c r="AJ26" s="1204">
        <f t="shared" si="4"/>
        <v>0</v>
      </c>
      <c r="AK26" s="1202"/>
      <c r="AL26" s="1203">
        <f t="shared" ref="AL26:AL31" si="73">ROUND(AK26*$I26,2)</f>
        <v>0</v>
      </c>
      <c r="AM26" s="1204">
        <f t="shared" si="5"/>
        <v>0</v>
      </c>
      <c r="AN26" s="1202"/>
      <c r="AO26" s="1203">
        <f t="shared" ref="AO26:AO31" si="74">ROUND(AN26*$I26,2)</f>
        <v>0</v>
      </c>
      <c r="AP26" s="1204">
        <f t="shared" si="6"/>
        <v>0</v>
      </c>
      <c r="AQ26" s="1202"/>
      <c r="AR26" s="1203">
        <f t="shared" ref="AR26:AR31" si="75">ROUND(AQ26*$I26,2)</f>
        <v>0</v>
      </c>
      <c r="AS26" s="1204">
        <f t="shared" si="7"/>
        <v>0</v>
      </c>
      <c r="AT26" s="1202"/>
      <c r="AU26" s="1203">
        <f t="shared" ref="AU26:AU31" si="76">ROUND(AT26*$I26,2)</f>
        <v>0</v>
      </c>
      <c r="AV26" s="1204">
        <f t="shared" si="8"/>
        <v>0</v>
      </c>
      <c r="AW26" s="1202"/>
      <c r="AX26" s="1203">
        <f t="shared" ref="AX26:AX31" si="77">ROUND(AW26*$I26,2)</f>
        <v>0</v>
      </c>
      <c r="AY26" s="1204">
        <f t="shared" si="9"/>
        <v>0</v>
      </c>
      <c r="AZ26" s="1202"/>
      <c r="BA26" s="1203">
        <f t="shared" ref="BA26:BA31" si="78">ROUND(AZ26*$I26,2)</f>
        <v>0</v>
      </c>
      <c r="BB26" s="1204">
        <f t="shared" si="10"/>
        <v>0</v>
      </c>
      <c r="BC26" s="1433">
        <f t="shared" si="11"/>
        <v>0</v>
      </c>
    </row>
    <row r="27" spans="1:55" ht="13.8">
      <c r="A27" s="888" t="e">
        <f t="shared" si="12"/>
        <v>#REF!</v>
      </c>
      <c r="B27" s="889">
        <f t="shared" si="13"/>
        <v>0</v>
      </c>
      <c r="C27" s="891" t="e">
        <f t="shared" si="14"/>
        <v>#REF!</v>
      </c>
      <c r="D27" s="892" t="str">
        <f>+D26</f>
        <v>4. OBRAS DE DRENAJE</v>
      </c>
      <c r="E27" s="937">
        <v>19</v>
      </c>
      <c r="F27" s="772" t="s">
        <v>532</v>
      </c>
      <c r="G27" s="934" t="s">
        <v>287</v>
      </c>
      <c r="H27" s="36">
        <v>15078</v>
      </c>
      <c r="I27" s="36">
        <v>34.61</v>
      </c>
      <c r="J27" s="66">
        <f t="shared" ref="J27:J65" si="79">ROUND(H27*I27,2)</f>
        <v>521849.58</v>
      </c>
      <c r="K27" s="61">
        <f>SUMIF($V$3:$CH$3,"&lt;"&amp;Datos!$C$20,V27:CH27)</f>
        <v>0</v>
      </c>
      <c r="L27" s="71">
        <f t="shared" si="60"/>
        <v>0</v>
      </c>
      <c r="M27" s="65">
        <f>LOOKUP(Datos!$C$20,'Cant. Ejec,'!$V$3:$BB$3,'Cant. Ejec,'!$V27:$BB27)</f>
        <v>0</v>
      </c>
      <c r="N27" s="896">
        <f t="shared" si="61"/>
        <v>0</v>
      </c>
      <c r="O27" s="61">
        <f t="shared" si="62"/>
        <v>0</v>
      </c>
      <c r="P27" s="896">
        <f t="shared" si="62"/>
        <v>0</v>
      </c>
      <c r="Q27" s="61">
        <f t="shared" si="63"/>
        <v>15078</v>
      </c>
      <c r="R27" s="896">
        <f t="shared" si="64"/>
        <v>521849.58</v>
      </c>
      <c r="S27" s="792">
        <f t="shared" si="65"/>
        <v>0</v>
      </c>
      <c r="T27" s="792">
        <f t="shared" si="66"/>
        <v>0</v>
      </c>
      <c r="U27" s="1184">
        <f t="shared" si="67"/>
        <v>1</v>
      </c>
      <c r="V27" s="1202"/>
      <c r="W27" s="1203">
        <f t="shared" si="68"/>
        <v>0</v>
      </c>
      <c r="X27" s="1204">
        <f t="shared" si="0"/>
        <v>0</v>
      </c>
      <c r="Y27" s="1202"/>
      <c r="Z27" s="1203">
        <f t="shared" si="69"/>
        <v>0</v>
      </c>
      <c r="AA27" s="1204">
        <f t="shared" si="1"/>
        <v>0</v>
      </c>
      <c r="AB27" s="1202"/>
      <c r="AC27" s="1203">
        <f t="shared" si="70"/>
        <v>0</v>
      </c>
      <c r="AD27" s="1204">
        <f t="shared" si="2"/>
        <v>0</v>
      </c>
      <c r="AE27" s="1202"/>
      <c r="AF27" s="1203">
        <f t="shared" si="71"/>
        <v>0</v>
      </c>
      <c r="AG27" s="1204">
        <f t="shared" si="3"/>
        <v>0</v>
      </c>
      <c r="AH27" s="1202"/>
      <c r="AI27" s="1203">
        <f t="shared" si="72"/>
        <v>0</v>
      </c>
      <c r="AJ27" s="1204">
        <f t="shared" si="4"/>
        <v>0</v>
      </c>
      <c r="AK27" s="1202"/>
      <c r="AL27" s="1203">
        <f t="shared" si="73"/>
        <v>0</v>
      </c>
      <c r="AM27" s="1204">
        <f t="shared" si="5"/>
        <v>0</v>
      </c>
      <c r="AN27" s="1202"/>
      <c r="AO27" s="1203">
        <f t="shared" si="74"/>
        <v>0</v>
      </c>
      <c r="AP27" s="1204">
        <f t="shared" si="6"/>
        <v>0</v>
      </c>
      <c r="AQ27" s="1202"/>
      <c r="AR27" s="1203">
        <f t="shared" si="75"/>
        <v>0</v>
      </c>
      <c r="AS27" s="1204">
        <f t="shared" si="7"/>
        <v>0</v>
      </c>
      <c r="AT27" s="1202"/>
      <c r="AU27" s="1203">
        <f t="shared" si="76"/>
        <v>0</v>
      </c>
      <c r="AV27" s="1204">
        <f t="shared" si="8"/>
        <v>0</v>
      </c>
      <c r="AW27" s="1202"/>
      <c r="AX27" s="1203">
        <f t="shared" si="77"/>
        <v>0</v>
      </c>
      <c r="AY27" s="1204">
        <f t="shared" si="9"/>
        <v>0</v>
      </c>
      <c r="AZ27" s="1202"/>
      <c r="BA27" s="1203">
        <f t="shared" si="78"/>
        <v>0</v>
      </c>
      <c r="BB27" s="1204">
        <f t="shared" si="10"/>
        <v>0</v>
      </c>
      <c r="BC27" s="1433">
        <f t="shared" si="11"/>
        <v>0</v>
      </c>
    </row>
    <row r="28" spans="1:55" ht="13.8">
      <c r="A28" s="888" t="e">
        <f t="shared" si="12"/>
        <v>#REF!</v>
      </c>
      <c r="B28" s="889">
        <f t="shared" si="13"/>
        <v>0</v>
      </c>
      <c r="C28" s="891" t="e">
        <f t="shared" si="14"/>
        <v>#REF!</v>
      </c>
      <c r="D28" s="892" t="str">
        <f t="shared" ref="D28:D65" si="80">+D27</f>
        <v>4. OBRAS DE DRENAJE</v>
      </c>
      <c r="E28" s="937">
        <v>20</v>
      </c>
      <c r="F28" s="768" t="s">
        <v>533</v>
      </c>
      <c r="G28" s="934" t="s">
        <v>287</v>
      </c>
      <c r="H28" s="36">
        <v>4958</v>
      </c>
      <c r="I28" s="36">
        <v>72.510000000000005</v>
      </c>
      <c r="J28" s="66">
        <f t="shared" si="79"/>
        <v>359504.58</v>
      </c>
      <c r="K28" s="61">
        <f>SUMIF($V$3:$CH$3,"&lt;"&amp;Datos!$C$20,V28:CH28)</f>
        <v>0</v>
      </c>
      <c r="L28" s="71">
        <f t="shared" si="60"/>
        <v>0</v>
      </c>
      <c r="M28" s="65">
        <f>LOOKUP(Datos!$C$20,'Cant. Ejec,'!$V$3:$BB$3,'Cant. Ejec,'!$V28:$BB28)</f>
        <v>0</v>
      </c>
      <c r="N28" s="896">
        <f t="shared" si="61"/>
        <v>0</v>
      </c>
      <c r="O28" s="61">
        <f t="shared" si="62"/>
        <v>0</v>
      </c>
      <c r="P28" s="896">
        <f t="shared" si="62"/>
        <v>0</v>
      </c>
      <c r="Q28" s="61">
        <f t="shared" si="63"/>
        <v>4958</v>
      </c>
      <c r="R28" s="896">
        <f t="shared" si="64"/>
        <v>359504.58</v>
      </c>
      <c r="S28" s="792">
        <f t="shared" si="65"/>
        <v>0</v>
      </c>
      <c r="T28" s="792">
        <f t="shared" si="66"/>
        <v>0</v>
      </c>
      <c r="U28" s="1184">
        <f t="shared" si="67"/>
        <v>1</v>
      </c>
      <c r="V28" s="1202"/>
      <c r="W28" s="1203">
        <f t="shared" si="68"/>
        <v>0</v>
      </c>
      <c r="X28" s="1204">
        <f t="shared" si="0"/>
        <v>0</v>
      </c>
      <c r="Y28" s="1202"/>
      <c r="Z28" s="1203">
        <f t="shared" si="69"/>
        <v>0</v>
      </c>
      <c r="AA28" s="1204">
        <f t="shared" si="1"/>
        <v>0</v>
      </c>
      <c r="AB28" s="1202"/>
      <c r="AC28" s="1203">
        <f t="shared" si="70"/>
        <v>0</v>
      </c>
      <c r="AD28" s="1204">
        <f t="shared" si="2"/>
        <v>0</v>
      </c>
      <c r="AE28" s="1202"/>
      <c r="AF28" s="1203">
        <f t="shared" si="71"/>
        <v>0</v>
      </c>
      <c r="AG28" s="1204">
        <f t="shared" si="3"/>
        <v>0</v>
      </c>
      <c r="AH28" s="1202"/>
      <c r="AI28" s="1203">
        <f t="shared" si="72"/>
        <v>0</v>
      </c>
      <c r="AJ28" s="1204">
        <f t="shared" si="4"/>
        <v>0</v>
      </c>
      <c r="AK28" s="1202"/>
      <c r="AL28" s="1203">
        <f t="shared" si="73"/>
        <v>0</v>
      </c>
      <c r="AM28" s="1204">
        <f t="shared" si="5"/>
        <v>0</v>
      </c>
      <c r="AN28" s="1202"/>
      <c r="AO28" s="1203">
        <f t="shared" si="74"/>
        <v>0</v>
      </c>
      <c r="AP28" s="1204">
        <f t="shared" si="6"/>
        <v>0</v>
      </c>
      <c r="AQ28" s="1202"/>
      <c r="AR28" s="1203">
        <f t="shared" si="75"/>
        <v>0</v>
      </c>
      <c r="AS28" s="1204">
        <f t="shared" si="7"/>
        <v>0</v>
      </c>
      <c r="AT28" s="1202"/>
      <c r="AU28" s="1203">
        <f t="shared" si="76"/>
        <v>0</v>
      </c>
      <c r="AV28" s="1204">
        <f t="shared" si="8"/>
        <v>0</v>
      </c>
      <c r="AW28" s="1202"/>
      <c r="AX28" s="1203">
        <f t="shared" si="77"/>
        <v>0</v>
      </c>
      <c r="AY28" s="1204">
        <f t="shared" si="9"/>
        <v>0</v>
      </c>
      <c r="AZ28" s="1202"/>
      <c r="BA28" s="1203">
        <f t="shared" si="78"/>
        <v>0</v>
      </c>
      <c r="BB28" s="1204">
        <f t="shared" si="10"/>
        <v>0</v>
      </c>
      <c r="BC28" s="1433">
        <f t="shared" si="11"/>
        <v>0</v>
      </c>
    </row>
    <row r="29" spans="1:55" ht="20.399999999999999">
      <c r="A29" s="888" t="e">
        <f t="shared" si="12"/>
        <v>#REF!</v>
      </c>
      <c r="B29" s="889">
        <f t="shared" si="13"/>
        <v>0</v>
      </c>
      <c r="C29" s="891" t="e">
        <f t="shared" si="14"/>
        <v>#REF!</v>
      </c>
      <c r="D29" s="892" t="str">
        <f t="shared" si="80"/>
        <v>4. OBRAS DE DRENAJE</v>
      </c>
      <c r="E29" s="937">
        <v>21</v>
      </c>
      <c r="F29" s="768" t="s">
        <v>534</v>
      </c>
      <c r="G29" s="934" t="s">
        <v>287</v>
      </c>
      <c r="H29" s="36">
        <v>1786</v>
      </c>
      <c r="I29" s="36">
        <v>2112.84</v>
      </c>
      <c r="J29" s="66">
        <f t="shared" si="79"/>
        <v>3773532.24</v>
      </c>
      <c r="K29" s="61">
        <f>SUMIF($V$3:$CH$3,"&lt;"&amp;Datos!$C$20,V29:CH29)</f>
        <v>0</v>
      </c>
      <c r="L29" s="71">
        <f t="shared" si="60"/>
        <v>0</v>
      </c>
      <c r="M29" s="65">
        <f>LOOKUP(Datos!$C$20,'Cant. Ejec,'!$V$3:$BB$3,'Cant. Ejec,'!$V29:$BB29)</f>
        <v>0</v>
      </c>
      <c r="N29" s="896">
        <f t="shared" si="61"/>
        <v>0</v>
      </c>
      <c r="O29" s="61">
        <f t="shared" si="62"/>
        <v>0</v>
      </c>
      <c r="P29" s="896">
        <f t="shared" si="62"/>
        <v>0</v>
      </c>
      <c r="Q29" s="61">
        <f t="shared" si="63"/>
        <v>1786</v>
      </c>
      <c r="R29" s="896">
        <f t="shared" si="64"/>
        <v>3773532.24</v>
      </c>
      <c r="S29" s="792">
        <f t="shared" si="65"/>
        <v>0</v>
      </c>
      <c r="T29" s="792">
        <f t="shared" si="66"/>
        <v>0</v>
      </c>
      <c r="U29" s="1184">
        <f t="shared" si="67"/>
        <v>1</v>
      </c>
      <c r="V29" s="1202"/>
      <c r="W29" s="1203">
        <f t="shared" si="68"/>
        <v>0</v>
      </c>
      <c r="X29" s="1204">
        <f t="shared" si="0"/>
        <v>0</v>
      </c>
      <c r="Y29" s="1202"/>
      <c r="Z29" s="1203">
        <f t="shared" si="69"/>
        <v>0</v>
      </c>
      <c r="AA29" s="1204">
        <f t="shared" si="1"/>
        <v>0</v>
      </c>
      <c r="AB29" s="1202"/>
      <c r="AC29" s="1203">
        <f t="shared" si="70"/>
        <v>0</v>
      </c>
      <c r="AD29" s="1204">
        <f t="shared" si="2"/>
        <v>0</v>
      </c>
      <c r="AE29" s="1202"/>
      <c r="AF29" s="1203">
        <f t="shared" si="71"/>
        <v>0</v>
      </c>
      <c r="AG29" s="1204">
        <f t="shared" si="3"/>
        <v>0</v>
      </c>
      <c r="AH29" s="1202"/>
      <c r="AI29" s="1203">
        <f t="shared" si="72"/>
        <v>0</v>
      </c>
      <c r="AJ29" s="1204">
        <f t="shared" si="4"/>
        <v>0</v>
      </c>
      <c r="AK29" s="1202"/>
      <c r="AL29" s="1203">
        <f t="shared" si="73"/>
        <v>0</v>
      </c>
      <c r="AM29" s="1204">
        <f t="shared" si="5"/>
        <v>0</v>
      </c>
      <c r="AN29" s="1202"/>
      <c r="AO29" s="1203">
        <f t="shared" si="74"/>
        <v>0</v>
      </c>
      <c r="AP29" s="1204">
        <f t="shared" si="6"/>
        <v>0</v>
      </c>
      <c r="AQ29" s="1202"/>
      <c r="AR29" s="1203">
        <f t="shared" si="75"/>
        <v>0</v>
      </c>
      <c r="AS29" s="1204">
        <f t="shared" si="7"/>
        <v>0</v>
      </c>
      <c r="AT29" s="1202"/>
      <c r="AU29" s="1203">
        <f t="shared" si="76"/>
        <v>0</v>
      </c>
      <c r="AV29" s="1204">
        <f t="shared" si="8"/>
        <v>0</v>
      </c>
      <c r="AW29" s="1202"/>
      <c r="AX29" s="1203">
        <f t="shared" si="77"/>
        <v>0</v>
      </c>
      <c r="AY29" s="1204">
        <f t="shared" si="9"/>
        <v>0</v>
      </c>
      <c r="AZ29" s="1202"/>
      <c r="BA29" s="1203">
        <f t="shared" si="78"/>
        <v>0</v>
      </c>
      <c r="BB29" s="1204">
        <f t="shared" si="10"/>
        <v>0</v>
      </c>
      <c r="BC29" s="1433">
        <f t="shared" si="11"/>
        <v>0</v>
      </c>
    </row>
    <row r="30" spans="1:55" ht="13.8">
      <c r="A30" s="888" t="e">
        <f t="shared" si="12"/>
        <v>#REF!</v>
      </c>
      <c r="B30" s="889">
        <f t="shared" si="13"/>
        <v>0</v>
      </c>
      <c r="C30" s="891" t="e">
        <f t="shared" si="14"/>
        <v>#REF!</v>
      </c>
      <c r="D30" s="892" t="str">
        <f t="shared" si="80"/>
        <v>4. OBRAS DE DRENAJE</v>
      </c>
      <c r="E30" s="937">
        <v>22</v>
      </c>
      <c r="F30" s="775" t="s">
        <v>535</v>
      </c>
      <c r="G30" s="934" t="s">
        <v>292</v>
      </c>
      <c r="H30" s="36">
        <v>224933</v>
      </c>
      <c r="I30" s="36">
        <v>17.21</v>
      </c>
      <c r="J30" s="66">
        <f t="shared" si="79"/>
        <v>3871096.93</v>
      </c>
      <c r="K30" s="61">
        <f>SUMIF($V$3:$CH$3,"&lt;"&amp;Datos!$C$20,V30:CH30)</f>
        <v>0</v>
      </c>
      <c r="L30" s="71">
        <f t="shared" si="60"/>
        <v>0</v>
      </c>
      <c r="M30" s="65">
        <f>LOOKUP(Datos!$C$20,'Cant. Ejec,'!$V$3:$BB$3,'Cant. Ejec,'!$V30:$BB30)</f>
        <v>0</v>
      </c>
      <c r="N30" s="896">
        <f t="shared" si="61"/>
        <v>0</v>
      </c>
      <c r="O30" s="61">
        <f t="shared" si="62"/>
        <v>0</v>
      </c>
      <c r="P30" s="896">
        <f t="shared" si="62"/>
        <v>0</v>
      </c>
      <c r="Q30" s="61">
        <f t="shared" si="63"/>
        <v>224933</v>
      </c>
      <c r="R30" s="896">
        <f t="shared" si="64"/>
        <v>3871096.93</v>
      </c>
      <c r="S30" s="792">
        <f t="shared" si="65"/>
        <v>0</v>
      </c>
      <c r="T30" s="792">
        <f t="shared" si="66"/>
        <v>0</v>
      </c>
      <c r="U30" s="1184">
        <f t="shared" si="67"/>
        <v>1</v>
      </c>
      <c r="V30" s="1202"/>
      <c r="W30" s="1203">
        <f t="shared" si="68"/>
        <v>0</v>
      </c>
      <c r="X30" s="1204">
        <f t="shared" si="0"/>
        <v>0</v>
      </c>
      <c r="Y30" s="1202"/>
      <c r="Z30" s="1203">
        <f t="shared" si="69"/>
        <v>0</v>
      </c>
      <c r="AA30" s="1204">
        <f t="shared" si="1"/>
        <v>0</v>
      </c>
      <c r="AB30" s="1202"/>
      <c r="AC30" s="1203">
        <f t="shared" si="70"/>
        <v>0</v>
      </c>
      <c r="AD30" s="1204">
        <f t="shared" si="2"/>
        <v>0</v>
      </c>
      <c r="AE30" s="1202"/>
      <c r="AF30" s="1203">
        <f t="shared" si="71"/>
        <v>0</v>
      </c>
      <c r="AG30" s="1204">
        <f t="shared" si="3"/>
        <v>0</v>
      </c>
      <c r="AH30" s="1202"/>
      <c r="AI30" s="1203">
        <f t="shared" si="72"/>
        <v>0</v>
      </c>
      <c r="AJ30" s="1204">
        <f t="shared" si="4"/>
        <v>0</v>
      </c>
      <c r="AK30" s="1202"/>
      <c r="AL30" s="1203">
        <f t="shared" si="73"/>
        <v>0</v>
      </c>
      <c r="AM30" s="1204">
        <f t="shared" si="5"/>
        <v>0</v>
      </c>
      <c r="AN30" s="1202"/>
      <c r="AO30" s="1203">
        <f t="shared" si="74"/>
        <v>0</v>
      </c>
      <c r="AP30" s="1204">
        <f t="shared" si="6"/>
        <v>0</v>
      </c>
      <c r="AQ30" s="1202"/>
      <c r="AR30" s="1203">
        <f t="shared" si="75"/>
        <v>0</v>
      </c>
      <c r="AS30" s="1204">
        <f t="shared" si="7"/>
        <v>0</v>
      </c>
      <c r="AT30" s="1202"/>
      <c r="AU30" s="1203">
        <f t="shared" si="76"/>
        <v>0</v>
      </c>
      <c r="AV30" s="1204">
        <f t="shared" si="8"/>
        <v>0</v>
      </c>
      <c r="AW30" s="1202"/>
      <c r="AX30" s="1203">
        <f t="shared" si="77"/>
        <v>0</v>
      </c>
      <c r="AY30" s="1204">
        <f t="shared" si="9"/>
        <v>0</v>
      </c>
      <c r="AZ30" s="1202"/>
      <c r="BA30" s="1203">
        <f t="shared" si="78"/>
        <v>0</v>
      </c>
      <c r="BB30" s="1204">
        <f t="shared" si="10"/>
        <v>0</v>
      </c>
      <c r="BC30" s="1433">
        <f t="shared" si="11"/>
        <v>0</v>
      </c>
    </row>
    <row r="31" spans="1:55" ht="20.399999999999999">
      <c r="A31" s="888" t="e">
        <f t="shared" si="12"/>
        <v>#REF!</v>
      </c>
      <c r="B31" s="889">
        <f t="shared" si="13"/>
        <v>0</v>
      </c>
      <c r="C31" s="891" t="e">
        <f t="shared" si="14"/>
        <v>#REF!</v>
      </c>
      <c r="D31" s="892" t="str">
        <f t="shared" si="80"/>
        <v>4. OBRAS DE DRENAJE</v>
      </c>
      <c r="E31" s="937">
        <v>23</v>
      </c>
      <c r="F31" s="768" t="s">
        <v>536</v>
      </c>
      <c r="G31" s="934" t="s">
        <v>287</v>
      </c>
      <c r="H31" s="36">
        <v>20</v>
      </c>
      <c r="I31" s="38">
        <v>1634.17</v>
      </c>
      <c r="J31" s="66">
        <f t="shared" si="79"/>
        <v>32683.4</v>
      </c>
      <c r="K31" s="61">
        <f>SUMIF($V$3:$CH$3,"&lt;"&amp;Datos!$C$20,V31:CH31)</f>
        <v>0</v>
      </c>
      <c r="L31" s="71">
        <f t="shared" si="60"/>
        <v>0</v>
      </c>
      <c r="M31" s="65">
        <f>LOOKUP(Datos!$C$20,'Cant. Ejec,'!$V$3:$BB$3,'Cant. Ejec,'!$V31:$BB31)</f>
        <v>0</v>
      </c>
      <c r="N31" s="896">
        <f t="shared" si="61"/>
        <v>0</v>
      </c>
      <c r="O31" s="61">
        <f t="shared" si="62"/>
        <v>0</v>
      </c>
      <c r="P31" s="896">
        <f t="shared" si="62"/>
        <v>0</v>
      </c>
      <c r="Q31" s="61">
        <f t="shared" si="63"/>
        <v>20</v>
      </c>
      <c r="R31" s="896">
        <f t="shared" si="64"/>
        <v>32683.4</v>
      </c>
      <c r="S31" s="792">
        <f t="shared" si="65"/>
        <v>0</v>
      </c>
      <c r="T31" s="792">
        <f t="shared" si="66"/>
        <v>0</v>
      </c>
      <c r="U31" s="1184">
        <f t="shared" si="67"/>
        <v>1</v>
      </c>
      <c r="V31" s="1202"/>
      <c r="W31" s="1203">
        <f t="shared" si="68"/>
        <v>0</v>
      </c>
      <c r="X31" s="1204">
        <f t="shared" si="0"/>
        <v>0</v>
      </c>
      <c r="Y31" s="1202"/>
      <c r="Z31" s="1203">
        <f t="shared" si="69"/>
        <v>0</v>
      </c>
      <c r="AA31" s="1204">
        <f t="shared" si="1"/>
        <v>0</v>
      </c>
      <c r="AB31" s="1202"/>
      <c r="AC31" s="1203">
        <f t="shared" si="70"/>
        <v>0</v>
      </c>
      <c r="AD31" s="1204">
        <f t="shared" si="2"/>
        <v>0</v>
      </c>
      <c r="AE31" s="1202"/>
      <c r="AF31" s="1203">
        <f t="shared" si="71"/>
        <v>0</v>
      </c>
      <c r="AG31" s="1204">
        <f t="shared" si="3"/>
        <v>0</v>
      </c>
      <c r="AH31" s="1202"/>
      <c r="AI31" s="1203">
        <f t="shared" si="72"/>
        <v>0</v>
      </c>
      <c r="AJ31" s="1204">
        <f t="shared" si="4"/>
        <v>0</v>
      </c>
      <c r="AK31" s="1202"/>
      <c r="AL31" s="1203">
        <f t="shared" si="73"/>
        <v>0</v>
      </c>
      <c r="AM31" s="1204">
        <f t="shared" si="5"/>
        <v>0</v>
      </c>
      <c r="AN31" s="1202"/>
      <c r="AO31" s="1203">
        <f t="shared" si="74"/>
        <v>0</v>
      </c>
      <c r="AP31" s="1204">
        <f t="shared" si="6"/>
        <v>0</v>
      </c>
      <c r="AQ31" s="1202"/>
      <c r="AR31" s="1203">
        <f t="shared" si="75"/>
        <v>0</v>
      </c>
      <c r="AS31" s="1204">
        <f t="shared" si="7"/>
        <v>0</v>
      </c>
      <c r="AT31" s="1202"/>
      <c r="AU31" s="1203">
        <f t="shared" si="76"/>
        <v>0</v>
      </c>
      <c r="AV31" s="1204">
        <f t="shared" si="8"/>
        <v>0</v>
      </c>
      <c r="AW31" s="1202"/>
      <c r="AX31" s="1203">
        <f t="shared" si="77"/>
        <v>0</v>
      </c>
      <c r="AY31" s="1204">
        <f t="shared" si="9"/>
        <v>0</v>
      </c>
      <c r="AZ31" s="1202"/>
      <c r="BA31" s="1203">
        <f t="shared" si="78"/>
        <v>0</v>
      </c>
      <c r="BB31" s="1204">
        <f t="shared" si="10"/>
        <v>0</v>
      </c>
      <c r="BC31" s="1433">
        <f t="shared" si="11"/>
        <v>0</v>
      </c>
    </row>
    <row r="32" spans="1:55" ht="13.8">
      <c r="A32" s="888" t="e">
        <f t="shared" si="12"/>
        <v>#REF!</v>
      </c>
      <c r="B32" s="889">
        <f t="shared" si="13"/>
        <v>0</v>
      </c>
      <c r="C32" s="891" t="e">
        <f t="shared" si="14"/>
        <v>#REF!</v>
      </c>
      <c r="D32" s="892" t="str">
        <f t="shared" si="80"/>
        <v>4. OBRAS DE DRENAJE</v>
      </c>
      <c r="E32" s="937">
        <v>24</v>
      </c>
      <c r="F32" s="768" t="s">
        <v>537</v>
      </c>
      <c r="G32" s="934" t="s">
        <v>287</v>
      </c>
      <c r="H32" s="36">
        <v>116</v>
      </c>
      <c r="I32" s="38">
        <v>1729.01</v>
      </c>
      <c r="J32" s="66">
        <f t="shared" si="79"/>
        <v>200565.16</v>
      </c>
      <c r="K32" s="61">
        <f>SUMIF($V$3:$CH$3,"&lt;"&amp;Datos!$C$20,V32:CH32)</f>
        <v>0</v>
      </c>
      <c r="L32" s="71">
        <f t="shared" si="60"/>
        <v>0</v>
      </c>
      <c r="M32" s="65">
        <f>LOOKUP(Datos!$C$20,'Cant. Ejec,'!$V$3:$BB$3,'Cant. Ejec,'!$V32:$BB32)</f>
        <v>0</v>
      </c>
      <c r="N32" s="896">
        <f t="shared" si="61"/>
        <v>0</v>
      </c>
      <c r="O32" s="61">
        <f t="shared" si="62"/>
        <v>0</v>
      </c>
      <c r="P32" s="896">
        <f t="shared" si="62"/>
        <v>0</v>
      </c>
      <c r="Q32" s="61">
        <f t="shared" si="63"/>
        <v>116</v>
      </c>
      <c r="R32" s="896">
        <f t="shared" si="64"/>
        <v>200565.16</v>
      </c>
      <c r="S32" s="792">
        <f t="shared" si="65"/>
        <v>0</v>
      </c>
      <c r="T32" s="792">
        <f t="shared" si="66"/>
        <v>0</v>
      </c>
      <c r="U32" s="1184">
        <f t="shared" si="67"/>
        <v>1</v>
      </c>
      <c r="V32" s="1202"/>
      <c r="W32" s="1203">
        <f t="shared" ref="W32:W65" si="81">ROUND(V32*$I32,2)</f>
        <v>0</v>
      </c>
      <c r="X32" s="1204">
        <f t="shared" ref="X32:X65" si="82">+W32/$J32</f>
        <v>0</v>
      </c>
      <c r="Y32" s="1202"/>
      <c r="Z32" s="1203">
        <f t="shared" ref="Z32:Z65" si="83">ROUND(Y32*$I32,2)</f>
        <v>0</v>
      </c>
      <c r="AA32" s="1204">
        <f t="shared" ref="AA32:AA65" si="84">+Z32/$J32</f>
        <v>0</v>
      </c>
      <c r="AB32" s="1202"/>
      <c r="AC32" s="1203">
        <f t="shared" ref="AC32:AC65" si="85">ROUND(AB32*$I32,2)</f>
        <v>0</v>
      </c>
      <c r="AD32" s="1204">
        <f t="shared" ref="AD32:AD65" si="86">+AC32/$J32</f>
        <v>0</v>
      </c>
      <c r="AE32" s="1202"/>
      <c r="AF32" s="1203">
        <f t="shared" ref="AF32:AF65" si="87">ROUND(AE32*$I32,2)</f>
        <v>0</v>
      </c>
      <c r="AG32" s="1204">
        <f t="shared" ref="AG32:AG65" si="88">+AF32/$J32</f>
        <v>0</v>
      </c>
      <c r="AH32" s="1202"/>
      <c r="AI32" s="1203">
        <f t="shared" ref="AI32:AI65" si="89">ROUND(AH32*$I32,2)</f>
        <v>0</v>
      </c>
      <c r="AJ32" s="1204">
        <f t="shared" ref="AJ32:AJ65" si="90">+AI32/$J32</f>
        <v>0</v>
      </c>
      <c r="AK32" s="1202"/>
      <c r="AL32" s="1203">
        <f t="shared" ref="AL32:AL65" si="91">ROUND(AK32*$I32,2)</f>
        <v>0</v>
      </c>
      <c r="AM32" s="1204">
        <f t="shared" ref="AM32:AM65" si="92">+AL32/$J32</f>
        <v>0</v>
      </c>
      <c r="AN32" s="1202"/>
      <c r="AO32" s="1203">
        <f t="shared" ref="AO32:AO65" si="93">ROUND(AN32*$I32,2)</f>
        <v>0</v>
      </c>
      <c r="AP32" s="1204">
        <f t="shared" ref="AP32:AP65" si="94">+AO32/$J32</f>
        <v>0</v>
      </c>
      <c r="AQ32" s="1202"/>
      <c r="AR32" s="1203">
        <f t="shared" ref="AR32:AR65" si="95">ROUND(AQ32*$I32,2)</f>
        <v>0</v>
      </c>
      <c r="AS32" s="1204">
        <f t="shared" ref="AS32:AS65" si="96">+AR32/$J32</f>
        <v>0</v>
      </c>
      <c r="AT32" s="1202"/>
      <c r="AU32" s="1203">
        <f t="shared" ref="AU32:AU65" si="97">ROUND(AT32*$I32,2)</f>
        <v>0</v>
      </c>
      <c r="AV32" s="1204">
        <f t="shared" ref="AV32:AV65" si="98">+AU32/$J32</f>
        <v>0</v>
      </c>
      <c r="AW32" s="1202"/>
      <c r="AX32" s="1203">
        <f t="shared" ref="AX32:AX65" si="99">ROUND(AW32*$I32,2)</f>
        <v>0</v>
      </c>
      <c r="AY32" s="1204">
        <f t="shared" ref="AY32:AY65" si="100">+AX32/$J32</f>
        <v>0</v>
      </c>
      <c r="AZ32" s="1202"/>
      <c r="BA32" s="1203">
        <f t="shared" ref="BA32:BA65" si="101">ROUND(AZ32*$I32,2)</f>
        <v>0</v>
      </c>
      <c r="BB32" s="1204">
        <f t="shared" ref="BB32:BB65" si="102">+BA32/$J32</f>
        <v>0</v>
      </c>
      <c r="BC32" s="1433">
        <f t="shared" si="11"/>
        <v>0</v>
      </c>
    </row>
    <row r="33" spans="1:55" ht="13.8">
      <c r="A33" s="888" t="e">
        <f t="shared" si="12"/>
        <v>#REF!</v>
      </c>
      <c r="B33" s="889">
        <f t="shared" si="13"/>
        <v>0</v>
      </c>
      <c r="C33" s="891" t="e">
        <f t="shared" si="14"/>
        <v>#REF!</v>
      </c>
      <c r="D33" s="892" t="str">
        <f t="shared" si="80"/>
        <v>4. OBRAS DE DRENAJE</v>
      </c>
      <c r="E33" s="937">
        <v>25</v>
      </c>
      <c r="F33" s="768" t="s">
        <v>538</v>
      </c>
      <c r="G33" s="934" t="s">
        <v>290</v>
      </c>
      <c r="H33" s="36">
        <v>63</v>
      </c>
      <c r="I33" s="38">
        <v>2244.69</v>
      </c>
      <c r="J33" s="66">
        <f t="shared" si="79"/>
        <v>141415.47</v>
      </c>
      <c r="K33" s="61">
        <f>SUMIF($V$3:$CH$3,"&lt;"&amp;Datos!$C$20,V33:CH33)</f>
        <v>0</v>
      </c>
      <c r="L33" s="71">
        <f t="shared" si="60"/>
        <v>0</v>
      </c>
      <c r="M33" s="65">
        <f>LOOKUP(Datos!$C$20,'Cant. Ejec,'!$V$3:$BB$3,'Cant. Ejec,'!$V33:$BB33)</f>
        <v>0</v>
      </c>
      <c r="N33" s="896">
        <f t="shared" si="61"/>
        <v>0</v>
      </c>
      <c r="O33" s="61">
        <f t="shared" si="62"/>
        <v>0</v>
      </c>
      <c r="P33" s="896">
        <f t="shared" si="62"/>
        <v>0</v>
      </c>
      <c r="Q33" s="61">
        <f t="shared" si="63"/>
        <v>63</v>
      </c>
      <c r="R33" s="896">
        <f t="shared" si="64"/>
        <v>141415.47</v>
      </c>
      <c r="S33" s="792">
        <f t="shared" si="65"/>
        <v>0</v>
      </c>
      <c r="T33" s="792">
        <f t="shared" si="66"/>
        <v>0</v>
      </c>
      <c r="U33" s="1184">
        <f t="shared" si="67"/>
        <v>1</v>
      </c>
      <c r="V33" s="1202"/>
      <c r="W33" s="1203">
        <f t="shared" si="81"/>
        <v>0</v>
      </c>
      <c r="X33" s="1204">
        <f t="shared" si="82"/>
        <v>0</v>
      </c>
      <c r="Y33" s="1202"/>
      <c r="Z33" s="1203">
        <f t="shared" si="83"/>
        <v>0</v>
      </c>
      <c r="AA33" s="1204">
        <f t="shared" si="84"/>
        <v>0</v>
      </c>
      <c r="AB33" s="1202"/>
      <c r="AC33" s="1203">
        <f t="shared" si="85"/>
        <v>0</v>
      </c>
      <c r="AD33" s="1204">
        <f t="shared" si="86"/>
        <v>0</v>
      </c>
      <c r="AE33" s="1202"/>
      <c r="AF33" s="1203">
        <f t="shared" si="87"/>
        <v>0</v>
      </c>
      <c r="AG33" s="1204">
        <f t="shared" si="88"/>
        <v>0</v>
      </c>
      <c r="AH33" s="1202"/>
      <c r="AI33" s="1203">
        <f t="shared" si="89"/>
        <v>0</v>
      </c>
      <c r="AJ33" s="1204">
        <f t="shared" si="90"/>
        <v>0</v>
      </c>
      <c r="AK33" s="1202"/>
      <c r="AL33" s="1203">
        <f t="shared" si="91"/>
        <v>0</v>
      </c>
      <c r="AM33" s="1204">
        <f t="shared" si="92"/>
        <v>0</v>
      </c>
      <c r="AN33" s="1202"/>
      <c r="AO33" s="1203">
        <f t="shared" si="93"/>
        <v>0</v>
      </c>
      <c r="AP33" s="1204">
        <f t="shared" si="94"/>
        <v>0</v>
      </c>
      <c r="AQ33" s="1202"/>
      <c r="AR33" s="1203">
        <f t="shared" si="95"/>
        <v>0</v>
      </c>
      <c r="AS33" s="1204">
        <f t="shared" si="96"/>
        <v>0</v>
      </c>
      <c r="AT33" s="1202"/>
      <c r="AU33" s="1203">
        <f t="shared" si="97"/>
        <v>0</v>
      </c>
      <c r="AV33" s="1204">
        <f t="shared" si="98"/>
        <v>0</v>
      </c>
      <c r="AW33" s="1202"/>
      <c r="AX33" s="1203">
        <f t="shared" si="99"/>
        <v>0</v>
      </c>
      <c r="AY33" s="1204">
        <f t="shared" si="100"/>
        <v>0</v>
      </c>
      <c r="AZ33" s="1202"/>
      <c r="BA33" s="1203">
        <f t="shared" si="101"/>
        <v>0</v>
      </c>
      <c r="BB33" s="1204">
        <f t="shared" si="102"/>
        <v>0</v>
      </c>
      <c r="BC33" s="1433">
        <f t="shared" si="11"/>
        <v>0</v>
      </c>
    </row>
    <row r="34" spans="1:55" ht="13.8">
      <c r="A34" s="888" t="e">
        <f t="shared" si="12"/>
        <v>#REF!</v>
      </c>
      <c r="B34" s="889">
        <f t="shared" si="13"/>
        <v>0</v>
      </c>
      <c r="C34" s="891" t="e">
        <f t="shared" si="14"/>
        <v>#REF!</v>
      </c>
      <c r="D34" s="892" t="str">
        <f t="shared" si="80"/>
        <v>4. OBRAS DE DRENAJE</v>
      </c>
      <c r="E34" s="937">
        <v>26</v>
      </c>
      <c r="F34" s="775" t="s">
        <v>539</v>
      </c>
      <c r="G34" s="934" t="s">
        <v>287</v>
      </c>
      <c r="H34" s="36">
        <v>52</v>
      </c>
      <c r="I34" s="36">
        <v>1393.68</v>
      </c>
      <c r="J34" s="66">
        <f t="shared" si="79"/>
        <v>72471.360000000001</v>
      </c>
      <c r="K34" s="61">
        <f>SUMIF($V$3:$CH$3,"&lt;"&amp;Datos!$C$20,V34:CH34)</f>
        <v>0</v>
      </c>
      <c r="L34" s="71">
        <f t="shared" si="60"/>
        <v>0</v>
      </c>
      <c r="M34" s="65">
        <f>LOOKUP(Datos!$C$20,'Cant. Ejec,'!$V$3:$BB$3,'Cant. Ejec,'!$V34:$BB34)</f>
        <v>0</v>
      </c>
      <c r="N34" s="896">
        <f t="shared" si="61"/>
        <v>0</v>
      </c>
      <c r="O34" s="61">
        <f t="shared" si="62"/>
        <v>0</v>
      </c>
      <c r="P34" s="896">
        <f t="shared" si="62"/>
        <v>0</v>
      </c>
      <c r="Q34" s="61">
        <f t="shared" si="63"/>
        <v>52</v>
      </c>
      <c r="R34" s="896">
        <f t="shared" si="64"/>
        <v>72471.360000000001</v>
      </c>
      <c r="S34" s="792">
        <f t="shared" si="65"/>
        <v>0</v>
      </c>
      <c r="T34" s="792">
        <f t="shared" si="66"/>
        <v>0</v>
      </c>
      <c r="U34" s="1184">
        <f t="shared" si="67"/>
        <v>1</v>
      </c>
      <c r="V34" s="1202"/>
      <c r="W34" s="1203">
        <f t="shared" si="81"/>
        <v>0</v>
      </c>
      <c r="X34" s="1204">
        <f t="shared" si="82"/>
        <v>0</v>
      </c>
      <c r="Y34" s="1202"/>
      <c r="Z34" s="1203">
        <f t="shared" si="83"/>
        <v>0</v>
      </c>
      <c r="AA34" s="1204">
        <f t="shared" si="84"/>
        <v>0</v>
      </c>
      <c r="AB34" s="1202"/>
      <c r="AC34" s="1203">
        <f t="shared" si="85"/>
        <v>0</v>
      </c>
      <c r="AD34" s="1204">
        <f t="shared" si="86"/>
        <v>0</v>
      </c>
      <c r="AE34" s="1202"/>
      <c r="AF34" s="1203">
        <f t="shared" si="87"/>
        <v>0</v>
      </c>
      <c r="AG34" s="1204">
        <f t="shared" si="88"/>
        <v>0</v>
      </c>
      <c r="AH34" s="1202"/>
      <c r="AI34" s="1203">
        <f t="shared" si="89"/>
        <v>0</v>
      </c>
      <c r="AJ34" s="1204">
        <f t="shared" si="90"/>
        <v>0</v>
      </c>
      <c r="AK34" s="1202"/>
      <c r="AL34" s="1203">
        <f t="shared" si="91"/>
        <v>0</v>
      </c>
      <c r="AM34" s="1204">
        <f t="shared" si="92"/>
        <v>0</v>
      </c>
      <c r="AN34" s="1202"/>
      <c r="AO34" s="1203">
        <f t="shared" si="93"/>
        <v>0</v>
      </c>
      <c r="AP34" s="1204">
        <f t="shared" si="94"/>
        <v>0</v>
      </c>
      <c r="AQ34" s="1202"/>
      <c r="AR34" s="1203">
        <f t="shared" si="95"/>
        <v>0</v>
      </c>
      <c r="AS34" s="1204">
        <f t="shared" si="96"/>
        <v>0</v>
      </c>
      <c r="AT34" s="1202"/>
      <c r="AU34" s="1203">
        <f t="shared" si="97"/>
        <v>0</v>
      </c>
      <c r="AV34" s="1204">
        <f t="shared" si="98"/>
        <v>0</v>
      </c>
      <c r="AW34" s="1202"/>
      <c r="AX34" s="1203">
        <f t="shared" si="99"/>
        <v>0</v>
      </c>
      <c r="AY34" s="1204">
        <f t="shared" si="100"/>
        <v>0</v>
      </c>
      <c r="AZ34" s="1202"/>
      <c r="BA34" s="1203">
        <f t="shared" si="101"/>
        <v>0</v>
      </c>
      <c r="BB34" s="1204">
        <f t="shared" si="102"/>
        <v>0</v>
      </c>
      <c r="BC34" s="1433">
        <f t="shared" si="11"/>
        <v>0</v>
      </c>
    </row>
    <row r="35" spans="1:55" ht="20.399999999999999">
      <c r="A35" s="888" t="e">
        <f t="shared" si="12"/>
        <v>#REF!</v>
      </c>
      <c r="B35" s="889">
        <f t="shared" si="13"/>
        <v>0</v>
      </c>
      <c r="C35" s="891" t="e">
        <f t="shared" si="14"/>
        <v>#REF!</v>
      </c>
      <c r="D35" s="892" t="str">
        <f t="shared" si="80"/>
        <v>4. OBRAS DE DRENAJE</v>
      </c>
      <c r="E35" s="937">
        <v>27</v>
      </c>
      <c r="F35" s="768" t="s">
        <v>540</v>
      </c>
      <c r="G35" s="934" t="s">
        <v>287</v>
      </c>
      <c r="H35" s="36">
        <v>959</v>
      </c>
      <c r="I35" s="36">
        <v>1483.78</v>
      </c>
      <c r="J35" s="66">
        <f t="shared" si="79"/>
        <v>1422945.02</v>
      </c>
      <c r="K35" s="61">
        <f>SUMIF($V$3:$CH$3,"&lt;"&amp;Datos!$C$20,V35:CH35)</f>
        <v>0</v>
      </c>
      <c r="L35" s="71">
        <f t="shared" si="60"/>
        <v>0</v>
      </c>
      <c r="M35" s="65">
        <f>LOOKUP(Datos!$C$20,'Cant. Ejec,'!$V$3:$BB$3,'Cant. Ejec,'!$V35:$BB35)</f>
        <v>0</v>
      </c>
      <c r="N35" s="896">
        <f t="shared" si="61"/>
        <v>0</v>
      </c>
      <c r="O35" s="61">
        <f t="shared" si="62"/>
        <v>0</v>
      </c>
      <c r="P35" s="896">
        <f t="shared" si="62"/>
        <v>0</v>
      </c>
      <c r="Q35" s="61">
        <f t="shared" si="63"/>
        <v>959</v>
      </c>
      <c r="R35" s="896">
        <f t="shared" si="64"/>
        <v>1422945.02</v>
      </c>
      <c r="S35" s="792">
        <f t="shared" si="65"/>
        <v>0</v>
      </c>
      <c r="T35" s="792">
        <f t="shared" si="66"/>
        <v>0</v>
      </c>
      <c r="U35" s="1184">
        <f t="shared" si="67"/>
        <v>1</v>
      </c>
      <c r="V35" s="1202"/>
      <c r="W35" s="1203">
        <f t="shared" si="81"/>
        <v>0</v>
      </c>
      <c r="X35" s="1204">
        <f t="shared" si="82"/>
        <v>0</v>
      </c>
      <c r="Y35" s="1202"/>
      <c r="Z35" s="1203">
        <f t="shared" si="83"/>
        <v>0</v>
      </c>
      <c r="AA35" s="1204">
        <f t="shared" si="84"/>
        <v>0</v>
      </c>
      <c r="AB35" s="1202"/>
      <c r="AC35" s="1203">
        <f t="shared" si="85"/>
        <v>0</v>
      </c>
      <c r="AD35" s="1204">
        <f t="shared" si="86"/>
        <v>0</v>
      </c>
      <c r="AE35" s="1202"/>
      <c r="AF35" s="1203">
        <f t="shared" si="87"/>
        <v>0</v>
      </c>
      <c r="AG35" s="1204">
        <f t="shared" si="88"/>
        <v>0</v>
      </c>
      <c r="AH35" s="1202"/>
      <c r="AI35" s="1203">
        <f t="shared" si="89"/>
        <v>0</v>
      </c>
      <c r="AJ35" s="1204">
        <f t="shared" si="90"/>
        <v>0</v>
      </c>
      <c r="AK35" s="1202"/>
      <c r="AL35" s="1203">
        <f t="shared" si="91"/>
        <v>0</v>
      </c>
      <c r="AM35" s="1204">
        <f t="shared" si="92"/>
        <v>0</v>
      </c>
      <c r="AN35" s="1202"/>
      <c r="AO35" s="1203">
        <f t="shared" si="93"/>
        <v>0</v>
      </c>
      <c r="AP35" s="1204">
        <f t="shared" si="94"/>
        <v>0</v>
      </c>
      <c r="AQ35" s="1202"/>
      <c r="AR35" s="1203">
        <f t="shared" si="95"/>
        <v>0</v>
      </c>
      <c r="AS35" s="1204">
        <f t="shared" si="96"/>
        <v>0</v>
      </c>
      <c r="AT35" s="1202"/>
      <c r="AU35" s="1203">
        <f t="shared" si="97"/>
        <v>0</v>
      </c>
      <c r="AV35" s="1204">
        <f t="shared" si="98"/>
        <v>0</v>
      </c>
      <c r="AW35" s="1202"/>
      <c r="AX35" s="1203">
        <f t="shared" si="99"/>
        <v>0</v>
      </c>
      <c r="AY35" s="1204">
        <f t="shared" si="100"/>
        <v>0</v>
      </c>
      <c r="AZ35" s="1202"/>
      <c r="BA35" s="1203">
        <f t="shared" si="101"/>
        <v>0</v>
      </c>
      <c r="BB35" s="1204">
        <f t="shared" si="102"/>
        <v>0</v>
      </c>
      <c r="BC35" s="1433">
        <f t="shared" si="11"/>
        <v>0</v>
      </c>
    </row>
    <row r="36" spans="1:55" ht="13.8">
      <c r="A36" s="888" t="e">
        <f t="shared" si="12"/>
        <v>#REF!</v>
      </c>
      <c r="B36" s="889">
        <f t="shared" si="13"/>
        <v>0</v>
      </c>
      <c r="C36" s="891" t="e">
        <f t="shared" si="14"/>
        <v>#REF!</v>
      </c>
      <c r="D36" s="892" t="str">
        <f t="shared" si="80"/>
        <v>4. OBRAS DE DRENAJE</v>
      </c>
      <c r="E36" s="937">
        <v>28</v>
      </c>
      <c r="F36" s="768" t="s">
        <v>541</v>
      </c>
      <c r="G36" s="934" t="s">
        <v>287</v>
      </c>
      <c r="H36" s="36">
        <v>1578</v>
      </c>
      <c r="I36" s="36">
        <v>1483.78</v>
      </c>
      <c r="J36" s="66">
        <f t="shared" si="79"/>
        <v>2341404.84</v>
      </c>
      <c r="K36" s="61">
        <f>SUMIF($V$3:$CH$3,"&lt;"&amp;Datos!$C$20,V36:CH36)</f>
        <v>0</v>
      </c>
      <c r="L36" s="71">
        <f t="shared" si="60"/>
        <v>0</v>
      </c>
      <c r="M36" s="65">
        <f>LOOKUP(Datos!$C$20,'Cant. Ejec,'!$V$3:$BB$3,'Cant. Ejec,'!$V36:$BB36)</f>
        <v>0</v>
      </c>
      <c r="N36" s="896">
        <f t="shared" si="61"/>
        <v>0</v>
      </c>
      <c r="O36" s="61">
        <f t="shared" si="62"/>
        <v>0</v>
      </c>
      <c r="P36" s="896">
        <f t="shared" si="62"/>
        <v>0</v>
      </c>
      <c r="Q36" s="61">
        <f t="shared" si="63"/>
        <v>1578</v>
      </c>
      <c r="R36" s="896">
        <f t="shared" si="64"/>
        <v>2341404.84</v>
      </c>
      <c r="S36" s="792">
        <f t="shared" si="65"/>
        <v>0</v>
      </c>
      <c r="T36" s="792">
        <f t="shared" si="66"/>
        <v>0</v>
      </c>
      <c r="U36" s="1184">
        <f t="shared" si="67"/>
        <v>1</v>
      </c>
      <c r="V36" s="1202"/>
      <c r="W36" s="1203">
        <f t="shared" si="81"/>
        <v>0</v>
      </c>
      <c r="X36" s="1204">
        <f t="shared" si="82"/>
        <v>0</v>
      </c>
      <c r="Y36" s="1202"/>
      <c r="Z36" s="1203">
        <f t="shared" si="83"/>
        <v>0</v>
      </c>
      <c r="AA36" s="1204">
        <f t="shared" si="84"/>
        <v>0</v>
      </c>
      <c r="AB36" s="1202"/>
      <c r="AC36" s="1203">
        <f t="shared" si="85"/>
        <v>0</v>
      </c>
      <c r="AD36" s="1204">
        <f t="shared" si="86"/>
        <v>0</v>
      </c>
      <c r="AE36" s="1202"/>
      <c r="AF36" s="1203">
        <f t="shared" si="87"/>
        <v>0</v>
      </c>
      <c r="AG36" s="1204">
        <f t="shared" si="88"/>
        <v>0</v>
      </c>
      <c r="AH36" s="1202"/>
      <c r="AI36" s="1203">
        <f t="shared" si="89"/>
        <v>0</v>
      </c>
      <c r="AJ36" s="1204">
        <f t="shared" si="90"/>
        <v>0</v>
      </c>
      <c r="AK36" s="1202"/>
      <c r="AL36" s="1203">
        <f t="shared" si="91"/>
        <v>0</v>
      </c>
      <c r="AM36" s="1204">
        <f t="shared" si="92"/>
        <v>0</v>
      </c>
      <c r="AN36" s="1202"/>
      <c r="AO36" s="1203">
        <f t="shared" si="93"/>
        <v>0</v>
      </c>
      <c r="AP36" s="1204">
        <f t="shared" si="94"/>
        <v>0</v>
      </c>
      <c r="AQ36" s="1202"/>
      <c r="AR36" s="1203">
        <f t="shared" si="95"/>
        <v>0</v>
      </c>
      <c r="AS36" s="1204">
        <f t="shared" si="96"/>
        <v>0</v>
      </c>
      <c r="AT36" s="1202"/>
      <c r="AU36" s="1203">
        <f t="shared" si="97"/>
        <v>0</v>
      </c>
      <c r="AV36" s="1204">
        <f t="shared" si="98"/>
        <v>0</v>
      </c>
      <c r="AW36" s="1202"/>
      <c r="AX36" s="1203">
        <f t="shared" si="99"/>
        <v>0</v>
      </c>
      <c r="AY36" s="1204">
        <f t="shared" si="100"/>
        <v>0</v>
      </c>
      <c r="AZ36" s="1202"/>
      <c r="BA36" s="1203">
        <f t="shared" si="101"/>
        <v>0</v>
      </c>
      <c r="BB36" s="1204">
        <f t="shared" si="102"/>
        <v>0</v>
      </c>
      <c r="BC36" s="1433">
        <f t="shared" si="11"/>
        <v>0</v>
      </c>
    </row>
    <row r="37" spans="1:55" ht="13.8">
      <c r="A37" s="888" t="e">
        <f t="shared" si="12"/>
        <v>#REF!</v>
      </c>
      <c r="B37" s="889">
        <f t="shared" si="13"/>
        <v>0</v>
      </c>
      <c r="C37" s="891" t="e">
        <f t="shared" si="14"/>
        <v>#REF!</v>
      </c>
      <c r="D37" s="892" t="str">
        <f t="shared" si="80"/>
        <v>4. OBRAS DE DRENAJE</v>
      </c>
      <c r="E37" s="937">
        <v>29</v>
      </c>
      <c r="F37" s="775" t="s">
        <v>542</v>
      </c>
      <c r="G37" s="934" t="s">
        <v>287</v>
      </c>
      <c r="H37" s="36">
        <v>182</v>
      </c>
      <c r="I37" s="36">
        <v>1483.78</v>
      </c>
      <c r="J37" s="66">
        <f t="shared" si="79"/>
        <v>270047.96000000002</v>
      </c>
      <c r="K37" s="61">
        <f>SUMIF($V$3:$CH$3,"&lt;"&amp;Datos!$C$20,V37:CH37)</f>
        <v>0</v>
      </c>
      <c r="L37" s="71">
        <f t="shared" si="60"/>
        <v>0</v>
      </c>
      <c r="M37" s="65">
        <f>LOOKUP(Datos!$C$20,'Cant. Ejec,'!$V$3:$BB$3,'Cant. Ejec,'!$V37:$BB37)</f>
        <v>0</v>
      </c>
      <c r="N37" s="896">
        <f t="shared" si="61"/>
        <v>0</v>
      </c>
      <c r="O37" s="61">
        <f t="shared" si="62"/>
        <v>0</v>
      </c>
      <c r="P37" s="896">
        <f t="shared" si="62"/>
        <v>0</v>
      </c>
      <c r="Q37" s="61">
        <f t="shared" si="63"/>
        <v>182</v>
      </c>
      <c r="R37" s="896">
        <f t="shared" si="64"/>
        <v>270047.96000000002</v>
      </c>
      <c r="S37" s="792">
        <f t="shared" si="65"/>
        <v>0</v>
      </c>
      <c r="T37" s="792">
        <f t="shared" si="66"/>
        <v>0</v>
      </c>
      <c r="U37" s="1184">
        <f t="shared" si="67"/>
        <v>1</v>
      </c>
      <c r="V37" s="1202"/>
      <c r="W37" s="1203">
        <f t="shared" si="81"/>
        <v>0</v>
      </c>
      <c r="X37" s="1204">
        <f t="shared" si="82"/>
        <v>0</v>
      </c>
      <c r="Y37" s="1202"/>
      <c r="Z37" s="1203">
        <f t="shared" si="83"/>
        <v>0</v>
      </c>
      <c r="AA37" s="1204">
        <f t="shared" si="84"/>
        <v>0</v>
      </c>
      <c r="AB37" s="1202"/>
      <c r="AC37" s="1203">
        <f t="shared" si="85"/>
        <v>0</v>
      </c>
      <c r="AD37" s="1204">
        <f t="shared" si="86"/>
        <v>0</v>
      </c>
      <c r="AE37" s="1202"/>
      <c r="AF37" s="1203">
        <f t="shared" si="87"/>
        <v>0</v>
      </c>
      <c r="AG37" s="1204">
        <f t="shared" si="88"/>
        <v>0</v>
      </c>
      <c r="AH37" s="1202"/>
      <c r="AI37" s="1203">
        <f t="shared" si="89"/>
        <v>0</v>
      </c>
      <c r="AJ37" s="1204">
        <f t="shared" si="90"/>
        <v>0</v>
      </c>
      <c r="AK37" s="1202"/>
      <c r="AL37" s="1203">
        <f t="shared" si="91"/>
        <v>0</v>
      </c>
      <c r="AM37" s="1204">
        <f t="shared" si="92"/>
        <v>0</v>
      </c>
      <c r="AN37" s="1202"/>
      <c r="AO37" s="1203">
        <f t="shared" si="93"/>
        <v>0</v>
      </c>
      <c r="AP37" s="1204">
        <f t="shared" si="94"/>
        <v>0</v>
      </c>
      <c r="AQ37" s="1202"/>
      <c r="AR37" s="1203">
        <f t="shared" si="95"/>
        <v>0</v>
      </c>
      <c r="AS37" s="1204">
        <f t="shared" si="96"/>
        <v>0</v>
      </c>
      <c r="AT37" s="1202"/>
      <c r="AU37" s="1203">
        <f t="shared" si="97"/>
        <v>0</v>
      </c>
      <c r="AV37" s="1204">
        <f t="shared" si="98"/>
        <v>0</v>
      </c>
      <c r="AW37" s="1202"/>
      <c r="AX37" s="1203">
        <f t="shared" si="99"/>
        <v>0</v>
      </c>
      <c r="AY37" s="1204">
        <f t="shared" si="100"/>
        <v>0</v>
      </c>
      <c r="AZ37" s="1202"/>
      <c r="BA37" s="1203">
        <f t="shared" si="101"/>
        <v>0</v>
      </c>
      <c r="BB37" s="1204">
        <f t="shared" si="102"/>
        <v>0</v>
      </c>
      <c r="BC37" s="1433">
        <f t="shared" si="11"/>
        <v>0</v>
      </c>
    </row>
    <row r="38" spans="1:55" ht="20.399999999999999">
      <c r="A38" s="888" t="e">
        <f t="shared" si="12"/>
        <v>#REF!</v>
      </c>
      <c r="B38" s="889">
        <f t="shared" si="13"/>
        <v>0</v>
      </c>
      <c r="C38" s="891" t="e">
        <f t="shared" si="14"/>
        <v>#REF!</v>
      </c>
      <c r="D38" s="892" t="str">
        <f t="shared" si="80"/>
        <v>4. OBRAS DE DRENAJE</v>
      </c>
      <c r="E38" s="937">
        <v>30</v>
      </c>
      <c r="F38" s="768" t="s">
        <v>543</v>
      </c>
      <c r="G38" s="934" t="s">
        <v>287</v>
      </c>
      <c r="H38" s="36">
        <v>324</v>
      </c>
      <c r="I38" s="38">
        <v>1483.78</v>
      </c>
      <c r="J38" s="66">
        <f t="shared" si="79"/>
        <v>480744.72</v>
      </c>
      <c r="K38" s="61">
        <f>SUMIF($V$3:$CH$3,"&lt;"&amp;Datos!$C$20,V38:CH38)</f>
        <v>0</v>
      </c>
      <c r="L38" s="71">
        <f t="shared" si="60"/>
        <v>0</v>
      </c>
      <c r="M38" s="65">
        <f>LOOKUP(Datos!$C$20,'Cant. Ejec,'!$V$3:$BB$3,'Cant. Ejec,'!$V38:$BB38)</f>
        <v>0</v>
      </c>
      <c r="N38" s="896">
        <f t="shared" si="61"/>
        <v>0</v>
      </c>
      <c r="O38" s="61">
        <f t="shared" si="62"/>
        <v>0</v>
      </c>
      <c r="P38" s="896">
        <f t="shared" si="62"/>
        <v>0</v>
      </c>
      <c r="Q38" s="61">
        <f t="shared" si="63"/>
        <v>324</v>
      </c>
      <c r="R38" s="896">
        <f t="shared" si="64"/>
        <v>480744.72</v>
      </c>
      <c r="S38" s="792">
        <f t="shared" si="65"/>
        <v>0</v>
      </c>
      <c r="T38" s="792">
        <f t="shared" si="66"/>
        <v>0</v>
      </c>
      <c r="U38" s="1184">
        <f t="shared" si="67"/>
        <v>1</v>
      </c>
      <c r="V38" s="1202"/>
      <c r="W38" s="1203">
        <f t="shared" si="81"/>
        <v>0</v>
      </c>
      <c r="X38" s="1204">
        <f t="shared" si="82"/>
        <v>0</v>
      </c>
      <c r="Y38" s="1202"/>
      <c r="Z38" s="1203">
        <f t="shared" si="83"/>
        <v>0</v>
      </c>
      <c r="AA38" s="1204">
        <f t="shared" si="84"/>
        <v>0</v>
      </c>
      <c r="AB38" s="1202"/>
      <c r="AC38" s="1203">
        <f t="shared" si="85"/>
        <v>0</v>
      </c>
      <c r="AD38" s="1204">
        <f t="shared" si="86"/>
        <v>0</v>
      </c>
      <c r="AE38" s="1202"/>
      <c r="AF38" s="1203">
        <f t="shared" si="87"/>
        <v>0</v>
      </c>
      <c r="AG38" s="1204">
        <f t="shared" si="88"/>
        <v>0</v>
      </c>
      <c r="AH38" s="1202"/>
      <c r="AI38" s="1203">
        <f t="shared" si="89"/>
        <v>0</v>
      </c>
      <c r="AJ38" s="1204">
        <f t="shared" si="90"/>
        <v>0</v>
      </c>
      <c r="AK38" s="1202"/>
      <c r="AL38" s="1203">
        <f t="shared" si="91"/>
        <v>0</v>
      </c>
      <c r="AM38" s="1204">
        <f t="shared" si="92"/>
        <v>0</v>
      </c>
      <c r="AN38" s="1202"/>
      <c r="AO38" s="1203">
        <f t="shared" si="93"/>
        <v>0</v>
      </c>
      <c r="AP38" s="1204">
        <f t="shared" si="94"/>
        <v>0</v>
      </c>
      <c r="AQ38" s="1202"/>
      <c r="AR38" s="1203">
        <f t="shared" si="95"/>
        <v>0</v>
      </c>
      <c r="AS38" s="1204">
        <f t="shared" si="96"/>
        <v>0</v>
      </c>
      <c r="AT38" s="1202"/>
      <c r="AU38" s="1203">
        <f t="shared" si="97"/>
        <v>0</v>
      </c>
      <c r="AV38" s="1204">
        <f t="shared" si="98"/>
        <v>0</v>
      </c>
      <c r="AW38" s="1202"/>
      <c r="AX38" s="1203">
        <f t="shared" si="99"/>
        <v>0</v>
      </c>
      <c r="AY38" s="1204">
        <f t="shared" si="100"/>
        <v>0</v>
      </c>
      <c r="AZ38" s="1202"/>
      <c r="BA38" s="1203">
        <f t="shared" si="101"/>
        <v>0</v>
      </c>
      <c r="BB38" s="1204">
        <f t="shared" si="102"/>
        <v>0</v>
      </c>
      <c r="BC38" s="1433">
        <f t="shared" si="11"/>
        <v>0</v>
      </c>
    </row>
    <row r="39" spans="1:55" ht="13.8">
      <c r="A39" s="888" t="e">
        <f t="shared" si="12"/>
        <v>#REF!</v>
      </c>
      <c r="B39" s="889">
        <f t="shared" si="13"/>
        <v>0</v>
      </c>
      <c r="C39" s="891" t="e">
        <f t="shared" si="14"/>
        <v>#REF!</v>
      </c>
      <c r="D39" s="892" t="str">
        <f t="shared" si="80"/>
        <v>4. OBRAS DE DRENAJE</v>
      </c>
      <c r="E39" s="937">
        <v>31</v>
      </c>
      <c r="F39" s="768" t="s">
        <v>544</v>
      </c>
      <c r="G39" s="934" t="s">
        <v>287</v>
      </c>
      <c r="H39" s="36">
        <v>915</v>
      </c>
      <c r="I39" s="36">
        <v>1483.78</v>
      </c>
      <c r="J39" s="66">
        <f t="shared" si="79"/>
        <v>1357658.7</v>
      </c>
      <c r="K39" s="61">
        <f>SUMIF($V$3:$CH$3,"&lt;"&amp;Datos!$C$20,V39:CH39)</f>
        <v>0</v>
      </c>
      <c r="L39" s="71">
        <f t="shared" si="60"/>
        <v>0</v>
      </c>
      <c r="M39" s="65">
        <f>LOOKUP(Datos!$C$20,'Cant. Ejec,'!$V$3:$BB$3,'Cant. Ejec,'!$V39:$BB39)</f>
        <v>0</v>
      </c>
      <c r="N39" s="896">
        <f t="shared" si="61"/>
        <v>0</v>
      </c>
      <c r="O39" s="61">
        <f t="shared" si="62"/>
        <v>0</v>
      </c>
      <c r="P39" s="896">
        <f t="shared" si="62"/>
        <v>0</v>
      </c>
      <c r="Q39" s="61">
        <f t="shared" si="63"/>
        <v>915</v>
      </c>
      <c r="R39" s="896">
        <f t="shared" si="64"/>
        <v>1357658.7</v>
      </c>
      <c r="S39" s="792">
        <f t="shared" si="65"/>
        <v>0</v>
      </c>
      <c r="T39" s="792">
        <f t="shared" si="66"/>
        <v>0</v>
      </c>
      <c r="U39" s="1184">
        <f t="shared" si="67"/>
        <v>1</v>
      </c>
      <c r="V39" s="1202"/>
      <c r="W39" s="1203">
        <f t="shared" si="81"/>
        <v>0</v>
      </c>
      <c r="X39" s="1204">
        <f t="shared" si="82"/>
        <v>0</v>
      </c>
      <c r="Y39" s="1202"/>
      <c r="Z39" s="1203">
        <f t="shared" si="83"/>
        <v>0</v>
      </c>
      <c r="AA39" s="1204">
        <f t="shared" si="84"/>
        <v>0</v>
      </c>
      <c r="AB39" s="1202"/>
      <c r="AC39" s="1203">
        <f t="shared" si="85"/>
        <v>0</v>
      </c>
      <c r="AD39" s="1204">
        <f t="shared" si="86"/>
        <v>0</v>
      </c>
      <c r="AE39" s="1202"/>
      <c r="AF39" s="1203">
        <f t="shared" si="87"/>
        <v>0</v>
      </c>
      <c r="AG39" s="1204">
        <f t="shared" si="88"/>
        <v>0</v>
      </c>
      <c r="AH39" s="1202"/>
      <c r="AI39" s="1203">
        <f t="shared" si="89"/>
        <v>0</v>
      </c>
      <c r="AJ39" s="1204">
        <f t="shared" si="90"/>
        <v>0</v>
      </c>
      <c r="AK39" s="1202"/>
      <c r="AL39" s="1203">
        <f t="shared" si="91"/>
        <v>0</v>
      </c>
      <c r="AM39" s="1204">
        <f t="shared" si="92"/>
        <v>0</v>
      </c>
      <c r="AN39" s="1202"/>
      <c r="AO39" s="1203">
        <f t="shared" si="93"/>
        <v>0</v>
      </c>
      <c r="AP39" s="1204">
        <f t="shared" si="94"/>
        <v>0</v>
      </c>
      <c r="AQ39" s="1202"/>
      <c r="AR39" s="1203">
        <f t="shared" si="95"/>
        <v>0</v>
      </c>
      <c r="AS39" s="1204">
        <f t="shared" si="96"/>
        <v>0</v>
      </c>
      <c r="AT39" s="1202"/>
      <c r="AU39" s="1203">
        <f t="shared" si="97"/>
        <v>0</v>
      </c>
      <c r="AV39" s="1204">
        <f t="shared" si="98"/>
        <v>0</v>
      </c>
      <c r="AW39" s="1202"/>
      <c r="AX39" s="1203">
        <f t="shared" si="99"/>
        <v>0</v>
      </c>
      <c r="AY39" s="1204">
        <f t="shared" si="100"/>
        <v>0</v>
      </c>
      <c r="AZ39" s="1202"/>
      <c r="BA39" s="1203">
        <f t="shared" si="101"/>
        <v>0</v>
      </c>
      <c r="BB39" s="1204">
        <f t="shared" si="102"/>
        <v>0</v>
      </c>
      <c r="BC39" s="1433">
        <f t="shared" si="11"/>
        <v>0</v>
      </c>
    </row>
    <row r="40" spans="1:55" ht="13.8">
      <c r="A40" s="888" t="e">
        <f t="shared" si="12"/>
        <v>#REF!</v>
      </c>
      <c r="B40" s="889">
        <f t="shared" si="13"/>
        <v>0</v>
      </c>
      <c r="C40" s="891" t="e">
        <f t="shared" si="14"/>
        <v>#REF!</v>
      </c>
      <c r="D40" s="892" t="str">
        <f t="shared" si="80"/>
        <v>4. OBRAS DE DRENAJE</v>
      </c>
      <c r="E40" s="937">
        <v>32</v>
      </c>
      <c r="F40" s="768" t="s">
        <v>545</v>
      </c>
      <c r="G40" s="934" t="s">
        <v>287</v>
      </c>
      <c r="H40" s="36">
        <v>173</v>
      </c>
      <c r="I40" s="36">
        <v>1483.78</v>
      </c>
      <c r="J40" s="66">
        <f t="shared" si="79"/>
        <v>256693.94</v>
      </c>
      <c r="K40" s="61">
        <f>SUMIF($V$3:$CH$3,"&lt;"&amp;Datos!$C$20,V40:CH40)</f>
        <v>0</v>
      </c>
      <c r="L40" s="71">
        <f t="shared" si="60"/>
        <v>0</v>
      </c>
      <c r="M40" s="65">
        <f>LOOKUP(Datos!$C$20,'Cant. Ejec,'!$V$3:$BB$3,'Cant. Ejec,'!$V40:$BB40)</f>
        <v>0</v>
      </c>
      <c r="N40" s="896">
        <f t="shared" si="61"/>
        <v>0</v>
      </c>
      <c r="O40" s="61">
        <f t="shared" si="62"/>
        <v>0</v>
      </c>
      <c r="P40" s="896">
        <f t="shared" si="62"/>
        <v>0</v>
      </c>
      <c r="Q40" s="61">
        <f t="shared" si="63"/>
        <v>173</v>
      </c>
      <c r="R40" s="896">
        <f t="shared" si="64"/>
        <v>256693.94</v>
      </c>
      <c r="S40" s="792">
        <f t="shared" si="65"/>
        <v>0</v>
      </c>
      <c r="T40" s="792">
        <f t="shared" si="66"/>
        <v>0</v>
      </c>
      <c r="U40" s="1184">
        <f t="shared" si="67"/>
        <v>1</v>
      </c>
      <c r="V40" s="1202"/>
      <c r="W40" s="1203">
        <f t="shared" si="81"/>
        <v>0</v>
      </c>
      <c r="X40" s="1204">
        <f t="shared" si="82"/>
        <v>0</v>
      </c>
      <c r="Y40" s="1202"/>
      <c r="Z40" s="1203">
        <f t="shared" si="83"/>
        <v>0</v>
      </c>
      <c r="AA40" s="1204">
        <f t="shared" si="84"/>
        <v>0</v>
      </c>
      <c r="AB40" s="1202"/>
      <c r="AC40" s="1203">
        <f t="shared" si="85"/>
        <v>0</v>
      </c>
      <c r="AD40" s="1204">
        <f t="shared" si="86"/>
        <v>0</v>
      </c>
      <c r="AE40" s="1202"/>
      <c r="AF40" s="1203">
        <f t="shared" si="87"/>
        <v>0</v>
      </c>
      <c r="AG40" s="1204">
        <f t="shared" si="88"/>
        <v>0</v>
      </c>
      <c r="AH40" s="1202"/>
      <c r="AI40" s="1203">
        <f t="shared" si="89"/>
        <v>0</v>
      </c>
      <c r="AJ40" s="1204">
        <f t="shared" si="90"/>
        <v>0</v>
      </c>
      <c r="AK40" s="1202"/>
      <c r="AL40" s="1203">
        <f t="shared" si="91"/>
        <v>0</v>
      </c>
      <c r="AM40" s="1204">
        <f t="shared" si="92"/>
        <v>0</v>
      </c>
      <c r="AN40" s="1202"/>
      <c r="AO40" s="1203">
        <f t="shared" si="93"/>
        <v>0</v>
      </c>
      <c r="AP40" s="1204">
        <f t="shared" si="94"/>
        <v>0</v>
      </c>
      <c r="AQ40" s="1202"/>
      <c r="AR40" s="1203">
        <f t="shared" si="95"/>
        <v>0</v>
      </c>
      <c r="AS40" s="1204">
        <f t="shared" si="96"/>
        <v>0</v>
      </c>
      <c r="AT40" s="1202"/>
      <c r="AU40" s="1203">
        <f t="shared" si="97"/>
        <v>0</v>
      </c>
      <c r="AV40" s="1204">
        <f t="shared" si="98"/>
        <v>0</v>
      </c>
      <c r="AW40" s="1202"/>
      <c r="AX40" s="1203">
        <f t="shared" si="99"/>
        <v>0</v>
      </c>
      <c r="AY40" s="1204">
        <f t="shared" si="100"/>
        <v>0</v>
      </c>
      <c r="AZ40" s="1202"/>
      <c r="BA40" s="1203">
        <f t="shared" si="101"/>
        <v>0</v>
      </c>
      <c r="BB40" s="1204">
        <f t="shared" si="102"/>
        <v>0</v>
      </c>
      <c r="BC40" s="1433">
        <f t="shared" si="11"/>
        <v>0</v>
      </c>
    </row>
    <row r="41" spans="1:55" ht="13.8">
      <c r="A41" s="888" t="e">
        <f t="shared" si="12"/>
        <v>#REF!</v>
      </c>
      <c r="B41" s="889">
        <f t="shared" si="13"/>
        <v>0</v>
      </c>
      <c r="C41" s="891" t="e">
        <f t="shared" si="14"/>
        <v>#REF!</v>
      </c>
      <c r="D41" s="892" t="str">
        <f t="shared" si="80"/>
        <v>4. OBRAS DE DRENAJE</v>
      </c>
      <c r="E41" s="937">
        <v>33</v>
      </c>
      <c r="F41" s="768" t="s">
        <v>546</v>
      </c>
      <c r="G41" s="934" t="s">
        <v>290</v>
      </c>
      <c r="H41" s="36">
        <v>1320</v>
      </c>
      <c r="I41" s="36">
        <v>298.16000000000003</v>
      </c>
      <c r="J41" s="66">
        <f t="shared" si="79"/>
        <v>393571.2</v>
      </c>
      <c r="K41" s="61">
        <f>SUMIF($V$3:$CH$3,"&lt;"&amp;Datos!$C$20,V41:CH41)</f>
        <v>0</v>
      </c>
      <c r="L41" s="71">
        <f t="shared" si="60"/>
        <v>0</v>
      </c>
      <c r="M41" s="65">
        <f>LOOKUP(Datos!$C$20,'Cant. Ejec,'!$V$3:$BB$3,'Cant. Ejec,'!$V41:$BB41)</f>
        <v>0</v>
      </c>
      <c r="N41" s="896">
        <f t="shared" si="61"/>
        <v>0</v>
      </c>
      <c r="O41" s="61">
        <f t="shared" si="62"/>
        <v>0</v>
      </c>
      <c r="P41" s="896">
        <f t="shared" si="62"/>
        <v>0</v>
      </c>
      <c r="Q41" s="61">
        <f t="shared" si="63"/>
        <v>1320</v>
      </c>
      <c r="R41" s="896">
        <f t="shared" si="64"/>
        <v>393571.2</v>
      </c>
      <c r="S41" s="792">
        <f t="shared" si="65"/>
        <v>0</v>
      </c>
      <c r="T41" s="792">
        <f t="shared" si="66"/>
        <v>0</v>
      </c>
      <c r="U41" s="1184">
        <f t="shared" si="67"/>
        <v>1</v>
      </c>
      <c r="V41" s="1202"/>
      <c r="W41" s="1203">
        <f t="shared" si="81"/>
        <v>0</v>
      </c>
      <c r="X41" s="1204">
        <f t="shared" si="82"/>
        <v>0</v>
      </c>
      <c r="Y41" s="1202"/>
      <c r="Z41" s="1203">
        <f t="shared" si="83"/>
        <v>0</v>
      </c>
      <c r="AA41" s="1204">
        <f t="shared" si="84"/>
        <v>0</v>
      </c>
      <c r="AB41" s="1202"/>
      <c r="AC41" s="1203">
        <f t="shared" si="85"/>
        <v>0</v>
      </c>
      <c r="AD41" s="1204">
        <f t="shared" si="86"/>
        <v>0</v>
      </c>
      <c r="AE41" s="1202"/>
      <c r="AF41" s="1203">
        <f t="shared" si="87"/>
        <v>0</v>
      </c>
      <c r="AG41" s="1204">
        <f t="shared" si="88"/>
        <v>0</v>
      </c>
      <c r="AH41" s="1202"/>
      <c r="AI41" s="1203">
        <f t="shared" si="89"/>
        <v>0</v>
      </c>
      <c r="AJ41" s="1204">
        <f t="shared" si="90"/>
        <v>0</v>
      </c>
      <c r="AK41" s="1202"/>
      <c r="AL41" s="1203">
        <f t="shared" si="91"/>
        <v>0</v>
      </c>
      <c r="AM41" s="1204">
        <f t="shared" si="92"/>
        <v>0</v>
      </c>
      <c r="AN41" s="1202"/>
      <c r="AO41" s="1203">
        <f t="shared" si="93"/>
        <v>0</v>
      </c>
      <c r="AP41" s="1204">
        <f t="shared" si="94"/>
        <v>0</v>
      </c>
      <c r="AQ41" s="1202"/>
      <c r="AR41" s="1203">
        <f t="shared" si="95"/>
        <v>0</v>
      </c>
      <c r="AS41" s="1204">
        <f t="shared" si="96"/>
        <v>0</v>
      </c>
      <c r="AT41" s="1202"/>
      <c r="AU41" s="1203">
        <f t="shared" si="97"/>
        <v>0</v>
      </c>
      <c r="AV41" s="1204">
        <f t="shared" si="98"/>
        <v>0</v>
      </c>
      <c r="AW41" s="1202"/>
      <c r="AX41" s="1203">
        <f t="shared" si="99"/>
        <v>0</v>
      </c>
      <c r="AY41" s="1204">
        <f t="shared" si="100"/>
        <v>0</v>
      </c>
      <c r="AZ41" s="1202"/>
      <c r="BA41" s="1203">
        <f t="shared" si="101"/>
        <v>0</v>
      </c>
      <c r="BB41" s="1204">
        <f t="shared" si="102"/>
        <v>0</v>
      </c>
      <c r="BC41" s="1433">
        <f t="shared" si="11"/>
        <v>0</v>
      </c>
    </row>
    <row r="42" spans="1:55" ht="20.399999999999999">
      <c r="A42" s="888" t="e">
        <f t="shared" si="12"/>
        <v>#REF!</v>
      </c>
      <c r="B42" s="889">
        <f t="shared" si="13"/>
        <v>0</v>
      </c>
      <c r="C42" s="891" t="e">
        <f t="shared" si="14"/>
        <v>#REF!</v>
      </c>
      <c r="D42" s="892" t="str">
        <f t="shared" si="80"/>
        <v>4. OBRAS DE DRENAJE</v>
      </c>
      <c r="E42" s="937">
        <v>34</v>
      </c>
      <c r="F42" s="768" t="s">
        <v>547</v>
      </c>
      <c r="G42" s="934" t="s">
        <v>290</v>
      </c>
      <c r="H42" s="36">
        <v>14</v>
      </c>
      <c r="I42" s="36">
        <v>1943.4</v>
      </c>
      <c r="J42" s="66">
        <f t="shared" si="79"/>
        <v>27207.599999999999</v>
      </c>
      <c r="K42" s="61">
        <f>SUMIF($V$3:$CH$3,"&lt;"&amp;Datos!$C$20,V42:CH42)</f>
        <v>0</v>
      </c>
      <c r="L42" s="71">
        <f t="shared" si="60"/>
        <v>0</v>
      </c>
      <c r="M42" s="65">
        <f>LOOKUP(Datos!$C$20,'Cant. Ejec,'!$V$3:$BB$3,'Cant. Ejec,'!$V42:$BB42)</f>
        <v>0</v>
      </c>
      <c r="N42" s="896">
        <f t="shared" si="61"/>
        <v>0</v>
      </c>
      <c r="O42" s="61">
        <f t="shared" ref="O42:P65" si="103">K42+M42</f>
        <v>0</v>
      </c>
      <c r="P42" s="896">
        <f t="shared" si="103"/>
        <v>0</v>
      </c>
      <c r="Q42" s="61">
        <f t="shared" si="63"/>
        <v>14</v>
      </c>
      <c r="R42" s="896">
        <f t="shared" si="64"/>
        <v>27207.599999999999</v>
      </c>
      <c r="S42" s="792">
        <f t="shared" si="65"/>
        <v>0</v>
      </c>
      <c r="T42" s="792">
        <f t="shared" si="66"/>
        <v>0</v>
      </c>
      <c r="U42" s="1184">
        <f t="shared" si="67"/>
        <v>1</v>
      </c>
      <c r="V42" s="1202"/>
      <c r="W42" s="1203">
        <f t="shared" si="81"/>
        <v>0</v>
      </c>
      <c r="X42" s="1204">
        <f t="shared" si="82"/>
        <v>0</v>
      </c>
      <c r="Y42" s="1202"/>
      <c r="Z42" s="1203">
        <f t="shared" si="83"/>
        <v>0</v>
      </c>
      <c r="AA42" s="1204">
        <f t="shared" si="84"/>
        <v>0</v>
      </c>
      <c r="AB42" s="1202"/>
      <c r="AC42" s="1203">
        <f t="shared" si="85"/>
        <v>0</v>
      </c>
      <c r="AD42" s="1204">
        <f t="shared" si="86"/>
        <v>0</v>
      </c>
      <c r="AE42" s="1202"/>
      <c r="AF42" s="1203">
        <f t="shared" si="87"/>
        <v>0</v>
      </c>
      <c r="AG42" s="1204">
        <f t="shared" si="88"/>
        <v>0</v>
      </c>
      <c r="AH42" s="1202"/>
      <c r="AI42" s="1203">
        <f t="shared" si="89"/>
        <v>0</v>
      </c>
      <c r="AJ42" s="1204">
        <f t="shared" si="90"/>
        <v>0</v>
      </c>
      <c r="AK42" s="1202"/>
      <c r="AL42" s="1203">
        <f t="shared" si="91"/>
        <v>0</v>
      </c>
      <c r="AM42" s="1204">
        <f t="shared" si="92"/>
        <v>0</v>
      </c>
      <c r="AN42" s="1202"/>
      <c r="AO42" s="1203">
        <f t="shared" si="93"/>
        <v>0</v>
      </c>
      <c r="AP42" s="1204">
        <f t="shared" si="94"/>
        <v>0</v>
      </c>
      <c r="AQ42" s="1202"/>
      <c r="AR42" s="1203">
        <f t="shared" si="95"/>
        <v>0</v>
      </c>
      <c r="AS42" s="1204">
        <f t="shared" si="96"/>
        <v>0</v>
      </c>
      <c r="AT42" s="1202"/>
      <c r="AU42" s="1203">
        <f t="shared" si="97"/>
        <v>0</v>
      </c>
      <c r="AV42" s="1204">
        <f t="shared" si="98"/>
        <v>0</v>
      </c>
      <c r="AW42" s="1202"/>
      <c r="AX42" s="1203">
        <f t="shared" si="99"/>
        <v>0</v>
      </c>
      <c r="AY42" s="1204">
        <f t="shared" si="100"/>
        <v>0</v>
      </c>
      <c r="AZ42" s="1202"/>
      <c r="BA42" s="1203">
        <f t="shared" si="101"/>
        <v>0</v>
      </c>
      <c r="BB42" s="1204">
        <f t="shared" si="102"/>
        <v>0</v>
      </c>
      <c r="BC42" s="1433">
        <f t="shared" si="11"/>
        <v>0</v>
      </c>
    </row>
    <row r="43" spans="1:55" ht="13.8">
      <c r="A43" s="888" t="e">
        <f t="shared" si="12"/>
        <v>#REF!</v>
      </c>
      <c r="B43" s="889">
        <f t="shared" si="13"/>
        <v>0</v>
      </c>
      <c r="C43" s="891" t="e">
        <f t="shared" si="14"/>
        <v>#REF!</v>
      </c>
      <c r="D43" s="892" t="str">
        <f t="shared" si="80"/>
        <v>4. OBRAS DE DRENAJE</v>
      </c>
      <c r="E43" s="937">
        <v>35</v>
      </c>
      <c r="F43" s="768" t="s">
        <v>548</v>
      </c>
      <c r="G43" s="934" t="s">
        <v>287</v>
      </c>
      <c r="H43" s="36">
        <v>8800</v>
      </c>
      <c r="I43" s="36">
        <v>34.61</v>
      </c>
      <c r="J43" s="66">
        <f t="shared" si="79"/>
        <v>304568</v>
      </c>
      <c r="K43" s="61">
        <f>SUMIF($V$3:$CH$3,"&lt;"&amp;Datos!$C$20,V43:CH43)</f>
        <v>0</v>
      </c>
      <c r="L43" s="71">
        <f t="shared" si="60"/>
        <v>0</v>
      </c>
      <c r="M43" s="65">
        <f>LOOKUP(Datos!$C$20,'Cant. Ejec,'!$V$3:$BB$3,'Cant. Ejec,'!$V43:$BB43)</f>
        <v>0</v>
      </c>
      <c r="N43" s="896">
        <f t="shared" si="61"/>
        <v>0</v>
      </c>
      <c r="O43" s="61">
        <f t="shared" si="103"/>
        <v>0</v>
      </c>
      <c r="P43" s="896">
        <f t="shared" si="103"/>
        <v>0</v>
      </c>
      <c r="Q43" s="61">
        <f t="shared" si="63"/>
        <v>8800</v>
      </c>
      <c r="R43" s="896">
        <f t="shared" si="64"/>
        <v>304568</v>
      </c>
      <c r="S43" s="792">
        <f t="shared" si="65"/>
        <v>0</v>
      </c>
      <c r="T43" s="792">
        <f t="shared" si="66"/>
        <v>0</v>
      </c>
      <c r="U43" s="1184">
        <f t="shared" si="67"/>
        <v>1</v>
      </c>
      <c r="V43" s="1202"/>
      <c r="W43" s="1203">
        <f t="shared" si="81"/>
        <v>0</v>
      </c>
      <c r="X43" s="1204">
        <f t="shared" si="82"/>
        <v>0</v>
      </c>
      <c r="Y43" s="1202"/>
      <c r="Z43" s="1203">
        <f t="shared" si="83"/>
        <v>0</v>
      </c>
      <c r="AA43" s="1204">
        <f t="shared" si="84"/>
        <v>0</v>
      </c>
      <c r="AB43" s="1202"/>
      <c r="AC43" s="1203">
        <f t="shared" si="85"/>
        <v>0</v>
      </c>
      <c r="AD43" s="1204">
        <f t="shared" si="86"/>
        <v>0</v>
      </c>
      <c r="AE43" s="1202"/>
      <c r="AF43" s="1203">
        <f t="shared" si="87"/>
        <v>0</v>
      </c>
      <c r="AG43" s="1204">
        <f t="shared" si="88"/>
        <v>0</v>
      </c>
      <c r="AH43" s="1202"/>
      <c r="AI43" s="1203">
        <f t="shared" si="89"/>
        <v>0</v>
      </c>
      <c r="AJ43" s="1204">
        <f t="shared" si="90"/>
        <v>0</v>
      </c>
      <c r="AK43" s="1202"/>
      <c r="AL43" s="1203">
        <f t="shared" si="91"/>
        <v>0</v>
      </c>
      <c r="AM43" s="1204">
        <f t="shared" si="92"/>
        <v>0</v>
      </c>
      <c r="AN43" s="1202"/>
      <c r="AO43" s="1203">
        <f t="shared" si="93"/>
        <v>0</v>
      </c>
      <c r="AP43" s="1204">
        <f t="shared" si="94"/>
        <v>0</v>
      </c>
      <c r="AQ43" s="1202"/>
      <c r="AR43" s="1203">
        <f t="shared" si="95"/>
        <v>0</v>
      </c>
      <c r="AS43" s="1204">
        <f t="shared" si="96"/>
        <v>0</v>
      </c>
      <c r="AT43" s="1202"/>
      <c r="AU43" s="1203">
        <f t="shared" si="97"/>
        <v>0</v>
      </c>
      <c r="AV43" s="1204">
        <f t="shared" si="98"/>
        <v>0</v>
      </c>
      <c r="AW43" s="1202"/>
      <c r="AX43" s="1203">
        <f t="shared" si="99"/>
        <v>0</v>
      </c>
      <c r="AY43" s="1204">
        <f t="shared" si="100"/>
        <v>0</v>
      </c>
      <c r="AZ43" s="1202"/>
      <c r="BA43" s="1203">
        <f t="shared" si="101"/>
        <v>0</v>
      </c>
      <c r="BB43" s="1204">
        <f t="shared" si="102"/>
        <v>0</v>
      </c>
      <c r="BC43" s="1433">
        <f t="shared" si="11"/>
        <v>0</v>
      </c>
    </row>
    <row r="44" spans="1:55" ht="13.8">
      <c r="A44" s="888" t="e">
        <f t="shared" si="12"/>
        <v>#REF!</v>
      </c>
      <c r="B44" s="889">
        <f t="shared" si="13"/>
        <v>0</v>
      </c>
      <c r="C44" s="891" t="e">
        <f t="shared" si="14"/>
        <v>#REF!</v>
      </c>
      <c r="D44" s="892" t="str">
        <f t="shared" si="80"/>
        <v>4. OBRAS DE DRENAJE</v>
      </c>
      <c r="E44" s="937">
        <v>36</v>
      </c>
      <c r="F44" s="768" t="s">
        <v>549</v>
      </c>
      <c r="G44" s="934" t="s">
        <v>288</v>
      </c>
      <c r="H44" s="36">
        <v>1200</v>
      </c>
      <c r="I44" s="36">
        <v>106.62</v>
      </c>
      <c r="J44" s="66">
        <f t="shared" si="79"/>
        <v>127944</v>
      </c>
      <c r="K44" s="61">
        <f>SUMIF($V$3:$CH$3,"&lt;"&amp;Datos!$C$20,V44:CH44)</f>
        <v>0</v>
      </c>
      <c r="L44" s="71">
        <f t="shared" si="60"/>
        <v>0</v>
      </c>
      <c r="M44" s="65">
        <f>LOOKUP(Datos!$C$20,'Cant. Ejec,'!$V$3:$BB$3,'Cant. Ejec,'!$V44:$BB44)</f>
        <v>0</v>
      </c>
      <c r="N44" s="896">
        <f t="shared" si="61"/>
        <v>0</v>
      </c>
      <c r="O44" s="61">
        <f t="shared" si="103"/>
        <v>0</v>
      </c>
      <c r="P44" s="896">
        <f t="shared" si="103"/>
        <v>0</v>
      </c>
      <c r="Q44" s="61">
        <f t="shared" si="63"/>
        <v>1200</v>
      </c>
      <c r="R44" s="896">
        <f t="shared" si="64"/>
        <v>127944</v>
      </c>
      <c r="S44" s="792">
        <f t="shared" si="65"/>
        <v>0</v>
      </c>
      <c r="T44" s="792">
        <f t="shared" si="66"/>
        <v>0</v>
      </c>
      <c r="U44" s="1184">
        <f t="shared" si="67"/>
        <v>1</v>
      </c>
      <c r="V44" s="1202"/>
      <c r="W44" s="1203">
        <f t="shared" si="81"/>
        <v>0</v>
      </c>
      <c r="X44" s="1204">
        <f t="shared" si="82"/>
        <v>0</v>
      </c>
      <c r="Y44" s="1202"/>
      <c r="Z44" s="1203">
        <f t="shared" si="83"/>
        <v>0</v>
      </c>
      <c r="AA44" s="1204">
        <f t="shared" si="84"/>
        <v>0</v>
      </c>
      <c r="AB44" s="1202"/>
      <c r="AC44" s="1203">
        <f t="shared" si="85"/>
        <v>0</v>
      </c>
      <c r="AD44" s="1204">
        <f t="shared" si="86"/>
        <v>0</v>
      </c>
      <c r="AE44" s="1202"/>
      <c r="AF44" s="1203">
        <f t="shared" si="87"/>
        <v>0</v>
      </c>
      <c r="AG44" s="1204">
        <f t="shared" si="88"/>
        <v>0</v>
      </c>
      <c r="AH44" s="1202"/>
      <c r="AI44" s="1203">
        <f t="shared" si="89"/>
        <v>0</v>
      </c>
      <c r="AJ44" s="1204">
        <f t="shared" si="90"/>
        <v>0</v>
      </c>
      <c r="AK44" s="1202"/>
      <c r="AL44" s="1203">
        <f t="shared" si="91"/>
        <v>0</v>
      </c>
      <c r="AM44" s="1204">
        <f t="shared" si="92"/>
        <v>0</v>
      </c>
      <c r="AN44" s="1202"/>
      <c r="AO44" s="1203">
        <f t="shared" si="93"/>
        <v>0</v>
      </c>
      <c r="AP44" s="1204">
        <f t="shared" si="94"/>
        <v>0</v>
      </c>
      <c r="AQ44" s="1202"/>
      <c r="AR44" s="1203">
        <f t="shared" si="95"/>
        <v>0</v>
      </c>
      <c r="AS44" s="1204">
        <f t="shared" si="96"/>
        <v>0</v>
      </c>
      <c r="AT44" s="1202"/>
      <c r="AU44" s="1203">
        <f t="shared" si="97"/>
        <v>0</v>
      </c>
      <c r="AV44" s="1204">
        <f t="shared" si="98"/>
        <v>0</v>
      </c>
      <c r="AW44" s="1202"/>
      <c r="AX44" s="1203">
        <f t="shared" si="99"/>
        <v>0</v>
      </c>
      <c r="AY44" s="1204">
        <f t="shared" si="100"/>
        <v>0</v>
      </c>
      <c r="AZ44" s="1202"/>
      <c r="BA44" s="1203">
        <f t="shared" si="101"/>
        <v>0</v>
      </c>
      <c r="BB44" s="1204">
        <f t="shared" si="102"/>
        <v>0</v>
      </c>
      <c r="BC44" s="1433">
        <f t="shared" si="11"/>
        <v>0</v>
      </c>
    </row>
    <row r="45" spans="1:55" ht="13.8">
      <c r="A45" s="888" t="e">
        <f t="shared" si="12"/>
        <v>#REF!</v>
      </c>
      <c r="B45" s="889">
        <f t="shared" si="13"/>
        <v>0</v>
      </c>
      <c r="C45" s="891" t="e">
        <f t="shared" si="14"/>
        <v>#REF!</v>
      </c>
      <c r="D45" s="892" t="str">
        <f t="shared" si="80"/>
        <v>4. OBRAS DE DRENAJE</v>
      </c>
      <c r="E45" s="937">
        <v>37</v>
      </c>
      <c r="F45" s="768" t="s">
        <v>550</v>
      </c>
      <c r="G45" s="934" t="s">
        <v>287</v>
      </c>
      <c r="H45" s="36">
        <v>44</v>
      </c>
      <c r="I45" s="36">
        <v>761.21</v>
      </c>
      <c r="J45" s="66">
        <f t="shared" si="79"/>
        <v>33493.24</v>
      </c>
      <c r="K45" s="61">
        <f>SUMIF($V$3:$CH$3,"&lt;"&amp;Datos!$C$20,V45:CH45)</f>
        <v>0</v>
      </c>
      <c r="L45" s="71">
        <f t="shared" si="60"/>
        <v>0</v>
      </c>
      <c r="M45" s="65">
        <f>LOOKUP(Datos!$C$20,'Cant. Ejec,'!$V$3:$BB$3,'Cant. Ejec,'!$V45:$BB45)</f>
        <v>0</v>
      </c>
      <c r="N45" s="896">
        <f t="shared" si="61"/>
        <v>0</v>
      </c>
      <c r="O45" s="61">
        <f t="shared" si="103"/>
        <v>0</v>
      </c>
      <c r="P45" s="896">
        <f t="shared" si="103"/>
        <v>0</v>
      </c>
      <c r="Q45" s="61">
        <f t="shared" si="63"/>
        <v>44</v>
      </c>
      <c r="R45" s="896">
        <f t="shared" si="64"/>
        <v>33493.24</v>
      </c>
      <c r="S45" s="792">
        <f t="shared" si="65"/>
        <v>0</v>
      </c>
      <c r="T45" s="792">
        <f t="shared" si="66"/>
        <v>0</v>
      </c>
      <c r="U45" s="1184">
        <f t="shared" si="67"/>
        <v>1</v>
      </c>
      <c r="V45" s="1202"/>
      <c r="W45" s="1203">
        <f t="shared" si="81"/>
        <v>0</v>
      </c>
      <c r="X45" s="1204">
        <f t="shared" si="82"/>
        <v>0</v>
      </c>
      <c r="Y45" s="1202"/>
      <c r="Z45" s="1203">
        <f t="shared" si="83"/>
        <v>0</v>
      </c>
      <c r="AA45" s="1204">
        <f t="shared" si="84"/>
        <v>0</v>
      </c>
      <c r="AB45" s="1202"/>
      <c r="AC45" s="1203">
        <f t="shared" si="85"/>
        <v>0</v>
      </c>
      <c r="AD45" s="1204">
        <f t="shared" si="86"/>
        <v>0</v>
      </c>
      <c r="AE45" s="1202"/>
      <c r="AF45" s="1203">
        <f t="shared" si="87"/>
        <v>0</v>
      </c>
      <c r="AG45" s="1204">
        <f t="shared" si="88"/>
        <v>0</v>
      </c>
      <c r="AH45" s="1202"/>
      <c r="AI45" s="1203">
        <f t="shared" si="89"/>
        <v>0</v>
      </c>
      <c r="AJ45" s="1204">
        <f t="shared" si="90"/>
        <v>0</v>
      </c>
      <c r="AK45" s="1202"/>
      <c r="AL45" s="1203">
        <f t="shared" si="91"/>
        <v>0</v>
      </c>
      <c r="AM45" s="1204">
        <f t="shared" si="92"/>
        <v>0</v>
      </c>
      <c r="AN45" s="1202"/>
      <c r="AO45" s="1203">
        <f t="shared" si="93"/>
        <v>0</v>
      </c>
      <c r="AP45" s="1204">
        <f t="shared" si="94"/>
        <v>0</v>
      </c>
      <c r="AQ45" s="1202"/>
      <c r="AR45" s="1203">
        <f t="shared" si="95"/>
        <v>0</v>
      </c>
      <c r="AS45" s="1204">
        <f t="shared" si="96"/>
        <v>0</v>
      </c>
      <c r="AT45" s="1202"/>
      <c r="AU45" s="1203">
        <f t="shared" si="97"/>
        <v>0</v>
      </c>
      <c r="AV45" s="1204">
        <f t="shared" si="98"/>
        <v>0</v>
      </c>
      <c r="AW45" s="1202"/>
      <c r="AX45" s="1203">
        <f t="shared" si="99"/>
        <v>0</v>
      </c>
      <c r="AY45" s="1204">
        <f t="shared" si="100"/>
        <v>0</v>
      </c>
      <c r="AZ45" s="1202"/>
      <c r="BA45" s="1203">
        <f t="shared" si="101"/>
        <v>0</v>
      </c>
      <c r="BB45" s="1204">
        <f t="shared" si="102"/>
        <v>0</v>
      </c>
      <c r="BC45" s="1433">
        <f t="shared" si="11"/>
        <v>0</v>
      </c>
    </row>
    <row r="46" spans="1:55" ht="13.8">
      <c r="A46" s="888" t="e">
        <f t="shared" si="12"/>
        <v>#REF!</v>
      </c>
      <c r="B46" s="889">
        <f t="shared" si="13"/>
        <v>0</v>
      </c>
      <c r="C46" s="891" t="e">
        <f t="shared" si="14"/>
        <v>#REF!</v>
      </c>
      <c r="D46" s="892" t="str">
        <f t="shared" si="80"/>
        <v>4. OBRAS DE DRENAJE</v>
      </c>
      <c r="E46" s="937">
        <v>38</v>
      </c>
      <c r="F46" s="768" t="s">
        <v>551</v>
      </c>
      <c r="G46" s="934" t="s">
        <v>287</v>
      </c>
      <c r="H46" s="36">
        <v>8</v>
      </c>
      <c r="I46" s="36">
        <v>941.82</v>
      </c>
      <c r="J46" s="66">
        <f t="shared" si="79"/>
        <v>7534.56</v>
      </c>
      <c r="K46" s="61">
        <f>SUMIF($V$3:$CH$3,"&lt;"&amp;Datos!$C$20,V46:CH46)</f>
        <v>0</v>
      </c>
      <c r="L46" s="71">
        <f t="shared" si="60"/>
        <v>0</v>
      </c>
      <c r="M46" s="65">
        <f>LOOKUP(Datos!$C$20,'Cant. Ejec,'!$V$3:$BB$3,'Cant. Ejec,'!$V46:$BB46)</f>
        <v>0</v>
      </c>
      <c r="N46" s="896">
        <f t="shared" si="61"/>
        <v>0</v>
      </c>
      <c r="O46" s="61">
        <f t="shared" si="103"/>
        <v>0</v>
      </c>
      <c r="P46" s="896">
        <f t="shared" si="103"/>
        <v>0</v>
      </c>
      <c r="Q46" s="61">
        <f t="shared" si="63"/>
        <v>8</v>
      </c>
      <c r="R46" s="896">
        <f t="shared" si="64"/>
        <v>7534.56</v>
      </c>
      <c r="S46" s="792">
        <f t="shared" si="65"/>
        <v>0</v>
      </c>
      <c r="T46" s="792">
        <f t="shared" si="66"/>
        <v>0</v>
      </c>
      <c r="U46" s="1184">
        <f t="shared" si="67"/>
        <v>1</v>
      </c>
      <c r="V46" s="1202"/>
      <c r="W46" s="1203">
        <f t="shared" si="81"/>
        <v>0</v>
      </c>
      <c r="X46" s="1204">
        <f t="shared" si="82"/>
        <v>0</v>
      </c>
      <c r="Y46" s="1202"/>
      <c r="Z46" s="1203">
        <f t="shared" si="83"/>
        <v>0</v>
      </c>
      <c r="AA46" s="1204">
        <f t="shared" si="84"/>
        <v>0</v>
      </c>
      <c r="AB46" s="1202"/>
      <c r="AC46" s="1203">
        <f t="shared" si="85"/>
        <v>0</v>
      </c>
      <c r="AD46" s="1204">
        <f t="shared" si="86"/>
        <v>0</v>
      </c>
      <c r="AE46" s="1202"/>
      <c r="AF46" s="1203">
        <f t="shared" si="87"/>
        <v>0</v>
      </c>
      <c r="AG46" s="1204">
        <f t="shared" si="88"/>
        <v>0</v>
      </c>
      <c r="AH46" s="1202"/>
      <c r="AI46" s="1203">
        <f t="shared" si="89"/>
        <v>0</v>
      </c>
      <c r="AJ46" s="1204">
        <f t="shared" si="90"/>
        <v>0</v>
      </c>
      <c r="AK46" s="1202"/>
      <c r="AL46" s="1203">
        <f t="shared" si="91"/>
        <v>0</v>
      </c>
      <c r="AM46" s="1204">
        <f t="shared" si="92"/>
        <v>0</v>
      </c>
      <c r="AN46" s="1202"/>
      <c r="AO46" s="1203">
        <f t="shared" si="93"/>
        <v>0</v>
      </c>
      <c r="AP46" s="1204">
        <f t="shared" si="94"/>
        <v>0</v>
      </c>
      <c r="AQ46" s="1202"/>
      <c r="AR46" s="1203">
        <f t="shared" si="95"/>
        <v>0</v>
      </c>
      <c r="AS46" s="1204">
        <f t="shared" si="96"/>
        <v>0</v>
      </c>
      <c r="AT46" s="1202"/>
      <c r="AU46" s="1203">
        <f t="shared" si="97"/>
        <v>0</v>
      </c>
      <c r="AV46" s="1204">
        <f t="shared" si="98"/>
        <v>0</v>
      </c>
      <c r="AW46" s="1202"/>
      <c r="AX46" s="1203">
        <f t="shared" si="99"/>
        <v>0</v>
      </c>
      <c r="AY46" s="1204">
        <f t="shared" si="100"/>
        <v>0</v>
      </c>
      <c r="AZ46" s="1202"/>
      <c r="BA46" s="1203">
        <f t="shared" si="101"/>
        <v>0</v>
      </c>
      <c r="BB46" s="1204">
        <f t="shared" si="102"/>
        <v>0</v>
      </c>
      <c r="BC46" s="1433">
        <f t="shared" si="11"/>
        <v>0</v>
      </c>
    </row>
    <row r="47" spans="1:55" ht="13.8">
      <c r="A47" s="888" t="e">
        <f t="shared" si="12"/>
        <v>#REF!</v>
      </c>
      <c r="B47" s="889">
        <f t="shared" si="13"/>
        <v>0</v>
      </c>
      <c r="C47" s="891" t="e">
        <f t="shared" si="14"/>
        <v>#REF!</v>
      </c>
      <c r="D47" s="892" t="str">
        <f t="shared" si="80"/>
        <v>4. OBRAS DE DRENAJE</v>
      </c>
      <c r="E47" s="937">
        <v>39</v>
      </c>
      <c r="F47" s="768" t="s">
        <v>552</v>
      </c>
      <c r="G47" s="934" t="s">
        <v>287</v>
      </c>
      <c r="H47" s="36">
        <v>4</v>
      </c>
      <c r="I47" s="36">
        <v>110.15</v>
      </c>
      <c r="J47" s="66">
        <f t="shared" si="79"/>
        <v>440.6</v>
      </c>
      <c r="K47" s="61">
        <f>SUMIF($V$3:$CH$3,"&lt;"&amp;Datos!$C$20,V47:CH47)</f>
        <v>0</v>
      </c>
      <c r="L47" s="71">
        <f t="shared" ref="L47:L65" si="104">+ROUND(I47*K47,2)</f>
        <v>0</v>
      </c>
      <c r="M47" s="65">
        <f>LOOKUP(Datos!$C$20,'Cant. Ejec,'!$V$3:$BB$3,'Cant. Ejec,'!$V47:$BB47)</f>
        <v>0</v>
      </c>
      <c r="N47" s="896">
        <f t="shared" si="61"/>
        <v>0</v>
      </c>
      <c r="O47" s="61">
        <f t="shared" si="103"/>
        <v>0</v>
      </c>
      <c r="P47" s="896">
        <f t="shared" si="103"/>
        <v>0</v>
      </c>
      <c r="Q47" s="61">
        <f t="shared" si="63"/>
        <v>4</v>
      </c>
      <c r="R47" s="896">
        <f t="shared" si="64"/>
        <v>440.6</v>
      </c>
      <c r="S47" s="792">
        <f t="shared" si="65"/>
        <v>0</v>
      </c>
      <c r="T47" s="792">
        <f t="shared" si="66"/>
        <v>0</v>
      </c>
      <c r="U47" s="1184">
        <f t="shared" si="67"/>
        <v>1</v>
      </c>
      <c r="V47" s="1202"/>
      <c r="W47" s="1203">
        <f t="shared" si="81"/>
        <v>0</v>
      </c>
      <c r="X47" s="1204">
        <f t="shared" si="82"/>
        <v>0</v>
      </c>
      <c r="Y47" s="1202"/>
      <c r="Z47" s="1203">
        <f t="shared" si="83"/>
        <v>0</v>
      </c>
      <c r="AA47" s="1204">
        <f t="shared" si="84"/>
        <v>0</v>
      </c>
      <c r="AB47" s="1202"/>
      <c r="AC47" s="1203">
        <f t="shared" si="85"/>
        <v>0</v>
      </c>
      <c r="AD47" s="1204">
        <f t="shared" si="86"/>
        <v>0</v>
      </c>
      <c r="AE47" s="1202"/>
      <c r="AF47" s="1203">
        <f t="shared" si="87"/>
        <v>0</v>
      </c>
      <c r="AG47" s="1204">
        <f t="shared" si="88"/>
        <v>0</v>
      </c>
      <c r="AH47" s="1202"/>
      <c r="AI47" s="1203">
        <f t="shared" si="89"/>
        <v>0</v>
      </c>
      <c r="AJ47" s="1204">
        <f t="shared" si="90"/>
        <v>0</v>
      </c>
      <c r="AK47" s="1202"/>
      <c r="AL47" s="1203">
        <f t="shared" si="91"/>
        <v>0</v>
      </c>
      <c r="AM47" s="1204">
        <f t="shared" si="92"/>
        <v>0</v>
      </c>
      <c r="AN47" s="1202"/>
      <c r="AO47" s="1203">
        <f t="shared" si="93"/>
        <v>0</v>
      </c>
      <c r="AP47" s="1204">
        <f t="shared" si="94"/>
        <v>0</v>
      </c>
      <c r="AQ47" s="1202"/>
      <c r="AR47" s="1203">
        <f t="shared" si="95"/>
        <v>0</v>
      </c>
      <c r="AS47" s="1204">
        <f t="shared" si="96"/>
        <v>0</v>
      </c>
      <c r="AT47" s="1202"/>
      <c r="AU47" s="1203">
        <f t="shared" si="97"/>
        <v>0</v>
      </c>
      <c r="AV47" s="1204">
        <f t="shared" si="98"/>
        <v>0</v>
      </c>
      <c r="AW47" s="1202"/>
      <c r="AX47" s="1203">
        <f t="shared" si="99"/>
        <v>0</v>
      </c>
      <c r="AY47" s="1204">
        <f t="shared" si="100"/>
        <v>0</v>
      </c>
      <c r="AZ47" s="1202"/>
      <c r="BA47" s="1203">
        <f t="shared" si="101"/>
        <v>0</v>
      </c>
      <c r="BB47" s="1204">
        <f t="shared" si="102"/>
        <v>0</v>
      </c>
      <c r="BC47" s="1433">
        <f t="shared" si="11"/>
        <v>0</v>
      </c>
    </row>
    <row r="48" spans="1:55" ht="13.8">
      <c r="A48" s="888" t="e">
        <f t="shared" si="12"/>
        <v>#REF!</v>
      </c>
      <c r="B48" s="889">
        <f t="shared" si="13"/>
        <v>0</v>
      </c>
      <c r="C48" s="891" t="e">
        <f t="shared" si="14"/>
        <v>#REF!</v>
      </c>
      <c r="D48" s="892" t="str">
        <f t="shared" si="80"/>
        <v>4. OBRAS DE DRENAJE</v>
      </c>
      <c r="E48" s="937">
        <v>40</v>
      </c>
      <c r="F48" s="768" t="s">
        <v>553</v>
      </c>
      <c r="G48" s="934" t="s">
        <v>288</v>
      </c>
      <c r="H48" s="36">
        <v>4</v>
      </c>
      <c r="I48" s="36">
        <v>107.87</v>
      </c>
      <c r="J48" s="66">
        <f t="shared" si="79"/>
        <v>431.48</v>
      </c>
      <c r="K48" s="61">
        <f>SUMIF($V$3:$CH$3,"&lt;"&amp;Datos!$C$20,V48:CH48)</f>
        <v>0</v>
      </c>
      <c r="L48" s="71">
        <f t="shared" si="104"/>
        <v>0</v>
      </c>
      <c r="M48" s="65">
        <f>LOOKUP(Datos!$C$20,'Cant. Ejec,'!$V$3:$BB$3,'Cant. Ejec,'!$V48:$BB48)</f>
        <v>0</v>
      </c>
      <c r="N48" s="896">
        <f t="shared" si="61"/>
        <v>0</v>
      </c>
      <c r="O48" s="61">
        <f t="shared" si="103"/>
        <v>0</v>
      </c>
      <c r="P48" s="896">
        <f t="shared" si="103"/>
        <v>0</v>
      </c>
      <c r="Q48" s="61">
        <f t="shared" si="63"/>
        <v>4</v>
      </c>
      <c r="R48" s="896">
        <f t="shared" si="64"/>
        <v>431.48</v>
      </c>
      <c r="S48" s="792">
        <f t="shared" si="65"/>
        <v>0</v>
      </c>
      <c r="T48" s="792">
        <f t="shared" si="66"/>
        <v>0</v>
      </c>
      <c r="U48" s="1184">
        <f t="shared" si="67"/>
        <v>1</v>
      </c>
      <c r="V48" s="1202"/>
      <c r="W48" s="1203">
        <f t="shared" si="81"/>
        <v>0</v>
      </c>
      <c r="X48" s="1204">
        <f t="shared" si="82"/>
        <v>0</v>
      </c>
      <c r="Y48" s="1202"/>
      <c r="Z48" s="1203">
        <f t="shared" si="83"/>
        <v>0</v>
      </c>
      <c r="AA48" s="1204">
        <f t="shared" si="84"/>
        <v>0</v>
      </c>
      <c r="AB48" s="1202"/>
      <c r="AC48" s="1203">
        <f t="shared" si="85"/>
        <v>0</v>
      </c>
      <c r="AD48" s="1204">
        <f t="shared" si="86"/>
        <v>0</v>
      </c>
      <c r="AE48" s="1202"/>
      <c r="AF48" s="1203">
        <f t="shared" si="87"/>
        <v>0</v>
      </c>
      <c r="AG48" s="1204">
        <f t="shared" si="88"/>
        <v>0</v>
      </c>
      <c r="AH48" s="1202"/>
      <c r="AI48" s="1203">
        <f t="shared" si="89"/>
        <v>0</v>
      </c>
      <c r="AJ48" s="1204">
        <f t="shared" si="90"/>
        <v>0</v>
      </c>
      <c r="AK48" s="1202"/>
      <c r="AL48" s="1203">
        <f t="shared" si="91"/>
        <v>0</v>
      </c>
      <c r="AM48" s="1204">
        <f t="shared" si="92"/>
        <v>0</v>
      </c>
      <c r="AN48" s="1202"/>
      <c r="AO48" s="1203">
        <f t="shared" si="93"/>
        <v>0</v>
      </c>
      <c r="AP48" s="1204">
        <f t="shared" si="94"/>
        <v>0</v>
      </c>
      <c r="AQ48" s="1202"/>
      <c r="AR48" s="1203">
        <f t="shared" si="95"/>
        <v>0</v>
      </c>
      <c r="AS48" s="1204">
        <f t="shared" si="96"/>
        <v>0</v>
      </c>
      <c r="AT48" s="1202"/>
      <c r="AU48" s="1203">
        <f t="shared" si="97"/>
        <v>0</v>
      </c>
      <c r="AV48" s="1204">
        <f t="shared" si="98"/>
        <v>0</v>
      </c>
      <c r="AW48" s="1202"/>
      <c r="AX48" s="1203">
        <f t="shared" si="99"/>
        <v>0</v>
      </c>
      <c r="AY48" s="1204">
        <f t="shared" si="100"/>
        <v>0</v>
      </c>
      <c r="AZ48" s="1202"/>
      <c r="BA48" s="1203">
        <f t="shared" si="101"/>
        <v>0</v>
      </c>
      <c r="BB48" s="1204">
        <f t="shared" si="102"/>
        <v>0</v>
      </c>
      <c r="BC48" s="1433">
        <f t="shared" si="11"/>
        <v>0</v>
      </c>
    </row>
    <row r="49" spans="1:55" ht="13.8">
      <c r="A49" s="888" t="e">
        <f t="shared" si="12"/>
        <v>#REF!</v>
      </c>
      <c r="B49" s="889">
        <f t="shared" si="13"/>
        <v>0</v>
      </c>
      <c r="C49" s="891" t="e">
        <f t="shared" si="14"/>
        <v>#REF!</v>
      </c>
      <c r="D49" s="892" t="str">
        <f t="shared" si="80"/>
        <v>4. OBRAS DE DRENAJE</v>
      </c>
      <c r="E49" s="937">
        <v>41</v>
      </c>
      <c r="F49" s="768" t="s">
        <v>549</v>
      </c>
      <c r="G49" s="934" t="s">
        <v>288</v>
      </c>
      <c r="H49" s="36">
        <v>132</v>
      </c>
      <c r="I49" s="36">
        <v>127.01</v>
      </c>
      <c r="J49" s="66">
        <f t="shared" si="79"/>
        <v>16765.32</v>
      </c>
      <c r="K49" s="61">
        <f>SUMIF($V$3:$CH$3,"&lt;"&amp;Datos!$C$20,V49:CH49)</f>
        <v>0</v>
      </c>
      <c r="L49" s="71">
        <f t="shared" si="104"/>
        <v>0</v>
      </c>
      <c r="M49" s="65">
        <f>LOOKUP(Datos!$C$20,'Cant. Ejec,'!$V$3:$BB$3,'Cant. Ejec,'!$V49:$BB49)</f>
        <v>0</v>
      </c>
      <c r="N49" s="896">
        <f t="shared" si="61"/>
        <v>0</v>
      </c>
      <c r="O49" s="61">
        <f t="shared" si="103"/>
        <v>0</v>
      </c>
      <c r="P49" s="896">
        <f t="shared" si="103"/>
        <v>0</v>
      </c>
      <c r="Q49" s="61">
        <f t="shared" si="63"/>
        <v>132</v>
      </c>
      <c r="R49" s="896">
        <f t="shared" si="64"/>
        <v>16765.32</v>
      </c>
      <c r="S49" s="792">
        <f t="shared" si="65"/>
        <v>0</v>
      </c>
      <c r="T49" s="792">
        <f t="shared" si="66"/>
        <v>0</v>
      </c>
      <c r="U49" s="1184">
        <f t="shared" si="67"/>
        <v>1</v>
      </c>
      <c r="V49" s="1202"/>
      <c r="W49" s="1203">
        <f t="shared" si="81"/>
        <v>0</v>
      </c>
      <c r="X49" s="1204">
        <f t="shared" si="82"/>
        <v>0</v>
      </c>
      <c r="Y49" s="1202"/>
      <c r="Z49" s="1203">
        <f t="shared" si="83"/>
        <v>0</v>
      </c>
      <c r="AA49" s="1204">
        <f t="shared" si="84"/>
        <v>0</v>
      </c>
      <c r="AB49" s="1202"/>
      <c r="AC49" s="1203">
        <f t="shared" si="85"/>
        <v>0</v>
      </c>
      <c r="AD49" s="1204">
        <f t="shared" si="86"/>
        <v>0</v>
      </c>
      <c r="AE49" s="1202"/>
      <c r="AF49" s="1203">
        <f t="shared" si="87"/>
        <v>0</v>
      </c>
      <c r="AG49" s="1204">
        <f t="shared" si="88"/>
        <v>0</v>
      </c>
      <c r="AH49" s="1202"/>
      <c r="AI49" s="1203">
        <f t="shared" si="89"/>
        <v>0</v>
      </c>
      <c r="AJ49" s="1204">
        <f t="shared" si="90"/>
        <v>0</v>
      </c>
      <c r="AK49" s="1202"/>
      <c r="AL49" s="1203">
        <f t="shared" si="91"/>
        <v>0</v>
      </c>
      <c r="AM49" s="1204">
        <f t="shared" si="92"/>
        <v>0</v>
      </c>
      <c r="AN49" s="1202"/>
      <c r="AO49" s="1203">
        <f t="shared" si="93"/>
        <v>0</v>
      </c>
      <c r="AP49" s="1204">
        <f t="shared" si="94"/>
        <v>0</v>
      </c>
      <c r="AQ49" s="1202"/>
      <c r="AR49" s="1203">
        <f t="shared" si="95"/>
        <v>0</v>
      </c>
      <c r="AS49" s="1204">
        <f t="shared" si="96"/>
        <v>0</v>
      </c>
      <c r="AT49" s="1202"/>
      <c r="AU49" s="1203">
        <f t="shared" si="97"/>
        <v>0</v>
      </c>
      <c r="AV49" s="1204">
        <f t="shared" si="98"/>
        <v>0</v>
      </c>
      <c r="AW49" s="1202"/>
      <c r="AX49" s="1203">
        <f t="shared" si="99"/>
        <v>0</v>
      </c>
      <c r="AY49" s="1204">
        <f t="shared" si="100"/>
        <v>0</v>
      </c>
      <c r="AZ49" s="1202"/>
      <c r="BA49" s="1203">
        <f t="shared" si="101"/>
        <v>0</v>
      </c>
      <c r="BB49" s="1204">
        <f t="shared" si="102"/>
        <v>0</v>
      </c>
      <c r="BC49" s="1433">
        <f t="shared" si="11"/>
        <v>0</v>
      </c>
    </row>
    <row r="50" spans="1:55" ht="13.8">
      <c r="A50" s="888" t="e">
        <f t="shared" si="12"/>
        <v>#REF!</v>
      </c>
      <c r="B50" s="889">
        <f t="shared" si="13"/>
        <v>0</v>
      </c>
      <c r="C50" s="891" t="e">
        <f t="shared" si="14"/>
        <v>#REF!</v>
      </c>
      <c r="D50" s="892" t="str">
        <f t="shared" si="80"/>
        <v>4. OBRAS DE DRENAJE</v>
      </c>
      <c r="E50" s="937">
        <v>42</v>
      </c>
      <c r="F50" s="768" t="s">
        <v>554</v>
      </c>
      <c r="G50" s="934" t="s">
        <v>288</v>
      </c>
      <c r="H50" s="36">
        <v>27</v>
      </c>
      <c r="I50" s="38">
        <v>174.55</v>
      </c>
      <c r="J50" s="66">
        <f t="shared" si="79"/>
        <v>4712.8500000000004</v>
      </c>
      <c r="K50" s="61">
        <f>SUMIF($V$3:$CH$3,"&lt;"&amp;Datos!$C$20,V50:CH50)</f>
        <v>0</v>
      </c>
      <c r="L50" s="71">
        <f t="shared" si="104"/>
        <v>0</v>
      </c>
      <c r="M50" s="65">
        <f>LOOKUP(Datos!$C$20,'Cant. Ejec,'!$V$3:$BB$3,'Cant. Ejec,'!$V50:$BB50)</f>
        <v>0</v>
      </c>
      <c r="N50" s="896">
        <f t="shared" si="61"/>
        <v>0</v>
      </c>
      <c r="O50" s="61">
        <f t="shared" si="103"/>
        <v>0</v>
      </c>
      <c r="P50" s="896">
        <f t="shared" si="103"/>
        <v>0</v>
      </c>
      <c r="Q50" s="61">
        <f t="shared" si="63"/>
        <v>27</v>
      </c>
      <c r="R50" s="896">
        <f t="shared" si="64"/>
        <v>4712.8500000000004</v>
      </c>
      <c r="S50" s="792">
        <f t="shared" si="65"/>
        <v>0</v>
      </c>
      <c r="T50" s="792">
        <f t="shared" si="66"/>
        <v>0</v>
      </c>
      <c r="U50" s="1184">
        <f t="shared" si="67"/>
        <v>1</v>
      </c>
      <c r="V50" s="1202"/>
      <c r="W50" s="1203">
        <f t="shared" si="81"/>
        <v>0</v>
      </c>
      <c r="X50" s="1204">
        <f t="shared" si="82"/>
        <v>0</v>
      </c>
      <c r="Y50" s="1202"/>
      <c r="Z50" s="1203">
        <f t="shared" si="83"/>
        <v>0</v>
      </c>
      <c r="AA50" s="1204">
        <f t="shared" si="84"/>
        <v>0</v>
      </c>
      <c r="AB50" s="1202"/>
      <c r="AC50" s="1203">
        <f t="shared" si="85"/>
        <v>0</v>
      </c>
      <c r="AD50" s="1204">
        <f t="shared" si="86"/>
        <v>0</v>
      </c>
      <c r="AE50" s="1202"/>
      <c r="AF50" s="1203">
        <f t="shared" si="87"/>
        <v>0</v>
      </c>
      <c r="AG50" s="1204">
        <f t="shared" si="88"/>
        <v>0</v>
      </c>
      <c r="AH50" s="1202"/>
      <c r="AI50" s="1203">
        <f t="shared" si="89"/>
        <v>0</v>
      </c>
      <c r="AJ50" s="1204">
        <f t="shared" si="90"/>
        <v>0</v>
      </c>
      <c r="AK50" s="1202"/>
      <c r="AL50" s="1203">
        <f t="shared" si="91"/>
        <v>0</v>
      </c>
      <c r="AM50" s="1204">
        <f t="shared" si="92"/>
        <v>0</v>
      </c>
      <c r="AN50" s="1202"/>
      <c r="AO50" s="1203">
        <f t="shared" si="93"/>
        <v>0</v>
      </c>
      <c r="AP50" s="1204">
        <f t="shared" si="94"/>
        <v>0</v>
      </c>
      <c r="AQ50" s="1202"/>
      <c r="AR50" s="1203">
        <f t="shared" si="95"/>
        <v>0</v>
      </c>
      <c r="AS50" s="1204">
        <f t="shared" si="96"/>
        <v>0</v>
      </c>
      <c r="AT50" s="1202"/>
      <c r="AU50" s="1203">
        <f t="shared" si="97"/>
        <v>0</v>
      </c>
      <c r="AV50" s="1204">
        <f t="shared" si="98"/>
        <v>0</v>
      </c>
      <c r="AW50" s="1202"/>
      <c r="AX50" s="1203">
        <f t="shared" si="99"/>
        <v>0</v>
      </c>
      <c r="AY50" s="1204">
        <f t="shared" si="100"/>
        <v>0</v>
      </c>
      <c r="AZ50" s="1202"/>
      <c r="BA50" s="1203">
        <f t="shared" si="101"/>
        <v>0</v>
      </c>
      <c r="BB50" s="1204">
        <f t="shared" si="102"/>
        <v>0</v>
      </c>
      <c r="BC50" s="1433">
        <f t="shared" si="11"/>
        <v>0</v>
      </c>
    </row>
    <row r="51" spans="1:55" ht="13.8">
      <c r="A51" s="888" t="e">
        <f t="shared" si="12"/>
        <v>#REF!</v>
      </c>
      <c r="B51" s="889">
        <f t="shared" si="13"/>
        <v>0</v>
      </c>
      <c r="C51" s="891" t="e">
        <f t="shared" si="14"/>
        <v>#REF!</v>
      </c>
      <c r="D51" s="892" t="str">
        <f t="shared" si="80"/>
        <v>4. OBRAS DE DRENAJE</v>
      </c>
      <c r="E51" s="937">
        <v>43</v>
      </c>
      <c r="F51" s="768" t="s">
        <v>555</v>
      </c>
      <c r="G51" s="934" t="s">
        <v>287</v>
      </c>
      <c r="H51" s="36">
        <v>66</v>
      </c>
      <c r="I51" s="38">
        <v>72.510000000000005</v>
      </c>
      <c r="J51" s="66">
        <f t="shared" si="79"/>
        <v>4785.66</v>
      </c>
      <c r="K51" s="61">
        <f>SUMIF($V$3:$CH$3,"&lt;"&amp;Datos!$C$20,V51:CH51)</f>
        <v>0</v>
      </c>
      <c r="L51" s="71">
        <f t="shared" si="104"/>
        <v>0</v>
      </c>
      <c r="M51" s="65">
        <f>LOOKUP(Datos!$C$20,'Cant. Ejec,'!$V$3:$BB$3,'Cant. Ejec,'!$V51:$BB51)</f>
        <v>0</v>
      </c>
      <c r="N51" s="896">
        <f t="shared" si="61"/>
        <v>0</v>
      </c>
      <c r="O51" s="61">
        <f t="shared" si="103"/>
        <v>0</v>
      </c>
      <c r="P51" s="896">
        <f t="shared" si="103"/>
        <v>0</v>
      </c>
      <c r="Q51" s="61">
        <f t="shared" si="63"/>
        <v>66</v>
      </c>
      <c r="R51" s="896">
        <f t="shared" si="64"/>
        <v>4785.66</v>
      </c>
      <c r="S51" s="792">
        <f t="shared" si="65"/>
        <v>0</v>
      </c>
      <c r="T51" s="792">
        <f t="shared" si="66"/>
        <v>0</v>
      </c>
      <c r="U51" s="1184">
        <f t="shared" si="67"/>
        <v>1</v>
      </c>
      <c r="V51" s="1202"/>
      <c r="W51" s="1203">
        <f t="shared" si="81"/>
        <v>0</v>
      </c>
      <c r="X51" s="1204">
        <f t="shared" si="82"/>
        <v>0</v>
      </c>
      <c r="Y51" s="1202"/>
      <c r="Z51" s="1203">
        <f t="shared" si="83"/>
        <v>0</v>
      </c>
      <c r="AA51" s="1204">
        <f t="shared" si="84"/>
        <v>0</v>
      </c>
      <c r="AB51" s="1202"/>
      <c r="AC51" s="1203">
        <f t="shared" si="85"/>
        <v>0</v>
      </c>
      <c r="AD51" s="1204">
        <f t="shared" si="86"/>
        <v>0</v>
      </c>
      <c r="AE51" s="1202"/>
      <c r="AF51" s="1203">
        <f t="shared" si="87"/>
        <v>0</v>
      </c>
      <c r="AG51" s="1204">
        <f t="shared" si="88"/>
        <v>0</v>
      </c>
      <c r="AH51" s="1202"/>
      <c r="AI51" s="1203">
        <f t="shared" si="89"/>
        <v>0</v>
      </c>
      <c r="AJ51" s="1204">
        <f t="shared" si="90"/>
        <v>0</v>
      </c>
      <c r="AK51" s="1202"/>
      <c r="AL51" s="1203">
        <f t="shared" si="91"/>
        <v>0</v>
      </c>
      <c r="AM51" s="1204">
        <f t="shared" si="92"/>
        <v>0</v>
      </c>
      <c r="AN51" s="1202"/>
      <c r="AO51" s="1203">
        <f t="shared" si="93"/>
        <v>0</v>
      </c>
      <c r="AP51" s="1204">
        <f t="shared" si="94"/>
        <v>0</v>
      </c>
      <c r="AQ51" s="1202"/>
      <c r="AR51" s="1203">
        <f t="shared" si="95"/>
        <v>0</v>
      </c>
      <c r="AS51" s="1204">
        <f t="shared" si="96"/>
        <v>0</v>
      </c>
      <c r="AT51" s="1202"/>
      <c r="AU51" s="1203">
        <f t="shared" si="97"/>
        <v>0</v>
      </c>
      <c r="AV51" s="1204">
        <f t="shared" si="98"/>
        <v>0</v>
      </c>
      <c r="AW51" s="1202"/>
      <c r="AX51" s="1203">
        <f t="shared" si="99"/>
        <v>0</v>
      </c>
      <c r="AY51" s="1204">
        <f t="shared" si="100"/>
        <v>0</v>
      </c>
      <c r="AZ51" s="1202"/>
      <c r="BA51" s="1203">
        <f t="shared" si="101"/>
        <v>0</v>
      </c>
      <c r="BB51" s="1204">
        <f t="shared" si="102"/>
        <v>0</v>
      </c>
      <c r="BC51" s="1433">
        <f t="shared" si="11"/>
        <v>0</v>
      </c>
    </row>
    <row r="52" spans="1:55" ht="13.8">
      <c r="A52" s="888" t="e">
        <f t="shared" si="12"/>
        <v>#REF!</v>
      </c>
      <c r="B52" s="889">
        <f t="shared" si="13"/>
        <v>0</v>
      </c>
      <c r="C52" s="891" t="e">
        <f t="shared" si="14"/>
        <v>#REF!</v>
      </c>
      <c r="D52" s="892" t="str">
        <f t="shared" si="80"/>
        <v>4. OBRAS DE DRENAJE</v>
      </c>
      <c r="E52" s="937">
        <v>44</v>
      </c>
      <c r="F52" s="768" t="s">
        <v>556</v>
      </c>
      <c r="G52" s="934" t="s">
        <v>288</v>
      </c>
      <c r="H52" s="36">
        <v>4400</v>
      </c>
      <c r="I52" s="38">
        <v>33.590000000000003</v>
      </c>
      <c r="J52" s="66">
        <f t="shared" si="79"/>
        <v>147796</v>
      </c>
      <c r="K52" s="61">
        <f>SUMIF($V$3:$CH$3,"&lt;"&amp;Datos!$C$20,V52:CH52)</f>
        <v>0</v>
      </c>
      <c r="L52" s="71">
        <f t="shared" si="104"/>
        <v>0</v>
      </c>
      <c r="M52" s="65">
        <f>LOOKUP(Datos!$C$20,'Cant. Ejec,'!$V$3:$BB$3,'Cant. Ejec,'!$V52:$BB52)</f>
        <v>0</v>
      </c>
      <c r="N52" s="896">
        <f t="shared" si="61"/>
        <v>0</v>
      </c>
      <c r="O52" s="61">
        <f t="shared" si="103"/>
        <v>0</v>
      </c>
      <c r="P52" s="896">
        <f t="shared" si="103"/>
        <v>0</v>
      </c>
      <c r="Q52" s="61">
        <f t="shared" si="63"/>
        <v>4400</v>
      </c>
      <c r="R52" s="896">
        <f t="shared" si="64"/>
        <v>147796</v>
      </c>
      <c r="S52" s="792">
        <f t="shared" si="65"/>
        <v>0</v>
      </c>
      <c r="T52" s="792">
        <f t="shared" si="66"/>
        <v>0</v>
      </c>
      <c r="U52" s="1184">
        <f t="shared" si="67"/>
        <v>1</v>
      </c>
      <c r="V52" s="1202"/>
      <c r="W52" s="1203">
        <f t="shared" si="81"/>
        <v>0</v>
      </c>
      <c r="X52" s="1204">
        <f t="shared" si="82"/>
        <v>0</v>
      </c>
      <c r="Y52" s="1202"/>
      <c r="Z52" s="1203">
        <f t="shared" si="83"/>
        <v>0</v>
      </c>
      <c r="AA52" s="1204">
        <f t="shared" si="84"/>
        <v>0</v>
      </c>
      <c r="AB52" s="1202"/>
      <c r="AC52" s="1203">
        <f t="shared" si="85"/>
        <v>0</v>
      </c>
      <c r="AD52" s="1204">
        <f t="shared" si="86"/>
        <v>0</v>
      </c>
      <c r="AE52" s="1202"/>
      <c r="AF52" s="1203">
        <f t="shared" si="87"/>
        <v>0</v>
      </c>
      <c r="AG52" s="1204">
        <f t="shared" si="88"/>
        <v>0</v>
      </c>
      <c r="AH52" s="1202"/>
      <c r="AI52" s="1203">
        <f t="shared" si="89"/>
        <v>0</v>
      </c>
      <c r="AJ52" s="1204">
        <f t="shared" si="90"/>
        <v>0</v>
      </c>
      <c r="AK52" s="1202"/>
      <c r="AL52" s="1203">
        <f t="shared" si="91"/>
        <v>0</v>
      </c>
      <c r="AM52" s="1204">
        <f t="shared" si="92"/>
        <v>0</v>
      </c>
      <c r="AN52" s="1202"/>
      <c r="AO52" s="1203">
        <f t="shared" si="93"/>
        <v>0</v>
      </c>
      <c r="AP52" s="1204">
        <f t="shared" si="94"/>
        <v>0</v>
      </c>
      <c r="AQ52" s="1202"/>
      <c r="AR52" s="1203">
        <f t="shared" si="95"/>
        <v>0</v>
      </c>
      <c r="AS52" s="1204">
        <f t="shared" si="96"/>
        <v>0</v>
      </c>
      <c r="AT52" s="1202"/>
      <c r="AU52" s="1203">
        <f t="shared" si="97"/>
        <v>0</v>
      </c>
      <c r="AV52" s="1204">
        <f t="shared" si="98"/>
        <v>0</v>
      </c>
      <c r="AW52" s="1202"/>
      <c r="AX52" s="1203">
        <f t="shared" si="99"/>
        <v>0</v>
      </c>
      <c r="AY52" s="1204">
        <f t="shared" si="100"/>
        <v>0</v>
      </c>
      <c r="AZ52" s="1202"/>
      <c r="BA52" s="1203">
        <f t="shared" si="101"/>
        <v>0</v>
      </c>
      <c r="BB52" s="1204">
        <f t="shared" si="102"/>
        <v>0</v>
      </c>
      <c r="BC52" s="1433">
        <f t="shared" si="11"/>
        <v>0</v>
      </c>
    </row>
    <row r="53" spans="1:55" ht="13.8">
      <c r="A53" s="888" t="e">
        <f t="shared" si="12"/>
        <v>#REF!</v>
      </c>
      <c r="B53" s="889">
        <f t="shared" si="13"/>
        <v>0</v>
      </c>
      <c r="C53" s="891" t="e">
        <f t="shared" si="14"/>
        <v>#REF!</v>
      </c>
      <c r="D53" s="892" t="str">
        <f t="shared" si="80"/>
        <v>4. OBRAS DE DRENAJE</v>
      </c>
      <c r="E53" s="937">
        <v>45</v>
      </c>
      <c r="F53" s="768" t="s">
        <v>557</v>
      </c>
      <c r="G53" s="934" t="s">
        <v>288</v>
      </c>
      <c r="H53" s="36">
        <v>6072</v>
      </c>
      <c r="I53" s="36">
        <v>33.82</v>
      </c>
      <c r="J53" s="66">
        <f t="shared" si="79"/>
        <v>205355.04</v>
      </c>
      <c r="K53" s="61">
        <f>SUMIF($V$3:$CH$3,"&lt;"&amp;Datos!$C$20,V53:CH53)</f>
        <v>0</v>
      </c>
      <c r="L53" s="71">
        <f t="shared" si="104"/>
        <v>0</v>
      </c>
      <c r="M53" s="65">
        <f>LOOKUP(Datos!$C$20,'Cant. Ejec,'!$V$3:$BB$3,'Cant. Ejec,'!$V53:$BB53)</f>
        <v>0</v>
      </c>
      <c r="N53" s="896">
        <f t="shared" si="61"/>
        <v>0</v>
      </c>
      <c r="O53" s="61">
        <f t="shared" si="103"/>
        <v>0</v>
      </c>
      <c r="P53" s="896">
        <f t="shared" si="103"/>
        <v>0</v>
      </c>
      <c r="Q53" s="61">
        <f t="shared" si="63"/>
        <v>6072</v>
      </c>
      <c r="R53" s="896">
        <f t="shared" si="64"/>
        <v>205355.04</v>
      </c>
      <c r="S53" s="792">
        <f t="shared" si="65"/>
        <v>0</v>
      </c>
      <c r="T53" s="792">
        <f t="shared" si="66"/>
        <v>0</v>
      </c>
      <c r="U53" s="1184">
        <f t="shared" si="67"/>
        <v>1</v>
      </c>
      <c r="V53" s="1202"/>
      <c r="W53" s="1203">
        <f t="shared" si="81"/>
        <v>0</v>
      </c>
      <c r="X53" s="1204">
        <f t="shared" si="82"/>
        <v>0</v>
      </c>
      <c r="Y53" s="1202"/>
      <c r="Z53" s="1203">
        <f t="shared" si="83"/>
        <v>0</v>
      </c>
      <c r="AA53" s="1204">
        <f t="shared" si="84"/>
        <v>0</v>
      </c>
      <c r="AB53" s="1202"/>
      <c r="AC53" s="1203">
        <f t="shared" si="85"/>
        <v>0</v>
      </c>
      <c r="AD53" s="1204">
        <f t="shared" si="86"/>
        <v>0</v>
      </c>
      <c r="AE53" s="1202"/>
      <c r="AF53" s="1203">
        <f t="shared" si="87"/>
        <v>0</v>
      </c>
      <c r="AG53" s="1204">
        <f t="shared" si="88"/>
        <v>0</v>
      </c>
      <c r="AH53" s="1202"/>
      <c r="AI53" s="1203">
        <f t="shared" si="89"/>
        <v>0</v>
      </c>
      <c r="AJ53" s="1204">
        <f t="shared" si="90"/>
        <v>0</v>
      </c>
      <c r="AK53" s="1202"/>
      <c r="AL53" s="1203">
        <f t="shared" si="91"/>
        <v>0</v>
      </c>
      <c r="AM53" s="1204">
        <f t="shared" si="92"/>
        <v>0</v>
      </c>
      <c r="AN53" s="1202"/>
      <c r="AO53" s="1203">
        <f t="shared" si="93"/>
        <v>0</v>
      </c>
      <c r="AP53" s="1204">
        <f t="shared" si="94"/>
        <v>0</v>
      </c>
      <c r="AQ53" s="1202"/>
      <c r="AR53" s="1203">
        <f t="shared" si="95"/>
        <v>0</v>
      </c>
      <c r="AS53" s="1204">
        <f t="shared" si="96"/>
        <v>0</v>
      </c>
      <c r="AT53" s="1202"/>
      <c r="AU53" s="1203">
        <f t="shared" si="97"/>
        <v>0</v>
      </c>
      <c r="AV53" s="1204">
        <f t="shared" si="98"/>
        <v>0</v>
      </c>
      <c r="AW53" s="1202"/>
      <c r="AX53" s="1203">
        <f t="shared" si="99"/>
        <v>0</v>
      </c>
      <c r="AY53" s="1204">
        <f t="shared" si="100"/>
        <v>0</v>
      </c>
      <c r="AZ53" s="1202"/>
      <c r="BA53" s="1203">
        <f t="shared" si="101"/>
        <v>0</v>
      </c>
      <c r="BB53" s="1204">
        <f t="shared" si="102"/>
        <v>0</v>
      </c>
      <c r="BC53" s="1433">
        <f t="shared" si="11"/>
        <v>0</v>
      </c>
    </row>
    <row r="54" spans="1:55" ht="13.8">
      <c r="A54" s="888" t="e">
        <f t="shared" si="12"/>
        <v>#REF!</v>
      </c>
      <c r="B54" s="889">
        <f t="shared" si="13"/>
        <v>0</v>
      </c>
      <c r="C54" s="891" t="e">
        <f t="shared" si="14"/>
        <v>#REF!</v>
      </c>
      <c r="D54" s="892" t="str">
        <f t="shared" si="80"/>
        <v>4. OBRAS DE DRENAJE</v>
      </c>
      <c r="E54" s="937">
        <v>46</v>
      </c>
      <c r="F54" s="775" t="s">
        <v>558</v>
      </c>
      <c r="G54" s="934" t="s">
        <v>288</v>
      </c>
      <c r="H54" s="36">
        <v>2200</v>
      </c>
      <c r="I54" s="36">
        <v>18.82</v>
      </c>
      <c r="J54" s="66">
        <f t="shared" si="79"/>
        <v>41404</v>
      </c>
      <c r="K54" s="61">
        <f>SUMIF($V$3:$CH$3,"&lt;"&amp;Datos!$C$20,V54:CH54)</f>
        <v>0</v>
      </c>
      <c r="L54" s="71">
        <f t="shared" si="104"/>
        <v>0</v>
      </c>
      <c r="M54" s="65">
        <f>LOOKUP(Datos!$C$20,'Cant. Ejec,'!$V$3:$BB$3,'Cant. Ejec,'!$V54:$BB54)</f>
        <v>0</v>
      </c>
      <c r="N54" s="896">
        <f t="shared" si="61"/>
        <v>0</v>
      </c>
      <c r="O54" s="61">
        <f t="shared" si="103"/>
        <v>0</v>
      </c>
      <c r="P54" s="896">
        <f t="shared" si="103"/>
        <v>0</v>
      </c>
      <c r="Q54" s="61">
        <f t="shared" si="63"/>
        <v>2200</v>
      </c>
      <c r="R54" s="896">
        <f t="shared" si="64"/>
        <v>41404</v>
      </c>
      <c r="S54" s="792">
        <f t="shared" si="65"/>
        <v>0</v>
      </c>
      <c r="T54" s="792">
        <f t="shared" si="66"/>
        <v>0</v>
      </c>
      <c r="U54" s="1184">
        <f t="shared" si="67"/>
        <v>1</v>
      </c>
      <c r="V54" s="1202"/>
      <c r="W54" s="1203">
        <f t="shared" si="81"/>
        <v>0</v>
      </c>
      <c r="X54" s="1204">
        <f t="shared" si="82"/>
        <v>0</v>
      </c>
      <c r="Y54" s="1202"/>
      <c r="Z54" s="1203">
        <f t="shared" si="83"/>
        <v>0</v>
      </c>
      <c r="AA54" s="1204">
        <f t="shared" si="84"/>
        <v>0</v>
      </c>
      <c r="AB54" s="1202"/>
      <c r="AC54" s="1203">
        <f t="shared" si="85"/>
        <v>0</v>
      </c>
      <c r="AD54" s="1204">
        <f t="shared" si="86"/>
        <v>0</v>
      </c>
      <c r="AE54" s="1202"/>
      <c r="AF54" s="1203">
        <f t="shared" si="87"/>
        <v>0</v>
      </c>
      <c r="AG54" s="1204">
        <f t="shared" si="88"/>
        <v>0</v>
      </c>
      <c r="AH54" s="1202"/>
      <c r="AI54" s="1203">
        <f t="shared" si="89"/>
        <v>0</v>
      </c>
      <c r="AJ54" s="1204">
        <f t="shared" si="90"/>
        <v>0</v>
      </c>
      <c r="AK54" s="1202"/>
      <c r="AL54" s="1203">
        <f t="shared" si="91"/>
        <v>0</v>
      </c>
      <c r="AM54" s="1204">
        <f t="shared" si="92"/>
        <v>0</v>
      </c>
      <c r="AN54" s="1202"/>
      <c r="AO54" s="1203">
        <f t="shared" si="93"/>
        <v>0</v>
      </c>
      <c r="AP54" s="1204">
        <f t="shared" si="94"/>
        <v>0</v>
      </c>
      <c r="AQ54" s="1202"/>
      <c r="AR54" s="1203">
        <f t="shared" si="95"/>
        <v>0</v>
      </c>
      <c r="AS54" s="1204">
        <f t="shared" si="96"/>
        <v>0</v>
      </c>
      <c r="AT54" s="1202"/>
      <c r="AU54" s="1203">
        <f t="shared" si="97"/>
        <v>0</v>
      </c>
      <c r="AV54" s="1204">
        <f t="shared" si="98"/>
        <v>0</v>
      </c>
      <c r="AW54" s="1202"/>
      <c r="AX54" s="1203">
        <f t="shared" si="99"/>
        <v>0</v>
      </c>
      <c r="AY54" s="1204">
        <f t="shared" si="100"/>
        <v>0</v>
      </c>
      <c r="AZ54" s="1202"/>
      <c r="BA54" s="1203">
        <f t="shared" si="101"/>
        <v>0</v>
      </c>
      <c r="BB54" s="1204">
        <f t="shared" si="102"/>
        <v>0</v>
      </c>
      <c r="BC54" s="1433">
        <f t="shared" si="11"/>
        <v>0</v>
      </c>
    </row>
    <row r="55" spans="1:55" ht="13.8">
      <c r="A55" s="888" t="e">
        <f t="shared" si="12"/>
        <v>#REF!</v>
      </c>
      <c r="B55" s="889">
        <f t="shared" si="13"/>
        <v>0</v>
      </c>
      <c r="C55" s="891" t="e">
        <f t="shared" si="14"/>
        <v>#REF!</v>
      </c>
      <c r="D55" s="892" t="str">
        <f t="shared" si="80"/>
        <v>4. OBRAS DE DRENAJE</v>
      </c>
      <c r="E55" s="937">
        <v>47</v>
      </c>
      <c r="F55" s="768" t="s">
        <v>559</v>
      </c>
      <c r="G55" s="934" t="s">
        <v>287</v>
      </c>
      <c r="H55" s="36">
        <v>44</v>
      </c>
      <c r="I55" s="36">
        <v>85.23</v>
      </c>
      <c r="J55" s="66">
        <f t="shared" si="79"/>
        <v>3750.12</v>
      </c>
      <c r="K55" s="61">
        <f>SUMIF($V$3:$CH$3,"&lt;"&amp;Datos!$C$20,V55:CH55)</f>
        <v>0</v>
      </c>
      <c r="L55" s="71">
        <f t="shared" si="104"/>
        <v>0</v>
      </c>
      <c r="M55" s="65">
        <f>LOOKUP(Datos!$C$20,'Cant. Ejec,'!$V$3:$BB$3,'Cant. Ejec,'!$V55:$BB55)</f>
        <v>0</v>
      </c>
      <c r="N55" s="896">
        <f t="shared" si="61"/>
        <v>0</v>
      </c>
      <c r="O55" s="61">
        <f t="shared" si="103"/>
        <v>0</v>
      </c>
      <c r="P55" s="896">
        <f t="shared" si="103"/>
        <v>0</v>
      </c>
      <c r="Q55" s="61">
        <f t="shared" si="63"/>
        <v>44</v>
      </c>
      <c r="R55" s="896">
        <f t="shared" si="64"/>
        <v>3750.12</v>
      </c>
      <c r="S55" s="792">
        <f t="shared" si="65"/>
        <v>0</v>
      </c>
      <c r="T55" s="792">
        <f t="shared" si="66"/>
        <v>0</v>
      </c>
      <c r="U55" s="1184">
        <f t="shared" si="67"/>
        <v>1</v>
      </c>
      <c r="V55" s="1202"/>
      <c r="W55" s="1203">
        <f t="shared" si="81"/>
        <v>0</v>
      </c>
      <c r="X55" s="1204">
        <f t="shared" si="82"/>
        <v>0</v>
      </c>
      <c r="Y55" s="1202"/>
      <c r="Z55" s="1203">
        <f t="shared" si="83"/>
        <v>0</v>
      </c>
      <c r="AA55" s="1204">
        <f t="shared" si="84"/>
        <v>0</v>
      </c>
      <c r="AB55" s="1202"/>
      <c r="AC55" s="1203">
        <f t="shared" si="85"/>
        <v>0</v>
      </c>
      <c r="AD55" s="1204">
        <f t="shared" si="86"/>
        <v>0</v>
      </c>
      <c r="AE55" s="1202"/>
      <c r="AF55" s="1203">
        <f t="shared" si="87"/>
        <v>0</v>
      </c>
      <c r="AG55" s="1204">
        <f t="shared" si="88"/>
        <v>0</v>
      </c>
      <c r="AH55" s="1202"/>
      <c r="AI55" s="1203">
        <f t="shared" si="89"/>
        <v>0</v>
      </c>
      <c r="AJ55" s="1204">
        <f t="shared" si="90"/>
        <v>0</v>
      </c>
      <c r="AK55" s="1202"/>
      <c r="AL55" s="1203">
        <f t="shared" si="91"/>
        <v>0</v>
      </c>
      <c r="AM55" s="1204">
        <f t="shared" si="92"/>
        <v>0</v>
      </c>
      <c r="AN55" s="1202"/>
      <c r="AO55" s="1203">
        <f t="shared" si="93"/>
        <v>0</v>
      </c>
      <c r="AP55" s="1204">
        <f t="shared" si="94"/>
        <v>0</v>
      </c>
      <c r="AQ55" s="1202"/>
      <c r="AR55" s="1203">
        <f t="shared" si="95"/>
        <v>0</v>
      </c>
      <c r="AS55" s="1204">
        <f t="shared" si="96"/>
        <v>0</v>
      </c>
      <c r="AT55" s="1202"/>
      <c r="AU55" s="1203">
        <f t="shared" si="97"/>
        <v>0</v>
      </c>
      <c r="AV55" s="1204">
        <f t="shared" si="98"/>
        <v>0</v>
      </c>
      <c r="AW55" s="1202"/>
      <c r="AX55" s="1203">
        <f t="shared" si="99"/>
        <v>0</v>
      </c>
      <c r="AY55" s="1204">
        <f t="shared" si="100"/>
        <v>0</v>
      </c>
      <c r="AZ55" s="1202"/>
      <c r="BA55" s="1203">
        <f t="shared" si="101"/>
        <v>0</v>
      </c>
      <c r="BB55" s="1204">
        <f t="shared" si="102"/>
        <v>0</v>
      </c>
      <c r="BC55" s="1433">
        <f t="shared" si="11"/>
        <v>0</v>
      </c>
    </row>
    <row r="56" spans="1:55" ht="13.8">
      <c r="A56" s="888" t="e">
        <f t="shared" si="12"/>
        <v>#REF!</v>
      </c>
      <c r="B56" s="889">
        <f t="shared" si="13"/>
        <v>0</v>
      </c>
      <c r="C56" s="891" t="e">
        <f t="shared" si="14"/>
        <v>#REF!</v>
      </c>
      <c r="D56" s="892" t="str">
        <f t="shared" si="80"/>
        <v>4. OBRAS DE DRENAJE</v>
      </c>
      <c r="E56" s="937">
        <v>48</v>
      </c>
      <c r="F56" s="768" t="s">
        <v>560</v>
      </c>
      <c r="G56" s="934" t="s">
        <v>290</v>
      </c>
      <c r="H56" s="36">
        <v>55</v>
      </c>
      <c r="I56" s="36">
        <v>130.9</v>
      </c>
      <c r="J56" s="66">
        <f t="shared" si="79"/>
        <v>7199.5</v>
      </c>
      <c r="K56" s="61">
        <f>SUMIF($V$3:$CH$3,"&lt;"&amp;Datos!$C$20,V56:CH56)</f>
        <v>0</v>
      </c>
      <c r="L56" s="71">
        <f t="shared" si="104"/>
        <v>0</v>
      </c>
      <c r="M56" s="65">
        <f>LOOKUP(Datos!$C$20,'Cant. Ejec,'!$V$3:$BB$3,'Cant. Ejec,'!$V56:$BB56)</f>
        <v>0</v>
      </c>
      <c r="N56" s="896">
        <f t="shared" si="61"/>
        <v>0</v>
      </c>
      <c r="O56" s="61">
        <f t="shared" si="103"/>
        <v>0</v>
      </c>
      <c r="P56" s="896">
        <f t="shared" si="103"/>
        <v>0</v>
      </c>
      <c r="Q56" s="61">
        <f t="shared" si="63"/>
        <v>55</v>
      </c>
      <c r="R56" s="896">
        <f t="shared" si="64"/>
        <v>7199.5</v>
      </c>
      <c r="S56" s="792">
        <f t="shared" si="65"/>
        <v>0</v>
      </c>
      <c r="T56" s="792">
        <f t="shared" si="66"/>
        <v>0</v>
      </c>
      <c r="U56" s="1184">
        <f t="shared" si="67"/>
        <v>1</v>
      </c>
      <c r="V56" s="1202"/>
      <c r="W56" s="1203">
        <f t="shared" si="81"/>
        <v>0</v>
      </c>
      <c r="X56" s="1204">
        <f t="shared" si="82"/>
        <v>0</v>
      </c>
      <c r="Y56" s="1202"/>
      <c r="Z56" s="1203">
        <f t="shared" si="83"/>
        <v>0</v>
      </c>
      <c r="AA56" s="1204">
        <f t="shared" si="84"/>
        <v>0</v>
      </c>
      <c r="AB56" s="1202"/>
      <c r="AC56" s="1203">
        <f t="shared" si="85"/>
        <v>0</v>
      </c>
      <c r="AD56" s="1204">
        <f t="shared" si="86"/>
        <v>0</v>
      </c>
      <c r="AE56" s="1202"/>
      <c r="AF56" s="1203">
        <f t="shared" si="87"/>
        <v>0</v>
      </c>
      <c r="AG56" s="1204">
        <f t="shared" si="88"/>
        <v>0</v>
      </c>
      <c r="AH56" s="1202"/>
      <c r="AI56" s="1203">
        <f t="shared" si="89"/>
        <v>0</v>
      </c>
      <c r="AJ56" s="1204">
        <f t="shared" si="90"/>
        <v>0</v>
      </c>
      <c r="AK56" s="1202"/>
      <c r="AL56" s="1203">
        <f t="shared" si="91"/>
        <v>0</v>
      </c>
      <c r="AM56" s="1204">
        <f t="shared" si="92"/>
        <v>0</v>
      </c>
      <c r="AN56" s="1202"/>
      <c r="AO56" s="1203">
        <f t="shared" si="93"/>
        <v>0</v>
      </c>
      <c r="AP56" s="1204">
        <f t="shared" si="94"/>
        <v>0</v>
      </c>
      <c r="AQ56" s="1202"/>
      <c r="AR56" s="1203">
        <f t="shared" si="95"/>
        <v>0</v>
      </c>
      <c r="AS56" s="1204">
        <f t="shared" si="96"/>
        <v>0</v>
      </c>
      <c r="AT56" s="1202"/>
      <c r="AU56" s="1203">
        <f t="shared" si="97"/>
        <v>0</v>
      </c>
      <c r="AV56" s="1204">
        <f t="shared" si="98"/>
        <v>0</v>
      </c>
      <c r="AW56" s="1202"/>
      <c r="AX56" s="1203">
        <f t="shared" si="99"/>
        <v>0</v>
      </c>
      <c r="AY56" s="1204">
        <f t="shared" si="100"/>
        <v>0</v>
      </c>
      <c r="AZ56" s="1202"/>
      <c r="BA56" s="1203">
        <f t="shared" si="101"/>
        <v>0</v>
      </c>
      <c r="BB56" s="1204">
        <f t="shared" si="102"/>
        <v>0</v>
      </c>
      <c r="BC56" s="1433">
        <f t="shared" si="11"/>
        <v>0</v>
      </c>
    </row>
    <row r="57" spans="1:55" s="30" customFormat="1" ht="13.8">
      <c r="A57" s="888" t="e">
        <f t="shared" si="12"/>
        <v>#REF!</v>
      </c>
      <c r="B57" s="889">
        <f t="shared" si="13"/>
        <v>0</v>
      </c>
      <c r="C57" s="891" t="e">
        <f t="shared" si="14"/>
        <v>#REF!</v>
      </c>
      <c r="D57" s="892" t="str">
        <f t="shared" si="80"/>
        <v>4. OBRAS DE DRENAJE</v>
      </c>
      <c r="E57" s="937">
        <v>49</v>
      </c>
      <c r="F57" s="775" t="s">
        <v>561</v>
      </c>
      <c r="G57" s="934" t="s">
        <v>287</v>
      </c>
      <c r="H57" s="36">
        <v>66</v>
      </c>
      <c r="I57" s="38">
        <v>104.01</v>
      </c>
      <c r="J57" s="66">
        <f t="shared" si="79"/>
        <v>6864.66</v>
      </c>
      <c r="K57" s="61">
        <f>SUMIF($V$3:$CH$3,"&lt;"&amp;Datos!$C$20,V57:CH57)</f>
        <v>0</v>
      </c>
      <c r="L57" s="71">
        <f t="shared" si="104"/>
        <v>0</v>
      </c>
      <c r="M57" s="65">
        <f>LOOKUP(Datos!$C$20,'Cant. Ejec,'!$V$3:$BB$3,'Cant. Ejec,'!$V57:$BB57)</f>
        <v>0</v>
      </c>
      <c r="N57" s="896">
        <f t="shared" si="61"/>
        <v>0</v>
      </c>
      <c r="O57" s="61">
        <f t="shared" si="103"/>
        <v>0</v>
      </c>
      <c r="P57" s="896">
        <f t="shared" si="103"/>
        <v>0</v>
      </c>
      <c r="Q57" s="61">
        <f t="shared" si="63"/>
        <v>66</v>
      </c>
      <c r="R57" s="896">
        <f t="shared" si="64"/>
        <v>6864.66</v>
      </c>
      <c r="S57" s="792">
        <f t="shared" si="65"/>
        <v>0</v>
      </c>
      <c r="T57" s="792">
        <f t="shared" si="66"/>
        <v>0</v>
      </c>
      <c r="U57" s="1184">
        <f t="shared" si="67"/>
        <v>1</v>
      </c>
      <c r="V57" s="1202"/>
      <c r="W57" s="1203">
        <f t="shared" si="81"/>
        <v>0</v>
      </c>
      <c r="X57" s="1204">
        <f t="shared" si="82"/>
        <v>0</v>
      </c>
      <c r="Y57" s="1202"/>
      <c r="Z57" s="1203">
        <f t="shared" si="83"/>
        <v>0</v>
      </c>
      <c r="AA57" s="1204">
        <f t="shared" si="84"/>
        <v>0</v>
      </c>
      <c r="AB57" s="1202"/>
      <c r="AC57" s="1203">
        <f t="shared" si="85"/>
        <v>0</v>
      </c>
      <c r="AD57" s="1204">
        <f t="shared" si="86"/>
        <v>0</v>
      </c>
      <c r="AE57" s="1202"/>
      <c r="AF57" s="1203">
        <f t="shared" si="87"/>
        <v>0</v>
      </c>
      <c r="AG57" s="1204">
        <f t="shared" si="88"/>
        <v>0</v>
      </c>
      <c r="AH57" s="1202"/>
      <c r="AI57" s="1203">
        <f t="shared" si="89"/>
        <v>0</v>
      </c>
      <c r="AJ57" s="1204">
        <f t="shared" si="90"/>
        <v>0</v>
      </c>
      <c r="AK57" s="1202"/>
      <c r="AL57" s="1203">
        <f t="shared" si="91"/>
        <v>0</v>
      </c>
      <c r="AM57" s="1204">
        <f t="shared" si="92"/>
        <v>0</v>
      </c>
      <c r="AN57" s="1202"/>
      <c r="AO57" s="1203">
        <f t="shared" si="93"/>
        <v>0</v>
      </c>
      <c r="AP57" s="1204">
        <f t="shared" si="94"/>
        <v>0</v>
      </c>
      <c r="AQ57" s="1202"/>
      <c r="AR57" s="1203">
        <f t="shared" si="95"/>
        <v>0</v>
      </c>
      <c r="AS57" s="1204">
        <f t="shared" si="96"/>
        <v>0</v>
      </c>
      <c r="AT57" s="1202"/>
      <c r="AU57" s="1203">
        <f t="shared" si="97"/>
        <v>0</v>
      </c>
      <c r="AV57" s="1204">
        <f t="shared" si="98"/>
        <v>0</v>
      </c>
      <c r="AW57" s="1202"/>
      <c r="AX57" s="1203">
        <f t="shared" si="99"/>
        <v>0</v>
      </c>
      <c r="AY57" s="1204">
        <f t="shared" si="100"/>
        <v>0</v>
      </c>
      <c r="AZ57" s="1202"/>
      <c r="BA57" s="1203">
        <f t="shared" si="101"/>
        <v>0</v>
      </c>
      <c r="BB57" s="1204">
        <f t="shared" si="102"/>
        <v>0</v>
      </c>
      <c r="BC57" s="1433">
        <f t="shared" si="11"/>
        <v>0</v>
      </c>
    </row>
    <row r="58" spans="1:55" s="30" customFormat="1" ht="13.8">
      <c r="A58" s="888" t="e">
        <f t="shared" si="12"/>
        <v>#REF!</v>
      </c>
      <c r="B58" s="889">
        <f t="shared" si="13"/>
        <v>0</v>
      </c>
      <c r="C58" s="891" t="e">
        <f t="shared" si="14"/>
        <v>#REF!</v>
      </c>
      <c r="D58" s="892" t="str">
        <f t="shared" si="80"/>
        <v>4. OBRAS DE DRENAJE</v>
      </c>
      <c r="E58" s="937">
        <v>50</v>
      </c>
      <c r="F58" s="775" t="s">
        <v>562</v>
      </c>
      <c r="G58" s="934" t="s">
        <v>287</v>
      </c>
      <c r="H58" s="36">
        <v>11</v>
      </c>
      <c r="I58" s="38">
        <v>286.33</v>
      </c>
      <c r="J58" s="66">
        <f t="shared" si="79"/>
        <v>3149.63</v>
      </c>
      <c r="K58" s="61">
        <f>SUMIF($V$3:$CH$3,"&lt;"&amp;Datos!$C$20,V58:CH58)</f>
        <v>0</v>
      </c>
      <c r="L58" s="71">
        <f t="shared" si="104"/>
        <v>0</v>
      </c>
      <c r="M58" s="65">
        <f>LOOKUP(Datos!$C$20,'Cant. Ejec,'!$V$3:$BB$3,'Cant. Ejec,'!$V58:$BB58)</f>
        <v>0</v>
      </c>
      <c r="N58" s="896">
        <f t="shared" si="61"/>
        <v>0</v>
      </c>
      <c r="O58" s="61">
        <f t="shared" si="103"/>
        <v>0</v>
      </c>
      <c r="P58" s="896">
        <f t="shared" si="103"/>
        <v>0</v>
      </c>
      <c r="Q58" s="61">
        <f t="shared" si="63"/>
        <v>11</v>
      </c>
      <c r="R58" s="896">
        <f t="shared" si="64"/>
        <v>3149.63</v>
      </c>
      <c r="S58" s="792">
        <f t="shared" si="65"/>
        <v>0</v>
      </c>
      <c r="T58" s="792">
        <f t="shared" si="66"/>
        <v>0</v>
      </c>
      <c r="U58" s="1184">
        <f t="shared" si="67"/>
        <v>1</v>
      </c>
      <c r="V58" s="1202"/>
      <c r="W58" s="1203">
        <f t="shared" si="81"/>
        <v>0</v>
      </c>
      <c r="X58" s="1204">
        <f t="shared" si="82"/>
        <v>0</v>
      </c>
      <c r="Y58" s="1202"/>
      <c r="Z58" s="1203">
        <f t="shared" si="83"/>
        <v>0</v>
      </c>
      <c r="AA58" s="1204">
        <f t="shared" si="84"/>
        <v>0</v>
      </c>
      <c r="AB58" s="1202"/>
      <c r="AC58" s="1203">
        <f t="shared" si="85"/>
        <v>0</v>
      </c>
      <c r="AD58" s="1204">
        <f t="shared" si="86"/>
        <v>0</v>
      </c>
      <c r="AE58" s="1202"/>
      <c r="AF58" s="1203">
        <f t="shared" si="87"/>
        <v>0</v>
      </c>
      <c r="AG58" s="1204">
        <f t="shared" si="88"/>
        <v>0</v>
      </c>
      <c r="AH58" s="1202"/>
      <c r="AI58" s="1203">
        <f t="shared" si="89"/>
        <v>0</v>
      </c>
      <c r="AJ58" s="1204">
        <f t="shared" si="90"/>
        <v>0</v>
      </c>
      <c r="AK58" s="1202"/>
      <c r="AL58" s="1203">
        <f t="shared" si="91"/>
        <v>0</v>
      </c>
      <c r="AM58" s="1204">
        <f t="shared" si="92"/>
        <v>0</v>
      </c>
      <c r="AN58" s="1202"/>
      <c r="AO58" s="1203">
        <f t="shared" si="93"/>
        <v>0</v>
      </c>
      <c r="AP58" s="1204">
        <f t="shared" si="94"/>
        <v>0</v>
      </c>
      <c r="AQ58" s="1202"/>
      <c r="AR58" s="1203">
        <f t="shared" si="95"/>
        <v>0</v>
      </c>
      <c r="AS58" s="1204">
        <f t="shared" si="96"/>
        <v>0</v>
      </c>
      <c r="AT58" s="1202"/>
      <c r="AU58" s="1203">
        <f t="shared" si="97"/>
        <v>0</v>
      </c>
      <c r="AV58" s="1204">
        <f t="shared" si="98"/>
        <v>0</v>
      </c>
      <c r="AW58" s="1202"/>
      <c r="AX58" s="1203">
        <f t="shared" si="99"/>
        <v>0</v>
      </c>
      <c r="AY58" s="1204">
        <f t="shared" si="100"/>
        <v>0</v>
      </c>
      <c r="AZ58" s="1202"/>
      <c r="BA58" s="1203">
        <f t="shared" si="101"/>
        <v>0</v>
      </c>
      <c r="BB58" s="1204">
        <f t="shared" si="102"/>
        <v>0</v>
      </c>
      <c r="BC58" s="1433">
        <f t="shared" si="11"/>
        <v>0</v>
      </c>
    </row>
    <row r="59" spans="1:55" s="30" customFormat="1" ht="13.8">
      <c r="A59" s="888" t="e">
        <f t="shared" si="12"/>
        <v>#REF!</v>
      </c>
      <c r="B59" s="889">
        <f t="shared" si="13"/>
        <v>0</v>
      </c>
      <c r="C59" s="891" t="e">
        <f t="shared" si="14"/>
        <v>#REF!</v>
      </c>
      <c r="D59" s="892" t="str">
        <f t="shared" si="80"/>
        <v>4. OBRAS DE DRENAJE</v>
      </c>
      <c r="E59" s="937">
        <v>51</v>
      </c>
      <c r="F59" s="768" t="s">
        <v>563</v>
      </c>
      <c r="G59" s="934" t="s">
        <v>287</v>
      </c>
      <c r="H59" s="36">
        <v>11</v>
      </c>
      <c r="I59" s="38">
        <v>120.83</v>
      </c>
      <c r="J59" s="66">
        <f t="shared" si="79"/>
        <v>1329.13</v>
      </c>
      <c r="K59" s="61">
        <f>SUMIF($V$3:$CH$3,"&lt;"&amp;Datos!$C$20,V59:CH59)</f>
        <v>0</v>
      </c>
      <c r="L59" s="71">
        <f t="shared" si="104"/>
        <v>0</v>
      </c>
      <c r="M59" s="65">
        <f>LOOKUP(Datos!$C$20,'Cant. Ejec,'!$V$3:$BB$3,'Cant. Ejec,'!$V59:$BB59)</f>
        <v>0</v>
      </c>
      <c r="N59" s="896">
        <f t="shared" si="61"/>
        <v>0</v>
      </c>
      <c r="O59" s="61">
        <f t="shared" si="103"/>
        <v>0</v>
      </c>
      <c r="P59" s="896">
        <f t="shared" si="103"/>
        <v>0</v>
      </c>
      <c r="Q59" s="61">
        <f t="shared" si="63"/>
        <v>11</v>
      </c>
      <c r="R59" s="896">
        <f t="shared" si="64"/>
        <v>1329.13</v>
      </c>
      <c r="S59" s="792">
        <f t="shared" si="65"/>
        <v>0</v>
      </c>
      <c r="T59" s="792">
        <f t="shared" si="66"/>
        <v>0</v>
      </c>
      <c r="U59" s="1184">
        <f t="shared" si="67"/>
        <v>1</v>
      </c>
      <c r="V59" s="1202"/>
      <c r="W59" s="1203">
        <f t="shared" si="81"/>
        <v>0</v>
      </c>
      <c r="X59" s="1204">
        <f t="shared" si="82"/>
        <v>0</v>
      </c>
      <c r="Y59" s="1202"/>
      <c r="Z59" s="1203">
        <f t="shared" si="83"/>
        <v>0</v>
      </c>
      <c r="AA59" s="1204">
        <f t="shared" si="84"/>
        <v>0</v>
      </c>
      <c r="AB59" s="1202"/>
      <c r="AC59" s="1203">
        <f t="shared" si="85"/>
        <v>0</v>
      </c>
      <c r="AD59" s="1204">
        <f t="shared" si="86"/>
        <v>0</v>
      </c>
      <c r="AE59" s="1202"/>
      <c r="AF59" s="1203">
        <f t="shared" si="87"/>
        <v>0</v>
      </c>
      <c r="AG59" s="1204">
        <f t="shared" si="88"/>
        <v>0</v>
      </c>
      <c r="AH59" s="1202"/>
      <c r="AI59" s="1203">
        <f t="shared" si="89"/>
        <v>0</v>
      </c>
      <c r="AJ59" s="1204">
        <f t="shared" si="90"/>
        <v>0</v>
      </c>
      <c r="AK59" s="1202"/>
      <c r="AL59" s="1203">
        <f t="shared" si="91"/>
        <v>0</v>
      </c>
      <c r="AM59" s="1204">
        <f t="shared" si="92"/>
        <v>0</v>
      </c>
      <c r="AN59" s="1202"/>
      <c r="AO59" s="1203">
        <f t="shared" si="93"/>
        <v>0</v>
      </c>
      <c r="AP59" s="1204">
        <f t="shared" si="94"/>
        <v>0</v>
      </c>
      <c r="AQ59" s="1202"/>
      <c r="AR59" s="1203">
        <f t="shared" si="95"/>
        <v>0</v>
      </c>
      <c r="AS59" s="1204">
        <f t="shared" si="96"/>
        <v>0</v>
      </c>
      <c r="AT59" s="1202"/>
      <c r="AU59" s="1203">
        <f t="shared" si="97"/>
        <v>0</v>
      </c>
      <c r="AV59" s="1204">
        <f t="shared" si="98"/>
        <v>0</v>
      </c>
      <c r="AW59" s="1202"/>
      <c r="AX59" s="1203">
        <f t="shared" si="99"/>
        <v>0</v>
      </c>
      <c r="AY59" s="1204">
        <f t="shared" si="100"/>
        <v>0</v>
      </c>
      <c r="AZ59" s="1202"/>
      <c r="BA59" s="1203">
        <f t="shared" si="101"/>
        <v>0</v>
      </c>
      <c r="BB59" s="1204">
        <f t="shared" si="102"/>
        <v>0</v>
      </c>
      <c r="BC59" s="1433">
        <f t="shared" si="11"/>
        <v>0</v>
      </c>
    </row>
    <row r="60" spans="1:55" s="30" customFormat="1" ht="13.8">
      <c r="A60" s="888" t="e">
        <f t="shared" si="12"/>
        <v>#REF!</v>
      </c>
      <c r="B60" s="889">
        <f t="shared" si="13"/>
        <v>0</v>
      </c>
      <c r="C60" s="891" t="e">
        <f t="shared" si="14"/>
        <v>#REF!</v>
      </c>
      <c r="D60" s="892" t="str">
        <f t="shared" si="80"/>
        <v>4. OBRAS DE DRENAJE</v>
      </c>
      <c r="E60" s="937">
        <v>52</v>
      </c>
      <c r="F60" s="768" t="s">
        <v>564</v>
      </c>
      <c r="G60" s="934" t="s">
        <v>287</v>
      </c>
      <c r="H60" s="36">
        <v>11</v>
      </c>
      <c r="I60" s="38">
        <v>104.01</v>
      </c>
      <c r="J60" s="66">
        <f t="shared" si="79"/>
        <v>1144.1099999999999</v>
      </c>
      <c r="K60" s="61">
        <f>SUMIF($V$3:$CH$3,"&lt;"&amp;Datos!$C$20,V60:CH60)</f>
        <v>0</v>
      </c>
      <c r="L60" s="71">
        <f t="shared" si="104"/>
        <v>0</v>
      </c>
      <c r="M60" s="65">
        <f>LOOKUP(Datos!$C$20,'Cant. Ejec,'!$V$3:$BB$3,'Cant. Ejec,'!$V60:$BB60)</f>
        <v>0</v>
      </c>
      <c r="N60" s="896">
        <f t="shared" si="61"/>
        <v>0</v>
      </c>
      <c r="O60" s="61">
        <f t="shared" si="103"/>
        <v>0</v>
      </c>
      <c r="P60" s="896">
        <f t="shared" si="103"/>
        <v>0</v>
      </c>
      <c r="Q60" s="61">
        <f t="shared" si="63"/>
        <v>11</v>
      </c>
      <c r="R60" s="896">
        <f t="shared" si="64"/>
        <v>1144.1099999999999</v>
      </c>
      <c r="S60" s="792">
        <f t="shared" si="65"/>
        <v>0</v>
      </c>
      <c r="T60" s="792">
        <f t="shared" si="66"/>
        <v>0</v>
      </c>
      <c r="U60" s="1184">
        <f t="shared" si="67"/>
        <v>1</v>
      </c>
      <c r="V60" s="1202"/>
      <c r="W60" s="1203">
        <f t="shared" si="81"/>
        <v>0</v>
      </c>
      <c r="X60" s="1204">
        <f t="shared" si="82"/>
        <v>0</v>
      </c>
      <c r="Y60" s="1202"/>
      <c r="Z60" s="1203">
        <f t="shared" si="83"/>
        <v>0</v>
      </c>
      <c r="AA60" s="1204">
        <f t="shared" si="84"/>
        <v>0</v>
      </c>
      <c r="AB60" s="1202"/>
      <c r="AC60" s="1203">
        <f t="shared" si="85"/>
        <v>0</v>
      </c>
      <c r="AD60" s="1204">
        <f t="shared" si="86"/>
        <v>0</v>
      </c>
      <c r="AE60" s="1202"/>
      <c r="AF60" s="1203">
        <f t="shared" si="87"/>
        <v>0</v>
      </c>
      <c r="AG60" s="1204">
        <f t="shared" si="88"/>
        <v>0</v>
      </c>
      <c r="AH60" s="1202"/>
      <c r="AI60" s="1203">
        <f t="shared" si="89"/>
        <v>0</v>
      </c>
      <c r="AJ60" s="1204">
        <f t="shared" si="90"/>
        <v>0</v>
      </c>
      <c r="AK60" s="1202"/>
      <c r="AL60" s="1203">
        <f t="shared" si="91"/>
        <v>0</v>
      </c>
      <c r="AM60" s="1204">
        <f t="shared" si="92"/>
        <v>0</v>
      </c>
      <c r="AN60" s="1202"/>
      <c r="AO60" s="1203">
        <f t="shared" si="93"/>
        <v>0</v>
      </c>
      <c r="AP60" s="1204">
        <f t="shared" si="94"/>
        <v>0</v>
      </c>
      <c r="AQ60" s="1202"/>
      <c r="AR60" s="1203">
        <f t="shared" si="95"/>
        <v>0</v>
      </c>
      <c r="AS60" s="1204">
        <f t="shared" si="96"/>
        <v>0</v>
      </c>
      <c r="AT60" s="1202"/>
      <c r="AU60" s="1203">
        <f t="shared" si="97"/>
        <v>0</v>
      </c>
      <c r="AV60" s="1204">
        <f t="shared" si="98"/>
        <v>0</v>
      </c>
      <c r="AW60" s="1202"/>
      <c r="AX60" s="1203">
        <f t="shared" si="99"/>
        <v>0</v>
      </c>
      <c r="AY60" s="1204">
        <f t="shared" si="100"/>
        <v>0</v>
      </c>
      <c r="AZ60" s="1202"/>
      <c r="BA60" s="1203">
        <f t="shared" si="101"/>
        <v>0</v>
      </c>
      <c r="BB60" s="1204">
        <f t="shared" si="102"/>
        <v>0</v>
      </c>
      <c r="BC60" s="1433">
        <f t="shared" si="11"/>
        <v>0</v>
      </c>
    </row>
    <row r="61" spans="1:55" s="30" customFormat="1" ht="13.8">
      <c r="A61" s="888" t="e">
        <f t="shared" si="12"/>
        <v>#REF!</v>
      </c>
      <c r="B61" s="889">
        <f t="shared" si="13"/>
        <v>0</v>
      </c>
      <c r="C61" s="891" t="e">
        <f t="shared" si="14"/>
        <v>#REF!</v>
      </c>
      <c r="D61" s="892" t="str">
        <f t="shared" si="80"/>
        <v>4. OBRAS DE DRENAJE</v>
      </c>
      <c r="E61" s="937">
        <v>53</v>
      </c>
      <c r="F61" s="775" t="s">
        <v>565</v>
      </c>
      <c r="G61" s="934" t="s">
        <v>287</v>
      </c>
      <c r="H61" s="36">
        <v>11</v>
      </c>
      <c r="I61" s="38">
        <v>104.01</v>
      </c>
      <c r="J61" s="66">
        <f t="shared" si="79"/>
        <v>1144.1099999999999</v>
      </c>
      <c r="K61" s="61">
        <f>SUMIF($V$3:$CH$3,"&lt;"&amp;Datos!$C$20,V61:CH61)</f>
        <v>0</v>
      </c>
      <c r="L61" s="71">
        <f t="shared" si="104"/>
        <v>0</v>
      </c>
      <c r="M61" s="65">
        <f>LOOKUP(Datos!$C$20,'Cant. Ejec,'!$V$3:$BB$3,'Cant. Ejec,'!$V61:$BB61)</f>
        <v>0</v>
      </c>
      <c r="N61" s="896">
        <f t="shared" si="61"/>
        <v>0</v>
      </c>
      <c r="O61" s="61">
        <f t="shared" si="103"/>
        <v>0</v>
      </c>
      <c r="P61" s="896">
        <f t="shared" si="103"/>
        <v>0</v>
      </c>
      <c r="Q61" s="61">
        <f t="shared" si="63"/>
        <v>11</v>
      </c>
      <c r="R61" s="896">
        <f t="shared" si="64"/>
        <v>1144.1099999999999</v>
      </c>
      <c r="S61" s="792">
        <f t="shared" si="65"/>
        <v>0</v>
      </c>
      <c r="T61" s="792">
        <f t="shared" si="66"/>
        <v>0</v>
      </c>
      <c r="U61" s="1184">
        <f t="shared" si="67"/>
        <v>1</v>
      </c>
      <c r="V61" s="1202"/>
      <c r="W61" s="1203">
        <f t="shared" si="81"/>
        <v>0</v>
      </c>
      <c r="X61" s="1204">
        <f t="shared" si="82"/>
        <v>0</v>
      </c>
      <c r="Y61" s="1202"/>
      <c r="Z61" s="1203">
        <f t="shared" si="83"/>
        <v>0</v>
      </c>
      <c r="AA61" s="1204">
        <f t="shared" si="84"/>
        <v>0</v>
      </c>
      <c r="AB61" s="1202"/>
      <c r="AC61" s="1203">
        <f t="shared" si="85"/>
        <v>0</v>
      </c>
      <c r="AD61" s="1204">
        <f t="shared" si="86"/>
        <v>0</v>
      </c>
      <c r="AE61" s="1202"/>
      <c r="AF61" s="1203">
        <f t="shared" si="87"/>
        <v>0</v>
      </c>
      <c r="AG61" s="1204">
        <f t="shared" si="88"/>
        <v>0</v>
      </c>
      <c r="AH61" s="1202"/>
      <c r="AI61" s="1203">
        <f t="shared" si="89"/>
        <v>0</v>
      </c>
      <c r="AJ61" s="1204">
        <f t="shared" si="90"/>
        <v>0</v>
      </c>
      <c r="AK61" s="1202"/>
      <c r="AL61" s="1203">
        <f t="shared" si="91"/>
        <v>0</v>
      </c>
      <c r="AM61" s="1204">
        <f t="shared" si="92"/>
        <v>0</v>
      </c>
      <c r="AN61" s="1202"/>
      <c r="AO61" s="1203">
        <f t="shared" si="93"/>
        <v>0</v>
      </c>
      <c r="AP61" s="1204">
        <f t="shared" si="94"/>
        <v>0</v>
      </c>
      <c r="AQ61" s="1202"/>
      <c r="AR61" s="1203">
        <f t="shared" si="95"/>
        <v>0</v>
      </c>
      <c r="AS61" s="1204">
        <f t="shared" si="96"/>
        <v>0</v>
      </c>
      <c r="AT61" s="1202"/>
      <c r="AU61" s="1203">
        <f t="shared" si="97"/>
        <v>0</v>
      </c>
      <c r="AV61" s="1204">
        <f t="shared" si="98"/>
        <v>0</v>
      </c>
      <c r="AW61" s="1202"/>
      <c r="AX61" s="1203">
        <f t="shared" si="99"/>
        <v>0</v>
      </c>
      <c r="AY61" s="1204">
        <f t="shared" si="100"/>
        <v>0</v>
      </c>
      <c r="AZ61" s="1202"/>
      <c r="BA61" s="1203">
        <f t="shared" si="101"/>
        <v>0</v>
      </c>
      <c r="BB61" s="1204">
        <f t="shared" si="102"/>
        <v>0</v>
      </c>
      <c r="BC61" s="1433">
        <f t="shared" si="11"/>
        <v>0</v>
      </c>
    </row>
    <row r="62" spans="1:55" s="30" customFormat="1" ht="13.8">
      <c r="A62" s="888" t="e">
        <f t="shared" si="12"/>
        <v>#REF!</v>
      </c>
      <c r="B62" s="889">
        <f t="shared" si="13"/>
        <v>0</v>
      </c>
      <c r="C62" s="891" t="e">
        <f t="shared" si="14"/>
        <v>#REF!</v>
      </c>
      <c r="D62" s="892" t="str">
        <f t="shared" si="80"/>
        <v>4. OBRAS DE DRENAJE</v>
      </c>
      <c r="E62" s="937">
        <v>54</v>
      </c>
      <c r="F62" s="775" t="s">
        <v>566</v>
      </c>
      <c r="G62" s="934" t="s">
        <v>288</v>
      </c>
      <c r="H62" s="36">
        <v>1600</v>
      </c>
      <c r="I62" s="38">
        <v>7.53</v>
      </c>
      <c r="J62" s="66">
        <f t="shared" si="79"/>
        <v>12048</v>
      </c>
      <c r="K62" s="61">
        <f>SUMIF($V$3:$CH$3,"&lt;"&amp;Datos!$C$20,V62:CH62)</f>
        <v>0</v>
      </c>
      <c r="L62" s="71">
        <f t="shared" si="104"/>
        <v>0</v>
      </c>
      <c r="M62" s="65">
        <f>LOOKUP(Datos!$C$20,'Cant. Ejec,'!$V$3:$BB$3,'Cant. Ejec,'!$V62:$BB62)</f>
        <v>0</v>
      </c>
      <c r="N62" s="896">
        <f t="shared" si="61"/>
        <v>0</v>
      </c>
      <c r="O62" s="61">
        <f t="shared" si="103"/>
        <v>0</v>
      </c>
      <c r="P62" s="896">
        <f t="shared" si="103"/>
        <v>0</v>
      </c>
      <c r="Q62" s="61">
        <f t="shared" si="63"/>
        <v>1600</v>
      </c>
      <c r="R62" s="896">
        <f t="shared" si="64"/>
        <v>12048</v>
      </c>
      <c r="S62" s="792">
        <f t="shared" si="65"/>
        <v>0</v>
      </c>
      <c r="T62" s="792">
        <f t="shared" si="66"/>
        <v>0</v>
      </c>
      <c r="U62" s="1184">
        <f t="shared" si="67"/>
        <v>1</v>
      </c>
      <c r="V62" s="1202"/>
      <c r="W62" s="1203">
        <f t="shared" si="81"/>
        <v>0</v>
      </c>
      <c r="X62" s="1204">
        <f t="shared" si="82"/>
        <v>0</v>
      </c>
      <c r="Y62" s="1202"/>
      <c r="Z62" s="1203">
        <f t="shared" si="83"/>
        <v>0</v>
      </c>
      <c r="AA62" s="1204">
        <f t="shared" si="84"/>
        <v>0</v>
      </c>
      <c r="AB62" s="1202"/>
      <c r="AC62" s="1203">
        <f t="shared" si="85"/>
        <v>0</v>
      </c>
      <c r="AD62" s="1204">
        <f t="shared" si="86"/>
        <v>0</v>
      </c>
      <c r="AE62" s="1202"/>
      <c r="AF62" s="1203">
        <f t="shared" si="87"/>
        <v>0</v>
      </c>
      <c r="AG62" s="1204">
        <f t="shared" si="88"/>
        <v>0</v>
      </c>
      <c r="AH62" s="1202"/>
      <c r="AI62" s="1203">
        <f t="shared" si="89"/>
        <v>0</v>
      </c>
      <c r="AJ62" s="1204">
        <f t="shared" si="90"/>
        <v>0</v>
      </c>
      <c r="AK62" s="1202"/>
      <c r="AL62" s="1203">
        <f t="shared" si="91"/>
        <v>0</v>
      </c>
      <c r="AM62" s="1204">
        <f t="shared" si="92"/>
        <v>0</v>
      </c>
      <c r="AN62" s="1202"/>
      <c r="AO62" s="1203">
        <f t="shared" si="93"/>
        <v>0</v>
      </c>
      <c r="AP62" s="1204">
        <f t="shared" si="94"/>
        <v>0</v>
      </c>
      <c r="AQ62" s="1202"/>
      <c r="AR62" s="1203">
        <f t="shared" si="95"/>
        <v>0</v>
      </c>
      <c r="AS62" s="1204">
        <f t="shared" si="96"/>
        <v>0</v>
      </c>
      <c r="AT62" s="1202"/>
      <c r="AU62" s="1203">
        <f t="shared" si="97"/>
        <v>0</v>
      </c>
      <c r="AV62" s="1204">
        <f t="shared" si="98"/>
        <v>0</v>
      </c>
      <c r="AW62" s="1202"/>
      <c r="AX62" s="1203">
        <f t="shared" si="99"/>
        <v>0</v>
      </c>
      <c r="AY62" s="1204">
        <f t="shared" si="100"/>
        <v>0</v>
      </c>
      <c r="AZ62" s="1202"/>
      <c r="BA62" s="1203">
        <f t="shared" si="101"/>
        <v>0</v>
      </c>
      <c r="BB62" s="1204">
        <f t="shared" si="102"/>
        <v>0</v>
      </c>
      <c r="BC62" s="1433">
        <f t="shared" si="11"/>
        <v>0</v>
      </c>
    </row>
    <row r="63" spans="1:55" s="30" customFormat="1" ht="13.8">
      <c r="A63" s="888" t="e">
        <f t="shared" si="12"/>
        <v>#REF!</v>
      </c>
      <c r="B63" s="889">
        <f t="shared" si="13"/>
        <v>0</v>
      </c>
      <c r="C63" s="891" t="e">
        <f t="shared" si="14"/>
        <v>#REF!</v>
      </c>
      <c r="D63" s="892" t="str">
        <f t="shared" si="80"/>
        <v>4. OBRAS DE DRENAJE</v>
      </c>
      <c r="E63" s="937">
        <v>55</v>
      </c>
      <c r="F63" s="768" t="s">
        <v>567</v>
      </c>
      <c r="G63" s="934" t="s">
        <v>290</v>
      </c>
      <c r="H63" s="36">
        <v>17</v>
      </c>
      <c r="I63" s="38">
        <v>104.01</v>
      </c>
      <c r="J63" s="66">
        <f t="shared" si="79"/>
        <v>1768.17</v>
      </c>
      <c r="K63" s="61">
        <f>SUMIF($V$3:$CH$3,"&lt;"&amp;Datos!$C$20,V63:CH63)</f>
        <v>0</v>
      </c>
      <c r="L63" s="71">
        <f t="shared" si="104"/>
        <v>0</v>
      </c>
      <c r="M63" s="65">
        <f>LOOKUP(Datos!$C$20,'Cant. Ejec,'!$V$3:$BB$3,'Cant. Ejec,'!$V63:$BB63)</f>
        <v>0</v>
      </c>
      <c r="N63" s="896">
        <f t="shared" si="61"/>
        <v>0</v>
      </c>
      <c r="O63" s="61">
        <f t="shared" si="103"/>
        <v>0</v>
      </c>
      <c r="P63" s="896">
        <f t="shared" si="103"/>
        <v>0</v>
      </c>
      <c r="Q63" s="61">
        <f t="shared" si="63"/>
        <v>17</v>
      </c>
      <c r="R63" s="896">
        <f t="shared" si="64"/>
        <v>1768.17</v>
      </c>
      <c r="S63" s="792">
        <f t="shared" si="65"/>
        <v>0</v>
      </c>
      <c r="T63" s="792">
        <f t="shared" si="66"/>
        <v>0</v>
      </c>
      <c r="U63" s="1184">
        <f t="shared" si="67"/>
        <v>1</v>
      </c>
      <c r="V63" s="1202"/>
      <c r="W63" s="1203">
        <f t="shared" si="81"/>
        <v>0</v>
      </c>
      <c r="X63" s="1204">
        <f t="shared" si="82"/>
        <v>0</v>
      </c>
      <c r="Y63" s="1202"/>
      <c r="Z63" s="1203">
        <f t="shared" si="83"/>
        <v>0</v>
      </c>
      <c r="AA63" s="1204">
        <f t="shared" si="84"/>
        <v>0</v>
      </c>
      <c r="AB63" s="1202"/>
      <c r="AC63" s="1203">
        <f t="shared" si="85"/>
        <v>0</v>
      </c>
      <c r="AD63" s="1204">
        <f t="shared" si="86"/>
        <v>0</v>
      </c>
      <c r="AE63" s="1202"/>
      <c r="AF63" s="1203">
        <f t="shared" si="87"/>
        <v>0</v>
      </c>
      <c r="AG63" s="1204">
        <f t="shared" si="88"/>
        <v>0</v>
      </c>
      <c r="AH63" s="1202"/>
      <c r="AI63" s="1203">
        <f t="shared" si="89"/>
        <v>0</v>
      </c>
      <c r="AJ63" s="1204">
        <f t="shared" si="90"/>
        <v>0</v>
      </c>
      <c r="AK63" s="1202"/>
      <c r="AL63" s="1203">
        <f t="shared" si="91"/>
        <v>0</v>
      </c>
      <c r="AM63" s="1204">
        <f t="shared" si="92"/>
        <v>0</v>
      </c>
      <c r="AN63" s="1202"/>
      <c r="AO63" s="1203">
        <f t="shared" si="93"/>
        <v>0</v>
      </c>
      <c r="AP63" s="1204">
        <f t="shared" si="94"/>
        <v>0</v>
      </c>
      <c r="AQ63" s="1202"/>
      <c r="AR63" s="1203">
        <f t="shared" si="95"/>
        <v>0</v>
      </c>
      <c r="AS63" s="1204">
        <f t="shared" si="96"/>
        <v>0</v>
      </c>
      <c r="AT63" s="1202"/>
      <c r="AU63" s="1203">
        <f t="shared" si="97"/>
        <v>0</v>
      </c>
      <c r="AV63" s="1204">
        <f t="shared" si="98"/>
        <v>0</v>
      </c>
      <c r="AW63" s="1202"/>
      <c r="AX63" s="1203">
        <f t="shared" si="99"/>
        <v>0</v>
      </c>
      <c r="AY63" s="1204">
        <f t="shared" si="100"/>
        <v>0</v>
      </c>
      <c r="AZ63" s="1202"/>
      <c r="BA63" s="1203">
        <f t="shared" si="101"/>
        <v>0</v>
      </c>
      <c r="BB63" s="1204">
        <f t="shared" si="102"/>
        <v>0</v>
      </c>
      <c r="BC63" s="1433">
        <f t="shared" si="11"/>
        <v>0</v>
      </c>
    </row>
    <row r="64" spans="1:55" s="30" customFormat="1" ht="13.8">
      <c r="A64" s="888" t="e">
        <f t="shared" si="12"/>
        <v>#REF!</v>
      </c>
      <c r="B64" s="889">
        <f t="shared" si="13"/>
        <v>0</v>
      </c>
      <c r="C64" s="891" t="e">
        <f t="shared" si="14"/>
        <v>#REF!</v>
      </c>
      <c r="D64" s="892" t="str">
        <f t="shared" si="80"/>
        <v>4. OBRAS DE DRENAJE</v>
      </c>
      <c r="E64" s="937">
        <v>56</v>
      </c>
      <c r="F64" s="768" t="s">
        <v>568</v>
      </c>
      <c r="G64" s="934" t="s">
        <v>290</v>
      </c>
      <c r="H64" s="36">
        <v>8250</v>
      </c>
      <c r="I64" s="38">
        <v>26.74</v>
      </c>
      <c r="J64" s="66">
        <f t="shared" si="79"/>
        <v>220605</v>
      </c>
      <c r="K64" s="61">
        <f>SUMIF($V$3:$CH$3,"&lt;"&amp;Datos!$C$20,V64:CH64)</f>
        <v>0</v>
      </c>
      <c r="L64" s="71">
        <f t="shared" si="104"/>
        <v>0</v>
      </c>
      <c r="M64" s="65">
        <f>LOOKUP(Datos!$C$20,'Cant. Ejec,'!$V$3:$BB$3,'Cant. Ejec,'!$V64:$BB64)</f>
        <v>0</v>
      </c>
      <c r="N64" s="896">
        <f t="shared" si="61"/>
        <v>0</v>
      </c>
      <c r="O64" s="61">
        <f t="shared" si="103"/>
        <v>0</v>
      </c>
      <c r="P64" s="896">
        <f t="shared" si="103"/>
        <v>0</v>
      </c>
      <c r="Q64" s="61">
        <f t="shared" si="63"/>
        <v>8250</v>
      </c>
      <c r="R64" s="896">
        <f t="shared" si="64"/>
        <v>220605</v>
      </c>
      <c r="S64" s="792">
        <f t="shared" si="65"/>
        <v>0</v>
      </c>
      <c r="T64" s="792">
        <f t="shared" si="66"/>
        <v>0</v>
      </c>
      <c r="U64" s="1184">
        <f t="shared" si="67"/>
        <v>1</v>
      </c>
      <c r="V64" s="1202"/>
      <c r="W64" s="1203">
        <f t="shared" si="81"/>
        <v>0</v>
      </c>
      <c r="X64" s="1204">
        <f t="shared" si="82"/>
        <v>0</v>
      </c>
      <c r="Y64" s="1202"/>
      <c r="Z64" s="1203">
        <f t="shared" si="83"/>
        <v>0</v>
      </c>
      <c r="AA64" s="1204">
        <f t="shared" si="84"/>
        <v>0</v>
      </c>
      <c r="AB64" s="1202"/>
      <c r="AC64" s="1203">
        <f t="shared" si="85"/>
        <v>0</v>
      </c>
      <c r="AD64" s="1204">
        <f t="shared" si="86"/>
        <v>0</v>
      </c>
      <c r="AE64" s="1202"/>
      <c r="AF64" s="1203">
        <f t="shared" si="87"/>
        <v>0</v>
      </c>
      <c r="AG64" s="1204">
        <f t="shared" si="88"/>
        <v>0</v>
      </c>
      <c r="AH64" s="1202"/>
      <c r="AI64" s="1203">
        <f t="shared" si="89"/>
        <v>0</v>
      </c>
      <c r="AJ64" s="1204">
        <f t="shared" si="90"/>
        <v>0</v>
      </c>
      <c r="AK64" s="1202"/>
      <c r="AL64" s="1203">
        <f t="shared" si="91"/>
        <v>0</v>
      </c>
      <c r="AM64" s="1204">
        <f t="shared" si="92"/>
        <v>0</v>
      </c>
      <c r="AN64" s="1202"/>
      <c r="AO64" s="1203">
        <f t="shared" si="93"/>
        <v>0</v>
      </c>
      <c r="AP64" s="1204">
        <f t="shared" si="94"/>
        <v>0</v>
      </c>
      <c r="AQ64" s="1202"/>
      <c r="AR64" s="1203">
        <f t="shared" si="95"/>
        <v>0</v>
      </c>
      <c r="AS64" s="1204">
        <f t="shared" si="96"/>
        <v>0</v>
      </c>
      <c r="AT64" s="1202"/>
      <c r="AU64" s="1203">
        <f t="shared" si="97"/>
        <v>0</v>
      </c>
      <c r="AV64" s="1204">
        <f t="shared" si="98"/>
        <v>0</v>
      </c>
      <c r="AW64" s="1202"/>
      <c r="AX64" s="1203">
        <f t="shared" si="99"/>
        <v>0</v>
      </c>
      <c r="AY64" s="1204">
        <f t="shared" si="100"/>
        <v>0</v>
      </c>
      <c r="AZ64" s="1202"/>
      <c r="BA64" s="1203">
        <f t="shared" si="101"/>
        <v>0</v>
      </c>
      <c r="BB64" s="1204">
        <f t="shared" si="102"/>
        <v>0</v>
      </c>
      <c r="BC64" s="1433">
        <f t="shared" si="11"/>
        <v>0</v>
      </c>
    </row>
    <row r="65" spans="1:55" s="30" customFormat="1" ht="13.8">
      <c r="A65" s="888" t="e">
        <f t="shared" si="12"/>
        <v>#REF!</v>
      </c>
      <c r="B65" s="889">
        <f t="shared" si="13"/>
        <v>0</v>
      </c>
      <c r="C65" s="891" t="e">
        <f t="shared" si="14"/>
        <v>#REF!</v>
      </c>
      <c r="D65" s="892" t="str">
        <f t="shared" si="80"/>
        <v>4. OBRAS DE DRENAJE</v>
      </c>
      <c r="E65" s="937">
        <v>57</v>
      </c>
      <c r="F65" s="775" t="s">
        <v>569</v>
      </c>
      <c r="G65" s="934" t="s">
        <v>647</v>
      </c>
      <c r="H65" s="36">
        <v>27500</v>
      </c>
      <c r="I65" s="38">
        <v>2.72</v>
      </c>
      <c r="J65" s="66">
        <f t="shared" si="79"/>
        <v>74800</v>
      </c>
      <c r="K65" s="61">
        <f>SUMIF($V$3:$CH$3,"&lt;"&amp;Datos!$C$20,V65:CH65)</f>
        <v>0</v>
      </c>
      <c r="L65" s="71">
        <f t="shared" si="104"/>
        <v>0</v>
      </c>
      <c r="M65" s="411">
        <f>LOOKUP(Datos!$C$20,'Cant. Ejec,'!$V$3:$BB$3,'Cant. Ejec,'!$V65:$BB65)</f>
        <v>0</v>
      </c>
      <c r="N65" s="977">
        <f t="shared" si="61"/>
        <v>0</v>
      </c>
      <c r="O65" s="61">
        <f t="shared" si="103"/>
        <v>0</v>
      </c>
      <c r="P65" s="896">
        <f t="shared" si="103"/>
        <v>0</v>
      </c>
      <c r="Q65" s="61">
        <f t="shared" si="63"/>
        <v>27500</v>
      </c>
      <c r="R65" s="896">
        <f t="shared" si="64"/>
        <v>74800</v>
      </c>
      <c r="S65" s="932">
        <f t="shared" si="65"/>
        <v>0</v>
      </c>
      <c r="T65" s="932">
        <f t="shared" si="66"/>
        <v>0</v>
      </c>
      <c r="U65" s="1185">
        <f t="shared" si="67"/>
        <v>1</v>
      </c>
      <c r="V65" s="1202"/>
      <c r="W65" s="1203">
        <f t="shared" si="81"/>
        <v>0</v>
      </c>
      <c r="X65" s="1204">
        <f t="shared" si="82"/>
        <v>0</v>
      </c>
      <c r="Y65" s="1202"/>
      <c r="Z65" s="1203">
        <f t="shared" si="83"/>
        <v>0</v>
      </c>
      <c r="AA65" s="1204">
        <f t="shared" si="84"/>
        <v>0</v>
      </c>
      <c r="AB65" s="1202"/>
      <c r="AC65" s="1203">
        <f t="shared" si="85"/>
        <v>0</v>
      </c>
      <c r="AD65" s="1204">
        <f t="shared" si="86"/>
        <v>0</v>
      </c>
      <c r="AE65" s="1202"/>
      <c r="AF65" s="1203">
        <f t="shared" si="87"/>
        <v>0</v>
      </c>
      <c r="AG65" s="1204">
        <f t="shared" si="88"/>
        <v>0</v>
      </c>
      <c r="AH65" s="1202"/>
      <c r="AI65" s="1203">
        <f t="shared" si="89"/>
        <v>0</v>
      </c>
      <c r="AJ65" s="1204">
        <f t="shared" si="90"/>
        <v>0</v>
      </c>
      <c r="AK65" s="1202"/>
      <c r="AL65" s="1203">
        <f t="shared" si="91"/>
        <v>0</v>
      </c>
      <c r="AM65" s="1204">
        <f t="shared" si="92"/>
        <v>0</v>
      </c>
      <c r="AN65" s="1202"/>
      <c r="AO65" s="1203">
        <f t="shared" si="93"/>
        <v>0</v>
      </c>
      <c r="AP65" s="1204">
        <f t="shared" si="94"/>
        <v>0</v>
      </c>
      <c r="AQ65" s="1202"/>
      <c r="AR65" s="1203">
        <f t="shared" si="95"/>
        <v>0</v>
      </c>
      <c r="AS65" s="1204">
        <f t="shared" si="96"/>
        <v>0</v>
      </c>
      <c r="AT65" s="1202"/>
      <c r="AU65" s="1203">
        <f t="shared" si="97"/>
        <v>0</v>
      </c>
      <c r="AV65" s="1204">
        <f t="shared" si="98"/>
        <v>0</v>
      </c>
      <c r="AW65" s="1202"/>
      <c r="AX65" s="1203">
        <f t="shared" si="99"/>
        <v>0</v>
      </c>
      <c r="AY65" s="1204">
        <f t="shared" si="100"/>
        <v>0</v>
      </c>
      <c r="AZ65" s="1202"/>
      <c r="BA65" s="1203">
        <f t="shared" si="101"/>
        <v>0</v>
      </c>
      <c r="BB65" s="1204">
        <f t="shared" si="102"/>
        <v>0</v>
      </c>
      <c r="BC65" s="1433">
        <f t="shared" si="11"/>
        <v>0</v>
      </c>
    </row>
    <row r="66" spans="1:55" s="30" customFormat="1" ht="13.5" customHeight="1">
      <c r="A66" s="888" t="e">
        <f>+IF(B66&gt;0,B66+#REF!,IF(C66&gt;#REF!,C66,0))</f>
        <v>#REF!</v>
      </c>
      <c r="B66" s="889" t="e">
        <f>+IF(#REF!&gt;=0.01,1,0)</f>
        <v>#REF!</v>
      </c>
      <c r="C66" s="891" t="e">
        <f>+B66+#REF!</f>
        <v>#REF!</v>
      </c>
      <c r="D66" s="892"/>
      <c r="E66" s="938">
        <v>5</v>
      </c>
      <c r="F66" s="914" t="s">
        <v>570</v>
      </c>
      <c r="G66" s="950"/>
      <c r="H66" s="951"/>
      <c r="I66" s="952"/>
      <c r="J66" s="953">
        <f>SUM(J67:J82)</f>
        <v>12064327.41</v>
      </c>
      <c r="K66" s="954">
        <f>SUMIF($V$3:$CH$3,"&lt;"&amp;Datos!$C$20,V66:CH66)</f>
        <v>0</v>
      </c>
      <c r="L66" s="953">
        <f>SUM(L67:L82)</f>
        <v>0</v>
      </c>
      <c r="M66" s="955">
        <f>LOOKUP(Datos!$C$20,'Cant. Ejec,'!$V$3:$BB$3,'Cant. Ejec,'!$V66:$BB66)</f>
        <v>0</v>
      </c>
      <c r="N66" s="953">
        <f>SUM(N67:N82)</f>
        <v>0</v>
      </c>
      <c r="O66" s="954"/>
      <c r="P66" s="953">
        <f>SUM(P67:P82)</f>
        <v>0</v>
      </c>
      <c r="Q66" s="955"/>
      <c r="R66" s="953">
        <f>SUM(R67:R82)</f>
        <v>12064327.41</v>
      </c>
      <c r="S66" s="976">
        <f>(N66/J66)</f>
        <v>0</v>
      </c>
      <c r="T66" s="1076">
        <f>(P66/J66)</f>
        <v>0</v>
      </c>
      <c r="U66" s="1183">
        <f>(R66/J66)</f>
        <v>1</v>
      </c>
      <c r="V66" s="1196"/>
      <c r="W66" s="1197">
        <f>SUM(W67:W82)</f>
        <v>0</v>
      </c>
      <c r="X66" s="1198">
        <f t="shared" ref="X66:X72" si="105">+W66/$J66</f>
        <v>0</v>
      </c>
      <c r="Y66" s="1196"/>
      <c r="Z66" s="1197">
        <f>SUM(Z67:Z82)</f>
        <v>0</v>
      </c>
      <c r="AA66" s="1198">
        <f t="shared" ref="AA66:AA72" si="106">+Z66/$J66</f>
        <v>0</v>
      </c>
      <c r="AB66" s="1196"/>
      <c r="AC66" s="1197">
        <f>SUM(AC67:AC82)</f>
        <v>0</v>
      </c>
      <c r="AD66" s="1198">
        <f t="shared" ref="AD66:AD72" si="107">+AC66/$J66</f>
        <v>0</v>
      </c>
      <c r="AE66" s="1196"/>
      <c r="AF66" s="1197">
        <f>SUM(AF67:AF82)</f>
        <v>0</v>
      </c>
      <c r="AG66" s="1198">
        <f t="shared" ref="AG66:AG72" si="108">+AF66/$J66</f>
        <v>0</v>
      </c>
      <c r="AH66" s="1196"/>
      <c r="AI66" s="1197">
        <f>SUM(AI67:AI82)</f>
        <v>0</v>
      </c>
      <c r="AJ66" s="1198">
        <f t="shared" ref="AJ66:AJ72" si="109">+AI66/$J66</f>
        <v>0</v>
      </c>
      <c r="AK66" s="1196"/>
      <c r="AL66" s="1197">
        <f>SUM(AL67:AL82)</f>
        <v>0</v>
      </c>
      <c r="AM66" s="1198">
        <f t="shared" ref="AM66:AM72" si="110">+AL66/$J66</f>
        <v>0</v>
      </c>
      <c r="AN66" s="1196"/>
      <c r="AO66" s="1197">
        <f>SUM(AO67:AO82)</f>
        <v>0</v>
      </c>
      <c r="AP66" s="1198">
        <f t="shared" ref="AP66:AP72" si="111">+AO66/$J66</f>
        <v>0</v>
      </c>
      <c r="AQ66" s="1196"/>
      <c r="AR66" s="1197">
        <f>SUM(AR67:AR82)</f>
        <v>0</v>
      </c>
      <c r="AS66" s="1198">
        <f t="shared" ref="AS66:AS72" si="112">+AR66/$J66</f>
        <v>0</v>
      </c>
      <c r="AT66" s="1196"/>
      <c r="AU66" s="1197">
        <f>SUM(AU67:AU82)</f>
        <v>0</v>
      </c>
      <c r="AV66" s="1198">
        <f t="shared" ref="AV66:AV72" si="113">+AU66/$J66</f>
        <v>0</v>
      </c>
      <c r="AW66" s="1196"/>
      <c r="AX66" s="1197">
        <f>SUM(AX67:AX82)</f>
        <v>0</v>
      </c>
      <c r="AY66" s="1198">
        <f t="shared" ref="AY66:AY72" si="114">+AX66/$J66</f>
        <v>0</v>
      </c>
      <c r="AZ66" s="1196"/>
      <c r="BA66" s="1197">
        <f>SUM(BA67:BA82)</f>
        <v>0</v>
      </c>
      <c r="BB66" s="1198">
        <f t="shared" ref="BB66:BB72" si="115">+BA66/$J66</f>
        <v>0</v>
      </c>
      <c r="BC66" s="1433">
        <f t="shared" si="11"/>
        <v>0</v>
      </c>
    </row>
    <row r="67" spans="1:55" ht="13.8">
      <c r="A67" s="888" t="e">
        <f t="shared" ref="A67:A91" si="116">+IF(B67&gt;0,B67+C66,IF(C67&gt;C66,C67,0))</f>
        <v>#REF!</v>
      </c>
      <c r="B67" s="889">
        <f t="shared" ref="B67:B91" si="117">+IF(M67&gt;=0.01,1,0)</f>
        <v>0</v>
      </c>
      <c r="C67" s="891" t="e">
        <f t="shared" ref="C67:C91" si="118">+B67+C66</f>
        <v>#REF!</v>
      </c>
      <c r="D67" s="892" t="str">
        <f t="shared" ref="D67:D86" si="119">+E66&amp;". "&amp;F66</f>
        <v>5. SEÑALIZACION Y SEGURIDAD VIAL</v>
      </c>
      <c r="E67" s="937">
        <v>58</v>
      </c>
      <c r="F67" s="768" t="s">
        <v>571</v>
      </c>
      <c r="G67" s="769" t="s">
        <v>290</v>
      </c>
      <c r="H67" s="63">
        <v>14232</v>
      </c>
      <c r="I67" s="766">
        <v>659.99</v>
      </c>
      <c r="J67" s="66">
        <f t="shared" ref="J67:J82" si="120">ROUND(H67*I67,2)</f>
        <v>9392977.6799999997</v>
      </c>
      <c r="K67" s="63">
        <f>SUMIF($V$3:$CH$3,"&lt;"&amp;Datos!$C$20,V67:CH67)</f>
        <v>0</v>
      </c>
      <c r="L67" s="71">
        <f t="shared" ref="L67:L82" si="121">+ROUND(I67*K67,2)</f>
        <v>0</v>
      </c>
      <c r="M67" s="62">
        <f>LOOKUP(Datos!$C$20,'Cant. Ejec,'!$V$3:$BB$3,'Cant. Ejec,'!$V67:$BB67)</f>
        <v>0</v>
      </c>
      <c r="N67" s="73">
        <f t="shared" ref="N67:N82" si="122">+ROUND(I67*M67,2)</f>
        <v>0</v>
      </c>
      <c r="O67" s="61">
        <f t="shared" ref="O67:P82" si="123">K67+M67</f>
        <v>0</v>
      </c>
      <c r="P67" s="73">
        <f t="shared" si="123"/>
        <v>0</v>
      </c>
      <c r="Q67" s="61">
        <f t="shared" ref="Q67:Q82" si="124">H67-O67</f>
        <v>14232</v>
      </c>
      <c r="R67" s="896">
        <f t="shared" ref="R67:R82" si="125">+J67-P67</f>
        <v>9392977.6799999997</v>
      </c>
      <c r="S67" s="792">
        <f t="shared" ref="S67:S82" si="126">(N67/J67)</f>
        <v>0</v>
      </c>
      <c r="T67" s="792">
        <f t="shared" ref="T67:T82" si="127">(P67/J67)</f>
        <v>0</v>
      </c>
      <c r="U67" s="1184">
        <f t="shared" ref="U67:U82" si="128">(R67/J67)</f>
        <v>1</v>
      </c>
      <c r="V67" s="1202"/>
      <c r="W67" s="1203">
        <f t="shared" ref="W67:W72" si="129">ROUND(V67*$I67,2)</f>
        <v>0</v>
      </c>
      <c r="X67" s="1204">
        <f t="shared" si="105"/>
        <v>0</v>
      </c>
      <c r="Y67" s="1202"/>
      <c r="Z67" s="1203">
        <f t="shared" ref="Z67:Z72" si="130">ROUND(Y67*$I67,2)</f>
        <v>0</v>
      </c>
      <c r="AA67" s="1204">
        <f t="shared" si="106"/>
        <v>0</v>
      </c>
      <c r="AB67" s="1202"/>
      <c r="AC67" s="1203">
        <f t="shared" ref="AC67:AC72" si="131">ROUND(AB67*$I67,2)</f>
        <v>0</v>
      </c>
      <c r="AD67" s="1204">
        <f t="shared" si="107"/>
        <v>0</v>
      </c>
      <c r="AE67" s="1202"/>
      <c r="AF67" s="1203">
        <f t="shared" ref="AF67:AF72" si="132">ROUND(AE67*$I67,2)</f>
        <v>0</v>
      </c>
      <c r="AG67" s="1204">
        <f t="shared" si="108"/>
        <v>0</v>
      </c>
      <c r="AH67" s="1202"/>
      <c r="AI67" s="1203">
        <f t="shared" ref="AI67:AI72" si="133">ROUND(AH67*$I67,2)</f>
        <v>0</v>
      </c>
      <c r="AJ67" s="1204">
        <f t="shared" si="109"/>
        <v>0</v>
      </c>
      <c r="AK67" s="1202"/>
      <c r="AL67" s="1203">
        <f t="shared" ref="AL67:AL72" si="134">ROUND(AK67*$I67,2)</f>
        <v>0</v>
      </c>
      <c r="AM67" s="1204">
        <f t="shared" si="110"/>
        <v>0</v>
      </c>
      <c r="AN67" s="1202"/>
      <c r="AO67" s="1203">
        <f t="shared" ref="AO67:AO72" si="135">ROUND(AN67*$I67,2)</f>
        <v>0</v>
      </c>
      <c r="AP67" s="1204">
        <f t="shared" si="111"/>
        <v>0</v>
      </c>
      <c r="AQ67" s="1202"/>
      <c r="AR67" s="1203">
        <f t="shared" ref="AR67:AR72" si="136">ROUND(AQ67*$I67,2)</f>
        <v>0</v>
      </c>
      <c r="AS67" s="1204">
        <f t="shared" si="112"/>
        <v>0</v>
      </c>
      <c r="AT67" s="1202"/>
      <c r="AU67" s="1203">
        <f t="shared" ref="AU67:AU72" si="137">ROUND(AT67*$I67,2)</f>
        <v>0</v>
      </c>
      <c r="AV67" s="1204">
        <f t="shared" si="113"/>
        <v>0</v>
      </c>
      <c r="AW67" s="1202"/>
      <c r="AX67" s="1203">
        <f t="shared" ref="AX67:AX72" si="138">ROUND(AW67*$I67,2)</f>
        <v>0</v>
      </c>
      <c r="AY67" s="1204">
        <f t="shared" si="114"/>
        <v>0</v>
      </c>
      <c r="AZ67" s="1202"/>
      <c r="BA67" s="1203">
        <f t="shared" ref="BA67:BA72" si="139">ROUND(AZ67*$I67,2)</f>
        <v>0</v>
      </c>
      <c r="BB67" s="1204">
        <f t="shared" si="115"/>
        <v>0</v>
      </c>
      <c r="BC67" s="1433">
        <f t="shared" si="11"/>
        <v>0</v>
      </c>
    </row>
    <row r="68" spans="1:55" ht="13.8">
      <c r="A68" s="888" t="e">
        <f t="shared" si="116"/>
        <v>#REF!</v>
      </c>
      <c r="B68" s="889">
        <f t="shared" si="117"/>
        <v>0</v>
      </c>
      <c r="C68" s="891" t="e">
        <f t="shared" si="118"/>
        <v>#REF!</v>
      </c>
      <c r="D68" s="892" t="str">
        <f>+D67</f>
        <v>5. SEÑALIZACION Y SEGURIDAD VIAL</v>
      </c>
      <c r="E68" s="939">
        <v>59</v>
      </c>
      <c r="F68" s="773" t="s">
        <v>448</v>
      </c>
      <c r="G68" s="774" t="s">
        <v>290</v>
      </c>
      <c r="H68" s="46">
        <v>31500</v>
      </c>
      <c r="I68" s="767">
        <v>8.27</v>
      </c>
      <c r="J68" s="66">
        <f t="shared" si="120"/>
        <v>260505</v>
      </c>
      <c r="K68" s="46">
        <f>SUMIF($V$3:$CH$3,"&lt;"&amp;Datos!$C$20,V68:CH68)</f>
        <v>0</v>
      </c>
      <c r="L68" s="71">
        <f t="shared" si="121"/>
        <v>0</v>
      </c>
      <c r="M68" s="67">
        <f>LOOKUP(Datos!$C$20,'Cant. Ejec,'!$V$3:$BB$3,'Cant. Ejec,'!$V68:$BB68)</f>
        <v>0</v>
      </c>
      <c r="N68" s="37">
        <f t="shared" si="122"/>
        <v>0</v>
      </c>
      <c r="O68" s="61">
        <f t="shared" si="123"/>
        <v>0</v>
      </c>
      <c r="P68" s="896">
        <f t="shared" si="123"/>
        <v>0</v>
      </c>
      <c r="Q68" s="61">
        <f t="shared" si="124"/>
        <v>31500</v>
      </c>
      <c r="R68" s="896">
        <f t="shared" si="125"/>
        <v>260505</v>
      </c>
      <c r="S68" s="792">
        <f t="shared" si="126"/>
        <v>0</v>
      </c>
      <c r="T68" s="792">
        <f t="shared" si="127"/>
        <v>0</v>
      </c>
      <c r="U68" s="1184">
        <f t="shared" si="128"/>
        <v>1</v>
      </c>
      <c r="V68" s="1202"/>
      <c r="W68" s="1203">
        <f t="shared" si="129"/>
        <v>0</v>
      </c>
      <c r="X68" s="1204">
        <f t="shared" si="105"/>
        <v>0</v>
      </c>
      <c r="Y68" s="1202"/>
      <c r="Z68" s="1203">
        <f t="shared" si="130"/>
        <v>0</v>
      </c>
      <c r="AA68" s="1204">
        <f t="shared" si="106"/>
        <v>0</v>
      </c>
      <c r="AB68" s="1202"/>
      <c r="AC68" s="1203">
        <f t="shared" si="131"/>
        <v>0</v>
      </c>
      <c r="AD68" s="1204">
        <f t="shared" si="107"/>
        <v>0</v>
      </c>
      <c r="AE68" s="1202"/>
      <c r="AF68" s="1203">
        <f t="shared" si="132"/>
        <v>0</v>
      </c>
      <c r="AG68" s="1204">
        <f t="shared" si="108"/>
        <v>0</v>
      </c>
      <c r="AH68" s="1202"/>
      <c r="AI68" s="1203">
        <f t="shared" si="133"/>
        <v>0</v>
      </c>
      <c r="AJ68" s="1204">
        <f t="shared" si="109"/>
        <v>0</v>
      </c>
      <c r="AK68" s="1202"/>
      <c r="AL68" s="1203">
        <f t="shared" si="134"/>
        <v>0</v>
      </c>
      <c r="AM68" s="1204">
        <f t="shared" si="110"/>
        <v>0</v>
      </c>
      <c r="AN68" s="1202"/>
      <c r="AO68" s="1203">
        <f t="shared" si="135"/>
        <v>0</v>
      </c>
      <c r="AP68" s="1204">
        <f t="shared" si="111"/>
        <v>0</v>
      </c>
      <c r="AQ68" s="1202"/>
      <c r="AR68" s="1203">
        <f t="shared" si="136"/>
        <v>0</v>
      </c>
      <c r="AS68" s="1204">
        <f t="shared" si="112"/>
        <v>0</v>
      </c>
      <c r="AT68" s="1202"/>
      <c r="AU68" s="1203">
        <f t="shared" si="137"/>
        <v>0</v>
      </c>
      <c r="AV68" s="1204">
        <f t="shared" si="113"/>
        <v>0</v>
      </c>
      <c r="AW68" s="1202"/>
      <c r="AX68" s="1203">
        <f t="shared" si="138"/>
        <v>0</v>
      </c>
      <c r="AY68" s="1204">
        <f t="shared" si="114"/>
        <v>0</v>
      </c>
      <c r="AZ68" s="1202"/>
      <c r="BA68" s="1203">
        <f t="shared" si="139"/>
        <v>0</v>
      </c>
      <c r="BB68" s="1204">
        <f t="shared" si="115"/>
        <v>0</v>
      </c>
      <c r="BC68" s="1433">
        <f t="shared" si="11"/>
        <v>0</v>
      </c>
    </row>
    <row r="69" spans="1:55" ht="13.8">
      <c r="A69" s="888" t="e">
        <f t="shared" si="116"/>
        <v>#REF!</v>
      </c>
      <c r="B69" s="889">
        <f t="shared" si="117"/>
        <v>0</v>
      </c>
      <c r="C69" s="891" t="e">
        <f t="shared" si="118"/>
        <v>#REF!</v>
      </c>
      <c r="D69" s="892" t="str">
        <f t="shared" ref="D69:D82" si="140">+D68</f>
        <v>5. SEÑALIZACION Y SEGURIDAD VIAL</v>
      </c>
      <c r="E69" s="937">
        <v>60</v>
      </c>
      <c r="F69" s="768" t="s">
        <v>572</v>
      </c>
      <c r="G69" s="771" t="s">
        <v>290</v>
      </c>
      <c r="H69" s="36">
        <v>90000</v>
      </c>
      <c r="I69" s="765">
        <v>10.4</v>
      </c>
      <c r="J69" s="66">
        <f t="shared" si="120"/>
        <v>936000</v>
      </c>
      <c r="K69" s="36">
        <f>SUMIF($V$3:$CH$3,"&lt;"&amp;Datos!$C$20,V69:CH69)</f>
        <v>0</v>
      </c>
      <c r="L69" s="71">
        <f t="shared" si="121"/>
        <v>0</v>
      </c>
      <c r="M69" s="65">
        <f>LOOKUP(Datos!$C$20,'Cant. Ejec,'!$V$3:$BB$3,'Cant. Ejec,'!$V69:$BB69)</f>
        <v>0</v>
      </c>
      <c r="N69" s="37">
        <f t="shared" si="122"/>
        <v>0</v>
      </c>
      <c r="O69" s="61">
        <f t="shared" si="123"/>
        <v>0</v>
      </c>
      <c r="P69" s="896">
        <f t="shared" si="123"/>
        <v>0</v>
      </c>
      <c r="Q69" s="61">
        <f t="shared" si="124"/>
        <v>90000</v>
      </c>
      <c r="R69" s="896">
        <f t="shared" si="125"/>
        <v>936000</v>
      </c>
      <c r="S69" s="792">
        <f t="shared" si="126"/>
        <v>0</v>
      </c>
      <c r="T69" s="792">
        <f t="shared" si="127"/>
        <v>0</v>
      </c>
      <c r="U69" s="1184">
        <f t="shared" si="128"/>
        <v>1</v>
      </c>
      <c r="V69" s="1202"/>
      <c r="W69" s="1203">
        <f t="shared" si="129"/>
        <v>0</v>
      </c>
      <c r="X69" s="1204">
        <f t="shared" si="105"/>
        <v>0</v>
      </c>
      <c r="Y69" s="1202"/>
      <c r="Z69" s="1203">
        <f t="shared" si="130"/>
        <v>0</v>
      </c>
      <c r="AA69" s="1204">
        <f t="shared" si="106"/>
        <v>0</v>
      </c>
      <c r="AB69" s="1202"/>
      <c r="AC69" s="1203">
        <f t="shared" si="131"/>
        <v>0</v>
      </c>
      <c r="AD69" s="1204">
        <f t="shared" si="107"/>
        <v>0</v>
      </c>
      <c r="AE69" s="1202"/>
      <c r="AF69" s="1203">
        <f t="shared" si="132"/>
        <v>0</v>
      </c>
      <c r="AG69" s="1204">
        <f t="shared" si="108"/>
        <v>0</v>
      </c>
      <c r="AH69" s="1202"/>
      <c r="AI69" s="1203">
        <f t="shared" si="133"/>
        <v>0</v>
      </c>
      <c r="AJ69" s="1204">
        <f t="shared" si="109"/>
        <v>0</v>
      </c>
      <c r="AK69" s="1202"/>
      <c r="AL69" s="1203">
        <f t="shared" si="134"/>
        <v>0</v>
      </c>
      <c r="AM69" s="1204">
        <f t="shared" si="110"/>
        <v>0</v>
      </c>
      <c r="AN69" s="1202"/>
      <c r="AO69" s="1203">
        <f t="shared" si="135"/>
        <v>0</v>
      </c>
      <c r="AP69" s="1204">
        <f t="shared" si="111"/>
        <v>0</v>
      </c>
      <c r="AQ69" s="1202"/>
      <c r="AR69" s="1203">
        <f t="shared" si="136"/>
        <v>0</v>
      </c>
      <c r="AS69" s="1204">
        <f t="shared" si="112"/>
        <v>0</v>
      </c>
      <c r="AT69" s="1202"/>
      <c r="AU69" s="1203">
        <f t="shared" si="137"/>
        <v>0</v>
      </c>
      <c r="AV69" s="1204">
        <f t="shared" si="113"/>
        <v>0</v>
      </c>
      <c r="AW69" s="1202"/>
      <c r="AX69" s="1203">
        <f t="shared" si="138"/>
        <v>0</v>
      </c>
      <c r="AY69" s="1204">
        <f t="shared" si="114"/>
        <v>0</v>
      </c>
      <c r="AZ69" s="1202"/>
      <c r="BA69" s="1203">
        <f t="shared" si="139"/>
        <v>0</v>
      </c>
      <c r="BB69" s="1204">
        <f t="shared" si="115"/>
        <v>0</v>
      </c>
      <c r="BC69" s="1433">
        <f t="shared" si="11"/>
        <v>0</v>
      </c>
    </row>
    <row r="70" spans="1:55" ht="13.8">
      <c r="A70" s="888" t="e">
        <f t="shared" si="116"/>
        <v>#REF!</v>
      </c>
      <c r="B70" s="889">
        <f t="shared" si="117"/>
        <v>0</v>
      </c>
      <c r="C70" s="891" t="e">
        <f t="shared" si="118"/>
        <v>#REF!</v>
      </c>
      <c r="D70" s="892" t="str">
        <f t="shared" si="140"/>
        <v>5. SEÑALIZACION Y SEGURIDAD VIAL</v>
      </c>
      <c r="E70" s="937">
        <v>61</v>
      </c>
      <c r="F70" s="768" t="s">
        <v>573</v>
      </c>
      <c r="G70" s="771" t="s">
        <v>288</v>
      </c>
      <c r="H70" s="36">
        <v>250</v>
      </c>
      <c r="I70" s="765">
        <v>72.150000000000006</v>
      </c>
      <c r="J70" s="66">
        <f t="shared" si="120"/>
        <v>18037.5</v>
      </c>
      <c r="K70" s="36">
        <f>SUMIF($V$3:$CH$3,"&lt;"&amp;Datos!$C$20,V70:CH70)</f>
        <v>0</v>
      </c>
      <c r="L70" s="71">
        <f t="shared" si="121"/>
        <v>0</v>
      </c>
      <c r="M70" s="65">
        <f>LOOKUP(Datos!$C$20,'Cant. Ejec,'!$V$3:$BB$3,'Cant. Ejec,'!$V70:$BB70)</f>
        <v>0</v>
      </c>
      <c r="N70" s="37">
        <f t="shared" si="122"/>
        <v>0</v>
      </c>
      <c r="O70" s="61">
        <f t="shared" si="123"/>
        <v>0</v>
      </c>
      <c r="P70" s="896">
        <f t="shared" si="123"/>
        <v>0</v>
      </c>
      <c r="Q70" s="61">
        <f t="shared" si="124"/>
        <v>250</v>
      </c>
      <c r="R70" s="896">
        <f t="shared" si="125"/>
        <v>18037.5</v>
      </c>
      <c r="S70" s="792">
        <f t="shared" si="126"/>
        <v>0</v>
      </c>
      <c r="T70" s="792">
        <f t="shared" si="127"/>
        <v>0</v>
      </c>
      <c r="U70" s="1184">
        <f t="shared" si="128"/>
        <v>1</v>
      </c>
      <c r="V70" s="1202"/>
      <c r="W70" s="1203">
        <f t="shared" si="129"/>
        <v>0</v>
      </c>
      <c r="X70" s="1204">
        <f t="shared" si="105"/>
        <v>0</v>
      </c>
      <c r="Y70" s="1202"/>
      <c r="Z70" s="1203">
        <f t="shared" si="130"/>
        <v>0</v>
      </c>
      <c r="AA70" s="1204">
        <f t="shared" si="106"/>
        <v>0</v>
      </c>
      <c r="AB70" s="1202"/>
      <c r="AC70" s="1203">
        <f t="shared" si="131"/>
        <v>0</v>
      </c>
      <c r="AD70" s="1204">
        <f t="shared" si="107"/>
        <v>0</v>
      </c>
      <c r="AE70" s="1202"/>
      <c r="AF70" s="1203">
        <f t="shared" si="132"/>
        <v>0</v>
      </c>
      <c r="AG70" s="1204">
        <f t="shared" si="108"/>
        <v>0</v>
      </c>
      <c r="AH70" s="1202"/>
      <c r="AI70" s="1203">
        <f t="shared" si="133"/>
        <v>0</v>
      </c>
      <c r="AJ70" s="1204">
        <f t="shared" si="109"/>
        <v>0</v>
      </c>
      <c r="AK70" s="1202"/>
      <c r="AL70" s="1203">
        <f t="shared" si="134"/>
        <v>0</v>
      </c>
      <c r="AM70" s="1204">
        <f t="shared" si="110"/>
        <v>0</v>
      </c>
      <c r="AN70" s="1202"/>
      <c r="AO70" s="1203">
        <f t="shared" si="135"/>
        <v>0</v>
      </c>
      <c r="AP70" s="1204">
        <f t="shared" si="111"/>
        <v>0</v>
      </c>
      <c r="AQ70" s="1202"/>
      <c r="AR70" s="1203">
        <f t="shared" si="136"/>
        <v>0</v>
      </c>
      <c r="AS70" s="1204">
        <f t="shared" si="112"/>
        <v>0</v>
      </c>
      <c r="AT70" s="1202"/>
      <c r="AU70" s="1203">
        <f t="shared" si="137"/>
        <v>0</v>
      </c>
      <c r="AV70" s="1204">
        <f t="shared" si="113"/>
        <v>0</v>
      </c>
      <c r="AW70" s="1202"/>
      <c r="AX70" s="1203">
        <f t="shared" si="138"/>
        <v>0</v>
      </c>
      <c r="AY70" s="1204">
        <f t="shared" si="114"/>
        <v>0</v>
      </c>
      <c r="AZ70" s="1202"/>
      <c r="BA70" s="1203">
        <f t="shared" si="139"/>
        <v>0</v>
      </c>
      <c r="BB70" s="1204">
        <f t="shared" si="115"/>
        <v>0</v>
      </c>
      <c r="BC70" s="1433">
        <f t="shared" si="11"/>
        <v>0</v>
      </c>
    </row>
    <row r="71" spans="1:55" ht="13.8">
      <c r="A71" s="888" t="e">
        <f t="shared" si="116"/>
        <v>#REF!</v>
      </c>
      <c r="B71" s="889">
        <f t="shared" si="117"/>
        <v>0</v>
      </c>
      <c r="C71" s="891" t="e">
        <f t="shared" si="118"/>
        <v>#REF!</v>
      </c>
      <c r="D71" s="892" t="str">
        <f t="shared" si="140"/>
        <v>5. SEÑALIZACION Y SEGURIDAD VIAL</v>
      </c>
      <c r="E71" s="937">
        <v>62</v>
      </c>
      <c r="F71" s="768" t="s">
        <v>574</v>
      </c>
      <c r="G71" s="771" t="s">
        <v>575</v>
      </c>
      <c r="H71" s="36">
        <v>180</v>
      </c>
      <c r="I71" s="765">
        <v>1283.31</v>
      </c>
      <c r="J71" s="66">
        <f t="shared" si="120"/>
        <v>230995.8</v>
      </c>
      <c r="K71" s="36">
        <f>SUMIF($V$3:$CH$3,"&lt;"&amp;Datos!$C$20,V71:CH71)</f>
        <v>0</v>
      </c>
      <c r="L71" s="71">
        <f t="shared" si="121"/>
        <v>0</v>
      </c>
      <c r="M71" s="65">
        <f>LOOKUP(Datos!$C$20,'Cant. Ejec,'!$V$3:$BB$3,'Cant. Ejec,'!$V71:$BB71)</f>
        <v>0</v>
      </c>
      <c r="N71" s="37">
        <f t="shared" si="122"/>
        <v>0</v>
      </c>
      <c r="O71" s="61">
        <f t="shared" si="123"/>
        <v>0</v>
      </c>
      <c r="P71" s="896">
        <f t="shared" si="123"/>
        <v>0</v>
      </c>
      <c r="Q71" s="61">
        <f t="shared" si="124"/>
        <v>180</v>
      </c>
      <c r="R71" s="896">
        <f t="shared" si="125"/>
        <v>230995.8</v>
      </c>
      <c r="S71" s="792">
        <f t="shared" si="126"/>
        <v>0</v>
      </c>
      <c r="T71" s="792">
        <f t="shared" si="127"/>
        <v>0</v>
      </c>
      <c r="U71" s="1184">
        <f t="shared" si="128"/>
        <v>1</v>
      </c>
      <c r="V71" s="1202"/>
      <c r="W71" s="1203">
        <f t="shared" si="129"/>
        <v>0</v>
      </c>
      <c r="X71" s="1204">
        <f t="shared" si="105"/>
        <v>0</v>
      </c>
      <c r="Y71" s="1202"/>
      <c r="Z71" s="1203">
        <f t="shared" si="130"/>
        <v>0</v>
      </c>
      <c r="AA71" s="1204">
        <f t="shared" si="106"/>
        <v>0</v>
      </c>
      <c r="AB71" s="1202"/>
      <c r="AC71" s="1203">
        <f t="shared" si="131"/>
        <v>0</v>
      </c>
      <c r="AD71" s="1204">
        <f t="shared" si="107"/>
        <v>0</v>
      </c>
      <c r="AE71" s="1202"/>
      <c r="AF71" s="1203">
        <f t="shared" si="132"/>
        <v>0</v>
      </c>
      <c r="AG71" s="1204">
        <f t="shared" si="108"/>
        <v>0</v>
      </c>
      <c r="AH71" s="1202"/>
      <c r="AI71" s="1203">
        <f t="shared" si="133"/>
        <v>0</v>
      </c>
      <c r="AJ71" s="1204">
        <f t="shared" si="109"/>
        <v>0</v>
      </c>
      <c r="AK71" s="1202"/>
      <c r="AL71" s="1203">
        <f t="shared" si="134"/>
        <v>0</v>
      </c>
      <c r="AM71" s="1204">
        <f t="shared" si="110"/>
        <v>0</v>
      </c>
      <c r="AN71" s="1202"/>
      <c r="AO71" s="1203">
        <f t="shared" si="135"/>
        <v>0</v>
      </c>
      <c r="AP71" s="1204">
        <f t="shared" si="111"/>
        <v>0</v>
      </c>
      <c r="AQ71" s="1202"/>
      <c r="AR71" s="1203">
        <f t="shared" si="136"/>
        <v>0</v>
      </c>
      <c r="AS71" s="1204">
        <f t="shared" si="112"/>
        <v>0</v>
      </c>
      <c r="AT71" s="1202"/>
      <c r="AU71" s="1203">
        <f t="shared" si="137"/>
        <v>0</v>
      </c>
      <c r="AV71" s="1204">
        <f t="shared" si="113"/>
        <v>0</v>
      </c>
      <c r="AW71" s="1202"/>
      <c r="AX71" s="1203">
        <f t="shared" si="138"/>
        <v>0</v>
      </c>
      <c r="AY71" s="1204">
        <f t="shared" si="114"/>
        <v>0</v>
      </c>
      <c r="AZ71" s="1202"/>
      <c r="BA71" s="1203">
        <f t="shared" si="139"/>
        <v>0</v>
      </c>
      <c r="BB71" s="1204">
        <f t="shared" si="115"/>
        <v>0</v>
      </c>
      <c r="BC71" s="1433">
        <f t="shared" ref="BC71:BC92" si="141">+W71+Z71+AC71+AF71+AI71+AL71</f>
        <v>0</v>
      </c>
    </row>
    <row r="72" spans="1:55" ht="13.8">
      <c r="A72" s="888" t="e">
        <f t="shared" si="116"/>
        <v>#REF!</v>
      </c>
      <c r="B72" s="889">
        <f t="shared" si="117"/>
        <v>0</v>
      </c>
      <c r="C72" s="891" t="e">
        <f t="shared" si="118"/>
        <v>#REF!</v>
      </c>
      <c r="D72" s="892" t="str">
        <f t="shared" si="140"/>
        <v>5. SEÑALIZACION Y SEGURIDAD VIAL</v>
      </c>
      <c r="E72" s="937">
        <v>63</v>
      </c>
      <c r="F72" s="768" t="s">
        <v>576</v>
      </c>
      <c r="G72" s="771" t="s">
        <v>575</v>
      </c>
      <c r="H72" s="36">
        <v>30</v>
      </c>
      <c r="I72" s="765">
        <v>1283.31</v>
      </c>
      <c r="J72" s="66">
        <f t="shared" si="120"/>
        <v>38499.300000000003</v>
      </c>
      <c r="K72" s="36">
        <f>SUMIF($V$3:$CH$3,"&lt;"&amp;Datos!$C$20,V72:CH72)</f>
        <v>0</v>
      </c>
      <c r="L72" s="71">
        <f t="shared" si="121"/>
        <v>0</v>
      </c>
      <c r="M72" s="65">
        <f>LOOKUP(Datos!$C$20,'Cant. Ejec,'!$V$3:$BB$3,'Cant. Ejec,'!$V72:$BB72)</f>
        <v>0</v>
      </c>
      <c r="N72" s="37">
        <f t="shared" si="122"/>
        <v>0</v>
      </c>
      <c r="O72" s="61">
        <f t="shared" si="123"/>
        <v>0</v>
      </c>
      <c r="P72" s="896">
        <f t="shared" si="123"/>
        <v>0</v>
      </c>
      <c r="Q72" s="61">
        <f t="shared" si="124"/>
        <v>30</v>
      </c>
      <c r="R72" s="896">
        <f t="shared" si="125"/>
        <v>38499.300000000003</v>
      </c>
      <c r="S72" s="792">
        <f t="shared" si="126"/>
        <v>0</v>
      </c>
      <c r="T72" s="792">
        <f t="shared" si="127"/>
        <v>0</v>
      </c>
      <c r="U72" s="1184">
        <f t="shared" si="128"/>
        <v>1</v>
      </c>
      <c r="V72" s="1202"/>
      <c r="W72" s="1203">
        <f t="shared" si="129"/>
        <v>0</v>
      </c>
      <c r="X72" s="1204">
        <f t="shared" si="105"/>
        <v>0</v>
      </c>
      <c r="Y72" s="1202"/>
      <c r="Z72" s="1203">
        <f t="shared" si="130"/>
        <v>0</v>
      </c>
      <c r="AA72" s="1204">
        <f t="shared" si="106"/>
        <v>0</v>
      </c>
      <c r="AB72" s="1202"/>
      <c r="AC72" s="1203">
        <f t="shared" si="131"/>
        <v>0</v>
      </c>
      <c r="AD72" s="1204">
        <f t="shared" si="107"/>
        <v>0</v>
      </c>
      <c r="AE72" s="1202"/>
      <c r="AF72" s="1203">
        <f t="shared" si="132"/>
        <v>0</v>
      </c>
      <c r="AG72" s="1204">
        <f t="shared" si="108"/>
        <v>0</v>
      </c>
      <c r="AH72" s="1202"/>
      <c r="AI72" s="1203">
        <f t="shared" si="133"/>
        <v>0</v>
      </c>
      <c r="AJ72" s="1204">
        <f t="shared" si="109"/>
        <v>0</v>
      </c>
      <c r="AK72" s="1202"/>
      <c r="AL72" s="1203">
        <f t="shared" si="134"/>
        <v>0</v>
      </c>
      <c r="AM72" s="1204">
        <f t="shared" si="110"/>
        <v>0</v>
      </c>
      <c r="AN72" s="1202"/>
      <c r="AO72" s="1203">
        <f t="shared" si="135"/>
        <v>0</v>
      </c>
      <c r="AP72" s="1204">
        <f t="shared" si="111"/>
        <v>0</v>
      </c>
      <c r="AQ72" s="1202"/>
      <c r="AR72" s="1203">
        <f t="shared" si="136"/>
        <v>0</v>
      </c>
      <c r="AS72" s="1204">
        <f t="shared" si="112"/>
        <v>0</v>
      </c>
      <c r="AT72" s="1202"/>
      <c r="AU72" s="1203">
        <f t="shared" si="137"/>
        <v>0</v>
      </c>
      <c r="AV72" s="1204">
        <f t="shared" si="113"/>
        <v>0</v>
      </c>
      <c r="AW72" s="1202"/>
      <c r="AX72" s="1203">
        <f t="shared" si="138"/>
        <v>0</v>
      </c>
      <c r="AY72" s="1204">
        <f t="shared" si="114"/>
        <v>0</v>
      </c>
      <c r="AZ72" s="1202"/>
      <c r="BA72" s="1203">
        <f t="shared" si="139"/>
        <v>0</v>
      </c>
      <c r="BB72" s="1204">
        <f t="shared" si="115"/>
        <v>0</v>
      </c>
      <c r="BC72" s="1433">
        <f t="shared" si="141"/>
        <v>0</v>
      </c>
    </row>
    <row r="73" spans="1:55" ht="13.8">
      <c r="A73" s="888" t="e">
        <f t="shared" si="116"/>
        <v>#REF!</v>
      </c>
      <c r="B73" s="889">
        <f t="shared" si="117"/>
        <v>0</v>
      </c>
      <c r="C73" s="891" t="e">
        <f t="shared" si="118"/>
        <v>#REF!</v>
      </c>
      <c r="D73" s="892" t="str">
        <f t="shared" si="140"/>
        <v>5. SEÑALIZACION Y SEGURIDAD VIAL</v>
      </c>
      <c r="E73" s="937">
        <v>64</v>
      </c>
      <c r="F73" s="768" t="s">
        <v>577</v>
      </c>
      <c r="G73" s="771" t="s">
        <v>575</v>
      </c>
      <c r="H73" s="36">
        <v>30</v>
      </c>
      <c r="I73" s="765">
        <v>1839.02</v>
      </c>
      <c r="J73" s="66">
        <f t="shared" si="120"/>
        <v>55170.6</v>
      </c>
      <c r="K73" s="36">
        <f>SUMIF($V$3:$CH$3,"&lt;"&amp;Datos!$C$20,V73:CH73)</f>
        <v>0</v>
      </c>
      <c r="L73" s="71">
        <f t="shared" si="121"/>
        <v>0</v>
      </c>
      <c r="M73" s="65">
        <f>LOOKUP(Datos!$C$20,'Cant. Ejec,'!$V$3:$BB$3,'Cant. Ejec,'!$V73:$BB73)</f>
        <v>0</v>
      </c>
      <c r="N73" s="37">
        <f t="shared" si="122"/>
        <v>0</v>
      </c>
      <c r="O73" s="61">
        <f t="shared" si="123"/>
        <v>0</v>
      </c>
      <c r="P73" s="896">
        <f t="shared" si="123"/>
        <v>0</v>
      </c>
      <c r="Q73" s="61">
        <f t="shared" si="124"/>
        <v>30</v>
      </c>
      <c r="R73" s="896">
        <f t="shared" si="125"/>
        <v>55170.6</v>
      </c>
      <c r="S73" s="792">
        <f t="shared" si="126"/>
        <v>0</v>
      </c>
      <c r="T73" s="792">
        <f t="shared" si="127"/>
        <v>0</v>
      </c>
      <c r="U73" s="1184">
        <f t="shared" si="128"/>
        <v>1</v>
      </c>
      <c r="V73" s="1202"/>
      <c r="W73" s="1203">
        <f t="shared" ref="W73:W82" si="142">ROUND(V73*$I73,2)</f>
        <v>0</v>
      </c>
      <c r="X73" s="1204">
        <f t="shared" ref="X73:X82" si="143">+W73/$J73</f>
        <v>0</v>
      </c>
      <c r="Y73" s="1202"/>
      <c r="Z73" s="1203">
        <f t="shared" ref="Z73:Z82" si="144">ROUND(Y73*$I73,2)</f>
        <v>0</v>
      </c>
      <c r="AA73" s="1204">
        <f t="shared" ref="AA73:AA82" si="145">+Z73/$J73</f>
        <v>0</v>
      </c>
      <c r="AB73" s="1202"/>
      <c r="AC73" s="1203">
        <f t="shared" ref="AC73:AC82" si="146">ROUND(AB73*$I73,2)</f>
        <v>0</v>
      </c>
      <c r="AD73" s="1204">
        <f t="shared" ref="AD73:AD82" si="147">+AC73/$J73</f>
        <v>0</v>
      </c>
      <c r="AE73" s="1202"/>
      <c r="AF73" s="1203">
        <f t="shared" ref="AF73:AF82" si="148">ROUND(AE73*$I73,2)</f>
        <v>0</v>
      </c>
      <c r="AG73" s="1204">
        <f t="shared" ref="AG73:AG82" si="149">+AF73/$J73</f>
        <v>0</v>
      </c>
      <c r="AH73" s="1202"/>
      <c r="AI73" s="1203">
        <f t="shared" ref="AI73:AI82" si="150">ROUND(AH73*$I73,2)</f>
        <v>0</v>
      </c>
      <c r="AJ73" s="1204">
        <f t="shared" ref="AJ73:AJ82" si="151">+AI73/$J73</f>
        <v>0</v>
      </c>
      <c r="AK73" s="1202"/>
      <c r="AL73" s="1203">
        <f t="shared" ref="AL73:AL82" si="152">ROUND(AK73*$I73,2)</f>
        <v>0</v>
      </c>
      <c r="AM73" s="1204">
        <f t="shared" ref="AM73:AM82" si="153">+AL73/$J73</f>
        <v>0</v>
      </c>
      <c r="AN73" s="1202"/>
      <c r="AO73" s="1203">
        <f t="shared" ref="AO73:AO82" si="154">ROUND(AN73*$I73,2)</f>
        <v>0</v>
      </c>
      <c r="AP73" s="1204">
        <f t="shared" ref="AP73:AP82" si="155">+AO73/$J73</f>
        <v>0</v>
      </c>
      <c r="AQ73" s="1202"/>
      <c r="AR73" s="1203">
        <f t="shared" ref="AR73:AR82" si="156">ROUND(AQ73*$I73,2)</f>
        <v>0</v>
      </c>
      <c r="AS73" s="1204">
        <f t="shared" ref="AS73:AS82" si="157">+AR73/$J73</f>
        <v>0</v>
      </c>
      <c r="AT73" s="1202"/>
      <c r="AU73" s="1203">
        <f t="shared" ref="AU73:AU82" si="158">ROUND(AT73*$I73,2)</f>
        <v>0</v>
      </c>
      <c r="AV73" s="1204">
        <f t="shared" ref="AV73:AV82" si="159">+AU73/$J73</f>
        <v>0</v>
      </c>
      <c r="AW73" s="1202"/>
      <c r="AX73" s="1203">
        <f t="shared" ref="AX73:AX82" si="160">ROUND(AW73*$I73,2)</f>
        <v>0</v>
      </c>
      <c r="AY73" s="1204">
        <f t="shared" ref="AY73:AY82" si="161">+AX73/$J73</f>
        <v>0</v>
      </c>
      <c r="AZ73" s="1202"/>
      <c r="BA73" s="1203">
        <f t="shared" ref="BA73:BA82" si="162">ROUND(AZ73*$I73,2)</f>
        <v>0</v>
      </c>
      <c r="BB73" s="1204">
        <f t="shared" ref="BB73:BB82" si="163">+BA73/$J73</f>
        <v>0</v>
      </c>
      <c r="BC73" s="1433">
        <f t="shared" si="141"/>
        <v>0</v>
      </c>
    </row>
    <row r="74" spans="1:55" ht="13.8">
      <c r="A74" s="888" t="e">
        <f t="shared" si="116"/>
        <v>#REF!</v>
      </c>
      <c r="B74" s="889">
        <f t="shared" si="117"/>
        <v>0</v>
      </c>
      <c r="C74" s="891" t="e">
        <f t="shared" si="118"/>
        <v>#REF!</v>
      </c>
      <c r="D74" s="892" t="str">
        <f t="shared" si="140"/>
        <v>5. SEÑALIZACION Y SEGURIDAD VIAL</v>
      </c>
      <c r="E74" s="937">
        <v>65</v>
      </c>
      <c r="F74" s="768" t="s">
        <v>578</v>
      </c>
      <c r="G74" s="771" t="s">
        <v>575</v>
      </c>
      <c r="H74" s="36">
        <v>65</v>
      </c>
      <c r="I74" s="765">
        <v>1542.64</v>
      </c>
      <c r="J74" s="66">
        <f t="shared" si="120"/>
        <v>100271.6</v>
      </c>
      <c r="K74" s="36">
        <f>SUMIF($V$3:$CH$3,"&lt;"&amp;Datos!$C$20,V74:CH74)</f>
        <v>0</v>
      </c>
      <c r="L74" s="71">
        <f t="shared" si="121"/>
        <v>0</v>
      </c>
      <c r="M74" s="65">
        <f>LOOKUP(Datos!$C$20,'Cant. Ejec,'!$V$3:$BB$3,'Cant. Ejec,'!$V74:$BB74)</f>
        <v>0</v>
      </c>
      <c r="N74" s="37">
        <f t="shared" si="122"/>
        <v>0</v>
      </c>
      <c r="O74" s="61">
        <f t="shared" si="123"/>
        <v>0</v>
      </c>
      <c r="P74" s="896">
        <f t="shared" si="123"/>
        <v>0</v>
      </c>
      <c r="Q74" s="61">
        <f t="shared" si="124"/>
        <v>65</v>
      </c>
      <c r="R74" s="896">
        <f t="shared" si="125"/>
        <v>100271.6</v>
      </c>
      <c r="S74" s="792">
        <f t="shared" si="126"/>
        <v>0</v>
      </c>
      <c r="T74" s="792">
        <f t="shared" si="127"/>
        <v>0</v>
      </c>
      <c r="U74" s="1184">
        <f t="shared" si="128"/>
        <v>1</v>
      </c>
      <c r="V74" s="1202"/>
      <c r="W74" s="1203">
        <f t="shared" si="142"/>
        <v>0</v>
      </c>
      <c r="X74" s="1204">
        <f t="shared" si="143"/>
        <v>0</v>
      </c>
      <c r="Y74" s="1202"/>
      <c r="Z74" s="1203">
        <f t="shared" si="144"/>
        <v>0</v>
      </c>
      <c r="AA74" s="1204">
        <f t="shared" si="145"/>
        <v>0</v>
      </c>
      <c r="AB74" s="1202"/>
      <c r="AC74" s="1203">
        <f t="shared" si="146"/>
        <v>0</v>
      </c>
      <c r="AD74" s="1204">
        <f t="shared" si="147"/>
        <v>0</v>
      </c>
      <c r="AE74" s="1202"/>
      <c r="AF74" s="1203">
        <f t="shared" si="148"/>
        <v>0</v>
      </c>
      <c r="AG74" s="1204">
        <f t="shared" si="149"/>
        <v>0</v>
      </c>
      <c r="AH74" s="1202"/>
      <c r="AI74" s="1203">
        <f t="shared" si="150"/>
        <v>0</v>
      </c>
      <c r="AJ74" s="1204">
        <f t="shared" si="151"/>
        <v>0</v>
      </c>
      <c r="AK74" s="1202"/>
      <c r="AL74" s="1203">
        <f t="shared" si="152"/>
        <v>0</v>
      </c>
      <c r="AM74" s="1204">
        <f t="shared" si="153"/>
        <v>0</v>
      </c>
      <c r="AN74" s="1202"/>
      <c r="AO74" s="1203">
        <f t="shared" si="154"/>
        <v>0</v>
      </c>
      <c r="AP74" s="1204">
        <f t="shared" si="155"/>
        <v>0</v>
      </c>
      <c r="AQ74" s="1202"/>
      <c r="AR74" s="1203">
        <f t="shared" si="156"/>
        <v>0</v>
      </c>
      <c r="AS74" s="1204">
        <f t="shared" si="157"/>
        <v>0</v>
      </c>
      <c r="AT74" s="1202"/>
      <c r="AU74" s="1203">
        <f t="shared" si="158"/>
        <v>0</v>
      </c>
      <c r="AV74" s="1204">
        <f t="shared" si="159"/>
        <v>0</v>
      </c>
      <c r="AW74" s="1202"/>
      <c r="AX74" s="1203">
        <f t="shared" si="160"/>
        <v>0</v>
      </c>
      <c r="AY74" s="1204">
        <f t="shared" si="161"/>
        <v>0</v>
      </c>
      <c r="AZ74" s="1202"/>
      <c r="BA74" s="1203">
        <f t="shared" si="162"/>
        <v>0</v>
      </c>
      <c r="BB74" s="1204">
        <f t="shared" si="163"/>
        <v>0</v>
      </c>
      <c r="BC74" s="1433">
        <f t="shared" si="141"/>
        <v>0</v>
      </c>
    </row>
    <row r="75" spans="1:55" ht="13.8">
      <c r="A75" s="888" t="e">
        <f t="shared" si="116"/>
        <v>#REF!</v>
      </c>
      <c r="B75" s="889">
        <f t="shared" si="117"/>
        <v>0</v>
      </c>
      <c r="C75" s="891" t="e">
        <f t="shared" si="118"/>
        <v>#REF!</v>
      </c>
      <c r="D75" s="892" t="str">
        <f t="shared" si="140"/>
        <v>5. SEÑALIZACION Y SEGURIDAD VIAL</v>
      </c>
      <c r="E75" s="937">
        <v>66</v>
      </c>
      <c r="F75" s="768" t="s">
        <v>579</v>
      </c>
      <c r="G75" s="771" t="s">
        <v>575</v>
      </c>
      <c r="H75" s="36">
        <v>2</v>
      </c>
      <c r="I75" s="765">
        <v>4225.3900000000003</v>
      </c>
      <c r="J75" s="66">
        <f t="shared" si="120"/>
        <v>8450.7800000000007</v>
      </c>
      <c r="K75" s="36">
        <f>SUMIF($V$3:$CH$3,"&lt;"&amp;Datos!$C$20,V75:CH75)</f>
        <v>0</v>
      </c>
      <c r="L75" s="71">
        <f t="shared" si="121"/>
        <v>0</v>
      </c>
      <c r="M75" s="65">
        <f>LOOKUP(Datos!$C$20,'Cant. Ejec,'!$V$3:$BB$3,'Cant. Ejec,'!$V75:$BB75)</f>
        <v>0</v>
      </c>
      <c r="N75" s="37">
        <f t="shared" si="122"/>
        <v>0</v>
      </c>
      <c r="O75" s="61">
        <f t="shared" si="123"/>
        <v>0</v>
      </c>
      <c r="P75" s="896">
        <f t="shared" si="123"/>
        <v>0</v>
      </c>
      <c r="Q75" s="61">
        <f t="shared" si="124"/>
        <v>2</v>
      </c>
      <c r="R75" s="896">
        <f t="shared" si="125"/>
        <v>8450.7800000000007</v>
      </c>
      <c r="S75" s="792">
        <f t="shared" si="126"/>
        <v>0</v>
      </c>
      <c r="T75" s="792">
        <f t="shared" si="127"/>
        <v>0</v>
      </c>
      <c r="U75" s="1184">
        <f t="shared" si="128"/>
        <v>1</v>
      </c>
      <c r="V75" s="1202"/>
      <c r="W75" s="1203">
        <f t="shared" si="142"/>
        <v>0</v>
      </c>
      <c r="X75" s="1204">
        <f t="shared" si="143"/>
        <v>0</v>
      </c>
      <c r="Y75" s="1202"/>
      <c r="Z75" s="1203">
        <f t="shared" si="144"/>
        <v>0</v>
      </c>
      <c r="AA75" s="1204">
        <f t="shared" si="145"/>
        <v>0</v>
      </c>
      <c r="AB75" s="1202"/>
      <c r="AC75" s="1203">
        <f t="shared" si="146"/>
        <v>0</v>
      </c>
      <c r="AD75" s="1204">
        <f t="shared" si="147"/>
        <v>0</v>
      </c>
      <c r="AE75" s="1202"/>
      <c r="AF75" s="1203">
        <f t="shared" si="148"/>
        <v>0</v>
      </c>
      <c r="AG75" s="1204">
        <f t="shared" si="149"/>
        <v>0</v>
      </c>
      <c r="AH75" s="1202"/>
      <c r="AI75" s="1203">
        <f t="shared" si="150"/>
        <v>0</v>
      </c>
      <c r="AJ75" s="1204">
        <f t="shared" si="151"/>
        <v>0</v>
      </c>
      <c r="AK75" s="1202"/>
      <c r="AL75" s="1203">
        <f t="shared" si="152"/>
        <v>0</v>
      </c>
      <c r="AM75" s="1204">
        <f t="shared" si="153"/>
        <v>0</v>
      </c>
      <c r="AN75" s="1202"/>
      <c r="AO75" s="1203">
        <f t="shared" si="154"/>
        <v>0</v>
      </c>
      <c r="AP75" s="1204">
        <f t="shared" si="155"/>
        <v>0</v>
      </c>
      <c r="AQ75" s="1202"/>
      <c r="AR75" s="1203">
        <f t="shared" si="156"/>
        <v>0</v>
      </c>
      <c r="AS75" s="1204">
        <f t="shared" si="157"/>
        <v>0</v>
      </c>
      <c r="AT75" s="1202"/>
      <c r="AU75" s="1203">
        <f t="shared" si="158"/>
        <v>0</v>
      </c>
      <c r="AV75" s="1204">
        <f t="shared" si="159"/>
        <v>0</v>
      </c>
      <c r="AW75" s="1202"/>
      <c r="AX75" s="1203">
        <f t="shared" si="160"/>
        <v>0</v>
      </c>
      <c r="AY75" s="1204">
        <f t="shared" si="161"/>
        <v>0</v>
      </c>
      <c r="AZ75" s="1202"/>
      <c r="BA75" s="1203">
        <f t="shared" si="162"/>
        <v>0</v>
      </c>
      <c r="BB75" s="1204">
        <f t="shared" si="163"/>
        <v>0</v>
      </c>
      <c r="BC75" s="1433">
        <f t="shared" si="141"/>
        <v>0</v>
      </c>
    </row>
    <row r="76" spans="1:55" ht="13.8">
      <c r="A76" s="888" t="e">
        <f t="shared" si="116"/>
        <v>#REF!</v>
      </c>
      <c r="B76" s="889">
        <f t="shared" si="117"/>
        <v>0</v>
      </c>
      <c r="C76" s="891" t="e">
        <f t="shared" si="118"/>
        <v>#REF!</v>
      </c>
      <c r="D76" s="892" t="str">
        <f t="shared" si="140"/>
        <v>5. SEÑALIZACION Y SEGURIDAD VIAL</v>
      </c>
      <c r="E76" s="937">
        <v>67</v>
      </c>
      <c r="F76" s="768" t="s">
        <v>580</v>
      </c>
      <c r="G76" s="771" t="s">
        <v>575</v>
      </c>
      <c r="H76" s="36">
        <v>6</v>
      </c>
      <c r="I76" s="765">
        <v>3521.48</v>
      </c>
      <c r="J76" s="66">
        <f t="shared" si="120"/>
        <v>21128.880000000001</v>
      </c>
      <c r="K76" s="36">
        <f>SUMIF($V$3:$CH$3,"&lt;"&amp;Datos!$C$20,V76:CH76)</f>
        <v>0</v>
      </c>
      <c r="L76" s="71">
        <f t="shared" si="121"/>
        <v>0</v>
      </c>
      <c r="M76" s="65">
        <f>LOOKUP(Datos!$C$20,'Cant. Ejec,'!$V$3:$BB$3,'Cant. Ejec,'!$V76:$BB76)</f>
        <v>0</v>
      </c>
      <c r="N76" s="37">
        <f t="shared" si="122"/>
        <v>0</v>
      </c>
      <c r="O76" s="61">
        <f t="shared" si="123"/>
        <v>0</v>
      </c>
      <c r="P76" s="896">
        <f t="shared" si="123"/>
        <v>0</v>
      </c>
      <c r="Q76" s="61">
        <f t="shared" si="124"/>
        <v>6</v>
      </c>
      <c r="R76" s="896">
        <f t="shared" si="125"/>
        <v>21128.880000000001</v>
      </c>
      <c r="S76" s="792">
        <f t="shared" si="126"/>
        <v>0</v>
      </c>
      <c r="T76" s="792">
        <f t="shared" si="127"/>
        <v>0</v>
      </c>
      <c r="U76" s="1184">
        <f t="shared" si="128"/>
        <v>1</v>
      </c>
      <c r="V76" s="1202"/>
      <c r="W76" s="1203">
        <f t="shared" si="142"/>
        <v>0</v>
      </c>
      <c r="X76" s="1204">
        <f t="shared" si="143"/>
        <v>0</v>
      </c>
      <c r="Y76" s="1202"/>
      <c r="Z76" s="1203">
        <f t="shared" si="144"/>
        <v>0</v>
      </c>
      <c r="AA76" s="1204">
        <f t="shared" si="145"/>
        <v>0</v>
      </c>
      <c r="AB76" s="1202"/>
      <c r="AC76" s="1203">
        <f t="shared" si="146"/>
        <v>0</v>
      </c>
      <c r="AD76" s="1204">
        <f t="shared" si="147"/>
        <v>0</v>
      </c>
      <c r="AE76" s="1202"/>
      <c r="AF76" s="1203">
        <f t="shared" si="148"/>
        <v>0</v>
      </c>
      <c r="AG76" s="1204">
        <f t="shared" si="149"/>
        <v>0</v>
      </c>
      <c r="AH76" s="1202"/>
      <c r="AI76" s="1203">
        <f t="shared" si="150"/>
        <v>0</v>
      </c>
      <c r="AJ76" s="1204">
        <f t="shared" si="151"/>
        <v>0</v>
      </c>
      <c r="AK76" s="1202"/>
      <c r="AL76" s="1203">
        <f t="shared" si="152"/>
        <v>0</v>
      </c>
      <c r="AM76" s="1204">
        <f t="shared" si="153"/>
        <v>0</v>
      </c>
      <c r="AN76" s="1202"/>
      <c r="AO76" s="1203">
        <f t="shared" si="154"/>
        <v>0</v>
      </c>
      <c r="AP76" s="1204">
        <f t="shared" si="155"/>
        <v>0</v>
      </c>
      <c r="AQ76" s="1202"/>
      <c r="AR76" s="1203">
        <f t="shared" si="156"/>
        <v>0</v>
      </c>
      <c r="AS76" s="1204">
        <f t="shared" si="157"/>
        <v>0</v>
      </c>
      <c r="AT76" s="1202"/>
      <c r="AU76" s="1203">
        <f t="shared" si="158"/>
        <v>0</v>
      </c>
      <c r="AV76" s="1204">
        <f t="shared" si="159"/>
        <v>0</v>
      </c>
      <c r="AW76" s="1202"/>
      <c r="AX76" s="1203">
        <f t="shared" si="160"/>
        <v>0</v>
      </c>
      <c r="AY76" s="1204">
        <f t="shared" si="161"/>
        <v>0</v>
      </c>
      <c r="AZ76" s="1202"/>
      <c r="BA76" s="1203">
        <f t="shared" si="162"/>
        <v>0</v>
      </c>
      <c r="BB76" s="1204">
        <f t="shared" si="163"/>
        <v>0</v>
      </c>
      <c r="BC76" s="1433">
        <f t="shared" si="141"/>
        <v>0</v>
      </c>
    </row>
    <row r="77" spans="1:55" ht="13.8">
      <c r="A77" s="888" t="e">
        <f t="shared" si="116"/>
        <v>#REF!</v>
      </c>
      <c r="B77" s="889">
        <f t="shared" si="117"/>
        <v>0</v>
      </c>
      <c r="C77" s="891" t="e">
        <f t="shared" si="118"/>
        <v>#REF!</v>
      </c>
      <c r="D77" s="892" t="str">
        <f t="shared" si="140"/>
        <v>5. SEÑALIZACION Y SEGURIDAD VIAL</v>
      </c>
      <c r="E77" s="937">
        <v>68</v>
      </c>
      <c r="F77" s="768" t="s">
        <v>581</v>
      </c>
      <c r="G77" s="771" t="s">
        <v>575</v>
      </c>
      <c r="H77" s="36">
        <v>4</v>
      </c>
      <c r="I77" s="765">
        <v>5040.4399999999996</v>
      </c>
      <c r="J77" s="66">
        <f t="shared" si="120"/>
        <v>20161.759999999998</v>
      </c>
      <c r="K77" s="36">
        <f>SUMIF($V$3:$CH$3,"&lt;"&amp;Datos!$C$20,V77:CH77)</f>
        <v>0</v>
      </c>
      <c r="L77" s="71">
        <f t="shared" si="121"/>
        <v>0</v>
      </c>
      <c r="M77" s="65">
        <f>LOOKUP(Datos!$C$20,'Cant. Ejec,'!$V$3:$BB$3,'Cant. Ejec,'!$V77:$BB77)</f>
        <v>0</v>
      </c>
      <c r="N77" s="37">
        <f t="shared" si="122"/>
        <v>0</v>
      </c>
      <c r="O77" s="61">
        <f t="shared" si="123"/>
        <v>0</v>
      </c>
      <c r="P77" s="896">
        <f t="shared" si="123"/>
        <v>0</v>
      </c>
      <c r="Q77" s="61">
        <f t="shared" si="124"/>
        <v>4</v>
      </c>
      <c r="R77" s="896">
        <f t="shared" si="125"/>
        <v>20161.759999999998</v>
      </c>
      <c r="S77" s="792">
        <f t="shared" si="126"/>
        <v>0</v>
      </c>
      <c r="T77" s="792">
        <f t="shared" si="127"/>
        <v>0</v>
      </c>
      <c r="U77" s="1184">
        <f t="shared" si="128"/>
        <v>1</v>
      </c>
      <c r="V77" s="1202"/>
      <c r="W77" s="1203">
        <f t="shared" si="142"/>
        <v>0</v>
      </c>
      <c r="X77" s="1204">
        <f t="shared" si="143"/>
        <v>0</v>
      </c>
      <c r="Y77" s="1202"/>
      <c r="Z77" s="1203">
        <f t="shared" si="144"/>
        <v>0</v>
      </c>
      <c r="AA77" s="1204">
        <f t="shared" si="145"/>
        <v>0</v>
      </c>
      <c r="AB77" s="1202"/>
      <c r="AC77" s="1203">
        <f t="shared" si="146"/>
        <v>0</v>
      </c>
      <c r="AD77" s="1204">
        <f t="shared" si="147"/>
        <v>0</v>
      </c>
      <c r="AE77" s="1202"/>
      <c r="AF77" s="1203">
        <f t="shared" si="148"/>
        <v>0</v>
      </c>
      <c r="AG77" s="1204">
        <f t="shared" si="149"/>
        <v>0</v>
      </c>
      <c r="AH77" s="1202"/>
      <c r="AI77" s="1203">
        <f t="shared" si="150"/>
        <v>0</v>
      </c>
      <c r="AJ77" s="1204">
        <f t="shared" si="151"/>
        <v>0</v>
      </c>
      <c r="AK77" s="1202"/>
      <c r="AL77" s="1203">
        <f t="shared" si="152"/>
        <v>0</v>
      </c>
      <c r="AM77" s="1204">
        <f t="shared" si="153"/>
        <v>0</v>
      </c>
      <c r="AN77" s="1202"/>
      <c r="AO77" s="1203">
        <f t="shared" si="154"/>
        <v>0</v>
      </c>
      <c r="AP77" s="1204">
        <f t="shared" si="155"/>
        <v>0</v>
      </c>
      <c r="AQ77" s="1202"/>
      <c r="AR77" s="1203">
        <f t="shared" si="156"/>
        <v>0</v>
      </c>
      <c r="AS77" s="1204">
        <f t="shared" si="157"/>
        <v>0</v>
      </c>
      <c r="AT77" s="1202"/>
      <c r="AU77" s="1203">
        <f t="shared" si="158"/>
        <v>0</v>
      </c>
      <c r="AV77" s="1204">
        <f t="shared" si="159"/>
        <v>0</v>
      </c>
      <c r="AW77" s="1202"/>
      <c r="AX77" s="1203">
        <f t="shared" si="160"/>
        <v>0</v>
      </c>
      <c r="AY77" s="1204">
        <f t="shared" si="161"/>
        <v>0</v>
      </c>
      <c r="AZ77" s="1202"/>
      <c r="BA77" s="1203">
        <f t="shared" si="162"/>
        <v>0</v>
      </c>
      <c r="BB77" s="1204">
        <f t="shared" si="163"/>
        <v>0</v>
      </c>
      <c r="BC77" s="1433">
        <f t="shared" si="141"/>
        <v>0</v>
      </c>
    </row>
    <row r="78" spans="1:55" ht="13.8">
      <c r="A78" s="888" t="e">
        <f t="shared" si="116"/>
        <v>#REF!</v>
      </c>
      <c r="B78" s="889">
        <f t="shared" si="117"/>
        <v>0</v>
      </c>
      <c r="C78" s="891" t="e">
        <f t="shared" si="118"/>
        <v>#REF!</v>
      </c>
      <c r="D78" s="892" t="str">
        <f t="shared" si="140"/>
        <v>5. SEÑALIZACION Y SEGURIDAD VIAL</v>
      </c>
      <c r="E78" s="937">
        <v>69</v>
      </c>
      <c r="F78" s="768" t="s">
        <v>582</v>
      </c>
      <c r="G78" s="771" t="s">
        <v>575</v>
      </c>
      <c r="H78" s="36">
        <v>1</v>
      </c>
      <c r="I78" s="765">
        <v>5892.53</v>
      </c>
      <c r="J78" s="66">
        <f t="shared" si="120"/>
        <v>5892.53</v>
      </c>
      <c r="K78" s="36">
        <f>SUMIF($V$3:$CH$3,"&lt;"&amp;Datos!$C$20,V78:CH78)</f>
        <v>0</v>
      </c>
      <c r="L78" s="71">
        <f t="shared" si="121"/>
        <v>0</v>
      </c>
      <c r="M78" s="65">
        <f>LOOKUP(Datos!$C$20,'Cant. Ejec,'!$V$3:$BB$3,'Cant. Ejec,'!$V78:$BB78)</f>
        <v>0</v>
      </c>
      <c r="N78" s="37">
        <f t="shared" si="122"/>
        <v>0</v>
      </c>
      <c r="O78" s="61">
        <f t="shared" si="123"/>
        <v>0</v>
      </c>
      <c r="P78" s="896">
        <f t="shared" si="123"/>
        <v>0</v>
      </c>
      <c r="Q78" s="61">
        <f t="shared" si="124"/>
        <v>1</v>
      </c>
      <c r="R78" s="896">
        <f t="shared" si="125"/>
        <v>5892.53</v>
      </c>
      <c r="S78" s="792">
        <f t="shared" si="126"/>
        <v>0</v>
      </c>
      <c r="T78" s="792">
        <f t="shared" si="127"/>
        <v>0</v>
      </c>
      <c r="U78" s="1184">
        <f t="shared" si="128"/>
        <v>1</v>
      </c>
      <c r="V78" s="1202"/>
      <c r="W78" s="1203">
        <f t="shared" si="142"/>
        <v>0</v>
      </c>
      <c r="X78" s="1204">
        <f t="shared" si="143"/>
        <v>0</v>
      </c>
      <c r="Y78" s="1202"/>
      <c r="Z78" s="1203">
        <f t="shared" si="144"/>
        <v>0</v>
      </c>
      <c r="AA78" s="1204">
        <f t="shared" si="145"/>
        <v>0</v>
      </c>
      <c r="AB78" s="1202"/>
      <c r="AC78" s="1203">
        <f t="shared" si="146"/>
        <v>0</v>
      </c>
      <c r="AD78" s="1204">
        <f t="shared" si="147"/>
        <v>0</v>
      </c>
      <c r="AE78" s="1202"/>
      <c r="AF78" s="1203">
        <f t="shared" si="148"/>
        <v>0</v>
      </c>
      <c r="AG78" s="1204">
        <f t="shared" si="149"/>
        <v>0</v>
      </c>
      <c r="AH78" s="1202"/>
      <c r="AI78" s="1203">
        <f t="shared" si="150"/>
        <v>0</v>
      </c>
      <c r="AJ78" s="1204">
        <f t="shared" si="151"/>
        <v>0</v>
      </c>
      <c r="AK78" s="1202"/>
      <c r="AL78" s="1203">
        <f t="shared" si="152"/>
        <v>0</v>
      </c>
      <c r="AM78" s="1204">
        <f t="shared" si="153"/>
        <v>0</v>
      </c>
      <c r="AN78" s="1202"/>
      <c r="AO78" s="1203">
        <f t="shared" si="154"/>
        <v>0</v>
      </c>
      <c r="AP78" s="1204">
        <f t="shared" si="155"/>
        <v>0</v>
      </c>
      <c r="AQ78" s="1202"/>
      <c r="AR78" s="1203">
        <f t="shared" si="156"/>
        <v>0</v>
      </c>
      <c r="AS78" s="1204">
        <f t="shared" si="157"/>
        <v>0</v>
      </c>
      <c r="AT78" s="1202"/>
      <c r="AU78" s="1203">
        <f t="shared" si="158"/>
        <v>0</v>
      </c>
      <c r="AV78" s="1204">
        <f t="shared" si="159"/>
        <v>0</v>
      </c>
      <c r="AW78" s="1202"/>
      <c r="AX78" s="1203">
        <f t="shared" si="160"/>
        <v>0</v>
      </c>
      <c r="AY78" s="1204">
        <f t="shared" si="161"/>
        <v>0</v>
      </c>
      <c r="AZ78" s="1202"/>
      <c r="BA78" s="1203">
        <f t="shared" si="162"/>
        <v>0</v>
      </c>
      <c r="BB78" s="1204">
        <f t="shared" si="163"/>
        <v>0</v>
      </c>
      <c r="BC78" s="1433">
        <f t="shared" si="141"/>
        <v>0</v>
      </c>
    </row>
    <row r="79" spans="1:55" ht="13.8">
      <c r="A79" s="888" t="e">
        <f t="shared" si="116"/>
        <v>#REF!</v>
      </c>
      <c r="B79" s="889">
        <f t="shared" si="117"/>
        <v>0</v>
      </c>
      <c r="C79" s="891" t="e">
        <f t="shared" si="118"/>
        <v>#REF!</v>
      </c>
      <c r="D79" s="892" t="str">
        <f t="shared" si="140"/>
        <v>5. SEÑALIZACION Y SEGURIDAD VIAL</v>
      </c>
      <c r="E79" s="937">
        <v>70</v>
      </c>
      <c r="F79" s="768" t="s">
        <v>583</v>
      </c>
      <c r="G79" s="771" t="s">
        <v>575</v>
      </c>
      <c r="H79" s="36">
        <v>8</v>
      </c>
      <c r="I79" s="765">
        <v>5216.41</v>
      </c>
      <c r="J79" s="66">
        <f t="shared" si="120"/>
        <v>41731.279999999999</v>
      </c>
      <c r="K79" s="36">
        <f>SUMIF($V$3:$CH$3,"&lt;"&amp;Datos!$C$20,V79:CH79)</f>
        <v>0</v>
      </c>
      <c r="L79" s="71">
        <f t="shared" si="121"/>
        <v>0</v>
      </c>
      <c r="M79" s="65">
        <f>LOOKUP(Datos!$C$20,'Cant. Ejec,'!$V$3:$BB$3,'Cant. Ejec,'!$V79:$BB79)</f>
        <v>0</v>
      </c>
      <c r="N79" s="37">
        <f t="shared" si="122"/>
        <v>0</v>
      </c>
      <c r="O79" s="61">
        <f t="shared" si="123"/>
        <v>0</v>
      </c>
      <c r="P79" s="896">
        <f t="shared" si="123"/>
        <v>0</v>
      </c>
      <c r="Q79" s="61">
        <f t="shared" si="124"/>
        <v>8</v>
      </c>
      <c r="R79" s="896">
        <f t="shared" si="125"/>
        <v>41731.279999999999</v>
      </c>
      <c r="S79" s="792">
        <f t="shared" si="126"/>
        <v>0</v>
      </c>
      <c r="T79" s="792">
        <f t="shared" si="127"/>
        <v>0</v>
      </c>
      <c r="U79" s="1184">
        <f t="shared" si="128"/>
        <v>1</v>
      </c>
      <c r="V79" s="1202"/>
      <c r="W79" s="1203">
        <f t="shared" si="142"/>
        <v>0</v>
      </c>
      <c r="X79" s="1204">
        <f t="shared" si="143"/>
        <v>0</v>
      </c>
      <c r="Y79" s="1202"/>
      <c r="Z79" s="1203">
        <f t="shared" si="144"/>
        <v>0</v>
      </c>
      <c r="AA79" s="1204">
        <f t="shared" si="145"/>
        <v>0</v>
      </c>
      <c r="AB79" s="1202"/>
      <c r="AC79" s="1203">
        <f t="shared" si="146"/>
        <v>0</v>
      </c>
      <c r="AD79" s="1204">
        <f t="shared" si="147"/>
        <v>0</v>
      </c>
      <c r="AE79" s="1202"/>
      <c r="AF79" s="1203">
        <f t="shared" si="148"/>
        <v>0</v>
      </c>
      <c r="AG79" s="1204">
        <f t="shared" si="149"/>
        <v>0</v>
      </c>
      <c r="AH79" s="1202"/>
      <c r="AI79" s="1203">
        <f t="shared" si="150"/>
        <v>0</v>
      </c>
      <c r="AJ79" s="1204">
        <f t="shared" si="151"/>
        <v>0</v>
      </c>
      <c r="AK79" s="1202"/>
      <c r="AL79" s="1203">
        <f t="shared" si="152"/>
        <v>0</v>
      </c>
      <c r="AM79" s="1204">
        <f t="shared" si="153"/>
        <v>0</v>
      </c>
      <c r="AN79" s="1202"/>
      <c r="AO79" s="1203">
        <f t="shared" si="154"/>
        <v>0</v>
      </c>
      <c r="AP79" s="1204">
        <f t="shared" si="155"/>
        <v>0</v>
      </c>
      <c r="AQ79" s="1202"/>
      <c r="AR79" s="1203">
        <f t="shared" si="156"/>
        <v>0</v>
      </c>
      <c r="AS79" s="1204">
        <f t="shared" si="157"/>
        <v>0</v>
      </c>
      <c r="AT79" s="1202"/>
      <c r="AU79" s="1203">
        <f t="shared" si="158"/>
        <v>0</v>
      </c>
      <c r="AV79" s="1204">
        <f t="shared" si="159"/>
        <v>0</v>
      </c>
      <c r="AW79" s="1202"/>
      <c r="AX79" s="1203">
        <f t="shared" si="160"/>
        <v>0</v>
      </c>
      <c r="AY79" s="1204">
        <f t="shared" si="161"/>
        <v>0</v>
      </c>
      <c r="AZ79" s="1202"/>
      <c r="BA79" s="1203">
        <f t="shared" si="162"/>
        <v>0</v>
      </c>
      <c r="BB79" s="1204">
        <f t="shared" si="163"/>
        <v>0</v>
      </c>
      <c r="BC79" s="1433">
        <f t="shared" si="141"/>
        <v>0</v>
      </c>
    </row>
    <row r="80" spans="1:55" ht="13.8">
      <c r="A80" s="888" t="e">
        <f t="shared" si="116"/>
        <v>#REF!</v>
      </c>
      <c r="B80" s="889">
        <f t="shared" si="117"/>
        <v>0</v>
      </c>
      <c r="C80" s="891" t="e">
        <f t="shared" si="118"/>
        <v>#REF!</v>
      </c>
      <c r="D80" s="892" t="str">
        <f t="shared" si="140"/>
        <v>5. SEÑALIZACION Y SEGURIDAD VIAL</v>
      </c>
      <c r="E80" s="937">
        <v>71</v>
      </c>
      <c r="F80" s="768" t="s">
        <v>584</v>
      </c>
      <c r="G80" s="771" t="s">
        <v>575</v>
      </c>
      <c r="H80" s="36">
        <v>22</v>
      </c>
      <c r="I80" s="765">
        <v>2141.4499999999998</v>
      </c>
      <c r="J80" s="66">
        <f t="shared" si="120"/>
        <v>47111.9</v>
      </c>
      <c r="K80" s="36">
        <f>SUMIF($V$3:$CH$3,"&lt;"&amp;Datos!$C$20,V80:CH80)</f>
        <v>0</v>
      </c>
      <c r="L80" s="71">
        <f t="shared" si="121"/>
        <v>0</v>
      </c>
      <c r="M80" s="65">
        <f>LOOKUP(Datos!$C$20,'Cant. Ejec,'!$V$3:$BB$3,'Cant. Ejec,'!$V80:$BB80)</f>
        <v>0</v>
      </c>
      <c r="N80" s="37">
        <f t="shared" si="122"/>
        <v>0</v>
      </c>
      <c r="O80" s="61">
        <f t="shared" si="123"/>
        <v>0</v>
      </c>
      <c r="P80" s="896">
        <f t="shared" si="123"/>
        <v>0</v>
      </c>
      <c r="Q80" s="61">
        <f t="shared" si="124"/>
        <v>22</v>
      </c>
      <c r="R80" s="896">
        <f t="shared" si="125"/>
        <v>47111.9</v>
      </c>
      <c r="S80" s="792">
        <f t="shared" si="126"/>
        <v>0</v>
      </c>
      <c r="T80" s="792">
        <f t="shared" si="127"/>
        <v>0</v>
      </c>
      <c r="U80" s="1184">
        <f t="shared" si="128"/>
        <v>1</v>
      </c>
      <c r="V80" s="1202"/>
      <c r="W80" s="1203">
        <f t="shared" si="142"/>
        <v>0</v>
      </c>
      <c r="X80" s="1204">
        <f t="shared" si="143"/>
        <v>0</v>
      </c>
      <c r="Y80" s="1202"/>
      <c r="Z80" s="1203">
        <f t="shared" si="144"/>
        <v>0</v>
      </c>
      <c r="AA80" s="1204">
        <f t="shared" si="145"/>
        <v>0</v>
      </c>
      <c r="AB80" s="1202"/>
      <c r="AC80" s="1203">
        <f t="shared" si="146"/>
        <v>0</v>
      </c>
      <c r="AD80" s="1204">
        <f t="shared" si="147"/>
        <v>0</v>
      </c>
      <c r="AE80" s="1202"/>
      <c r="AF80" s="1203">
        <f t="shared" si="148"/>
        <v>0</v>
      </c>
      <c r="AG80" s="1204">
        <f t="shared" si="149"/>
        <v>0</v>
      </c>
      <c r="AH80" s="1202"/>
      <c r="AI80" s="1203">
        <f t="shared" si="150"/>
        <v>0</v>
      </c>
      <c r="AJ80" s="1204">
        <f t="shared" si="151"/>
        <v>0</v>
      </c>
      <c r="AK80" s="1202"/>
      <c r="AL80" s="1203">
        <f t="shared" si="152"/>
        <v>0</v>
      </c>
      <c r="AM80" s="1204">
        <f t="shared" si="153"/>
        <v>0</v>
      </c>
      <c r="AN80" s="1202"/>
      <c r="AO80" s="1203">
        <f t="shared" si="154"/>
        <v>0</v>
      </c>
      <c r="AP80" s="1204">
        <f t="shared" si="155"/>
        <v>0</v>
      </c>
      <c r="AQ80" s="1202"/>
      <c r="AR80" s="1203">
        <f t="shared" si="156"/>
        <v>0</v>
      </c>
      <c r="AS80" s="1204">
        <f t="shared" si="157"/>
        <v>0</v>
      </c>
      <c r="AT80" s="1202"/>
      <c r="AU80" s="1203">
        <f t="shared" si="158"/>
        <v>0</v>
      </c>
      <c r="AV80" s="1204">
        <f t="shared" si="159"/>
        <v>0</v>
      </c>
      <c r="AW80" s="1202"/>
      <c r="AX80" s="1203">
        <f t="shared" si="160"/>
        <v>0</v>
      </c>
      <c r="AY80" s="1204">
        <f t="shared" si="161"/>
        <v>0</v>
      </c>
      <c r="AZ80" s="1202"/>
      <c r="BA80" s="1203">
        <f t="shared" si="162"/>
        <v>0</v>
      </c>
      <c r="BB80" s="1204">
        <f t="shared" si="163"/>
        <v>0</v>
      </c>
      <c r="BC80" s="1433">
        <f t="shared" si="141"/>
        <v>0</v>
      </c>
    </row>
    <row r="81" spans="1:55" ht="13.8">
      <c r="A81" s="888" t="e">
        <f t="shared" si="116"/>
        <v>#REF!</v>
      </c>
      <c r="B81" s="889">
        <f t="shared" si="117"/>
        <v>0</v>
      </c>
      <c r="C81" s="891" t="e">
        <f t="shared" si="118"/>
        <v>#REF!</v>
      </c>
      <c r="D81" s="892" t="str">
        <f t="shared" si="140"/>
        <v>5. SEÑALIZACION Y SEGURIDAD VIAL</v>
      </c>
      <c r="E81" s="937">
        <v>72</v>
      </c>
      <c r="F81" s="768" t="s">
        <v>585</v>
      </c>
      <c r="G81" s="771" t="s">
        <v>575</v>
      </c>
      <c r="H81" s="36">
        <v>16875</v>
      </c>
      <c r="I81" s="765">
        <v>52.22</v>
      </c>
      <c r="J81" s="66">
        <f t="shared" si="120"/>
        <v>881212.5</v>
      </c>
      <c r="K81" s="36">
        <f>SUMIF($V$3:$CH$3,"&lt;"&amp;Datos!$C$20,V81:CH81)</f>
        <v>0</v>
      </c>
      <c r="L81" s="71">
        <f t="shared" si="121"/>
        <v>0</v>
      </c>
      <c r="M81" s="65">
        <f>LOOKUP(Datos!$C$20,'Cant. Ejec,'!$V$3:$BB$3,'Cant. Ejec,'!$V81:$BB81)</f>
        <v>0</v>
      </c>
      <c r="N81" s="37">
        <f t="shared" si="122"/>
        <v>0</v>
      </c>
      <c r="O81" s="61">
        <f t="shared" si="123"/>
        <v>0</v>
      </c>
      <c r="P81" s="896">
        <f t="shared" si="123"/>
        <v>0</v>
      </c>
      <c r="Q81" s="61">
        <f t="shared" si="124"/>
        <v>16875</v>
      </c>
      <c r="R81" s="896">
        <f t="shared" si="125"/>
        <v>881212.5</v>
      </c>
      <c r="S81" s="792">
        <f t="shared" si="126"/>
        <v>0</v>
      </c>
      <c r="T81" s="792">
        <f t="shared" si="127"/>
        <v>0</v>
      </c>
      <c r="U81" s="1184">
        <f t="shared" si="128"/>
        <v>1</v>
      </c>
      <c r="V81" s="1202"/>
      <c r="W81" s="1203">
        <f t="shared" si="142"/>
        <v>0</v>
      </c>
      <c r="X81" s="1204">
        <f t="shared" si="143"/>
        <v>0</v>
      </c>
      <c r="Y81" s="1202"/>
      <c r="Z81" s="1203">
        <f t="shared" si="144"/>
        <v>0</v>
      </c>
      <c r="AA81" s="1204">
        <f t="shared" si="145"/>
        <v>0</v>
      </c>
      <c r="AB81" s="1202"/>
      <c r="AC81" s="1203">
        <f t="shared" si="146"/>
        <v>0</v>
      </c>
      <c r="AD81" s="1204">
        <f t="shared" si="147"/>
        <v>0</v>
      </c>
      <c r="AE81" s="1202"/>
      <c r="AF81" s="1203">
        <f t="shared" si="148"/>
        <v>0</v>
      </c>
      <c r="AG81" s="1204">
        <f t="shared" si="149"/>
        <v>0</v>
      </c>
      <c r="AH81" s="1202"/>
      <c r="AI81" s="1203">
        <f t="shared" si="150"/>
        <v>0</v>
      </c>
      <c r="AJ81" s="1204">
        <f t="shared" si="151"/>
        <v>0</v>
      </c>
      <c r="AK81" s="1202"/>
      <c r="AL81" s="1203">
        <f t="shared" si="152"/>
        <v>0</v>
      </c>
      <c r="AM81" s="1204">
        <f t="shared" si="153"/>
        <v>0</v>
      </c>
      <c r="AN81" s="1202"/>
      <c r="AO81" s="1203">
        <f t="shared" si="154"/>
        <v>0</v>
      </c>
      <c r="AP81" s="1204">
        <f t="shared" si="155"/>
        <v>0</v>
      </c>
      <c r="AQ81" s="1202"/>
      <c r="AR81" s="1203">
        <f t="shared" si="156"/>
        <v>0</v>
      </c>
      <c r="AS81" s="1204">
        <f t="shared" si="157"/>
        <v>0</v>
      </c>
      <c r="AT81" s="1202"/>
      <c r="AU81" s="1203">
        <f t="shared" si="158"/>
        <v>0</v>
      </c>
      <c r="AV81" s="1204">
        <f t="shared" si="159"/>
        <v>0</v>
      </c>
      <c r="AW81" s="1202"/>
      <c r="AX81" s="1203">
        <f t="shared" si="160"/>
        <v>0</v>
      </c>
      <c r="AY81" s="1204">
        <f t="shared" si="161"/>
        <v>0</v>
      </c>
      <c r="AZ81" s="1202"/>
      <c r="BA81" s="1203">
        <f t="shared" si="162"/>
        <v>0</v>
      </c>
      <c r="BB81" s="1204">
        <f t="shared" si="163"/>
        <v>0</v>
      </c>
      <c r="BC81" s="1433">
        <f t="shared" si="141"/>
        <v>0</v>
      </c>
    </row>
    <row r="82" spans="1:55" ht="13.8">
      <c r="A82" s="888" t="e">
        <f t="shared" si="116"/>
        <v>#REF!</v>
      </c>
      <c r="B82" s="889">
        <f t="shared" si="117"/>
        <v>0</v>
      </c>
      <c r="C82" s="891" t="e">
        <f t="shared" si="118"/>
        <v>#REF!</v>
      </c>
      <c r="D82" s="892" t="str">
        <f t="shared" si="140"/>
        <v>5. SEÑALIZACION Y SEGURIDAD VIAL</v>
      </c>
      <c r="E82" s="937">
        <v>73</v>
      </c>
      <c r="F82" s="768" t="s">
        <v>586</v>
      </c>
      <c r="G82" s="771" t="s">
        <v>291</v>
      </c>
      <c r="H82" s="36">
        <v>109</v>
      </c>
      <c r="I82" s="765">
        <v>56.7</v>
      </c>
      <c r="J82" s="66">
        <f t="shared" si="120"/>
        <v>6180.3</v>
      </c>
      <c r="K82" s="36">
        <f>SUMIF($V$3:$CH$3,"&lt;"&amp;Datos!$C$20,V82:CH82)</f>
        <v>0</v>
      </c>
      <c r="L82" s="71">
        <f t="shared" si="121"/>
        <v>0</v>
      </c>
      <c r="M82" s="411">
        <f>LOOKUP(Datos!$C$20,'Cant. Ejec,'!$V$3:$BB$3,'Cant. Ejec,'!$V82:$BB82)</f>
        <v>0</v>
      </c>
      <c r="N82" s="978">
        <f t="shared" si="122"/>
        <v>0</v>
      </c>
      <c r="O82" s="61">
        <f t="shared" si="123"/>
        <v>0</v>
      </c>
      <c r="P82" s="896">
        <f t="shared" si="123"/>
        <v>0</v>
      </c>
      <c r="Q82" s="61">
        <f t="shared" si="124"/>
        <v>109</v>
      </c>
      <c r="R82" s="896">
        <f t="shared" si="125"/>
        <v>6180.3</v>
      </c>
      <c r="S82" s="932">
        <f t="shared" si="126"/>
        <v>0</v>
      </c>
      <c r="T82" s="932">
        <f t="shared" si="127"/>
        <v>0</v>
      </c>
      <c r="U82" s="1185">
        <f t="shared" si="128"/>
        <v>1</v>
      </c>
      <c r="V82" s="1202"/>
      <c r="W82" s="1203">
        <f t="shared" si="142"/>
        <v>0</v>
      </c>
      <c r="X82" s="1204">
        <f t="shared" si="143"/>
        <v>0</v>
      </c>
      <c r="Y82" s="1202"/>
      <c r="Z82" s="1203">
        <f t="shared" si="144"/>
        <v>0</v>
      </c>
      <c r="AA82" s="1204">
        <f t="shared" si="145"/>
        <v>0</v>
      </c>
      <c r="AB82" s="1202"/>
      <c r="AC82" s="1203">
        <f t="shared" si="146"/>
        <v>0</v>
      </c>
      <c r="AD82" s="1204">
        <f t="shared" si="147"/>
        <v>0</v>
      </c>
      <c r="AE82" s="1202"/>
      <c r="AF82" s="1203">
        <f t="shared" si="148"/>
        <v>0</v>
      </c>
      <c r="AG82" s="1204">
        <f t="shared" si="149"/>
        <v>0</v>
      </c>
      <c r="AH82" s="1202"/>
      <c r="AI82" s="1203">
        <f t="shared" si="150"/>
        <v>0</v>
      </c>
      <c r="AJ82" s="1204">
        <f t="shared" si="151"/>
        <v>0</v>
      </c>
      <c r="AK82" s="1202"/>
      <c r="AL82" s="1203">
        <f t="shared" si="152"/>
        <v>0</v>
      </c>
      <c r="AM82" s="1204">
        <f t="shared" si="153"/>
        <v>0</v>
      </c>
      <c r="AN82" s="1202"/>
      <c r="AO82" s="1203">
        <f t="shared" si="154"/>
        <v>0</v>
      </c>
      <c r="AP82" s="1204">
        <f t="shared" si="155"/>
        <v>0</v>
      </c>
      <c r="AQ82" s="1202"/>
      <c r="AR82" s="1203">
        <f t="shared" si="156"/>
        <v>0</v>
      </c>
      <c r="AS82" s="1204">
        <f t="shared" si="157"/>
        <v>0</v>
      </c>
      <c r="AT82" s="1202"/>
      <c r="AU82" s="1203">
        <f t="shared" si="158"/>
        <v>0</v>
      </c>
      <c r="AV82" s="1204">
        <f t="shared" si="159"/>
        <v>0</v>
      </c>
      <c r="AW82" s="1202"/>
      <c r="AX82" s="1203">
        <f t="shared" si="160"/>
        <v>0</v>
      </c>
      <c r="AY82" s="1204">
        <f t="shared" si="161"/>
        <v>0</v>
      </c>
      <c r="AZ82" s="1202"/>
      <c r="BA82" s="1203">
        <f t="shared" si="162"/>
        <v>0</v>
      </c>
      <c r="BB82" s="1204">
        <f t="shared" si="163"/>
        <v>0</v>
      </c>
      <c r="BC82" s="1433">
        <f t="shared" si="141"/>
        <v>0</v>
      </c>
    </row>
    <row r="83" spans="1:55" ht="13.5" customHeight="1">
      <c r="A83" s="888" t="e">
        <f>+IF(B83&gt;0,B83+#REF!,IF(C83&gt;#REF!,C83,0))</f>
        <v>#REF!</v>
      </c>
      <c r="B83" s="889" t="e">
        <f>+IF(#REF!&gt;=0.01,1,0)</f>
        <v>#REF!</v>
      </c>
      <c r="C83" s="891" t="e">
        <f>+B83+#REF!</f>
        <v>#REF!</v>
      </c>
      <c r="D83" s="892"/>
      <c r="E83" s="938">
        <v>6</v>
      </c>
      <c r="F83" s="914" t="s">
        <v>451</v>
      </c>
      <c r="G83" s="950"/>
      <c r="H83" s="951"/>
      <c r="I83" s="952"/>
      <c r="J83" s="953">
        <f>SUM(J84)</f>
        <v>1018905.14</v>
      </c>
      <c r="K83" s="954">
        <f>SUMIF($V$3:$CH$3,"&lt;"&amp;Datos!$C$20,V83:CH83)</f>
        <v>0</v>
      </c>
      <c r="L83" s="953">
        <f>SUM(L84)</f>
        <v>40756.21</v>
      </c>
      <c r="M83" s="955">
        <f>LOOKUP(Datos!$C$20,'Cant. Ejec,'!$V$3:$BB$3,'Cant. Ejec,'!$V83:$BB83)</f>
        <v>0</v>
      </c>
      <c r="N83" s="953">
        <f>SUM(N84)</f>
        <v>0</v>
      </c>
      <c r="O83" s="954"/>
      <c r="P83" s="953">
        <f>SUM(P84)</f>
        <v>40756.21</v>
      </c>
      <c r="Q83" s="955"/>
      <c r="R83" s="953">
        <f>SUM(R84)</f>
        <v>978148.93</v>
      </c>
      <c r="S83" s="976">
        <f>(N83/J83)</f>
        <v>0</v>
      </c>
      <c r="T83" s="1076">
        <f>(P83/J83)</f>
        <v>4.0000004318360781E-2</v>
      </c>
      <c r="U83" s="1183">
        <f>(R83/J83)</f>
        <v>0.9599999956816393</v>
      </c>
      <c r="V83" s="1196"/>
      <c r="W83" s="1197">
        <f>SUM(W84)</f>
        <v>0</v>
      </c>
      <c r="X83" s="1198">
        <f t="shared" ref="X83:X91" si="164">+W83/$J83</f>
        <v>0</v>
      </c>
      <c r="Y83" s="1196"/>
      <c r="Z83" s="1197">
        <f>SUM(Z84)</f>
        <v>40756.21</v>
      </c>
      <c r="AA83" s="1198">
        <f t="shared" ref="AA83:AA91" si="165">+Z83/$J83</f>
        <v>4.0000004318360781E-2</v>
      </c>
      <c r="AB83" s="1196"/>
      <c r="AC83" s="1197">
        <f>SUM(AC84)</f>
        <v>0</v>
      </c>
      <c r="AD83" s="1198">
        <f t="shared" ref="AD83:AD91" si="166">+AC83/$J83</f>
        <v>0</v>
      </c>
      <c r="AE83" s="1196"/>
      <c r="AF83" s="1197">
        <f>SUM(AF84)</f>
        <v>0</v>
      </c>
      <c r="AG83" s="1198">
        <f t="shared" ref="AG83:AG91" si="167">+AF83/$J83</f>
        <v>0</v>
      </c>
      <c r="AH83" s="1196"/>
      <c r="AI83" s="1197">
        <f>SUM(AI84)</f>
        <v>0</v>
      </c>
      <c r="AJ83" s="1198">
        <f t="shared" ref="AJ83:AJ91" si="168">+AI83/$J83</f>
        <v>0</v>
      </c>
      <c r="AK83" s="1196"/>
      <c r="AL83" s="1197">
        <f>SUM(AL84)</f>
        <v>0</v>
      </c>
      <c r="AM83" s="1198">
        <f t="shared" ref="AM83:AM91" si="169">+AL83/$J83</f>
        <v>0</v>
      </c>
      <c r="AN83" s="1196"/>
      <c r="AO83" s="1197">
        <f>SUM(AO84)</f>
        <v>0</v>
      </c>
      <c r="AP83" s="1198">
        <f t="shared" ref="AP83:AP91" si="170">+AO83/$J83</f>
        <v>0</v>
      </c>
      <c r="AQ83" s="1196"/>
      <c r="AR83" s="1197">
        <f>SUM(AR84)</f>
        <v>0</v>
      </c>
      <c r="AS83" s="1198">
        <f t="shared" ref="AS83:AS91" si="171">+AR83/$J83</f>
        <v>0</v>
      </c>
      <c r="AT83" s="1196"/>
      <c r="AU83" s="1197">
        <f>SUM(AU84)</f>
        <v>0</v>
      </c>
      <c r="AV83" s="1198">
        <f t="shared" ref="AV83:AV91" si="172">+AU83/$J83</f>
        <v>0</v>
      </c>
      <c r="AW83" s="1196"/>
      <c r="AX83" s="1197">
        <f>SUM(AX84)</f>
        <v>0</v>
      </c>
      <c r="AY83" s="1198">
        <f t="shared" ref="AY83:AY91" si="173">+AX83/$J83</f>
        <v>0</v>
      </c>
      <c r="AZ83" s="1196"/>
      <c r="BA83" s="1197">
        <f>SUM(BA84)</f>
        <v>0</v>
      </c>
      <c r="BB83" s="1198">
        <f t="shared" ref="BB83:BB91" si="174">+BA83/$J83</f>
        <v>0</v>
      </c>
      <c r="BC83" s="1433">
        <f t="shared" si="141"/>
        <v>40756.21</v>
      </c>
    </row>
    <row r="84" spans="1:55" ht="13.8">
      <c r="A84" s="888" t="e">
        <f t="shared" si="116"/>
        <v>#REF!</v>
      </c>
      <c r="B84" s="889">
        <f t="shared" si="117"/>
        <v>0</v>
      </c>
      <c r="C84" s="891" t="e">
        <f t="shared" si="118"/>
        <v>#REF!</v>
      </c>
      <c r="D84" s="892" t="str">
        <f t="shared" si="119"/>
        <v>6. MEDIDAS DE MITIGACION AMBIENTAL</v>
      </c>
      <c r="E84" s="937">
        <v>74</v>
      </c>
      <c r="F84" s="768" t="s">
        <v>451</v>
      </c>
      <c r="G84" s="771" t="s">
        <v>293</v>
      </c>
      <c r="H84" s="36">
        <v>1</v>
      </c>
      <c r="I84" s="765">
        <v>1018905.14</v>
      </c>
      <c r="J84" s="66">
        <f>ROUND(H84*I84,2)</f>
        <v>1018905.14</v>
      </c>
      <c r="K84" s="36">
        <f>SUMIF($V$3:$CH$3,"&lt;"&amp;Datos!$C$20,V84:CH84)</f>
        <v>0.04</v>
      </c>
      <c r="L84" s="71">
        <f>+ROUND(I84*K84,2)</f>
        <v>40756.21</v>
      </c>
      <c r="M84" s="979">
        <f>LOOKUP(Datos!$C$20,'Cant. Ejec,'!$V$3:$BB$3,'Cant. Ejec,'!$V84:$BB84)</f>
        <v>0</v>
      </c>
      <c r="N84" s="980">
        <f>+ROUND(I84*M84,2)</f>
        <v>0</v>
      </c>
      <c r="O84" s="61">
        <f t="shared" ref="O84:P84" si="175">K84+M84</f>
        <v>0.04</v>
      </c>
      <c r="P84" s="896">
        <f t="shared" si="175"/>
        <v>40756.21</v>
      </c>
      <c r="Q84" s="61">
        <f>H84-O84</f>
        <v>0.96</v>
      </c>
      <c r="R84" s="896">
        <f>+J84-P84</f>
        <v>978148.93</v>
      </c>
      <c r="S84" s="932">
        <f t="shared" ref="S84" si="176">(N84/J84)</f>
        <v>0</v>
      </c>
      <c r="T84" s="932">
        <f t="shared" ref="T84" si="177">(P84/J84)</f>
        <v>4.0000004318360781E-2</v>
      </c>
      <c r="U84" s="1185">
        <f t="shared" ref="U84" si="178">(R84/J84)</f>
        <v>0.9599999956816393</v>
      </c>
      <c r="V84" s="1202"/>
      <c r="W84" s="1203">
        <f>ROUND(V84*$I84,2)</f>
        <v>0</v>
      </c>
      <c r="X84" s="1204">
        <f t="shared" si="164"/>
        <v>0</v>
      </c>
      <c r="Y84" s="1202">
        <v>0.04</v>
      </c>
      <c r="Z84" s="1203">
        <f>ROUND(Y84*$I84,2)</f>
        <v>40756.21</v>
      </c>
      <c r="AA84" s="1204">
        <f t="shared" si="165"/>
        <v>4.0000004318360781E-2</v>
      </c>
      <c r="AB84" s="1202"/>
      <c r="AC84" s="1203">
        <f>ROUND(AB84*$I84,2)</f>
        <v>0</v>
      </c>
      <c r="AD84" s="1204">
        <f t="shared" si="166"/>
        <v>0</v>
      </c>
      <c r="AE84" s="1202"/>
      <c r="AF84" s="1203">
        <f>ROUND(AE84*$I84,2)</f>
        <v>0</v>
      </c>
      <c r="AG84" s="1204">
        <f t="shared" si="167"/>
        <v>0</v>
      </c>
      <c r="AH84" s="1202"/>
      <c r="AI84" s="1203">
        <f>ROUND(AH84*$I84,2)</f>
        <v>0</v>
      </c>
      <c r="AJ84" s="1204">
        <f t="shared" si="168"/>
        <v>0</v>
      </c>
      <c r="AK84" s="1202"/>
      <c r="AL84" s="1203">
        <f>ROUND(AK84*$I84,2)</f>
        <v>0</v>
      </c>
      <c r="AM84" s="1204">
        <f t="shared" si="169"/>
        <v>0</v>
      </c>
      <c r="AN84" s="1202"/>
      <c r="AO84" s="1203">
        <f>ROUND(AN84*$I84,2)</f>
        <v>0</v>
      </c>
      <c r="AP84" s="1204">
        <f t="shared" si="170"/>
        <v>0</v>
      </c>
      <c r="AQ84" s="1202"/>
      <c r="AR84" s="1203">
        <f>ROUND(AQ84*$I84,2)</f>
        <v>0</v>
      </c>
      <c r="AS84" s="1204">
        <f t="shared" si="171"/>
        <v>0</v>
      </c>
      <c r="AT84" s="1202"/>
      <c r="AU84" s="1203">
        <f>ROUND(AT84*$I84,2)</f>
        <v>0</v>
      </c>
      <c r="AV84" s="1204">
        <f t="shared" si="172"/>
        <v>0</v>
      </c>
      <c r="AW84" s="1202"/>
      <c r="AX84" s="1203">
        <f>ROUND(AW84*$I84,2)</f>
        <v>0</v>
      </c>
      <c r="AY84" s="1204">
        <f t="shared" si="173"/>
        <v>0</v>
      </c>
      <c r="AZ84" s="1202"/>
      <c r="BA84" s="1203">
        <f>ROUND(AZ84*$I84,2)</f>
        <v>0</v>
      </c>
      <c r="BB84" s="1204">
        <f t="shared" si="174"/>
        <v>0</v>
      </c>
      <c r="BC84" s="1433">
        <f t="shared" si="141"/>
        <v>40756.21</v>
      </c>
    </row>
    <row r="85" spans="1:55" ht="13.5" customHeight="1">
      <c r="A85" s="888" t="e">
        <f>+IF(B85&gt;0,B85+#REF!,IF(C85&gt;#REF!,C85,0))</f>
        <v>#REF!</v>
      </c>
      <c r="B85" s="889" t="e">
        <f>+IF(#REF!&gt;=0.01,1,0)</f>
        <v>#REF!</v>
      </c>
      <c r="C85" s="891" t="e">
        <f>+B85+#REF!</f>
        <v>#REF!</v>
      </c>
      <c r="D85" s="892"/>
      <c r="E85" s="938">
        <v>7</v>
      </c>
      <c r="F85" s="914" t="s">
        <v>587</v>
      </c>
      <c r="G85" s="950"/>
      <c r="H85" s="951"/>
      <c r="I85" s="952"/>
      <c r="J85" s="953">
        <f>SUM(J86:J91)</f>
        <v>2248712.06</v>
      </c>
      <c r="K85" s="954">
        <f>SUMIF($V$3:$CH$3,"&lt;"&amp;Datos!$C$20,V85:CH85)</f>
        <v>0</v>
      </c>
      <c r="L85" s="953">
        <f>SUM(L86:L91)</f>
        <v>0</v>
      </c>
      <c r="M85" s="955">
        <f>LOOKUP(Datos!$C$20,'Cant. Ejec,'!$V$3:$BB$3,'Cant. Ejec,'!$V85:$BB85)</f>
        <v>0</v>
      </c>
      <c r="N85" s="953">
        <f>SUM(N86:N91)</f>
        <v>0</v>
      </c>
      <c r="O85" s="954"/>
      <c r="P85" s="953">
        <f>SUM(P86:P91)</f>
        <v>0</v>
      </c>
      <c r="Q85" s="955"/>
      <c r="R85" s="953">
        <f>SUM(R86:R91)</f>
        <v>2248712.06</v>
      </c>
      <c r="S85" s="976">
        <f>(N85/J85)</f>
        <v>0</v>
      </c>
      <c r="T85" s="1076">
        <f>(P85/J85)</f>
        <v>0</v>
      </c>
      <c r="U85" s="1183">
        <f>(R85/J85)</f>
        <v>1</v>
      </c>
      <c r="V85" s="1196"/>
      <c r="W85" s="1197">
        <f>SUM(W86:W91)</f>
        <v>0</v>
      </c>
      <c r="X85" s="1198">
        <f t="shared" si="164"/>
        <v>0</v>
      </c>
      <c r="Y85" s="1196"/>
      <c r="Z85" s="1197">
        <f>SUM(Z86:Z91)</f>
        <v>0</v>
      </c>
      <c r="AA85" s="1198">
        <f t="shared" si="165"/>
        <v>0</v>
      </c>
      <c r="AB85" s="1196"/>
      <c r="AC85" s="1197">
        <f>SUM(AC86:AC91)</f>
        <v>0</v>
      </c>
      <c r="AD85" s="1198">
        <f t="shared" si="166"/>
        <v>0</v>
      </c>
      <c r="AE85" s="1196"/>
      <c r="AF85" s="1197">
        <f>SUM(AF86:AF91)</f>
        <v>0</v>
      </c>
      <c r="AG85" s="1198">
        <f t="shared" si="167"/>
        <v>0</v>
      </c>
      <c r="AH85" s="1196"/>
      <c r="AI85" s="1197">
        <f>SUM(AI86:AI91)</f>
        <v>0</v>
      </c>
      <c r="AJ85" s="1198">
        <f t="shared" si="168"/>
        <v>0</v>
      </c>
      <c r="AK85" s="1196"/>
      <c r="AL85" s="1197">
        <f>SUM(AL86:AL91)</f>
        <v>0</v>
      </c>
      <c r="AM85" s="1198">
        <f t="shared" si="169"/>
        <v>0</v>
      </c>
      <c r="AN85" s="1196"/>
      <c r="AO85" s="1197">
        <f>SUM(AO86:AO91)</f>
        <v>0</v>
      </c>
      <c r="AP85" s="1198">
        <f t="shared" si="170"/>
        <v>0</v>
      </c>
      <c r="AQ85" s="1196"/>
      <c r="AR85" s="1197">
        <f>SUM(AR86:AR91)</f>
        <v>0</v>
      </c>
      <c r="AS85" s="1198">
        <f t="shared" si="171"/>
        <v>0</v>
      </c>
      <c r="AT85" s="1196"/>
      <c r="AU85" s="1197">
        <f>SUM(AU86:AU91)</f>
        <v>0</v>
      </c>
      <c r="AV85" s="1198">
        <f t="shared" si="172"/>
        <v>0</v>
      </c>
      <c r="AW85" s="1196"/>
      <c r="AX85" s="1197">
        <f>SUM(AX86:AX91)</f>
        <v>0</v>
      </c>
      <c r="AY85" s="1198">
        <f t="shared" si="173"/>
        <v>0</v>
      </c>
      <c r="AZ85" s="1196"/>
      <c r="BA85" s="1197">
        <f>SUM(BA86:BA91)</f>
        <v>0</v>
      </c>
      <c r="BB85" s="1198">
        <f t="shared" si="174"/>
        <v>0</v>
      </c>
      <c r="BC85" s="1433">
        <f t="shared" si="141"/>
        <v>0</v>
      </c>
    </row>
    <row r="86" spans="1:55" ht="13.8">
      <c r="A86" s="888" t="e">
        <f t="shared" si="116"/>
        <v>#REF!</v>
      </c>
      <c r="B86" s="889">
        <f t="shared" si="117"/>
        <v>0</v>
      </c>
      <c r="C86" s="891" t="e">
        <f t="shared" si="118"/>
        <v>#REF!</v>
      </c>
      <c r="D86" s="892" t="str">
        <f t="shared" si="119"/>
        <v>7. SERVICIOS PARA EL INGENIERO</v>
      </c>
      <c r="E86" s="937">
        <v>75</v>
      </c>
      <c r="F86" s="768" t="s">
        <v>588</v>
      </c>
      <c r="G86" s="771" t="s">
        <v>449</v>
      </c>
      <c r="H86" s="36">
        <v>11316.9</v>
      </c>
      <c r="I86" s="765">
        <v>49.55</v>
      </c>
      <c r="J86" s="66">
        <f t="shared" ref="J86:J91" si="179">ROUND(H86*I86,2)</f>
        <v>560752.4</v>
      </c>
      <c r="K86" s="36">
        <f>SUMIF($V$3:$CH$3,"&lt;"&amp;Datos!$C$20,V86:CH86)</f>
        <v>0</v>
      </c>
      <c r="L86" s="71">
        <f t="shared" ref="L86:L91" si="180">+ROUND(I86*K86,2)</f>
        <v>0</v>
      </c>
      <c r="M86" s="62">
        <f>LOOKUP(Datos!$C$20,'Cant. Ejec,'!$V$3:$BB$3,'Cant. Ejec,'!$V86:$BB86)</f>
        <v>0</v>
      </c>
      <c r="N86" s="73">
        <f t="shared" ref="N86:N91" si="181">+ROUND(I86*M86,2)</f>
        <v>0</v>
      </c>
      <c r="O86" s="61">
        <f t="shared" ref="O86:P91" si="182">K86+M86</f>
        <v>0</v>
      </c>
      <c r="P86" s="896">
        <f t="shared" si="182"/>
        <v>0</v>
      </c>
      <c r="Q86" s="61">
        <f t="shared" ref="Q86:Q91" si="183">H86-O86</f>
        <v>11316.9</v>
      </c>
      <c r="R86" s="896">
        <f t="shared" ref="R86:R91" si="184">+J86-P86</f>
        <v>560752.4</v>
      </c>
      <c r="S86" s="792">
        <f t="shared" ref="S86:S91" si="185">(N86/J86)</f>
        <v>0</v>
      </c>
      <c r="T86" s="792">
        <f t="shared" ref="T86:T91" si="186">(P86/J86)</f>
        <v>0</v>
      </c>
      <c r="U86" s="1184">
        <f t="shared" ref="U86:U91" si="187">(R86/J86)</f>
        <v>1</v>
      </c>
      <c r="V86" s="1202"/>
      <c r="W86" s="1203">
        <f t="shared" ref="W86:W91" si="188">ROUND(V86*$I86,2)</f>
        <v>0</v>
      </c>
      <c r="X86" s="1204">
        <f t="shared" si="164"/>
        <v>0</v>
      </c>
      <c r="Y86" s="1202"/>
      <c r="Z86" s="1203">
        <f t="shared" ref="Z86:Z91" si="189">ROUND(Y86*$I86,2)</f>
        <v>0</v>
      </c>
      <c r="AA86" s="1204">
        <f t="shared" si="165"/>
        <v>0</v>
      </c>
      <c r="AB86" s="1202"/>
      <c r="AC86" s="1203">
        <f t="shared" ref="AC86:AC91" si="190">ROUND(AB86*$I86,2)</f>
        <v>0</v>
      </c>
      <c r="AD86" s="1204">
        <f t="shared" si="166"/>
        <v>0</v>
      </c>
      <c r="AE86" s="1202"/>
      <c r="AF86" s="1203">
        <f t="shared" ref="AF86:AF91" si="191">ROUND(AE86*$I86,2)</f>
        <v>0</v>
      </c>
      <c r="AG86" s="1204">
        <f t="shared" si="167"/>
        <v>0</v>
      </c>
      <c r="AH86" s="1202"/>
      <c r="AI86" s="1203">
        <f t="shared" ref="AI86:AI91" si="192">ROUND(AH86*$I86,2)</f>
        <v>0</v>
      </c>
      <c r="AJ86" s="1204">
        <f t="shared" si="168"/>
        <v>0</v>
      </c>
      <c r="AK86" s="1202"/>
      <c r="AL86" s="1203">
        <f t="shared" ref="AL86:AL91" si="193">ROUND(AK86*$I86,2)</f>
        <v>0</v>
      </c>
      <c r="AM86" s="1204">
        <f t="shared" si="169"/>
        <v>0</v>
      </c>
      <c r="AN86" s="1202"/>
      <c r="AO86" s="1203">
        <f t="shared" ref="AO86:AO91" si="194">ROUND(AN86*$I86,2)</f>
        <v>0</v>
      </c>
      <c r="AP86" s="1204">
        <f t="shared" si="170"/>
        <v>0</v>
      </c>
      <c r="AQ86" s="1202"/>
      <c r="AR86" s="1203">
        <f t="shared" ref="AR86:AR91" si="195">ROUND(AQ86*$I86,2)</f>
        <v>0</v>
      </c>
      <c r="AS86" s="1204">
        <f t="shared" si="171"/>
        <v>0</v>
      </c>
      <c r="AT86" s="1202"/>
      <c r="AU86" s="1203">
        <f t="shared" ref="AU86:AU91" si="196">ROUND(AT86*$I86,2)</f>
        <v>0</v>
      </c>
      <c r="AV86" s="1204">
        <f t="shared" si="172"/>
        <v>0</v>
      </c>
      <c r="AW86" s="1202"/>
      <c r="AX86" s="1203">
        <f t="shared" ref="AX86:AX91" si="197">ROUND(AW86*$I86,2)</f>
        <v>0</v>
      </c>
      <c r="AY86" s="1204">
        <f t="shared" si="173"/>
        <v>0</v>
      </c>
      <c r="AZ86" s="1202"/>
      <c r="BA86" s="1203">
        <f t="shared" ref="BA86:BA91" si="198">ROUND(AZ86*$I86,2)</f>
        <v>0</v>
      </c>
      <c r="BB86" s="1204">
        <f t="shared" si="174"/>
        <v>0</v>
      </c>
      <c r="BC86" s="1433">
        <f t="shared" si="141"/>
        <v>0</v>
      </c>
    </row>
    <row r="87" spans="1:55" ht="13.8">
      <c r="A87" s="888" t="e">
        <f t="shared" si="116"/>
        <v>#REF!</v>
      </c>
      <c r="B87" s="889">
        <f t="shared" si="117"/>
        <v>0</v>
      </c>
      <c r="C87" s="891" t="e">
        <f t="shared" si="118"/>
        <v>#REF!</v>
      </c>
      <c r="D87" s="892" t="str">
        <f>+D86</f>
        <v>7. SERVICIOS PARA EL INGENIERO</v>
      </c>
      <c r="E87" s="937">
        <v>76</v>
      </c>
      <c r="F87" s="768" t="s">
        <v>589</v>
      </c>
      <c r="G87" s="771" t="s">
        <v>575</v>
      </c>
      <c r="H87" s="36">
        <v>1</v>
      </c>
      <c r="I87" s="765">
        <v>527727.62</v>
      </c>
      <c r="J87" s="66">
        <f t="shared" si="179"/>
        <v>527727.62</v>
      </c>
      <c r="K87" s="36">
        <f>SUMIF($V$3:$CH$3,"&lt;"&amp;Datos!$C$20,V87:CH87)</f>
        <v>0</v>
      </c>
      <c r="L87" s="71">
        <f t="shared" si="180"/>
        <v>0</v>
      </c>
      <c r="M87" s="65">
        <f>LOOKUP(Datos!$C$20,'Cant. Ejec,'!$V$3:$BB$3,'Cant. Ejec,'!$V87:$BB87)</f>
        <v>0</v>
      </c>
      <c r="N87" s="37">
        <f t="shared" si="181"/>
        <v>0</v>
      </c>
      <c r="O87" s="61">
        <f t="shared" si="182"/>
        <v>0</v>
      </c>
      <c r="P87" s="896">
        <f t="shared" si="182"/>
        <v>0</v>
      </c>
      <c r="Q87" s="61">
        <f t="shared" si="183"/>
        <v>1</v>
      </c>
      <c r="R87" s="896">
        <f t="shared" si="184"/>
        <v>527727.62</v>
      </c>
      <c r="S87" s="792">
        <f t="shared" si="185"/>
        <v>0</v>
      </c>
      <c r="T87" s="792">
        <f t="shared" si="186"/>
        <v>0</v>
      </c>
      <c r="U87" s="1184">
        <f t="shared" si="187"/>
        <v>1</v>
      </c>
      <c r="V87" s="1202"/>
      <c r="W87" s="1203">
        <f t="shared" si="188"/>
        <v>0</v>
      </c>
      <c r="X87" s="1204">
        <f t="shared" si="164"/>
        <v>0</v>
      </c>
      <c r="Y87" s="1202"/>
      <c r="Z87" s="1203">
        <f t="shared" si="189"/>
        <v>0</v>
      </c>
      <c r="AA87" s="1204">
        <f t="shared" si="165"/>
        <v>0</v>
      </c>
      <c r="AB87" s="1202"/>
      <c r="AC87" s="1203">
        <f t="shared" si="190"/>
        <v>0</v>
      </c>
      <c r="AD87" s="1204">
        <f t="shared" si="166"/>
        <v>0</v>
      </c>
      <c r="AE87" s="1202"/>
      <c r="AF87" s="1203">
        <f t="shared" si="191"/>
        <v>0</v>
      </c>
      <c r="AG87" s="1204">
        <f t="shared" si="167"/>
        <v>0</v>
      </c>
      <c r="AH87" s="1202"/>
      <c r="AI87" s="1203">
        <f t="shared" si="192"/>
        <v>0</v>
      </c>
      <c r="AJ87" s="1204">
        <f t="shared" si="168"/>
        <v>0</v>
      </c>
      <c r="AK87" s="1202"/>
      <c r="AL87" s="1203">
        <f t="shared" si="193"/>
        <v>0</v>
      </c>
      <c r="AM87" s="1204">
        <f t="shared" si="169"/>
        <v>0</v>
      </c>
      <c r="AN87" s="1202"/>
      <c r="AO87" s="1203">
        <f t="shared" si="194"/>
        <v>0</v>
      </c>
      <c r="AP87" s="1204">
        <f t="shared" si="170"/>
        <v>0</v>
      </c>
      <c r="AQ87" s="1202"/>
      <c r="AR87" s="1203">
        <f t="shared" si="195"/>
        <v>0</v>
      </c>
      <c r="AS87" s="1204">
        <f t="shared" si="171"/>
        <v>0</v>
      </c>
      <c r="AT87" s="1202"/>
      <c r="AU87" s="1203">
        <f t="shared" si="196"/>
        <v>0</v>
      </c>
      <c r="AV87" s="1204">
        <f t="shared" si="172"/>
        <v>0</v>
      </c>
      <c r="AW87" s="1202"/>
      <c r="AX87" s="1203">
        <f t="shared" si="197"/>
        <v>0</v>
      </c>
      <c r="AY87" s="1204">
        <f t="shared" si="173"/>
        <v>0</v>
      </c>
      <c r="AZ87" s="1202"/>
      <c r="BA87" s="1203">
        <f t="shared" si="198"/>
        <v>0</v>
      </c>
      <c r="BB87" s="1204">
        <f t="shared" si="174"/>
        <v>0</v>
      </c>
      <c r="BC87" s="1433">
        <f t="shared" si="141"/>
        <v>0</v>
      </c>
    </row>
    <row r="88" spans="1:55" ht="13.8">
      <c r="A88" s="888" t="e">
        <f t="shared" si="116"/>
        <v>#REF!</v>
      </c>
      <c r="B88" s="889">
        <f t="shared" si="117"/>
        <v>0</v>
      </c>
      <c r="C88" s="891" t="e">
        <f t="shared" si="118"/>
        <v>#REF!</v>
      </c>
      <c r="D88" s="892" t="str">
        <f t="shared" ref="D88:D91" si="199">+D87</f>
        <v>7. SERVICIOS PARA EL INGENIERO</v>
      </c>
      <c r="E88" s="937">
        <v>77</v>
      </c>
      <c r="F88" s="768" t="s">
        <v>590</v>
      </c>
      <c r="G88" s="771" t="s">
        <v>575</v>
      </c>
      <c r="H88" s="36">
        <v>2</v>
      </c>
      <c r="I88" s="765">
        <v>277857.94</v>
      </c>
      <c r="J88" s="66">
        <f t="shared" si="179"/>
        <v>555715.88</v>
      </c>
      <c r="K88" s="36">
        <f>SUMIF($V$3:$CH$3,"&lt;"&amp;Datos!$C$20,V88:CH88)</f>
        <v>0</v>
      </c>
      <c r="L88" s="71">
        <f t="shared" si="180"/>
        <v>0</v>
      </c>
      <c r="M88" s="65">
        <f>LOOKUP(Datos!$C$20,'Cant. Ejec,'!$V$3:$BB$3,'Cant. Ejec,'!$V88:$BB88)</f>
        <v>0</v>
      </c>
      <c r="N88" s="37">
        <f t="shared" si="181"/>
        <v>0</v>
      </c>
      <c r="O88" s="61">
        <f t="shared" si="182"/>
        <v>0</v>
      </c>
      <c r="P88" s="896">
        <f t="shared" si="182"/>
        <v>0</v>
      </c>
      <c r="Q88" s="61">
        <f t="shared" si="183"/>
        <v>2</v>
      </c>
      <c r="R88" s="896">
        <f t="shared" si="184"/>
        <v>555715.88</v>
      </c>
      <c r="S88" s="792">
        <f t="shared" si="185"/>
        <v>0</v>
      </c>
      <c r="T88" s="792">
        <f t="shared" si="186"/>
        <v>0</v>
      </c>
      <c r="U88" s="1184">
        <f t="shared" si="187"/>
        <v>1</v>
      </c>
      <c r="V88" s="1202"/>
      <c r="W88" s="1203">
        <f t="shared" si="188"/>
        <v>0</v>
      </c>
      <c r="X88" s="1204">
        <f t="shared" si="164"/>
        <v>0</v>
      </c>
      <c r="Y88" s="1202"/>
      <c r="Z88" s="1203">
        <f t="shared" si="189"/>
        <v>0</v>
      </c>
      <c r="AA88" s="1204">
        <f t="shared" si="165"/>
        <v>0</v>
      </c>
      <c r="AB88" s="1202"/>
      <c r="AC88" s="1203">
        <f t="shared" si="190"/>
        <v>0</v>
      </c>
      <c r="AD88" s="1204">
        <f t="shared" si="166"/>
        <v>0</v>
      </c>
      <c r="AE88" s="1202"/>
      <c r="AF88" s="1203">
        <f t="shared" si="191"/>
        <v>0</v>
      </c>
      <c r="AG88" s="1204">
        <f t="shared" si="167"/>
        <v>0</v>
      </c>
      <c r="AH88" s="1202"/>
      <c r="AI88" s="1203">
        <f t="shared" si="192"/>
        <v>0</v>
      </c>
      <c r="AJ88" s="1204">
        <f t="shared" si="168"/>
        <v>0</v>
      </c>
      <c r="AK88" s="1202"/>
      <c r="AL88" s="1203">
        <f t="shared" si="193"/>
        <v>0</v>
      </c>
      <c r="AM88" s="1204">
        <f t="shared" si="169"/>
        <v>0</v>
      </c>
      <c r="AN88" s="1202"/>
      <c r="AO88" s="1203">
        <f t="shared" si="194"/>
        <v>0</v>
      </c>
      <c r="AP88" s="1204">
        <f t="shared" si="170"/>
        <v>0</v>
      </c>
      <c r="AQ88" s="1202"/>
      <c r="AR88" s="1203">
        <f t="shared" si="195"/>
        <v>0</v>
      </c>
      <c r="AS88" s="1204">
        <f t="shared" si="171"/>
        <v>0</v>
      </c>
      <c r="AT88" s="1202"/>
      <c r="AU88" s="1203">
        <f t="shared" si="196"/>
        <v>0</v>
      </c>
      <c r="AV88" s="1204">
        <f t="shared" si="172"/>
        <v>0</v>
      </c>
      <c r="AW88" s="1202"/>
      <c r="AX88" s="1203">
        <f t="shared" si="197"/>
        <v>0</v>
      </c>
      <c r="AY88" s="1204">
        <f t="shared" si="173"/>
        <v>0</v>
      </c>
      <c r="AZ88" s="1202"/>
      <c r="BA88" s="1203">
        <f t="shared" si="198"/>
        <v>0</v>
      </c>
      <c r="BB88" s="1204">
        <f t="shared" si="174"/>
        <v>0</v>
      </c>
      <c r="BC88" s="1433">
        <f t="shared" si="141"/>
        <v>0</v>
      </c>
    </row>
    <row r="89" spans="1:55" ht="13.8">
      <c r="A89" s="888" t="e">
        <f t="shared" si="116"/>
        <v>#REF!</v>
      </c>
      <c r="B89" s="889">
        <f t="shared" si="117"/>
        <v>0</v>
      </c>
      <c r="C89" s="891" t="e">
        <f t="shared" si="118"/>
        <v>#REF!</v>
      </c>
      <c r="D89" s="892" t="str">
        <f t="shared" si="199"/>
        <v>7. SERVICIOS PARA EL INGENIERO</v>
      </c>
      <c r="E89" s="937">
        <v>78</v>
      </c>
      <c r="F89" s="768" t="s">
        <v>591</v>
      </c>
      <c r="G89" s="771" t="s">
        <v>450</v>
      </c>
      <c r="H89" s="36">
        <v>18</v>
      </c>
      <c r="I89" s="765">
        <v>1535.17</v>
      </c>
      <c r="J89" s="66">
        <f t="shared" si="179"/>
        <v>27633.06</v>
      </c>
      <c r="K89" s="36">
        <f>SUMIF($V$3:$CH$3,"&lt;"&amp;Datos!$C$20,V89:CH89)</f>
        <v>0</v>
      </c>
      <c r="L89" s="71">
        <f t="shared" si="180"/>
        <v>0</v>
      </c>
      <c r="M89" s="65">
        <f>LOOKUP(Datos!$C$20,'Cant. Ejec,'!$V$3:$BB$3,'Cant. Ejec,'!$V89:$BB89)</f>
        <v>0</v>
      </c>
      <c r="N89" s="37">
        <f t="shared" si="181"/>
        <v>0</v>
      </c>
      <c r="O89" s="61">
        <f t="shared" si="182"/>
        <v>0</v>
      </c>
      <c r="P89" s="896">
        <f t="shared" si="182"/>
        <v>0</v>
      </c>
      <c r="Q89" s="61">
        <f t="shared" si="183"/>
        <v>18</v>
      </c>
      <c r="R89" s="896">
        <f t="shared" si="184"/>
        <v>27633.06</v>
      </c>
      <c r="S89" s="792">
        <f t="shared" si="185"/>
        <v>0</v>
      </c>
      <c r="T89" s="792">
        <f t="shared" si="186"/>
        <v>0</v>
      </c>
      <c r="U89" s="1184">
        <f t="shared" si="187"/>
        <v>1</v>
      </c>
      <c r="V89" s="1202"/>
      <c r="W89" s="1203">
        <f t="shared" si="188"/>
        <v>0</v>
      </c>
      <c r="X89" s="1204">
        <f t="shared" si="164"/>
        <v>0</v>
      </c>
      <c r="Y89" s="1202"/>
      <c r="Z89" s="1203">
        <f t="shared" si="189"/>
        <v>0</v>
      </c>
      <c r="AA89" s="1204">
        <f t="shared" si="165"/>
        <v>0</v>
      </c>
      <c r="AB89" s="1202"/>
      <c r="AC89" s="1203">
        <f t="shared" si="190"/>
        <v>0</v>
      </c>
      <c r="AD89" s="1204">
        <f t="shared" si="166"/>
        <v>0</v>
      </c>
      <c r="AE89" s="1202"/>
      <c r="AF89" s="1203">
        <f t="shared" si="191"/>
        <v>0</v>
      </c>
      <c r="AG89" s="1204">
        <f t="shared" si="167"/>
        <v>0</v>
      </c>
      <c r="AH89" s="1202"/>
      <c r="AI89" s="1203">
        <f t="shared" si="192"/>
        <v>0</v>
      </c>
      <c r="AJ89" s="1204">
        <f t="shared" si="168"/>
        <v>0</v>
      </c>
      <c r="AK89" s="1202"/>
      <c r="AL89" s="1203">
        <f t="shared" si="193"/>
        <v>0</v>
      </c>
      <c r="AM89" s="1204">
        <f t="shared" si="169"/>
        <v>0</v>
      </c>
      <c r="AN89" s="1202"/>
      <c r="AO89" s="1203">
        <f t="shared" si="194"/>
        <v>0</v>
      </c>
      <c r="AP89" s="1204">
        <f t="shared" si="170"/>
        <v>0</v>
      </c>
      <c r="AQ89" s="1202"/>
      <c r="AR89" s="1203">
        <f t="shared" si="195"/>
        <v>0</v>
      </c>
      <c r="AS89" s="1204">
        <f t="shared" si="171"/>
        <v>0</v>
      </c>
      <c r="AT89" s="1202"/>
      <c r="AU89" s="1203">
        <f t="shared" si="196"/>
        <v>0</v>
      </c>
      <c r="AV89" s="1204">
        <f t="shared" si="172"/>
        <v>0</v>
      </c>
      <c r="AW89" s="1202"/>
      <c r="AX89" s="1203">
        <f t="shared" si="197"/>
        <v>0</v>
      </c>
      <c r="AY89" s="1204">
        <f t="shared" si="173"/>
        <v>0</v>
      </c>
      <c r="AZ89" s="1202"/>
      <c r="BA89" s="1203">
        <f t="shared" si="198"/>
        <v>0</v>
      </c>
      <c r="BB89" s="1204">
        <f t="shared" si="174"/>
        <v>0</v>
      </c>
      <c r="BC89" s="1433">
        <f t="shared" si="141"/>
        <v>0</v>
      </c>
    </row>
    <row r="90" spans="1:55" ht="13.8">
      <c r="A90" s="888" t="e">
        <f t="shared" si="116"/>
        <v>#REF!</v>
      </c>
      <c r="B90" s="889">
        <f t="shared" si="117"/>
        <v>0</v>
      </c>
      <c r="C90" s="891" t="e">
        <f t="shared" si="118"/>
        <v>#REF!</v>
      </c>
      <c r="D90" s="892" t="str">
        <f t="shared" si="199"/>
        <v>7. SERVICIOS PARA EL INGENIERO</v>
      </c>
      <c r="E90" s="937">
        <v>79</v>
      </c>
      <c r="F90" s="768" t="s">
        <v>592</v>
      </c>
      <c r="G90" s="771" t="s">
        <v>646</v>
      </c>
      <c r="H90" s="36">
        <v>33004.019999999997</v>
      </c>
      <c r="I90" s="765">
        <v>15.2</v>
      </c>
      <c r="J90" s="66">
        <f t="shared" si="179"/>
        <v>501661.1</v>
      </c>
      <c r="K90" s="36">
        <f>SUMIF($V$3:$CH$3,"&lt;"&amp;Datos!$C$20,V90:CH90)</f>
        <v>0</v>
      </c>
      <c r="L90" s="71">
        <f t="shared" si="180"/>
        <v>0</v>
      </c>
      <c r="M90" s="65">
        <f>LOOKUP(Datos!$C$20,'Cant. Ejec,'!$V$3:$BB$3,'Cant. Ejec,'!$V90:$BB90)</f>
        <v>0</v>
      </c>
      <c r="N90" s="37">
        <f t="shared" si="181"/>
        <v>0</v>
      </c>
      <c r="O90" s="61">
        <f t="shared" si="182"/>
        <v>0</v>
      </c>
      <c r="P90" s="896">
        <f t="shared" si="182"/>
        <v>0</v>
      </c>
      <c r="Q90" s="61">
        <f t="shared" si="183"/>
        <v>33004.019999999997</v>
      </c>
      <c r="R90" s="896">
        <f t="shared" si="184"/>
        <v>501661.1</v>
      </c>
      <c r="S90" s="792">
        <f>(N90/J90)</f>
        <v>0</v>
      </c>
      <c r="T90" s="792">
        <f>(P90/J90)</f>
        <v>0</v>
      </c>
      <c r="U90" s="1184">
        <f t="shared" si="187"/>
        <v>1</v>
      </c>
      <c r="V90" s="1202"/>
      <c r="W90" s="1203">
        <f t="shared" si="188"/>
        <v>0</v>
      </c>
      <c r="X90" s="1204">
        <f t="shared" si="164"/>
        <v>0</v>
      </c>
      <c r="Y90" s="1202"/>
      <c r="Z90" s="1203">
        <f t="shared" si="189"/>
        <v>0</v>
      </c>
      <c r="AA90" s="1204">
        <f t="shared" si="165"/>
        <v>0</v>
      </c>
      <c r="AB90" s="1202"/>
      <c r="AC90" s="1203">
        <f t="shared" si="190"/>
        <v>0</v>
      </c>
      <c r="AD90" s="1204">
        <f t="shared" si="166"/>
        <v>0</v>
      </c>
      <c r="AE90" s="1202"/>
      <c r="AF90" s="1203">
        <f t="shared" si="191"/>
        <v>0</v>
      </c>
      <c r="AG90" s="1204">
        <f t="shared" si="167"/>
        <v>0</v>
      </c>
      <c r="AH90" s="1202"/>
      <c r="AI90" s="1203">
        <f t="shared" si="192"/>
        <v>0</v>
      </c>
      <c r="AJ90" s="1204">
        <f t="shared" si="168"/>
        <v>0</v>
      </c>
      <c r="AK90" s="1202"/>
      <c r="AL90" s="1203">
        <f t="shared" si="193"/>
        <v>0</v>
      </c>
      <c r="AM90" s="1204">
        <f t="shared" si="169"/>
        <v>0</v>
      </c>
      <c r="AN90" s="1202"/>
      <c r="AO90" s="1203">
        <f t="shared" si="194"/>
        <v>0</v>
      </c>
      <c r="AP90" s="1204">
        <f t="shared" si="170"/>
        <v>0</v>
      </c>
      <c r="AQ90" s="1202"/>
      <c r="AR90" s="1203">
        <f t="shared" si="195"/>
        <v>0</v>
      </c>
      <c r="AS90" s="1204">
        <f t="shared" si="171"/>
        <v>0</v>
      </c>
      <c r="AT90" s="1202"/>
      <c r="AU90" s="1203">
        <f t="shared" si="196"/>
        <v>0</v>
      </c>
      <c r="AV90" s="1204">
        <f t="shared" si="172"/>
        <v>0</v>
      </c>
      <c r="AW90" s="1202"/>
      <c r="AX90" s="1203">
        <f t="shared" si="197"/>
        <v>0</v>
      </c>
      <c r="AY90" s="1204">
        <f t="shared" si="173"/>
        <v>0</v>
      </c>
      <c r="AZ90" s="1202"/>
      <c r="BA90" s="1203">
        <f t="shared" si="198"/>
        <v>0</v>
      </c>
      <c r="BB90" s="1204">
        <f t="shared" si="174"/>
        <v>0</v>
      </c>
      <c r="BC90" s="1433">
        <f t="shared" si="141"/>
        <v>0</v>
      </c>
    </row>
    <row r="91" spans="1:55" ht="13.8">
      <c r="A91" s="888" t="e">
        <f t="shared" si="116"/>
        <v>#REF!</v>
      </c>
      <c r="B91" s="889">
        <f t="shared" si="117"/>
        <v>0</v>
      </c>
      <c r="C91" s="891" t="e">
        <f t="shared" si="118"/>
        <v>#REF!</v>
      </c>
      <c r="D91" s="892" t="str">
        <f t="shared" si="199"/>
        <v>7. SERVICIOS PARA EL INGENIERO</v>
      </c>
      <c r="E91" s="937">
        <v>80</v>
      </c>
      <c r="F91" s="768" t="s">
        <v>593</v>
      </c>
      <c r="G91" s="771" t="s">
        <v>594</v>
      </c>
      <c r="H91" s="36">
        <v>540</v>
      </c>
      <c r="I91" s="765">
        <v>139.30000000000001</v>
      </c>
      <c r="J91" s="66">
        <f t="shared" si="179"/>
        <v>75222</v>
      </c>
      <c r="K91" s="36">
        <f>SUMIF($V$3:$CH$3,"&lt;"&amp;Datos!$C$20,V91:CH91)</f>
        <v>0</v>
      </c>
      <c r="L91" s="71">
        <f t="shared" si="180"/>
        <v>0</v>
      </c>
      <c r="M91" s="411">
        <f>LOOKUP(Datos!$C$20,'Cant. Ejec,'!$V$3:$BB$3,'Cant. Ejec,'!$V91:$BB91)</f>
        <v>0</v>
      </c>
      <c r="N91" s="978">
        <f t="shared" si="181"/>
        <v>0</v>
      </c>
      <c r="O91" s="61">
        <f t="shared" si="182"/>
        <v>0</v>
      </c>
      <c r="P91" s="896">
        <f t="shared" si="182"/>
        <v>0</v>
      </c>
      <c r="Q91" s="61">
        <f t="shared" si="183"/>
        <v>540</v>
      </c>
      <c r="R91" s="896">
        <f t="shared" si="184"/>
        <v>75222</v>
      </c>
      <c r="S91" s="932">
        <f t="shared" si="185"/>
        <v>0</v>
      </c>
      <c r="T91" s="932">
        <f t="shared" si="186"/>
        <v>0</v>
      </c>
      <c r="U91" s="1185">
        <f t="shared" si="187"/>
        <v>1</v>
      </c>
      <c r="V91" s="1202"/>
      <c r="W91" s="1203">
        <f t="shared" si="188"/>
        <v>0</v>
      </c>
      <c r="X91" s="1204">
        <f t="shared" si="164"/>
        <v>0</v>
      </c>
      <c r="Y91" s="1202"/>
      <c r="Z91" s="1203">
        <f t="shared" si="189"/>
        <v>0</v>
      </c>
      <c r="AA91" s="1204">
        <f t="shared" si="165"/>
        <v>0</v>
      </c>
      <c r="AB91" s="1202"/>
      <c r="AC91" s="1203">
        <f t="shared" si="190"/>
        <v>0</v>
      </c>
      <c r="AD91" s="1204">
        <f t="shared" si="166"/>
        <v>0</v>
      </c>
      <c r="AE91" s="1202"/>
      <c r="AF91" s="1203">
        <f t="shared" si="191"/>
        <v>0</v>
      </c>
      <c r="AG91" s="1204">
        <f t="shared" si="167"/>
        <v>0</v>
      </c>
      <c r="AH91" s="1202"/>
      <c r="AI91" s="1203">
        <f t="shared" si="192"/>
        <v>0</v>
      </c>
      <c r="AJ91" s="1204">
        <f t="shared" si="168"/>
        <v>0</v>
      </c>
      <c r="AK91" s="1202"/>
      <c r="AL91" s="1203">
        <f t="shared" si="193"/>
        <v>0</v>
      </c>
      <c r="AM91" s="1204">
        <f t="shared" si="169"/>
        <v>0</v>
      </c>
      <c r="AN91" s="1202"/>
      <c r="AO91" s="1203">
        <f t="shared" si="194"/>
        <v>0</v>
      </c>
      <c r="AP91" s="1204">
        <f t="shared" si="170"/>
        <v>0</v>
      </c>
      <c r="AQ91" s="1202"/>
      <c r="AR91" s="1203">
        <f t="shared" si="195"/>
        <v>0</v>
      </c>
      <c r="AS91" s="1204">
        <f t="shared" si="171"/>
        <v>0</v>
      </c>
      <c r="AT91" s="1202"/>
      <c r="AU91" s="1203">
        <f t="shared" si="196"/>
        <v>0</v>
      </c>
      <c r="AV91" s="1204">
        <f t="shared" si="172"/>
        <v>0</v>
      </c>
      <c r="AW91" s="1202"/>
      <c r="AX91" s="1203">
        <f t="shared" si="197"/>
        <v>0</v>
      </c>
      <c r="AY91" s="1204">
        <f t="shared" si="173"/>
        <v>0</v>
      </c>
      <c r="AZ91" s="1202"/>
      <c r="BA91" s="1203">
        <f t="shared" si="198"/>
        <v>0</v>
      </c>
      <c r="BB91" s="1204">
        <f t="shared" si="174"/>
        <v>0</v>
      </c>
      <c r="BC91" s="1433">
        <f t="shared" si="141"/>
        <v>0</v>
      </c>
    </row>
    <row r="92" spans="1:55" ht="13.5" customHeight="1">
      <c r="A92" s="888"/>
      <c r="B92" s="889"/>
      <c r="C92" s="891"/>
      <c r="D92" s="892"/>
      <c r="E92" s="21"/>
      <c r="F92" s="623" t="s">
        <v>425</v>
      </c>
      <c r="G92" s="284"/>
      <c r="H92" s="624"/>
      <c r="I92" s="895"/>
      <c r="J92" s="770">
        <v>1</v>
      </c>
      <c r="K92" s="707"/>
      <c r="L92" s="707"/>
      <c r="M92" s="709"/>
      <c r="N92" s="707"/>
      <c r="O92" s="709"/>
      <c r="P92" s="915"/>
      <c r="Q92" s="916"/>
      <c r="R92" s="707"/>
      <c r="S92" s="710"/>
      <c r="T92" s="1074"/>
      <c r="U92" s="1074"/>
      <c r="V92" s="1202"/>
      <c r="W92" s="1203">
        <f t="shared" ref="W92:W93" si="200">ROUND(V92*$I92,2)</f>
        <v>0</v>
      </c>
      <c r="X92" s="1204">
        <f t="shared" ref="X92:X93" si="201">+W92/$J92</f>
        <v>0</v>
      </c>
      <c r="Y92" s="1202"/>
      <c r="Z92" s="1203">
        <f t="shared" ref="Z92:Z93" si="202">ROUND(Y92*$I92,2)</f>
        <v>0</v>
      </c>
      <c r="AA92" s="1204">
        <f t="shared" ref="AA92:AA93" si="203">+Z92/$J92</f>
        <v>0</v>
      </c>
      <c r="AB92" s="1202"/>
      <c r="AC92" s="1203">
        <f t="shared" ref="AC92:AC93" si="204">ROUND(AB92*$I92,2)</f>
        <v>0</v>
      </c>
      <c r="AD92" s="1204">
        <f t="shared" ref="AD92:AD93" si="205">+AC92/$J92</f>
        <v>0</v>
      </c>
      <c r="AE92" s="1202"/>
      <c r="AF92" s="1203">
        <f t="shared" ref="AF92:AF93" si="206">ROUND(AE92*$I92,2)</f>
        <v>0</v>
      </c>
      <c r="AG92" s="1204">
        <f t="shared" ref="AG92:AG93" si="207">+AF92/$J92</f>
        <v>0</v>
      </c>
      <c r="AH92" s="1202"/>
      <c r="AI92" s="1203">
        <f t="shared" ref="AI92:AI93" si="208">ROUND(AH92*$I92,2)</f>
        <v>0</v>
      </c>
      <c r="AJ92" s="1204">
        <f t="shared" ref="AJ92:AJ93" si="209">+AI92/$J92</f>
        <v>0</v>
      </c>
      <c r="AK92" s="1202"/>
      <c r="AL92" s="1203">
        <f t="shared" ref="AL92:AL93" si="210">ROUND(AK92*$I92,2)</f>
        <v>0</v>
      </c>
      <c r="AM92" s="1204">
        <f t="shared" ref="AM92:AM93" si="211">+AL92/$J92</f>
        <v>0</v>
      </c>
      <c r="AN92" s="1202"/>
      <c r="AO92" s="1203">
        <f t="shared" ref="AO92:AO93" si="212">ROUND(AN92*$I92,2)</f>
        <v>0</v>
      </c>
      <c r="AP92" s="1204">
        <f t="shared" ref="AP92:AP93" si="213">+AO92/$J92</f>
        <v>0</v>
      </c>
      <c r="AQ92" s="1202"/>
      <c r="AR92" s="1203">
        <f t="shared" ref="AR92:AR93" si="214">ROUND(AQ92*$I92,2)</f>
        <v>0</v>
      </c>
      <c r="AS92" s="1204">
        <f t="shared" ref="AS92:AS93" si="215">+AR92/$J92</f>
        <v>0</v>
      </c>
      <c r="AT92" s="1202"/>
      <c r="AU92" s="1203">
        <f t="shared" ref="AU92:AU93" si="216">ROUND(AT92*$I92,2)</f>
        <v>0</v>
      </c>
      <c r="AV92" s="1204">
        <f t="shared" ref="AV92:AV93" si="217">+AU92/$J92</f>
        <v>0</v>
      </c>
      <c r="AW92" s="1202"/>
      <c r="AX92" s="1203">
        <f t="shared" ref="AX92:AX93" si="218">ROUND(AW92*$I92,2)</f>
        <v>0</v>
      </c>
      <c r="AY92" s="1204">
        <f t="shared" ref="AY92:AY93" si="219">+AX92/$J92</f>
        <v>0</v>
      </c>
      <c r="AZ92" s="1202"/>
      <c r="BA92" s="1203">
        <f t="shared" ref="BA92:BA93" si="220">ROUND(AZ92*$I92,2)</f>
        <v>0</v>
      </c>
      <c r="BB92" s="1204">
        <f t="shared" ref="BB92:BB93" si="221">+BA92/$J92</f>
        <v>0</v>
      </c>
      <c r="BC92" s="1433">
        <f t="shared" si="141"/>
        <v>0</v>
      </c>
    </row>
    <row r="93" spans="1:55" s="77" customFormat="1" ht="13.5" customHeight="1" thickBot="1">
      <c r="D93" s="892"/>
      <c r="E93" s="982"/>
      <c r="F93" s="983" t="s">
        <v>154</v>
      </c>
      <c r="G93" s="984"/>
      <c r="H93" s="985"/>
      <c r="I93" s="986"/>
      <c r="J93" s="1081">
        <f>+J5+J7+J18+J25+J66+J83+J85</f>
        <v>108397839.64</v>
      </c>
      <c r="K93" s="987"/>
      <c r="L93" s="1081">
        <f>+L5+L7+L18+L25+L66+L83+L85</f>
        <v>1649850.16</v>
      </c>
      <c r="M93" s="988"/>
      <c r="N93" s="1081">
        <f>+N5+N7+N18+N25+N66+N83+N85</f>
        <v>81632.100000000006</v>
      </c>
      <c r="O93" s="987"/>
      <c r="P93" s="986">
        <f>+P5+P7+P18+P25+P66+P83+P85</f>
        <v>1731482.2599999998</v>
      </c>
      <c r="Q93" s="988"/>
      <c r="R93" s="986">
        <f>+R5+R7+R18+R25+R66+R83+R85</f>
        <v>106666357.38000001</v>
      </c>
      <c r="S93" s="1080">
        <f>(N93/J93)</f>
        <v>7.5307866163300231E-4</v>
      </c>
      <c r="T93" s="1077">
        <f>(P93/J93)</f>
        <v>1.5973401921573569E-2</v>
      </c>
      <c r="U93" s="1186">
        <f>(R93/J93)</f>
        <v>0.98402659807842652</v>
      </c>
      <c r="V93" s="1206"/>
      <c r="W93" s="1207">
        <f t="shared" si="200"/>
        <v>0</v>
      </c>
      <c r="X93" s="1208">
        <f t="shared" si="201"/>
        <v>0</v>
      </c>
      <c r="Y93" s="1206"/>
      <c r="Z93" s="1207">
        <f t="shared" si="202"/>
        <v>0</v>
      </c>
      <c r="AA93" s="1208">
        <f t="shared" si="203"/>
        <v>0</v>
      </c>
      <c r="AB93" s="1206"/>
      <c r="AC93" s="1207">
        <f t="shared" si="204"/>
        <v>0</v>
      </c>
      <c r="AD93" s="1208">
        <f t="shared" si="205"/>
        <v>0</v>
      </c>
      <c r="AE93" s="1206"/>
      <c r="AF93" s="1207">
        <f t="shared" si="206"/>
        <v>0</v>
      </c>
      <c r="AG93" s="1208">
        <f t="shared" si="207"/>
        <v>0</v>
      </c>
      <c r="AH93" s="1206"/>
      <c r="AI93" s="1207">
        <f t="shared" si="208"/>
        <v>0</v>
      </c>
      <c r="AJ93" s="1208">
        <f t="shared" si="209"/>
        <v>0</v>
      </c>
      <c r="AK93" s="1206"/>
      <c r="AL93" s="1207">
        <f t="shared" si="210"/>
        <v>0</v>
      </c>
      <c r="AM93" s="1208">
        <f t="shared" si="211"/>
        <v>0</v>
      </c>
      <c r="AN93" s="1206"/>
      <c r="AO93" s="1207">
        <f t="shared" si="212"/>
        <v>0</v>
      </c>
      <c r="AP93" s="1208">
        <f t="shared" si="213"/>
        <v>0</v>
      </c>
      <c r="AQ93" s="1206"/>
      <c r="AR93" s="1207">
        <f t="shared" si="214"/>
        <v>0</v>
      </c>
      <c r="AS93" s="1208">
        <f t="shared" si="215"/>
        <v>0</v>
      </c>
      <c r="AT93" s="1206"/>
      <c r="AU93" s="1207">
        <f t="shared" si="216"/>
        <v>0</v>
      </c>
      <c r="AV93" s="1208">
        <f t="shared" si="217"/>
        <v>0</v>
      </c>
      <c r="AW93" s="1206"/>
      <c r="AX93" s="1207">
        <f t="shared" si="218"/>
        <v>0</v>
      </c>
      <c r="AY93" s="1208">
        <f t="shared" si="219"/>
        <v>0</v>
      </c>
      <c r="AZ93" s="1206"/>
      <c r="BA93" s="1207">
        <f t="shared" si="220"/>
        <v>0</v>
      </c>
      <c r="BB93" s="1208">
        <f t="shared" si="221"/>
        <v>0</v>
      </c>
      <c r="BC93" s="1434">
        <f>SUM(BC5:BC92)/2+5.03</f>
        <v>1731487.2899999998</v>
      </c>
    </row>
    <row r="94" spans="1:55" ht="12.75" customHeight="1">
      <c r="D94" s="892"/>
      <c r="E94" s="22"/>
      <c r="F94" s="23"/>
      <c r="G94" s="24"/>
      <c r="H94" s="24"/>
      <c r="I94" s="31"/>
      <c r="J94" s="25"/>
      <c r="K94" s="26"/>
      <c r="L94" s="26"/>
      <c r="M94" s="27"/>
      <c r="N94" s="26"/>
      <c r="O94" s="28"/>
      <c r="P94" s="26"/>
      <c r="Q94" s="1454"/>
      <c r="R94" s="1454"/>
      <c r="S94" s="26"/>
      <c r="T94" s="26"/>
      <c r="U94" s="29"/>
    </row>
    <row r="95" spans="1:55" ht="12.75" customHeight="1">
      <c r="E95" s="22"/>
      <c r="F95" s="23"/>
      <c r="G95" s="24"/>
      <c r="H95" s="24"/>
      <c r="I95" s="31"/>
      <c r="J95" s="25"/>
      <c r="K95" s="26"/>
      <c r="L95" s="26"/>
      <c r="M95" s="27"/>
      <c r="N95" s="26"/>
      <c r="O95" s="28"/>
      <c r="P95" s="26"/>
      <c r="Q95" s="1179"/>
      <c r="R95" s="1179"/>
      <c r="S95" s="26"/>
      <c r="T95" s="26"/>
      <c r="U95" s="29"/>
    </row>
    <row r="96" spans="1:55" ht="12.75" customHeight="1">
      <c r="E96" s="22"/>
      <c r="F96" s="23"/>
      <c r="G96" s="24"/>
      <c r="H96" s="24"/>
      <c r="I96" s="31"/>
      <c r="J96" s="25"/>
      <c r="K96" s="26"/>
      <c r="L96" s="26"/>
      <c r="M96" s="27"/>
      <c r="N96" s="26"/>
      <c r="O96" s="28"/>
      <c r="P96" s="26"/>
      <c r="Q96" s="1179"/>
      <c r="R96" s="1179"/>
      <c r="S96" s="26"/>
      <c r="T96" s="26"/>
      <c r="U96" s="29"/>
    </row>
    <row r="97" spans="1:21" ht="12.75" customHeight="1">
      <c r="E97" s="22"/>
      <c r="F97" s="23"/>
      <c r="G97" s="24"/>
      <c r="H97" s="24"/>
      <c r="I97" s="31"/>
      <c r="J97" s="25"/>
      <c r="K97" s="26"/>
      <c r="L97" s="26"/>
      <c r="M97" s="27"/>
      <c r="N97" s="26"/>
      <c r="O97" s="28"/>
      <c r="P97" s="26"/>
      <c r="Q97" s="1179"/>
      <c r="R97" s="1179"/>
      <c r="S97" s="26"/>
      <c r="T97" s="26"/>
      <c r="U97" s="29"/>
    </row>
    <row r="98" spans="1:21" ht="12.75" customHeight="1">
      <c r="E98" s="22"/>
      <c r="F98" s="23"/>
      <c r="G98" s="24"/>
      <c r="H98" s="24"/>
      <c r="I98" s="31"/>
      <c r="J98" s="25"/>
      <c r="K98" s="26"/>
      <c r="L98" s="26"/>
      <c r="M98" s="27"/>
      <c r="N98" s="26"/>
      <c r="O98" s="28"/>
      <c r="P98" s="26"/>
      <c r="Q98" s="1179"/>
      <c r="R98" s="1179"/>
      <c r="S98" s="26"/>
      <c r="T98" s="26"/>
      <c r="U98" s="29"/>
    </row>
    <row r="99" spans="1:21" ht="12.75" customHeight="1">
      <c r="E99" s="92"/>
      <c r="F99" s="30"/>
      <c r="G99" s="781"/>
      <c r="H99" s="781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3"/>
    </row>
    <row r="100" spans="1:21" ht="12.75" customHeight="1">
      <c r="E100" s="92"/>
      <c r="F100" s="1178"/>
      <c r="G100" s="1178"/>
      <c r="H100" s="1178"/>
      <c r="I100" s="992"/>
      <c r="J100" s="1455"/>
      <c r="K100" s="1455"/>
      <c r="L100" s="1455"/>
      <c r="M100" s="992"/>
      <c r="N100" s="992"/>
      <c r="O100" s="992"/>
      <c r="P100" s="30"/>
      <c r="Q100" s="1178"/>
      <c r="R100" s="32"/>
      <c r="S100" s="32"/>
      <c r="T100" s="32"/>
      <c r="U100" s="33"/>
    </row>
    <row r="101" spans="1:21" ht="12.75" customHeight="1">
      <c r="E101" s="92"/>
      <c r="F101" s="1176"/>
      <c r="G101" s="1178"/>
      <c r="H101" s="1178"/>
      <c r="I101" s="992"/>
      <c r="J101" s="1456"/>
      <c r="K101" s="1456"/>
      <c r="L101" s="1456"/>
      <c r="M101" s="992"/>
      <c r="N101" s="992"/>
      <c r="O101" s="992"/>
      <c r="P101" s="30"/>
      <c r="Q101" s="1176"/>
      <c r="R101" s="32"/>
      <c r="S101" s="32"/>
      <c r="T101" s="32"/>
      <c r="U101" s="33"/>
    </row>
    <row r="102" spans="1:21" s="106" customFormat="1" ht="23.25" customHeight="1">
      <c r="A102" s="19"/>
      <c r="B102" s="19"/>
      <c r="C102" s="19"/>
      <c r="D102" s="19"/>
      <c r="E102" s="299"/>
      <c r="F102" s="994"/>
      <c r="G102" s="995"/>
      <c r="H102" s="995"/>
      <c r="I102" s="996"/>
      <c r="J102" s="1451"/>
      <c r="K102" s="1451"/>
      <c r="L102" s="1451"/>
      <c r="M102" s="1108"/>
      <c r="N102" s="1108"/>
      <c r="O102" s="1108"/>
      <c r="P102" s="1109"/>
      <c r="Q102" s="1177"/>
      <c r="R102" s="1110"/>
      <c r="S102" s="300"/>
      <c r="T102" s="300"/>
      <c r="U102" s="301"/>
    </row>
    <row r="103" spans="1:21" s="106" customFormat="1" ht="12.75" customHeight="1">
      <c r="A103" s="19"/>
      <c r="B103" s="19"/>
      <c r="C103" s="19"/>
      <c r="D103" s="19"/>
      <c r="E103" s="20"/>
      <c r="F103" s="19"/>
      <c r="G103" s="20"/>
      <c r="H103" s="20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</row>
    <row r="104" spans="1:21" s="106" customFormat="1" ht="12.75" customHeight="1">
      <c r="A104" s="19"/>
      <c r="B104" s="19"/>
      <c r="C104" s="19"/>
      <c r="D104" s="19"/>
      <c r="E104" s="20"/>
      <c r="F104" s="19"/>
      <c r="G104" s="20"/>
      <c r="H104" s="20"/>
      <c r="I104" s="34"/>
      <c r="J104" s="34"/>
      <c r="K104" s="34"/>
      <c r="L104" s="34"/>
      <c r="M104" s="593"/>
      <c r="N104" s="401"/>
      <c r="O104" s="401"/>
      <c r="P104" s="594"/>
      <c r="Q104" s="34"/>
      <c r="R104" s="592"/>
      <c r="S104" s="34"/>
      <c r="T104" s="34"/>
      <c r="U104" s="34"/>
    </row>
    <row r="105" spans="1:21" s="106" customFormat="1" ht="12.75" customHeight="1">
      <c r="A105" s="19"/>
      <c r="B105" s="19"/>
      <c r="C105" s="19"/>
      <c r="D105" s="19"/>
      <c r="E105" s="20"/>
      <c r="F105" s="19"/>
      <c r="G105" s="20"/>
      <c r="H105" s="20"/>
      <c r="I105" s="34"/>
      <c r="J105" s="744"/>
      <c r="K105" s="34"/>
      <c r="L105" s="401"/>
      <c r="M105" s="593"/>
      <c r="N105" s="34"/>
      <c r="O105" s="34"/>
      <c r="P105" s="34"/>
      <c r="Q105" s="401"/>
      <c r="R105" s="592"/>
      <c r="S105" s="34"/>
      <c r="T105" s="34"/>
      <c r="U105" s="34"/>
    </row>
    <row r="106" spans="1:21" s="106" customFormat="1" ht="12.75" customHeight="1">
      <c r="A106" s="19"/>
      <c r="B106" s="19"/>
      <c r="C106" s="19"/>
      <c r="D106" s="19"/>
      <c r="E106" s="20"/>
      <c r="F106" s="19"/>
      <c r="G106" s="20"/>
      <c r="H106" s="20"/>
      <c r="I106" s="34"/>
      <c r="J106" s="745"/>
      <c r="K106" s="34"/>
      <c r="L106" s="34"/>
      <c r="M106" s="34"/>
      <c r="N106" s="34"/>
      <c r="O106" s="34"/>
      <c r="P106" s="594"/>
      <c r="Q106" s="592"/>
      <c r="R106" s="34"/>
      <c r="S106" s="34"/>
      <c r="T106" s="34"/>
      <c r="U106" s="34"/>
    </row>
    <row r="107" spans="1:21" s="106" customFormat="1" ht="12.75" customHeight="1">
      <c r="A107" s="19"/>
      <c r="B107" s="19"/>
      <c r="C107" s="19"/>
      <c r="D107" s="19"/>
      <c r="E107" s="20"/>
      <c r="F107" s="19"/>
      <c r="G107" s="20"/>
      <c r="H107" s="20"/>
      <c r="I107" s="34"/>
      <c r="J107" s="746"/>
      <c r="K107" s="34"/>
      <c r="L107" s="34"/>
      <c r="M107" s="34"/>
      <c r="N107" s="593"/>
      <c r="O107" s="34"/>
      <c r="P107" s="34"/>
      <c r="Q107" s="34"/>
      <c r="R107" s="34"/>
      <c r="S107" s="34"/>
      <c r="T107" s="34"/>
      <c r="U107" s="34"/>
    </row>
    <row r="108" spans="1:21" s="106" customFormat="1" ht="12.75" customHeight="1">
      <c r="A108" s="19"/>
      <c r="B108" s="19"/>
      <c r="C108" s="19"/>
      <c r="D108" s="19"/>
      <c r="E108" s="20"/>
      <c r="F108" s="19"/>
      <c r="G108" s="20"/>
      <c r="H108" s="20"/>
      <c r="I108" s="34"/>
      <c r="J108" s="34"/>
      <c r="K108" s="34"/>
      <c r="L108" s="34"/>
      <c r="M108" s="34"/>
      <c r="N108" s="593"/>
      <c r="O108" s="34"/>
      <c r="P108" s="593"/>
      <c r="Q108" s="34"/>
      <c r="R108" s="34"/>
      <c r="S108" s="34"/>
      <c r="T108" s="34"/>
      <c r="U108" s="34"/>
    </row>
    <row r="109" spans="1:21" s="106" customFormat="1" ht="12.75" customHeight="1">
      <c r="A109" s="19"/>
      <c r="B109" s="19"/>
      <c r="C109" s="19"/>
      <c r="D109" s="19"/>
      <c r="E109" s="20"/>
      <c r="F109" s="19"/>
      <c r="G109" s="20"/>
      <c r="H109" s="20"/>
      <c r="I109" s="34"/>
      <c r="J109" s="34"/>
      <c r="K109" s="34"/>
      <c r="L109" s="34"/>
      <c r="M109" s="34"/>
      <c r="N109" s="593"/>
      <c r="O109" s="594"/>
      <c r="P109" s="745"/>
      <c r="Q109" s="34"/>
      <c r="R109" s="34"/>
      <c r="S109" s="34"/>
      <c r="T109" s="34"/>
      <c r="U109" s="34"/>
    </row>
    <row r="110" spans="1:21" s="106" customFormat="1" ht="12.75" customHeight="1">
      <c r="A110" s="19"/>
      <c r="B110" s="19"/>
      <c r="C110" s="19"/>
      <c r="D110" s="19"/>
      <c r="E110" s="20"/>
      <c r="F110" s="19"/>
      <c r="G110" s="20"/>
      <c r="H110" s="20"/>
      <c r="I110" s="34"/>
      <c r="J110" s="34"/>
      <c r="K110" s="34"/>
      <c r="L110" s="34"/>
      <c r="M110" s="34"/>
      <c r="N110" s="593"/>
      <c r="O110" s="34"/>
      <c r="P110" s="34"/>
      <c r="Q110" s="34"/>
      <c r="R110" s="34"/>
      <c r="S110" s="34"/>
      <c r="T110" s="34"/>
      <c r="U110" s="34"/>
    </row>
    <row r="111" spans="1:21" s="106" customFormat="1" ht="12.75" customHeight="1">
      <c r="A111" s="19"/>
      <c r="B111" s="19"/>
      <c r="C111" s="19"/>
      <c r="D111" s="19"/>
      <c r="E111" s="20"/>
      <c r="F111" s="19"/>
      <c r="G111" s="20"/>
      <c r="H111" s="20"/>
      <c r="I111" s="34"/>
      <c r="J111" s="34"/>
      <c r="K111" s="34"/>
      <c r="L111" s="34"/>
      <c r="M111" s="34"/>
      <c r="N111" s="593"/>
      <c r="O111" s="34"/>
      <c r="P111" s="593"/>
      <c r="Q111" s="34"/>
      <c r="R111" s="34"/>
      <c r="S111" s="34"/>
      <c r="T111" s="34"/>
      <c r="U111" s="34"/>
    </row>
    <row r="112" spans="1:21" s="106" customFormat="1" ht="12.75" customHeight="1">
      <c r="A112" s="19"/>
      <c r="B112" s="19"/>
      <c r="C112" s="19"/>
      <c r="D112" s="19"/>
      <c r="E112" s="20"/>
      <c r="F112" s="19"/>
      <c r="G112" s="20"/>
      <c r="H112" s="20"/>
      <c r="I112" s="34"/>
      <c r="J112" s="34"/>
      <c r="K112" s="34"/>
      <c r="L112" s="34"/>
      <c r="M112" s="34"/>
      <c r="N112" s="401"/>
      <c r="O112" s="34"/>
      <c r="P112" s="34"/>
      <c r="Q112" s="34"/>
      <c r="R112" s="34"/>
      <c r="S112" s="34"/>
      <c r="T112" s="34"/>
      <c r="U112" s="34"/>
    </row>
    <row r="113" spans="1:21" s="106" customFormat="1" ht="12.75" customHeight="1">
      <c r="A113" s="19"/>
      <c r="B113" s="19"/>
      <c r="C113" s="19"/>
      <c r="D113" s="19"/>
      <c r="E113" s="20"/>
      <c r="F113" s="19"/>
      <c r="G113" s="20"/>
      <c r="H113" s="20"/>
      <c r="I113" s="34"/>
      <c r="J113" s="34"/>
      <c r="K113" s="34"/>
      <c r="L113" s="34"/>
      <c r="M113" s="34"/>
      <c r="N113" s="401"/>
      <c r="O113" s="34"/>
      <c r="P113" s="34"/>
      <c r="Q113" s="34"/>
      <c r="R113" s="34"/>
      <c r="S113" s="34"/>
      <c r="T113" s="34"/>
      <c r="U113" s="34"/>
    </row>
    <row r="114" spans="1:21" s="106" customFormat="1" ht="12.75" customHeight="1">
      <c r="A114" s="19"/>
      <c r="B114" s="19"/>
      <c r="C114" s="19"/>
      <c r="D114" s="19"/>
      <c r="E114" s="20"/>
      <c r="F114" s="19"/>
      <c r="G114" s="20"/>
      <c r="H114" s="20"/>
      <c r="I114" s="34"/>
      <c r="J114" s="34"/>
      <c r="K114" s="34"/>
      <c r="L114" s="593"/>
      <c r="M114" s="34"/>
      <c r="N114" s="593"/>
      <c r="O114" s="34"/>
      <c r="P114" s="34"/>
      <c r="Q114" s="34"/>
      <c r="R114" s="34"/>
      <c r="S114" s="34"/>
      <c r="T114" s="34"/>
      <c r="U114" s="34"/>
    </row>
    <row r="115" spans="1:21" s="106" customFormat="1" ht="12.75" customHeight="1">
      <c r="A115" s="19"/>
      <c r="B115" s="19"/>
      <c r="C115" s="19"/>
      <c r="D115" s="19"/>
      <c r="E115" s="20"/>
      <c r="F115" s="19"/>
      <c r="G115" s="20"/>
      <c r="H115" s="20"/>
      <c r="I115" s="34"/>
      <c r="J115" s="34"/>
      <c r="K115" s="34"/>
      <c r="L115" s="34"/>
      <c r="M115" s="34"/>
      <c r="N115" s="593"/>
      <c r="O115" s="34"/>
      <c r="P115" s="34"/>
      <c r="Q115" s="34"/>
      <c r="R115" s="34"/>
      <c r="S115" s="34"/>
      <c r="T115" s="34"/>
      <c r="U115" s="34"/>
    </row>
    <row r="116" spans="1:21" s="106" customFormat="1" ht="12.75" customHeight="1">
      <c r="A116" s="19"/>
      <c r="B116" s="19"/>
      <c r="C116" s="19"/>
      <c r="D116" s="19"/>
      <c r="E116" s="20"/>
      <c r="F116" s="19"/>
      <c r="G116" s="20"/>
      <c r="H116" s="20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</row>
    <row r="117" spans="1:21" s="106" customFormat="1" ht="12.75" customHeight="1">
      <c r="A117" s="19"/>
      <c r="B117" s="19"/>
      <c r="C117" s="19"/>
      <c r="D117" s="19"/>
      <c r="E117" s="20"/>
      <c r="F117" s="19"/>
      <c r="G117" s="20"/>
      <c r="H117" s="20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</row>
    <row r="118" spans="1:21" s="106" customFormat="1" ht="12.75" customHeight="1">
      <c r="A118" s="19"/>
      <c r="B118" s="19"/>
      <c r="C118" s="19"/>
      <c r="D118" s="19"/>
      <c r="E118" s="20"/>
      <c r="F118" s="19"/>
      <c r="G118" s="20"/>
      <c r="H118" s="20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</row>
    <row r="119" spans="1:21" s="106" customFormat="1" ht="12.75" customHeight="1">
      <c r="A119" s="19"/>
      <c r="B119" s="19"/>
      <c r="C119" s="19"/>
      <c r="D119" s="19"/>
      <c r="E119" s="20"/>
      <c r="F119" s="19"/>
      <c r="G119" s="20"/>
      <c r="H119" s="20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</row>
    <row r="120" spans="1:21" s="106" customFormat="1" ht="12.75" customHeight="1">
      <c r="A120" s="19"/>
      <c r="B120" s="19"/>
      <c r="C120" s="19"/>
      <c r="D120" s="19"/>
      <c r="E120" s="20"/>
      <c r="F120" s="19"/>
      <c r="G120" s="20"/>
      <c r="H120" s="20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</row>
    <row r="121" spans="1:21" s="106" customFormat="1" ht="12.75" customHeight="1">
      <c r="A121" s="19"/>
      <c r="B121" s="19"/>
      <c r="C121" s="19"/>
      <c r="D121" s="19"/>
      <c r="E121" s="20"/>
      <c r="F121" s="19"/>
      <c r="G121" s="20"/>
      <c r="H121" s="20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</row>
    <row r="122" spans="1:21" s="106" customFormat="1" ht="12.75" customHeight="1">
      <c r="A122" s="19"/>
      <c r="B122" s="19"/>
      <c r="C122" s="19"/>
      <c r="D122" s="19"/>
      <c r="E122" s="20"/>
      <c r="F122" s="19"/>
      <c r="G122" s="20"/>
      <c r="H122" s="20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</row>
    <row r="123" spans="1:21" s="106" customFormat="1" ht="12.75" customHeight="1">
      <c r="A123" s="19"/>
      <c r="B123" s="19"/>
      <c r="C123" s="19"/>
      <c r="D123" s="19"/>
      <c r="E123" s="20"/>
      <c r="F123" s="19"/>
      <c r="G123" s="20"/>
      <c r="H123" s="20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</row>
    <row r="124" spans="1:21" s="106" customFormat="1" ht="12.75" customHeight="1">
      <c r="A124" s="19"/>
      <c r="B124" s="19"/>
      <c r="C124" s="19"/>
      <c r="D124" s="19"/>
      <c r="E124" s="20"/>
      <c r="F124" s="19"/>
      <c r="G124" s="20"/>
      <c r="H124" s="20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</row>
    <row r="125" spans="1:21" s="106" customFormat="1" ht="12.75" customHeight="1">
      <c r="A125" s="19"/>
      <c r="B125" s="19"/>
      <c r="C125" s="19"/>
      <c r="D125" s="19"/>
      <c r="E125" s="20"/>
      <c r="F125" s="19"/>
      <c r="G125" s="20"/>
      <c r="H125" s="20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</row>
    <row r="126" spans="1:21" s="106" customFormat="1" ht="12.75" customHeight="1">
      <c r="A126" s="19"/>
      <c r="B126" s="19"/>
      <c r="C126" s="19"/>
      <c r="D126" s="19"/>
      <c r="E126" s="20"/>
      <c r="F126" s="19"/>
      <c r="G126" s="20"/>
      <c r="H126" s="20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</row>
    <row r="127" spans="1:21" s="106" customFormat="1" ht="12.75" customHeight="1">
      <c r="A127" s="19"/>
      <c r="B127" s="19"/>
      <c r="C127" s="19"/>
      <c r="D127" s="19"/>
      <c r="E127" s="20"/>
      <c r="F127" s="19"/>
      <c r="G127" s="20"/>
      <c r="H127" s="20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</row>
    <row r="128" spans="1:21" s="106" customFormat="1" ht="12.75" customHeight="1">
      <c r="A128" s="19"/>
      <c r="B128" s="19"/>
      <c r="C128" s="19"/>
      <c r="D128" s="19"/>
      <c r="E128" s="20"/>
      <c r="F128" s="19"/>
      <c r="G128" s="20"/>
      <c r="H128" s="20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</row>
    <row r="129" spans="1:21" s="106" customFormat="1" ht="12.75" customHeight="1">
      <c r="A129" s="19"/>
      <c r="B129" s="19"/>
      <c r="C129" s="19"/>
      <c r="D129" s="19"/>
      <c r="E129" s="20"/>
      <c r="F129" s="19"/>
      <c r="G129" s="20"/>
      <c r="H129" s="20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</row>
    <row r="130" spans="1:21" s="106" customFormat="1" ht="12.75" customHeight="1">
      <c r="A130" s="19"/>
      <c r="B130" s="19"/>
      <c r="C130" s="19"/>
      <c r="D130" s="19"/>
      <c r="E130" s="20"/>
      <c r="F130" s="19"/>
      <c r="G130" s="20"/>
      <c r="H130" s="20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</row>
    <row r="131" spans="1:21" s="106" customFormat="1" ht="12.75" customHeight="1">
      <c r="A131" s="19"/>
      <c r="B131" s="19"/>
      <c r="C131" s="19"/>
      <c r="D131" s="19"/>
      <c r="E131" s="20"/>
      <c r="F131" s="19"/>
      <c r="G131" s="20"/>
      <c r="H131" s="20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</row>
    <row r="132" spans="1:21" s="106" customFormat="1" ht="12.75" customHeight="1">
      <c r="A132" s="19"/>
      <c r="B132" s="19"/>
      <c r="C132" s="19"/>
      <c r="D132" s="19"/>
      <c r="E132" s="20"/>
      <c r="F132" s="19"/>
      <c r="G132" s="20"/>
      <c r="H132" s="20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</row>
    <row r="133" spans="1:21" s="106" customFormat="1" ht="12.75" customHeight="1">
      <c r="A133" s="19"/>
      <c r="B133" s="19"/>
      <c r="C133" s="19"/>
      <c r="D133" s="19"/>
      <c r="E133" s="20"/>
      <c r="F133" s="19"/>
      <c r="G133" s="20"/>
      <c r="H133" s="20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</row>
    <row r="134" spans="1:21" s="106" customFormat="1" ht="12.75" customHeight="1">
      <c r="A134" s="19"/>
      <c r="B134" s="19"/>
      <c r="C134" s="19"/>
      <c r="D134" s="19"/>
      <c r="E134" s="20"/>
      <c r="F134" s="19"/>
      <c r="G134" s="20"/>
      <c r="H134" s="20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</row>
    <row r="135" spans="1:21" s="106" customFormat="1" ht="12.75" customHeight="1">
      <c r="A135" s="19"/>
      <c r="B135" s="19"/>
      <c r="C135" s="19"/>
      <c r="D135" s="19"/>
      <c r="E135" s="20"/>
      <c r="F135" s="19"/>
      <c r="G135" s="20"/>
      <c r="H135" s="20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</row>
    <row r="136" spans="1:21" s="106" customFormat="1" ht="12.75" customHeight="1">
      <c r="A136" s="19"/>
      <c r="B136" s="19"/>
      <c r="C136" s="19"/>
      <c r="D136" s="19"/>
      <c r="E136" s="20"/>
      <c r="F136" s="19"/>
      <c r="G136" s="20"/>
      <c r="H136" s="20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</row>
    <row r="137" spans="1:21" s="106" customFormat="1" ht="12.75" customHeight="1">
      <c r="A137" s="19"/>
      <c r="B137" s="19"/>
      <c r="C137" s="19"/>
      <c r="D137" s="19"/>
      <c r="E137" s="20"/>
      <c r="F137" s="19"/>
      <c r="G137" s="20"/>
      <c r="H137" s="20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</row>
    <row r="138" spans="1:21" s="106" customFormat="1" ht="12.75" customHeight="1">
      <c r="A138" s="19"/>
      <c r="B138" s="19"/>
      <c r="C138" s="19"/>
      <c r="D138" s="19"/>
      <c r="E138" s="20"/>
      <c r="F138" s="19"/>
      <c r="G138" s="20"/>
      <c r="H138" s="20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</row>
    <row r="139" spans="1:21" s="106" customFormat="1" ht="12.75" customHeight="1">
      <c r="A139" s="19"/>
      <c r="B139" s="19"/>
      <c r="C139" s="19"/>
      <c r="D139" s="19"/>
      <c r="E139" s="20"/>
      <c r="F139" s="19"/>
      <c r="G139" s="20"/>
      <c r="H139" s="20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</row>
    <row r="140" spans="1:21" s="106" customFormat="1" ht="12.75" customHeight="1">
      <c r="A140" s="19"/>
      <c r="B140" s="19"/>
      <c r="C140" s="19"/>
      <c r="D140" s="19"/>
      <c r="E140" s="20"/>
      <c r="F140" s="19"/>
      <c r="G140" s="20"/>
      <c r="H140" s="20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</row>
    <row r="141" spans="1:21" s="106" customFormat="1" ht="12.75" customHeight="1">
      <c r="A141" s="19"/>
      <c r="B141" s="19"/>
      <c r="C141" s="19"/>
      <c r="D141" s="19"/>
      <c r="E141" s="20"/>
      <c r="F141" s="19"/>
      <c r="G141" s="20"/>
      <c r="H141" s="20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</row>
    <row r="142" spans="1:21" s="106" customFormat="1" ht="12.75" customHeight="1">
      <c r="A142" s="19"/>
      <c r="B142" s="19"/>
      <c r="C142" s="19"/>
      <c r="D142" s="19"/>
      <c r="E142" s="20"/>
      <c r="F142" s="19"/>
      <c r="G142" s="20"/>
      <c r="H142" s="20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</row>
    <row r="143" spans="1:21" s="106" customFormat="1" ht="12.75" customHeight="1">
      <c r="A143" s="19"/>
      <c r="B143" s="19"/>
      <c r="C143" s="19"/>
      <c r="D143" s="19"/>
      <c r="E143" s="20"/>
      <c r="F143" s="19"/>
      <c r="G143" s="20"/>
      <c r="H143" s="20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</row>
    <row r="144" spans="1:21" s="106" customFormat="1" ht="12.75" customHeight="1">
      <c r="A144" s="19"/>
      <c r="B144" s="19"/>
      <c r="C144" s="19"/>
      <c r="D144" s="19"/>
      <c r="E144" s="20"/>
      <c r="F144" s="19"/>
      <c r="G144" s="20"/>
      <c r="H144" s="20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</row>
    <row r="145" spans="1:21" s="106" customFormat="1" ht="12.75" customHeight="1">
      <c r="A145" s="19"/>
      <c r="B145" s="19"/>
      <c r="C145" s="19"/>
      <c r="D145" s="19"/>
      <c r="E145" s="20"/>
      <c r="F145" s="19"/>
      <c r="G145" s="20"/>
      <c r="H145" s="20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</row>
    <row r="146" spans="1:21" s="106" customFormat="1" ht="12.75" customHeight="1">
      <c r="A146" s="19"/>
      <c r="B146" s="19"/>
      <c r="C146" s="19"/>
      <c r="D146" s="19"/>
      <c r="E146" s="20"/>
      <c r="F146" s="19"/>
      <c r="G146" s="20"/>
      <c r="H146" s="20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</row>
    <row r="147" spans="1:21" s="106" customFormat="1" ht="12.75" customHeight="1">
      <c r="A147" s="19"/>
      <c r="B147" s="19"/>
      <c r="C147" s="19"/>
      <c r="D147" s="19"/>
      <c r="E147" s="20"/>
      <c r="F147" s="19"/>
      <c r="G147" s="20"/>
      <c r="H147" s="20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</row>
    <row r="148" spans="1:21" s="106" customFormat="1" ht="12.75" customHeight="1">
      <c r="A148" s="19"/>
      <c r="B148" s="19"/>
      <c r="C148" s="19"/>
      <c r="D148" s="19"/>
      <c r="E148" s="20"/>
      <c r="F148" s="19"/>
      <c r="G148" s="20"/>
      <c r="H148" s="20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</row>
    <row r="149" spans="1:21" s="106" customFormat="1" ht="12.75" customHeight="1">
      <c r="A149" s="19"/>
      <c r="B149" s="19"/>
      <c r="C149" s="19"/>
      <c r="D149" s="19"/>
      <c r="E149" s="20"/>
      <c r="F149" s="19"/>
      <c r="G149" s="20"/>
      <c r="H149" s="20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</row>
    <row r="150" spans="1:21" s="106" customFormat="1" ht="12.75" customHeight="1">
      <c r="A150" s="19"/>
      <c r="B150" s="19"/>
      <c r="C150" s="19"/>
      <c r="D150" s="19"/>
      <c r="E150" s="20"/>
      <c r="F150" s="19"/>
      <c r="G150" s="20"/>
      <c r="H150" s="20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</row>
    <row r="151" spans="1:21" s="106" customFormat="1" ht="12.75" customHeight="1">
      <c r="A151" s="19"/>
      <c r="B151" s="19"/>
      <c r="C151" s="19"/>
      <c r="D151" s="19"/>
      <c r="E151" s="20"/>
      <c r="F151" s="19"/>
      <c r="G151" s="20"/>
      <c r="H151" s="20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</row>
    <row r="152" spans="1:21" s="106" customFormat="1" ht="12.75" customHeight="1">
      <c r="A152" s="19"/>
      <c r="B152" s="19"/>
      <c r="C152" s="19"/>
      <c r="D152" s="19"/>
      <c r="E152" s="20"/>
      <c r="F152" s="19"/>
      <c r="G152" s="20"/>
      <c r="H152" s="20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</row>
    <row r="153" spans="1:21" s="106" customFormat="1" ht="12.75" customHeight="1">
      <c r="A153" s="19"/>
      <c r="B153" s="19"/>
      <c r="C153" s="19"/>
      <c r="D153" s="19"/>
      <c r="E153" s="20"/>
      <c r="F153" s="19"/>
      <c r="G153" s="20"/>
      <c r="H153" s="20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</row>
    <row r="154" spans="1:21" s="106" customFormat="1" ht="12.75" customHeight="1">
      <c r="A154" s="19"/>
      <c r="B154" s="19"/>
      <c r="C154" s="19"/>
      <c r="D154" s="19"/>
      <c r="E154" s="20"/>
      <c r="F154" s="19"/>
      <c r="G154" s="20"/>
      <c r="H154" s="20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</row>
    <row r="155" spans="1:21" s="106" customFormat="1" ht="12.75" customHeight="1">
      <c r="A155" s="19"/>
      <c r="B155" s="19"/>
      <c r="C155" s="19"/>
      <c r="D155" s="19"/>
      <c r="E155" s="20"/>
      <c r="F155" s="19"/>
      <c r="G155" s="20"/>
      <c r="H155" s="20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</row>
    <row r="156" spans="1:21" s="106" customFormat="1" ht="12.75" customHeight="1">
      <c r="A156" s="19"/>
      <c r="B156" s="19"/>
      <c r="C156" s="19"/>
      <c r="D156" s="19"/>
      <c r="E156" s="20"/>
      <c r="F156" s="19"/>
      <c r="G156" s="20"/>
      <c r="H156" s="20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</row>
    <row r="157" spans="1:21" s="106" customFormat="1" ht="12.75" customHeight="1">
      <c r="A157" s="19"/>
      <c r="B157" s="19"/>
      <c r="C157" s="19"/>
      <c r="D157" s="19"/>
      <c r="E157" s="20"/>
      <c r="F157" s="19"/>
      <c r="G157" s="20"/>
      <c r="H157" s="20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</row>
    <row r="158" spans="1:21" s="106" customFormat="1" ht="12.75" customHeight="1">
      <c r="A158" s="19"/>
      <c r="B158" s="19"/>
      <c r="C158" s="19"/>
      <c r="D158" s="19"/>
      <c r="E158" s="20"/>
      <c r="F158" s="19"/>
      <c r="G158" s="20"/>
      <c r="H158" s="20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</row>
    <row r="159" spans="1:21" s="106" customFormat="1" ht="12.75" customHeight="1">
      <c r="A159" s="19"/>
      <c r="B159" s="19"/>
      <c r="C159" s="19"/>
      <c r="D159" s="19"/>
      <c r="E159" s="20"/>
      <c r="F159" s="19"/>
      <c r="G159" s="20"/>
      <c r="H159" s="20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</row>
    <row r="160" spans="1:21" s="106" customFormat="1" ht="12.75" customHeight="1">
      <c r="A160" s="19"/>
      <c r="B160" s="19"/>
      <c r="C160" s="19"/>
      <c r="D160" s="19"/>
      <c r="E160" s="20"/>
      <c r="F160" s="19"/>
      <c r="G160" s="20"/>
      <c r="H160" s="20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</row>
    <row r="161" spans="1:21" s="106" customFormat="1" ht="12.75" customHeight="1">
      <c r="A161" s="19"/>
      <c r="B161" s="19"/>
      <c r="C161" s="19"/>
      <c r="D161" s="19"/>
      <c r="E161" s="20"/>
      <c r="F161" s="19"/>
      <c r="G161" s="20"/>
      <c r="H161" s="20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</row>
    <row r="162" spans="1:21" s="106" customFormat="1" ht="12.75" customHeight="1">
      <c r="A162" s="19"/>
      <c r="B162" s="19"/>
      <c r="C162" s="19"/>
      <c r="D162" s="19"/>
      <c r="E162" s="20"/>
      <c r="F162" s="19"/>
      <c r="G162" s="20"/>
      <c r="H162" s="20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</row>
    <row r="163" spans="1:21" s="106" customFormat="1" ht="12.75" customHeight="1">
      <c r="A163" s="19"/>
      <c r="B163" s="19"/>
      <c r="C163" s="19"/>
      <c r="D163" s="19"/>
      <c r="E163" s="20"/>
      <c r="F163" s="19"/>
      <c r="G163" s="20"/>
      <c r="H163" s="20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</row>
    <row r="164" spans="1:21" s="106" customFormat="1" ht="12.75" customHeight="1">
      <c r="A164" s="19"/>
      <c r="B164" s="19"/>
      <c r="C164" s="19"/>
      <c r="D164" s="19"/>
      <c r="E164" s="20"/>
      <c r="F164" s="19"/>
      <c r="G164" s="20"/>
      <c r="H164" s="20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</row>
    <row r="165" spans="1:21" s="106" customFormat="1" ht="12.75" customHeight="1">
      <c r="A165" s="19"/>
      <c r="B165" s="19"/>
      <c r="C165" s="19"/>
      <c r="D165" s="19"/>
      <c r="E165" s="20"/>
      <c r="F165" s="19"/>
      <c r="G165" s="20"/>
      <c r="H165" s="20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</row>
    <row r="166" spans="1:21" s="106" customFormat="1" ht="12.75" customHeight="1">
      <c r="A166" s="19"/>
      <c r="B166" s="19"/>
      <c r="C166" s="19"/>
      <c r="D166" s="19"/>
      <c r="E166" s="20"/>
      <c r="F166" s="19"/>
      <c r="G166" s="20"/>
      <c r="H166" s="20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</row>
    <row r="167" spans="1:21" s="106" customFormat="1" ht="12.75" customHeight="1">
      <c r="A167" s="19"/>
      <c r="B167" s="19"/>
      <c r="C167" s="19"/>
      <c r="D167" s="19"/>
      <c r="E167" s="20"/>
      <c r="F167" s="19"/>
      <c r="G167" s="20"/>
      <c r="H167" s="20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</row>
    <row r="168" spans="1:21" s="106" customFormat="1" ht="12.75" customHeight="1">
      <c r="A168" s="19"/>
      <c r="B168" s="19"/>
      <c r="C168" s="19"/>
      <c r="D168" s="19"/>
      <c r="E168" s="20"/>
      <c r="F168" s="19"/>
      <c r="G168" s="20"/>
      <c r="H168" s="20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</row>
    <row r="169" spans="1:21" s="106" customFormat="1" ht="12.75" customHeight="1">
      <c r="A169" s="19"/>
      <c r="B169" s="19"/>
      <c r="C169" s="19"/>
      <c r="D169" s="19"/>
      <c r="E169" s="20"/>
      <c r="F169" s="19"/>
      <c r="G169" s="20"/>
      <c r="H169" s="20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</row>
    <row r="170" spans="1:21" s="106" customFormat="1" ht="12.75" customHeight="1">
      <c r="A170" s="19"/>
      <c r="B170" s="19"/>
      <c r="C170" s="19"/>
      <c r="D170" s="19"/>
      <c r="E170" s="20"/>
      <c r="F170" s="19"/>
      <c r="G170" s="20"/>
      <c r="H170" s="20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</row>
    <row r="171" spans="1:21" s="106" customFormat="1" ht="12.75" customHeight="1">
      <c r="A171" s="19"/>
      <c r="B171" s="19"/>
      <c r="C171" s="19"/>
      <c r="D171" s="19"/>
      <c r="E171" s="20"/>
      <c r="F171" s="19"/>
      <c r="G171" s="20"/>
      <c r="H171" s="20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</row>
    <row r="172" spans="1:21" s="106" customFormat="1" ht="12.75" customHeight="1">
      <c r="A172" s="19"/>
      <c r="B172" s="19"/>
      <c r="C172" s="19"/>
      <c r="D172" s="19"/>
      <c r="E172" s="20"/>
      <c r="F172" s="19"/>
      <c r="G172" s="20"/>
      <c r="H172" s="20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</row>
    <row r="173" spans="1:21" s="106" customFormat="1" ht="12.75" customHeight="1">
      <c r="A173" s="19"/>
      <c r="B173" s="19"/>
      <c r="C173" s="19"/>
      <c r="D173" s="19"/>
      <c r="E173" s="20"/>
      <c r="F173" s="19"/>
      <c r="G173" s="20"/>
      <c r="H173" s="20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</row>
    <row r="174" spans="1:21" s="106" customFormat="1" ht="12.75" customHeight="1">
      <c r="A174" s="19"/>
      <c r="B174" s="19"/>
      <c r="C174" s="19"/>
      <c r="D174" s="19"/>
      <c r="E174" s="20"/>
      <c r="F174" s="19"/>
      <c r="G174" s="20"/>
      <c r="H174" s="20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</row>
    <row r="175" spans="1:21" s="106" customFormat="1" ht="12.75" customHeight="1">
      <c r="A175" s="19"/>
      <c r="B175" s="19"/>
      <c r="C175" s="19"/>
      <c r="D175" s="19"/>
      <c r="E175" s="20"/>
      <c r="F175" s="19"/>
      <c r="G175" s="20"/>
      <c r="H175" s="20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</row>
    <row r="176" spans="1:21" s="106" customFormat="1" ht="12.75" customHeight="1">
      <c r="A176" s="19"/>
      <c r="B176" s="19"/>
      <c r="C176" s="19"/>
      <c r="D176" s="19"/>
      <c r="E176" s="20"/>
      <c r="F176" s="19"/>
      <c r="G176" s="20"/>
      <c r="H176" s="20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</row>
    <row r="177" spans="1:21" s="106" customFormat="1" ht="12.75" customHeight="1">
      <c r="A177" s="19"/>
      <c r="B177" s="19"/>
      <c r="C177" s="19"/>
      <c r="D177" s="19"/>
      <c r="E177" s="20"/>
      <c r="F177" s="19"/>
      <c r="G177" s="20"/>
      <c r="H177" s="20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</row>
    <row r="178" spans="1:21" s="106" customFormat="1" ht="12.75" customHeight="1">
      <c r="A178" s="19"/>
      <c r="B178" s="19"/>
      <c r="C178" s="19"/>
      <c r="D178" s="19"/>
      <c r="E178" s="20"/>
      <c r="F178" s="19"/>
      <c r="G178" s="20"/>
      <c r="H178" s="20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</row>
    <row r="179" spans="1:21" s="106" customFormat="1" ht="12.75" customHeight="1">
      <c r="A179" s="19"/>
      <c r="B179" s="19"/>
      <c r="C179" s="19"/>
      <c r="D179" s="19"/>
      <c r="E179" s="20"/>
      <c r="F179" s="19"/>
      <c r="G179" s="20"/>
      <c r="H179" s="20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</row>
    <row r="180" spans="1:21" s="106" customFormat="1" ht="12.75" customHeight="1">
      <c r="A180" s="19"/>
      <c r="B180" s="19"/>
      <c r="C180" s="19"/>
      <c r="D180" s="19"/>
      <c r="E180" s="20"/>
      <c r="F180" s="19"/>
      <c r="G180" s="20"/>
      <c r="H180" s="20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</row>
    <row r="181" spans="1:21" s="106" customFormat="1" ht="12.75" customHeight="1">
      <c r="A181" s="19"/>
      <c r="B181" s="19"/>
      <c r="C181" s="19"/>
      <c r="D181" s="19"/>
      <c r="E181" s="20"/>
      <c r="F181" s="19"/>
      <c r="G181" s="20"/>
      <c r="H181" s="20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</row>
    <row r="182" spans="1:21" ht="12.75" customHeight="1"/>
    <row r="183" spans="1:21" ht="12.75" customHeight="1"/>
    <row r="184" spans="1:21" ht="12.75" customHeight="1"/>
    <row r="185" spans="1:21" ht="12.75" customHeight="1"/>
    <row r="186" spans="1:21" ht="12.75" customHeight="1"/>
    <row r="187" spans="1:21" ht="12.75" customHeight="1"/>
    <row r="188" spans="1:21" ht="12.75" customHeight="1"/>
    <row r="189" spans="1:21" ht="12.75" customHeight="1"/>
    <row r="190" spans="1:21" ht="12.75" customHeight="1"/>
    <row r="191" spans="1:21" ht="12.75" customHeight="1"/>
    <row r="192" spans="1:21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</sheetData>
  <autoFilter ref="A4:BB4"/>
  <mergeCells count="12">
    <mergeCell ref="J102:L102"/>
    <mergeCell ref="O3:P3"/>
    <mergeCell ref="Q3:R3"/>
    <mergeCell ref="S3:U3"/>
    <mergeCell ref="Q94:R94"/>
    <mergeCell ref="J100:L100"/>
    <mergeCell ref="J101:L101"/>
    <mergeCell ref="E3:E4"/>
    <mergeCell ref="F3:F4"/>
    <mergeCell ref="G3:J3"/>
    <mergeCell ref="K3:L3"/>
    <mergeCell ref="M3:N3"/>
  </mergeCells>
  <conditionalFormatting sqref="U9:U17">
    <cfRule type="cellIs" dxfId="97" priority="58" operator="greaterThan">
      <formula>1</formula>
    </cfRule>
    <cfRule type="cellIs" dxfId="96" priority="59" operator="greaterThan">
      <formula>100</formula>
    </cfRule>
  </conditionalFormatting>
  <conditionalFormatting sqref="U8">
    <cfRule type="cellIs" dxfId="95" priority="54" operator="greaterThan">
      <formula>1</formula>
    </cfRule>
    <cfRule type="cellIs" dxfId="94" priority="55" operator="greaterThan">
      <formula>100</formula>
    </cfRule>
  </conditionalFormatting>
  <conditionalFormatting sqref="U19:U24">
    <cfRule type="cellIs" dxfId="93" priority="52" operator="greaterThan">
      <formula>1</formula>
    </cfRule>
    <cfRule type="cellIs" dxfId="92" priority="53" operator="greaterThan">
      <formula>100</formula>
    </cfRule>
  </conditionalFormatting>
  <conditionalFormatting sqref="U31:U65">
    <cfRule type="cellIs" dxfId="91" priority="48" operator="greaterThan">
      <formula>1</formula>
    </cfRule>
    <cfRule type="cellIs" dxfId="90" priority="49" operator="greaterThan">
      <formula>100</formula>
    </cfRule>
  </conditionalFormatting>
  <conditionalFormatting sqref="U26:U30">
    <cfRule type="cellIs" dxfId="89" priority="46" operator="greaterThan">
      <formula>1</formula>
    </cfRule>
    <cfRule type="cellIs" dxfId="88" priority="47" operator="greaterThan">
      <formula>100</formula>
    </cfRule>
  </conditionalFormatting>
  <conditionalFormatting sqref="U86:U91">
    <cfRule type="cellIs" dxfId="87" priority="36" operator="greaterThan">
      <formula>1</formula>
    </cfRule>
    <cfRule type="cellIs" dxfId="86" priority="37" operator="greaterThan">
      <formula>100</formula>
    </cfRule>
  </conditionalFormatting>
  <conditionalFormatting sqref="U67:U82">
    <cfRule type="cellIs" dxfId="85" priority="44" operator="greaterThan">
      <formula>1</formula>
    </cfRule>
    <cfRule type="cellIs" dxfId="84" priority="45" operator="greaterThan">
      <formula>100</formula>
    </cfRule>
  </conditionalFormatting>
  <conditionalFormatting sqref="U84">
    <cfRule type="cellIs" dxfId="83" priority="38" operator="greaterThan">
      <formula>1</formula>
    </cfRule>
    <cfRule type="cellIs" dxfId="82" priority="39" operator="greaterThan">
      <formula>100</formula>
    </cfRule>
  </conditionalFormatting>
  <conditionalFormatting sqref="U93">
    <cfRule type="cellIs" dxfId="81" priority="34" operator="greaterThan">
      <formula>1</formula>
    </cfRule>
    <cfRule type="cellIs" dxfId="80" priority="35" operator="greaterThan">
      <formula>100</formula>
    </cfRule>
  </conditionalFormatting>
  <conditionalFormatting sqref="U7">
    <cfRule type="cellIs" dxfId="79" priority="32" operator="greaterThan">
      <formula>1</formula>
    </cfRule>
    <cfRule type="cellIs" dxfId="78" priority="33" operator="greaterThan">
      <formula>100</formula>
    </cfRule>
  </conditionalFormatting>
  <conditionalFormatting sqref="U18">
    <cfRule type="cellIs" dxfId="77" priority="30" operator="greaterThan">
      <formula>1</formula>
    </cfRule>
    <cfRule type="cellIs" dxfId="76" priority="31" operator="greaterThan">
      <formula>100</formula>
    </cfRule>
  </conditionalFormatting>
  <conditionalFormatting sqref="U25">
    <cfRule type="cellIs" dxfId="75" priority="28" operator="greaterThan">
      <formula>1</formula>
    </cfRule>
    <cfRule type="cellIs" dxfId="74" priority="29" operator="greaterThan">
      <formula>100</formula>
    </cfRule>
  </conditionalFormatting>
  <conditionalFormatting sqref="U66">
    <cfRule type="cellIs" dxfId="73" priority="26" operator="greaterThan">
      <formula>1</formula>
    </cfRule>
    <cfRule type="cellIs" dxfId="72" priority="27" operator="greaterThan">
      <formula>100</formula>
    </cfRule>
  </conditionalFormatting>
  <conditionalFormatting sqref="U83">
    <cfRule type="cellIs" dxfId="71" priority="24" operator="greaterThan">
      <formula>1</formula>
    </cfRule>
    <cfRule type="cellIs" dxfId="70" priority="25" operator="greaterThan">
      <formula>100</formula>
    </cfRule>
  </conditionalFormatting>
  <conditionalFormatting sqref="U85">
    <cfRule type="cellIs" dxfId="69" priority="22" operator="greaterThan">
      <formula>1</formula>
    </cfRule>
    <cfRule type="cellIs" dxfId="68" priority="23" operator="greaterThan">
      <formula>100</formula>
    </cfRule>
  </conditionalFormatting>
  <conditionalFormatting sqref="S93 S5:U6 S7:T91">
    <cfRule type="cellIs" dxfId="67" priority="21" operator="equal">
      <formula>0</formula>
    </cfRule>
  </conditionalFormatting>
  <conditionalFormatting sqref="S7">
    <cfRule type="cellIs" priority="20" operator="equal">
      <formula>0</formula>
    </cfRule>
  </conditionalFormatting>
  <conditionalFormatting sqref="S7 S18 S25 S66 S83 S85 S5">
    <cfRule type="cellIs" dxfId="66" priority="19" operator="equal">
      <formula>0</formula>
    </cfRule>
  </conditionalFormatting>
  <conditionalFormatting sqref="T5">
    <cfRule type="cellIs" dxfId="65" priority="17" operator="equal">
      <formula>0</formula>
    </cfRule>
  </conditionalFormatting>
  <conditionalFormatting sqref="U5">
    <cfRule type="cellIs" dxfId="64" priority="15" operator="equal">
      <formula>0</formula>
    </cfRule>
  </conditionalFormatting>
  <conditionalFormatting sqref="T7">
    <cfRule type="cellIs" priority="13" operator="equal">
      <formula>0</formula>
    </cfRule>
  </conditionalFormatting>
  <conditionalFormatting sqref="T7">
    <cfRule type="cellIs" dxfId="63" priority="12" operator="equal">
      <formula>0</formula>
    </cfRule>
  </conditionalFormatting>
  <conditionalFormatting sqref="T18">
    <cfRule type="cellIs" dxfId="62" priority="10" operator="equal">
      <formula>0</formula>
    </cfRule>
  </conditionalFormatting>
  <conditionalFormatting sqref="T25">
    <cfRule type="cellIs" dxfId="61" priority="8" operator="equal">
      <formula>0</formula>
    </cfRule>
  </conditionalFormatting>
  <conditionalFormatting sqref="T66">
    <cfRule type="cellIs" dxfId="60" priority="6" operator="equal">
      <formula>0</formula>
    </cfRule>
  </conditionalFormatting>
  <conditionalFormatting sqref="T83">
    <cfRule type="cellIs" dxfId="59" priority="4" operator="equal">
      <formula>0</formula>
    </cfRule>
  </conditionalFormatting>
  <conditionalFormatting sqref="T85">
    <cfRule type="cellIs" dxfId="58" priority="2" operator="equal">
      <formula>0</formula>
    </cfRule>
  </conditionalFormatting>
  <conditionalFormatting sqref="S93">
    <cfRule type="cellIs" dxfId="57" priority="1" operator="equal">
      <formula>0</formula>
    </cfRule>
  </conditionalFormatting>
  <printOptions horizontalCentered="1"/>
  <pageMargins left="0.19685039370078741" right="0.19685039370078741" top="0.78740157480314965" bottom="0.59055118110236227" header="0.51181102362204722" footer="0.39370078740157483"/>
  <pageSetup scale="62" fitToHeight="4" orientation="landscape" horizontalDpi="4294967295" verticalDpi="4294967295" r:id="rId1"/>
  <headerFooter alignWithMargins="0">
    <oddFooter>&amp;R&amp;P de &amp;N</oddFooter>
  </headerFooter>
  <rowBreaks count="1" manualBreakCount="1">
    <brk id="51" min="4" max="1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92"/>
  <sheetViews>
    <sheetView view="pageBreakPreview" zoomScale="85" zoomScaleNormal="100" zoomScaleSheetLayoutView="85" workbookViewId="0">
      <selection activeCell="F15" sqref="F15"/>
    </sheetView>
  </sheetViews>
  <sheetFormatPr baseColWidth="10" defaultColWidth="11.44140625" defaultRowHeight="14.4"/>
  <cols>
    <col min="1" max="2" width="4.33203125" style="858" customWidth="1"/>
    <col min="3" max="3" width="4.33203125" style="859" customWidth="1"/>
    <col min="4" max="10" width="12.33203125" style="859" customWidth="1"/>
    <col min="11" max="11" width="14.6640625" style="859" customWidth="1"/>
    <col min="12" max="12" width="11.44140625" style="859"/>
    <col min="13" max="13" width="0" style="859" hidden="1" customWidth="1"/>
    <col min="14" max="16384" width="11.44140625" style="859"/>
  </cols>
  <sheetData>
    <row r="1" spans="1:10" ht="15" thickBot="1"/>
    <row r="2" spans="1:10" ht="15" thickTop="1">
      <c r="A2" s="860"/>
      <c r="B2" s="861"/>
      <c r="C2" s="862"/>
      <c r="D2" s="862"/>
      <c r="E2" s="862"/>
      <c r="F2" s="862"/>
      <c r="G2" s="862"/>
      <c r="H2" s="862"/>
      <c r="I2" s="862"/>
      <c r="J2" s="863"/>
    </row>
    <row r="3" spans="1:10" ht="17.399999999999999">
      <c r="A3" s="1458" t="s">
        <v>486</v>
      </c>
      <c r="B3" s="1459"/>
      <c r="C3" s="1459"/>
      <c r="D3" s="1459"/>
      <c r="E3" s="1459"/>
      <c r="F3" s="1459"/>
      <c r="G3" s="1459"/>
      <c r="H3" s="1459"/>
      <c r="I3" s="1459"/>
      <c r="J3" s="1460"/>
    </row>
    <row r="4" spans="1:10" ht="15" customHeight="1">
      <c r="A4" s="1461" t="str">
        <f>+Datos!C22</f>
        <v>CERTIFICADO DE PAGO Nº 6</v>
      </c>
      <c r="B4" s="1462"/>
      <c r="C4" s="1462"/>
      <c r="D4" s="1462"/>
      <c r="E4" s="1462"/>
      <c r="F4" s="1462"/>
      <c r="G4" s="1462"/>
      <c r="H4" s="1462"/>
      <c r="I4" s="1462"/>
      <c r="J4" s="1463"/>
    </row>
    <row r="5" spans="1:10" ht="44.25" customHeight="1">
      <c r="A5" s="864"/>
      <c r="B5" s="865"/>
      <c r="C5" s="865"/>
      <c r="D5" s="865"/>
      <c r="E5" s="865"/>
      <c r="F5" s="865"/>
      <c r="G5" s="865"/>
      <c r="H5" s="865"/>
      <c r="I5" s="865"/>
      <c r="J5" s="866"/>
    </row>
    <row r="6" spans="1:10" ht="23.1" customHeight="1">
      <c r="A6" s="864"/>
      <c r="B6" s="865"/>
      <c r="C6" s="1392" t="s">
        <v>460</v>
      </c>
      <c r="D6" s="865"/>
      <c r="E6" s="865"/>
      <c r="F6" s="865"/>
      <c r="G6" s="865"/>
      <c r="H6" s="865"/>
      <c r="I6" s="865"/>
      <c r="J6" s="866"/>
    </row>
    <row r="7" spans="1:10" ht="23.1" customHeight="1">
      <c r="A7" s="867"/>
      <c r="B7" s="1320" t="s">
        <v>666</v>
      </c>
      <c r="C7" s="1322" t="s">
        <v>491</v>
      </c>
      <c r="D7" s="1323"/>
      <c r="E7" s="1324"/>
      <c r="F7" s="1324"/>
      <c r="G7" s="1324"/>
      <c r="H7" s="1324"/>
      <c r="I7" s="1325"/>
      <c r="J7" s="1326"/>
    </row>
    <row r="8" spans="1:10" ht="23.1" customHeight="1">
      <c r="A8" s="867"/>
      <c r="B8" s="1320" t="s">
        <v>666</v>
      </c>
      <c r="C8" s="1322" t="s">
        <v>492</v>
      </c>
      <c r="D8" s="1322"/>
      <c r="E8" s="1327"/>
      <c r="F8" s="1327"/>
      <c r="G8" s="1327"/>
      <c r="H8" s="1327"/>
      <c r="I8" s="1325"/>
      <c r="J8" s="1326"/>
    </row>
    <row r="9" spans="1:10" ht="23.1" customHeight="1">
      <c r="A9" s="875"/>
      <c r="B9" s="1320" t="s">
        <v>666</v>
      </c>
      <c r="C9" s="1322" t="s">
        <v>493</v>
      </c>
      <c r="D9" s="1322"/>
      <c r="E9" s="1327"/>
      <c r="F9" s="1327"/>
      <c r="G9" s="1327"/>
      <c r="H9" s="1327"/>
      <c r="I9" s="1325" t="s">
        <v>487</v>
      </c>
      <c r="J9" s="1326">
        <v>5</v>
      </c>
    </row>
    <row r="10" spans="1:10" ht="23.1" customHeight="1">
      <c r="A10" s="867"/>
      <c r="B10" s="1320" t="s">
        <v>666</v>
      </c>
      <c r="C10" s="1322" t="s">
        <v>494</v>
      </c>
      <c r="D10" s="1323"/>
      <c r="E10" s="1324"/>
      <c r="F10" s="1324"/>
      <c r="G10" s="1324"/>
      <c r="H10" s="1324"/>
      <c r="I10" s="1325"/>
      <c r="J10" s="1326"/>
    </row>
    <row r="11" spans="1:10" ht="23.1" customHeight="1">
      <c r="A11" s="867"/>
      <c r="B11" s="1320" t="s">
        <v>666</v>
      </c>
      <c r="C11" s="1322" t="s">
        <v>495</v>
      </c>
      <c r="D11" s="1323"/>
      <c r="E11" s="1324"/>
      <c r="F11" s="1324"/>
      <c r="G11" s="1324"/>
      <c r="H11" s="1324"/>
      <c r="I11" s="1325"/>
      <c r="J11" s="1326"/>
    </row>
    <row r="12" spans="1:10" ht="23.1" customHeight="1">
      <c r="A12" s="875"/>
      <c r="B12" s="1320" t="s">
        <v>666</v>
      </c>
      <c r="C12" s="1322" t="s">
        <v>210</v>
      </c>
      <c r="D12" s="1322"/>
      <c r="E12" s="1327"/>
      <c r="F12" s="1327"/>
      <c r="G12" s="1327"/>
      <c r="H12" s="1327"/>
      <c r="I12" s="1325" t="s">
        <v>487</v>
      </c>
      <c r="J12" s="1326">
        <v>6</v>
      </c>
    </row>
    <row r="13" spans="1:10" ht="23.1" customHeight="1">
      <c r="A13" s="867"/>
      <c r="B13" s="1320" t="s">
        <v>666</v>
      </c>
      <c r="C13" s="1322" t="s">
        <v>496</v>
      </c>
      <c r="D13" s="1322"/>
      <c r="E13" s="1327"/>
      <c r="F13" s="1327"/>
      <c r="G13" s="1327"/>
      <c r="H13" s="1327"/>
      <c r="I13" s="1325"/>
      <c r="J13" s="1326"/>
    </row>
    <row r="14" spans="1:10" ht="23.1" customHeight="1">
      <c r="A14" s="867"/>
      <c r="B14" s="1320" t="s">
        <v>666</v>
      </c>
      <c r="C14" s="1322" t="s">
        <v>497</v>
      </c>
      <c r="D14" s="1322"/>
      <c r="E14" s="1327"/>
      <c r="F14" s="1327"/>
      <c r="G14" s="1327"/>
      <c r="H14" s="1327"/>
      <c r="I14" s="1325"/>
      <c r="J14" s="1326"/>
    </row>
    <row r="15" spans="1:10" ht="23.1" customHeight="1">
      <c r="A15" s="875"/>
      <c r="B15" s="1320" t="s">
        <v>666</v>
      </c>
      <c r="C15" s="1322" t="s">
        <v>498</v>
      </c>
      <c r="D15" s="1322"/>
      <c r="E15" s="1327"/>
      <c r="F15" s="1327"/>
      <c r="G15" s="1327"/>
      <c r="H15" s="1327"/>
      <c r="I15" s="1325" t="s">
        <v>487</v>
      </c>
      <c r="J15" s="1326">
        <v>8</v>
      </c>
    </row>
    <row r="16" spans="1:10" ht="23.1" customHeight="1">
      <c r="A16" s="875"/>
      <c r="B16" s="1320" t="s">
        <v>666</v>
      </c>
      <c r="C16" s="1322" t="s">
        <v>499</v>
      </c>
      <c r="D16" s="1322"/>
      <c r="E16" s="1327"/>
      <c r="F16" s="1327"/>
      <c r="G16" s="1327"/>
      <c r="H16" s="1327"/>
      <c r="I16" s="1325"/>
      <c r="J16" s="1326"/>
    </row>
    <row r="17" spans="1:10" ht="23.1" customHeight="1">
      <c r="A17" s="875"/>
      <c r="B17" s="1320" t="s">
        <v>666</v>
      </c>
      <c r="C17" s="1322" t="s">
        <v>500</v>
      </c>
      <c r="D17" s="1322"/>
      <c r="E17" s="1327"/>
      <c r="F17" s="1327"/>
      <c r="G17" s="1327"/>
      <c r="H17" s="1327"/>
      <c r="I17" s="1325"/>
      <c r="J17" s="1326"/>
    </row>
    <row r="18" spans="1:10" ht="23.1" hidden="1" customHeight="1">
      <c r="A18" s="867"/>
      <c r="B18" s="1320" t="s">
        <v>666</v>
      </c>
      <c r="C18" s="1322" t="s">
        <v>501</v>
      </c>
      <c r="D18" s="1322"/>
      <c r="E18" s="1327"/>
      <c r="F18" s="1327"/>
      <c r="G18" s="1327"/>
      <c r="H18" s="1327"/>
      <c r="I18" s="1325"/>
      <c r="J18" s="1326"/>
    </row>
    <row r="19" spans="1:10" ht="23.1" customHeight="1">
      <c r="A19" s="867"/>
      <c r="B19" s="1320" t="s">
        <v>666</v>
      </c>
      <c r="C19" s="1322" t="s">
        <v>502</v>
      </c>
      <c r="D19" s="1322"/>
      <c r="E19" s="1327"/>
      <c r="F19" s="1327"/>
      <c r="G19" s="1327"/>
      <c r="H19" s="1327"/>
      <c r="I19" s="1325"/>
      <c r="J19" s="1326"/>
    </row>
    <row r="20" spans="1:10" ht="23.1" customHeight="1">
      <c r="A20" s="867"/>
      <c r="B20" s="1321" t="s">
        <v>666</v>
      </c>
      <c r="C20" s="1464" t="s">
        <v>691</v>
      </c>
      <c r="D20" s="1464"/>
      <c r="E20" s="1464"/>
      <c r="F20" s="1464"/>
      <c r="G20" s="1464"/>
      <c r="H20" s="1464"/>
      <c r="I20" s="1464"/>
      <c r="J20" s="1465"/>
    </row>
    <row r="21" spans="1:10" ht="23.1" customHeight="1">
      <c r="A21" s="867"/>
      <c r="B21" s="1321" t="s">
        <v>666</v>
      </c>
      <c r="C21" s="1464" t="s">
        <v>694</v>
      </c>
      <c r="D21" s="1464"/>
      <c r="E21" s="1464"/>
      <c r="F21" s="1464"/>
      <c r="G21" s="1464"/>
      <c r="H21" s="1464"/>
      <c r="I21" s="1464"/>
      <c r="J21" s="1465"/>
    </row>
    <row r="22" spans="1:10" ht="41.25" customHeight="1">
      <c r="A22" s="875"/>
      <c r="B22" s="1320" t="s">
        <v>666</v>
      </c>
      <c r="C22" s="1466" t="s">
        <v>503</v>
      </c>
      <c r="D22" s="1466"/>
      <c r="E22" s="1466"/>
      <c r="F22" s="1466"/>
      <c r="G22" s="1466"/>
      <c r="H22" s="1466"/>
      <c r="I22" s="1466"/>
      <c r="J22" s="1467"/>
    </row>
    <row r="23" spans="1:10" ht="23.1" customHeight="1">
      <c r="A23" s="875"/>
      <c r="B23" s="1320" t="s">
        <v>666</v>
      </c>
      <c r="C23" s="1322" t="s">
        <v>233</v>
      </c>
      <c r="D23" s="1322"/>
      <c r="E23" s="1327"/>
      <c r="F23" s="1327"/>
      <c r="G23" s="1327"/>
      <c r="H23" s="1327"/>
      <c r="I23" s="1325" t="s">
        <v>487</v>
      </c>
      <c r="J23" s="1326">
        <v>12</v>
      </c>
    </row>
    <row r="24" spans="1:10" ht="23.1" customHeight="1">
      <c r="A24" s="875"/>
      <c r="B24" s="1320" t="s">
        <v>666</v>
      </c>
      <c r="C24" s="1328" t="s">
        <v>678</v>
      </c>
      <c r="D24" s="1327"/>
      <c r="E24" s="1327"/>
      <c r="F24" s="1327"/>
      <c r="G24" s="1327"/>
      <c r="H24" s="1327"/>
      <c r="I24" s="1325"/>
      <c r="J24" s="1326"/>
    </row>
    <row r="25" spans="1:10" ht="23.1" customHeight="1">
      <c r="A25" s="875"/>
      <c r="B25" s="1320" t="s">
        <v>666</v>
      </c>
      <c r="C25" s="1328" t="s">
        <v>677</v>
      </c>
      <c r="D25" s="1327"/>
      <c r="E25" s="1327"/>
      <c r="F25" s="1327"/>
      <c r="G25" s="1327"/>
      <c r="H25" s="1327"/>
      <c r="I25" s="1325"/>
      <c r="J25" s="1326"/>
    </row>
    <row r="26" spans="1:10" ht="23.1" customHeight="1">
      <c r="A26" s="875"/>
      <c r="B26" s="868"/>
      <c r="C26" s="1227" t="s">
        <v>488</v>
      </c>
      <c r="D26" s="872"/>
      <c r="E26" s="872"/>
      <c r="F26" s="872"/>
      <c r="G26" s="872"/>
      <c r="H26" s="872"/>
      <c r="I26" s="873"/>
      <c r="J26" s="874"/>
    </row>
    <row r="27" spans="1:10" ht="23.1" customHeight="1">
      <c r="A27" s="875"/>
      <c r="B27" s="868"/>
      <c r="C27" s="1227"/>
      <c r="D27" s="872"/>
      <c r="E27" s="872"/>
      <c r="F27" s="872"/>
      <c r="G27" s="872"/>
      <c r="H27" s="872"/>
      <c r="I27" s="873"/>
      <c r="J27" s="874"/>
    </row>
    <row r="28" spans="1:10" ht="23.1" customHeight="1">
      <c r="A28" s="875"/>
      <c r="B28" s="868"/>
      <c r="C28" s="1227"/>
      <c r="D28" s="872"/>
      <c r="E28" s="872"/>
      <c r="F28" s="872"/>
      <c r="G28" s="872"/>
      <c r="H28" s="872"/>
      <c r="I28" s="873"/>
      <c r="J28" s="874"/>
    </row>
    <row r="29" spans="1:10" ht="23.1" customHeight="1">
      <c r="A29" s="875"/>
      <c r="B29" s="868"/>
      <c r="C29" s="876"/>
      <c r="D29" s="872"/>
      <c r="E29" s="872"/>
      <c r="F29" s="872"/>
      <c r="G29" s="872"/>
      <c r="H29" s="872"/>
      <c r="I29" s="873"/>
      <c r="J29" s="874"/>
    </row>
    <row r="30" spans="1:10" ht="23.1" customHeight="1">
      <c r="A30" s="867"/>
      <c r="B30" s="868"/>
      <c r="C30" s="877"/>
      <c r="D30" s="872"/>
      <c r="E30" s="872"/>
      <c r="F30" s="872"/>
      <c r="G30" s="872"/>
      <c r="H30" s="872"/>
      <c r="I30" s="873"/>
      <c r="J30" s="874"/>
    </row>
    <row r="31" spans="1:10" ht="23.1" customHeight="1">
      <c r="A31" s="875"/>
      <c r="B31" s="868"/>
      <c r="C31" s="877"/>
      <c r="D31" s="876"/>
      <c r="E31" s="872"/>
      <c r="F31" s="872"/>
      <c r="G31" s="872"/>
      <c r="H31" s="872"/>
      <c r="I31" s="873"/>
      <c r="J31" s="874"/>
    </row>
    <row r="32" spans="1:10" ht="23.1" customHeight="1">
      <c r="A32" s="875"/>
      <c r="B32" s="878"/>
      <c r="C32" s="872"/>
      <c r="D32" s="872"/>
      <c r="E32" s="872"/>
      <c r="F32" s="872"/>
      <c r="G32" s="872"/>
      <c r="H32" s="872"/>
      <c r="I32" s="873" t="s">
        <v>487</v>
      </c>
      <c r="J32" s="871">
        <v>16</v>
      </c>
    </row>
    <row r="33" spans="1:10" ht="23.1" customHeight="1">
      <c r="A33" s="867"/>
      <c r="B33" s="868"/>
      <c r="C33" s="872"/>
      <c r="D33" s="872"/>
      <c r="E33" s="872"/>
      <c r="F33" s="872"/>
      <c r="G33" s="872"/>
      <c r="H33" s="872"/>
      <c r="I33" s="873"/>
      <c r="J33" s="874"/>
    </row>
    <row r="34" spans="1:10" ht="23.1" customHeight="1">
      <c r="A34" s="875"/>
      <c r="B34" s="878"/>
      <c r="C34" s="869"/>
      <c r="D34" s="869"/>
      <c r="E34" s="869"/>
      <c r="F34" s="869"/>
      <c r="G34" s="869"/>
      <c r="H34" s="869"/>
      <c r="I34" s="873" t="s">
        <v>487</v>
      </c>
      <c r="J34" s="871">
        <v>17</v>
      </c>
    </row>
    <row r="35" spans="1:10" ht="23.1" customHeight="1" thickBot="1">
      <c r="A35" s="879"/>
      <c r="B35" s="880"/>
      <c r="C35" s="881"/>
      <c r="D35" s="881"/>
      <c r="E35" s="881"/>
      <c r="F35" s="881"/>
      <c r="G35" s="881"/>
      <c r="H35" s="881"/>
      <c r="I35" s="882"/>
      <c r="J35" s="883"/>
    </row>
    <row r="36" spans="1:10" ht="15.6" thickTop="1" thickBot="1"/>
    <row r="37" spans="1:10" ht="15" thickTop="1">
      <c r="A37" s="860"/>
      <c r="B37" s="861"/>
      <c r="C37" s="862"/>
      <c r="D37" s="862"/>
      <c r="E37" s="862"/>
      <c r="F37" s="862"/>
      <c r="G37" s="862"/>
      <c r="H37" s="862"/>
      <c r="I37" s="862"/>
      <c r="J37" s="863"/>
    </row>
    <row r="38" spans="1:10" ht="17.399999999999999">
      <c r="A38" s="1458"/>
      <c r="B38" s="1459"/>
      <c r="C38" s="1459"/>
      <c r="D38" s="1459"/>
      <c r="E38" s="1459"/>
      <c r="F38" s="1459"/>
      <c r="G38" s="1459"/>
      <c r="H38" s="1459"/>
      <c r="I38" s="1459"/>
      <c r="J38" s="1460"/>
    </row>
    <row r="39" spans="1:10">
      <c r="A39" s="867"/>
      <c r="B39" s="868"/>
      <c r="C39" s="869"/>
      <c r="D39" s="869"/>
      <c r="E39" s="869"/>
      <c r="F39" s="869"/>
      <c r="G39" s="869"/>
      <c r="H39" s="869"/>
      <c r="I39" s="869"/>
      <c r="J39" s="884"/>
    </row>
    <row r="40" spans="1:10">
      <c r="A40" s="875"/>
      <c r="B40" s="878"/>
      <c r="C40" s="1457"/>
      <c r="D40" s="1457"/>
      <c r="E40" s="1457"/>
      <c r="F40" s="1457"/>
      <c r="G40" s="1457"/>
      <c r="H40" s="1457"/>
      <c r="I40" s="873"/>
      <c r="J40" s="871"/>
    </row>
    <row r="41" spans="1:10">
      <c r="A41" s="867"/>
      <c r="B41" s="868"/>
      <c r="C41" s="869"/>
      <c r="D41" s="869"/>
      <c r="E41" s="869"/>
      <c r="F41" s="869"/>
      <c r="G41" s="869"/>
      <c r="H41" s="869"/>
      <c r="I41" s="870"/>
      <c r="J41" s="871"/>
    </row>
    <row r="42" spans="1:10">
      <c r="A42" s="875"/>
      <c r="B42" s="878"/>
      <c r="C42" s="872"/>
      <c r="D42" s="872"/>
      <c r="E42" s="872"/>
      <c r="F42" s="872"/>
      <c r="G42" s="872"/>
      <c r="H42" s="872"/>
      <c r="I42" s="873"/>
      <c r="J42" s="871"/>
    </row>
    <row r="43" spans="1:10">
      <c r="A43" s="875"/>
      <c r="B43" s="878"/>
      <c r="C43" s="872"/>
      <c r="D43" s="872"/>
      <c r="E43" s="872"/>
      <c r="F43" s="872"/>
      <c r="G43" s="872"/>
      <c r="H43" s="872"/>
      <c r="I43" s="873"/>
      <c r="J43" s="871"/>
    </row>
    <row r="44" spans="1:10">
      <c r="A44" s="875"/>
      <c r="B44" s="878"/>
      <c r="C44" s="872"/>
      <c r="D44" s="872"/>
      <c r="E44" s="872"/>
      <c r="F44" s="872"/>
      <c r="G44" s="872"/>
      <c r="H44" s="872"/>
      <c r="I44" s="873"/>
      <c r="J44" s="871"/>
    </row>
    <row r="45" spans="1:10">
      <c r="A45" s="875"/>
      <c r="B45" s="878"/>
      <c r="C45" s="872"/>
      <c r="D45" s="872"/>
      <c r="E45" s="872"/>
      <c r="F45" s="872"/>
      <c r="G45" s="872"/>
      <c r="H45" s="872"/>
      <c r="I45" s="873"/>
      <c r="J45" s="871"/>
    </row>
    <row r="46" spans="1:10">
      <c r="A46" s="875"/>
      <c r="B46" s="878"/>
      <c r="C46" s="872"/>
      <c r="D46" s="872"/>
      <c r="E46" s="872"/>
      <c r="F46" s="872"/>
      <c r="G46" s="872"/>
      <c r="H46" s="872"/>
      <c r="I46" s="873"/>
      <c r="J46" s="871"/>
    </row>
    <row r="47" spans="1:10">
      <c r="A47" s="875"/>
      <c r="B47" s="878"/>
      <c r="C47" s="872"/>
      <c r="D47" s="872"/>
      <c r="E47" s="872"/>
      <c r="F47" s="872"/>
      <c r="G47" s="872"/>
      <c r="H47" s="872"/>
      <c r="I47" s="873"/>
      <c r="J47" s="871"/>
    </row>
    <row r="48" spans="1:10">
      <c r="A48" s="875"/>
      <c r="B48" s="878"/>
      <c r="C48" s="872"/>
      <c r="D48" s="872"/>
      <c r="E48" s="872"/>
      <c r="F48" s="872"/>
      <c r="G48" s="872"/>
      <c r="H48" s="872"/>
      <c r="I48" s="873"/>
      <c r="J48" s="871"/>
    </row>
    <row r="49" spans="1:10">
      <c r="A49" s="875"/>
      <c r="B49" s="878"/>
      <c r="C49" s="872"/>
      <c r="D49" s="872"/>
      <c r="E49" s="872"/>
      <c r="F49" s="872"/>
      <c r="G49" s="872"/>
      <c r="H49" s="872"/>
      <c r="I49" s="873"/>
      <c r="J49" s="871"/>
    </row>
    <row r="50" spans="1:10">
      <c r="A50" s="875"/>
      <c r="B50" s="878"/>
      <c r="C50" s="872"/>
      <c r="D50" s="872"/>
      <c r="E50" s="872"/>
      <c r="F50" s="872"/>
      <c r="G50" s="872"/>
      <c r="H50" s="872"/>
      <c r="I50" s="873"/>
      <c r="J50" s="871"/>
    </row>
    <row r="51" spans="1:10">
      <c r="A51" s="875"/>
      <c r="B51" s="878"/>
      <c r="C51" s="872"/>
      <c r="D51" s="872"/>
      <c r="E51" s="872"/>
      <c r="F51" s="872"/>
      <c r="G51" s="872"/>
      <c r="H51" s="872"/>
      <c r="I51" s="873"/>
      <c r="J51" s="871"/>
    </row>
    <row r="52" spans="1:10">
      <c r="A52" s="875"/>
      <c r="B52" s="878"/>
      <c r="C52" s="872"/>
      <c r="D52" s="872"/>
      <c r="E52" s="872"/>
      <c r="F52" s="872"/>
      <c r="G52" s="872"/>
      <c r="H52" s="872"/>
      <c r="I52" s="873"/>
      <c r="J52" s="871"/>
    </row>
    <row r="53" spans="1:10">
      <c r="A53" s="875"/>
      <c r="B53" s="878"/>
      <c r="C53" s="872"/>
      <c r="D53" s="872"/>
      <c r="E53" s="872"/>
      <c r="F53" s="872"/>
      <c r="G53" s="872"/>
      <c r="H53" s="872"/>
      <c r="I53" s="873"/>
      <c r="J53" s="871"/>
    </row>
    <row r="54" spans="1:10">
      <c r="A54" s="875"/>
      <c r="B54" s="878"/>
      <c r="C54" s="872"/>
      <c r="D54" s="872"/>
      <c r="E54" s="872"/>
      <c r="F54" s="872"/>
      <c r="G54" s="872"/>
      <c r="H54" s="872"/>
      <c r="I54" s="873"/>
      <c r="J54" s="871"/>
    </row>
    <row r="55" spans="1:10">
      <c r="A55" s="867"/>
      <c r="B55" s="868"/>
      <c r="C55" s="869"/>
      <c r="D55" s="869"/>
      <c r="E55" s="869"/>
      <c r="F55" s="869"/>
      <c r="G55" s="869"/>
      <c r="H55" s="869"/>
      <c r="I55" s="870"/>
      <c r="J55" s="871"/>
    </row>
    <row r="56" spans="1:10">
      <c r="A56" s="875"/>
      <c r="B56" s="878"/>
      <c r="C56" s="872"/>
      <c r="D56" s="872"/>
      <c r="E56" s="872"/>
      <c r="F56" s="872"/>
      <c r="G56" s="872"/>
      <c r="H56" s="872"/>
      <c r="I56" s="873"/>
      <c r="J56" s="874"/>
    </row>
    <row r="57" spans="1:10">
      <c r="A57" s="867"/>
      <c r="B57" s="868"/>
      <c r="C57" s="872"/>
      <c r="D57" s="872"/>
      <c r="E57" s="872"/>
      <c r="F57" s="872"/>
      <c r="G57" s="872"/>
      <c r="H57" s="872"/>
      <c r="I57" s="873"/>
      <c r="J57" s="874"/>
    </row>
    <row r="58" spans="1:10">
      <c r="A58" s="875"/>
      <c r="B58" s="878"/>
      <c r="C58" s="872"/>
      <c r="D58" s="872"/>
      <c r="E58" s="872"/>
      <c r="F58" s="872"/>
      <c r="G58" s="872"/>
      <c r="H58" s="872"/>
      <c r="I58" s="873"/>
      <c r="J58" s="874"/>
    </row>
    <row r="59" spans="1:10">
      <c r="A59" s="867"/>
      <c r="B59" s="868"/>
      <c r="C59" s="872"/>
      <c r="D59" s="872"/>
      <c r="E59" s="872"/>
      <c r="F59" s="872"/>
      <c r="G59" s="872"/>
      <c r="H59" s="872"/>
      <c r="I59" s="873"/>
      <c r="J59" s="874"/>
    </row>
    <row r="60" spans="1:10">
      <c r="A60" s="875"/>
      <c r="B60" s="878"/>
      <c r="C60" s="872"/>
      <c r="D60" s="872"/>
      <c r="E60" s="872"/>
      <c r="F60" s="872"/>
      <c r="G60" s="872"/>
      <c r="H60" s="872"/>
      <c r="I60" s="873"/>
      <c r="J60" s="874"/>
    </row>
    <row r="61" spans="1:10">
      <c r="A61" s="867"/>
      <c r="B61" s="868"/>
      <c r="C61" s="869"/>
      <c r="D61" s="869"/>
      <c r="E61" s="869"/>
      <c r="F61" s="869"/>
      <c r="G61" s="869"/>
      <c r="H61" s="869"/>
      <c r="I61" s="870"/>
      <c r="J61" s="871"/>
    </row>
    <row r="62" spans="1:10">
      <c r="A62" s="875"/>
      <c r="B62" s="878"/>
      <c r="C62" s="872"/>
      <c r="D62" s="872"/>
      <c r="E62" s="872"/>
      <c r="F62" s="872"/>
      <c r="G62" s="872"/>
      <c r="H62" s="872"/>
      <c r="I62" s="873"/>
      <c r="J62" s="874"/>
    </row>
    <row r="63" spans="1:10" ht="38.25" customHeight="1">
      <c r="A63" s="867"/>
      <c r="B63" s="868"/>
      <c r="C63" s="1470" t="s">
        <v>489</v>
      </c>
      <c r="D63" s="1470"/>
      <c r="E63" s="1470"/>
      <c r="F63" s="1470"/>
      <c r="G63" s="1470"/>
      <c r="H63" s="1470"/>
      <c r="I63" s="1470"/>
      <c r="J63" s="874"/>
    </row>
    <row r="64" spans="1:10">
      <c r="A64" s="875"/>
      <c r="B64" s="878"/>
      <c r="C64" s="872"/>
      <c r="D64" s="872"/>
      <c r="E64" s="872"/>
      <c r="F64" s="872"/>
      <c r="G64" s="872"/>
      <c r="H64" s="872"/>
      <c r="I64" s="873"/>
      <c r="J64" s="874"/>
    </row>
    <row r="65" spans="1:10">
      <c r="A65" s="867"/>
      <c r="B65" s="868"/>
      <c r="C65" s="872"/>
      <c r="D65" s="872"/>
      <c r="E65" s="872"/>
      <c r="F65" s="872"/>
      <c r="G65" s="872"/>
      <c r="H65" s="872"/>
      <c r="I65" s="873"/>
      <c r="J65" s="874"/>
    </row>
    <row r="66" spans="1:10">
      <c r="A66" s="867"/>
      <c r="B66" s="868"/>
      <c r="C66" s="872"/>
      <c r="D66" s="872"/>
      <c r="E66" s="872"/>
      <c r="F66" s="872"/>
      <c r="G66" s="872"/>
      <c r="H66" s="872"/>
      <c r="I66" s="873"/>
      <c r="J66" s="874"/>
    </row>
    <row r="67" spans="1:10">
      <c r="A67" s="875"/>
      <c r="B67" s="878"/>
      <c r="C67" s="872"/>
      <c r="D67" s="872"/>
      <c r="E67" s="872"/>
      <c r="F67" s="872"/>
      <c r="G67" s="872"/>
      <c r="H67" s="872"/>
      <c r="I67" s="873"/>
      <c r="J67" s="874"/>
    </row>
    <row r="68" spans="1:10">
      <c r="A68" s="867"/>
      <c r="B68" s="868"/>
      <c r="C68" s="869"/>
      <c r="D68" s="869"/>
      <c r="E68" s="869"/>
      <c r="F68" s="869"/>
      <c r="G68" s="869"/>
      <c r="H68" s="869"/>
      <c r="I68" s="870"/>
      <c r="J68" s="871"/>
    </row>
    <row r="69" spans="1:10">
      <c r="A69" s="875"/>
      <c r="B69" s="878"/>
      <c r="C69" s="872"/>
      <c r="D69" s="872"/>
      <c r="E69" s="872"/>
      <c r="F69" s="872"/>
      <c r="G69" s="872"/>
      <c r="H69" s="872"/>
      <c r="I69" s="873"/>
      <c r="J69" s="874"/>
    </row>
    <row r="70" spans="1:10">
      <c r="A70" s="867"/>
      <c r="B70" s="868"/>
      <c r="C70" s="869"/>
      <c r="D70" s="869"/>
      <c r="E70" s="869"/>
      <c r="F70" s="869"/>
      <c r="G70" s="869"/>
      <c r="H70" s="869"/>
      <c r="I70" s="870"/>
      <c r="J70" s="871"/>
    </row>
    <row r="71" spans="1:10">
      <c r="A71" s="875"/>
      <c r="B71" s="878"/>
      <c r="C71" s="872"/>
      <c r="D71" s="872"/>
      <c r="E71" s="872"/>
      <c r="F71" s="872"/>
      <c r="G71" s="872"/>
      <c r="H71" s="872"/>
      <c r="I71" s="873"/>
      <c r="J71" s="874"/>
    </row>
    <row r="72" spans="1:10">
      <c r="A72" s="867"/>
      <c r="B72" s="868"/>
      <c r="C72" s="872"/>
      <c r="D72" s="872"/>
      <c r="E72" s="872"/>
      <c r="F72" s="872"/>
      <c r="G72" s="872"/>
      <c r="H72" s="872"/>
      <c r="I72" s="873"/>
      <c r="J72" s="874"/>
    </row>
    <row r="73" spans="1:10">
      <c r="A73" s="875"/>
      <c r="B73" s="878"/>
      <c r="C73" s="872"/>
      <c r="D73" s="872"/>
      <c r="E73" s="872"/>
      <c r="F73" s="872"/>
      <c r="G73" s="872"/>
      <c r="H73" s="872"/>
      <c r="I73" s="873"/>
      <c r="J73" s="874"/>
    </row>
    <row r="74" spans="1:10">
      <c r="A74" s="867"/>
      <c r="B74" s="868"/>
      <c r="C74" s="872"/>
      <c r="D74" s="872"/>
      <c r="E74" s="872"/>
      <c r="F74" s="872"/>
      <c r="G74" s="872"/>
      <c r="H74" s="872"/>
      <c r="I74" s="873"/>
      <c r="J74" s="874"/>
    </row>
    <row r="75" spans="1:10">
      <c r="A75" s="875"/>
      <c r="B75" s="878"/>
      <c r="C75" s="872"/>
      <c r="D75" s="872"/>
      <c r="E75" s="872"/>
      <c r="F75" s="872"/>
      <c r="G75" s="872"/>
      <c r="H75" s="872"/>
      <c r="I75" s="873"/>
      <c r="J75" s="874"/>
    </row>
    <row r="76" spans="1:10">
      <c r="A76" s="867"/>
      <c r="B76" s="868"/>
      <c r="C76" s="872"/>
      <c r="D76" s="872"/>
      <c r="E76" s="872"/>
      <c r="F76" s="872"/>
      <c r="G76" s="872"/>
      <c r="H76" s="872"/>
      <c r="I76" s="873"/>
      <c r="J76" s="874"/>
    </row>
    <row r="77" spans="1:10">
      <c r="A77" s="875"/>
      <c r="B77" s="878"/>
      <c r="C77" s="872"/>
      <c r="D77" s="872"/>
      <c r="E77" s="872"/>
      <c r="F77" s="872"/>
      <c r="G77" s="872"/>
      <c r="H77" s="872"/>
      <c r="I77" s="873"/>
      <c r="J77" s="874"/>
    </row>
    <row r="78" spans="1:10">
      <c r="A78" s="867"/>
      <c r="B78" s="868"/>
      <c r="C78" s="872"/>
      <c r="D78" s="872"/>
      <c r="E78" s="872"/>
      <c r="F78" s="872"/>
      <c r="G78" s="872"/>
      <c r="H78" s="872"/>
      <c r="I78" s="873"/>
      <c r="J78" s="874"/>
    </row>
    <row r="79" spans="1:10">
      <c r="A79" s="875"/>
      <c r="B79" s="878"/>
      <c r="C79" s="872"/>
      <c r="D79" s="872"/>
      <c r="E79" s="872"/>
      <c r="F79" s="872"/>
      <c r="G79" s="872"/>
      <c r="H79" s="872"/>
      <c r="I79" s="873"/>
      <c r="J79" s="874"/>
    </row>
    <row r="80" spans="1:10">
      <c r="A80" s="867"/>
      <c r="B80" s="868"/>
      <c r="C80" s="872"/>
      <c r="D80" s="872"/>
      <c r="E80" s="872"/>
      <c r="F80" s="872"/>
      <c r="G80" s="872"/>
      <c r="H80" s="872"/>
      <c r="I80" s="873"/>
      <c r="J80" s="874"/>
    </row>
    <row r="81" spans="1:10">
      <c r="A81" s="875"/>
      <c r="B81" s="878"/>
      <c r="C81" s="885"/>
      <c r="D81" s="885"/>
      <c r="E81" s="885"/>
      <c r="F81" s="885"/>
      <c r="G81" s="885"/>
      <c r="H81" s="885"/>
      <c r="I81" s="873"/>
      <c r="J81" s="874"/>
    </row>
    <row r="82" spans="1:10">
      <c r="A82" s="867"/>
      <c r="B82" s="868"/>
      <c r="C82" s="872"/>
      <c r="D82" s="872"/>
      <c r="E82" s="872"/>
      <c r="F82" s="872"/>
      <c r="G82" s="872"/>
      <c r="H82" s="872"/>
      <c r="I82" s="873"/>
      <c r="J82" s="874"/>
    </row>
    <row r="83" spans="1:10">
      <c r="A83" s="875"/>
      <c r="B83" s="878"/>
      <c r="C83" s="872"/>
      <c r="D83" s="872"/>
      <c r="E83" s="872"/>
      <c r="F83" s="872"/>
      <c r="G83" s="872"/>
      <c r="H83" s="872"/>
      <c r="I83" s="873"/>
      <c r="J83" s="871"/>
    </row>
    <row r="84" spans="1:10">
      <c r="A84" s="867"/>
      <c r="B84" s="868"/>
      <c r="C84" s="872"/>
      <c r="D84" s="872"/>
      <c r="E84" s="872"/>
      <c r="F84" s="872"/>
      <c r="G84" s="872"/>
      <c r="H84" s="872"/>
      <c r="I84" s="873"/>
      <c r="J84" s="874"/>
    </row>
    <row r="85" spans="1:10">
      <c r="A85" s="875"/>
      <c r="B85" s="878"/>
      <c r="C85" s="869"/>
      <c r="D85" s="869"/>
      <c r="E85" s="869"/>
      <c r="F85" s="869"/>
      <c r="G85" s="869"/>
      <c r="H85" s="869"/>
      <c r="I85" s="873"/>
      <c r="J85" s="871"/>
    </row>
    <row r="86" spans="1:10">
      <c r="A86" s="867"/>
      <c r="B86" s="868"/>
      <c r="C86" s="872"/>
      <c r="D86" s="872"/>
      <c r="E86" s="872"/>
      <c r="F86" s="872"/>
      <c r="G86" s="872"/>
      <c r="H86" s="872"/>
      <c r="I86" s="886"/>
      <c r="J86" s="887"/>
    </row>
    <row r="87" spans="1:10" ht="15" thickBot="1">
      <c r="A87" s="879"/>
      <c r="B87" s="880"/>
      <c r="C87" s="1468"/>
      <c r="D87" s="1468"/>
      <c r="E87" s="1468"/>
      <c r="F87" s="1468"/>
      <c r="G87" s="1468"/>
      <c r="H87" s="1468"/>
      <c r="I87" s="1468"/>
      <c r="J87" s="1469"/>
    </row>
    <row r="88" spans="1:10" ht="15.6" thickTop="1" thickBot="1"/>
    <row r="89" spans="1:10" ht="15" thickTop="1">
      <c r="A89" s="860"/>
      <c r="B89" s="861"/>
      <c r="C89" s="862"/>
      <c r="D89" s="862"/>
      <c r="E89" s="862"/>
      <c r="F89" s="862"/>
      <c r="G89" s="862"/>
      <c r="H89" s="862"/>
      <c r="I89" s="862"/>
      <c r="J89" s="863"/>
    </row>
    <row r="90" spans="1:10" ht="17.399999999999999">
      <c r="A90" s="1458"/>
      <c r="B90" s="1459"/>
      <c r="C90" s="1459"/>
      <c r="D90" s="1459"/>
      <c r="E90" s="1459"/>
      <c r="F90" s="1459"/>
      <c r="G90" s="1459"/>
      <c r="H90" s="1459"/>
      <c r="I90" s="1459"/>
      <c r="J90" s="1460"/>
    </row>
    <row r="91" spans="1:10">
      <c r="A91" s="867"/>
      <c r="B91" s="868"/>
      <c r="C91" s="869"/>
      <c r="D91" s="869"/>
      <c r="E91" s="869"/>
      <c r="F91" s="869"/>
      <c r="G91" s="869"/>
      <c r="H91" s="869"/>
      <c r="I91" s="869"/>
      <c r="J91" s="884"/>
    </row>
    <row r="92" spans="1:10">
      <c r="A92" s="875"/>
      <c r="B92" s="878"/>
      <c r="C92" s="1457"/>
      <c r="D92" s="1457"/>
      <c r="E92" s="1457"/>
      <c r="F92" s="1457"/>
      <c r="G92" s="1457"/>
      <c r="H92" s="1457"/>
      <c r="I92" s="873"/>
      <c r="J92" s="871"/>
    </row>
    <row r="93" spans="1:10">
      <c r="A93" s="867"/>
      <c r="B93" s="868"/>
      <c r="C93" s="869"/>
      <c r="D93" s="869"/>
      <c r="E93" s="869"/>
      <c r="F93" s="869"/>
      <c r="G93" s="869"/>
      <c r="H93" s="869"/>
      <c r="I93" s="870"/>
      <c r="J93" s="871"/>
    </row>
    <row r="94" spans="1:10">
      <c r="A94" s="875"/>
      <c r="B94" s="878"/>
      <c r="C94" s="872"/>
      <c r="D94" s="872"/>
      <c r="E94" s="872"/>
      <c r="F94" s="872"/>
      <c r="G94" s="872"/>
      <c r="H94" s="872"/>
      <c r="I94" s="873"/>
      <c r="J94" s="871"/>
    </row>
    <row r="95" spans="1:10">
      <c r="A95" s="875"/>
      <c r="B95" s="878"/>
      <c r="C95" s="872"/>
      <c r="D95" s="872"/>
      <c r="E95" s="872"/>
      <c r="F95" s="872"/>
      <c r="G95" s="872"/>
      <c r="H95" s="872"/>
      <c r="I95" s="873"/>
      <c r="J95" s="871"/>
    </row>
    <row r="96" spans="1:10">
      <c r="A96" s="875"/>
      <c r="B96" s="878"/>
      <c r="C96" s="872"/>
      <c r="D96" s="872"/>
      <c r="E96" s="872"/>
      <c r="F96" s="872"/>
      <c r="G96" s="872"/>
      <c r="H96" s="872"/>
      <c r="I96" s="873"/>
      <c r="J96" s="871"/>
    </row>
    <row r="97" spans="1:10">
      <c r="A97" s="875"/>
      <c r="B97" s="878"/>
      <c r="C97" s="872"/>
      <c r="D97" s="872"/>
      <c r="E97" s="872"/>
      <c r="F97" s="872"/>
      <c r="G97" s="872"/>
      <c r="H97" s="872"/>
      <c r="I97" s="873"/>
      <c r="J97" s="871"/>
    </row>
    <row r="98" spans="1:10">
      <c r="A98" s="875"/>
      <c r="B98" s="878"/>
      <c r="C98" s="872"/>
      <c r="D98" s="872"/>
      <c r="E98" s="872"/>
      <c r="F98" s="872"/>
      <c r="G98" s="872"/>
      <c r="H98" s="872"/>
      <c r="I98" s="873"/>
      <c r="J98" s="871"/>
    </row>
    <row r="99" spans="1:10">
      <c r="A99" s="875"/>
      <c r="B99" s="878"/>
      <c r="C99" s="872"/>
      <c r="D99" s="872"/>
      <c r="E99" s="872"/>
      <c r="F99" s="872"/>
      <c r="G99" s="872"/>
      <c r="H99" s="872"/>
      <c r="I99" s="873"/>
      <c r="J99" s="871"/>
    </row>
    <row r="100" spans="1:10">
      <c r="A100" s="875"/>
      <c r="B100" s="878"/>
      <c r="C100" s="872"/>
      <c r="D100" s="872"/>
      <c r="E100" s="872"/>
      <c r="F100" s="872"/>
      <c r="G100" s="872"/>
      <c r="H100" s="872"/>
      <c r="I100" s="873"/>
      <c r="J100" s="871"/>
    </row>
    <row r="101" spans="1:10">
      <c r="A101" s="875"/>
      <c r="B101" s="878"/>
      <c r="C101" s="872"/>
      <c r="D101" s="872"/>
      <c r="E101" s="872"/>
      <c r="F101" s="872"/>
      <c r="G101" s="872"/>
      <c r="H101" s="872"/>
      <c r="I101" s="873"/>
      <c r="J101" s="871"/>
    </row>
    <row r="102" spans="1:10">
      <c r="A102" s="875"/>
      <c r="B102" s="878"/>
      <c r="C102" s="872"/>
      <c r="D102" s="872"/>
      <c r="E102" s="872"/>
      <c r="F102" s="872"/>
      <c r="G102" s="872"/>
      <c r="H102" s="872"/>
      <c r="I102" s="873"/>
      <c r="J102" s="871"/>
    </row>
    <row r="103" spans="1:10">
      <c r="A103" s="875"/>
      <c r="B103" s="878"/>
      <c r="C103" s="872"/>
      <c r="D103" s="872"/>
      <c r="E103" s="872"/>
      <c r="F103" s="872"/>
      <c r="G103" s="872"/>
      <c r="H103" s="872"/>
      <c r="I103" s="873"/>
      <c r="J103" s="871"/>
    </row>
    <row r="104" spans="1:10">
      <c r="A104" s="875"/>
      <c r="B104" s="878"/>
      <c r="C104" s="872"/>
      <c r="D104" s="872"/>
      <c r="E104" s="872"/>
      <c r="F104" s="872"/>
      <c r="G104" s="872"/>
      <c r="H104" s="872"/>
      <c r="I104" s="873"/>
      <c r="J104" s="871"/>
    </row>
    <row r="105" spans="1:10">
      <c r="A105" s="875"/>
      <c r="B105" s="878"/>
      <c r="C105" s="872"/>
      <c r="D105" s="872"/>
      <c r="E105" s="872"/>
      <c r="F105" s="872"/>
      <c r="G105" s="872"/>
      <c r="H105" s="872"/>
      <c r="I105" s="873"/>
      <c r="J105" s="871"/>
    </row>
    <row r="106" spans="1:10">
      <c r="A106" s="875"/>
      <c r="B106" s="878"/>
      <c r="C106" s="872"/>
      <c r="D106" s="872"/>
      <c r="E106" s="872"/>
      <c r="F106" s="872"/>
      <c r="G106" s="872"/>
      <c r="H106" s="872"/>
      <c r="I106" s="873"/>
      <c r="J106" s="871"/>
    </row>
    <row r="107" spans="1:10">
      <c r="A107" s="867"/>
      <c r="B107" s="868"/>
      <c r="C107" s="869"/>
      <c r="D107" s="869"/>
      <c r="E107" s="869"/>
      <c r="F107" s="869"/>
      <c r="G107" s="869"/>
      <c r="H107" s="869"/>
      <c r="I107" s="870"/>
      <c r="J107" s="871"/>
    </row>
    <row r="108" spans="1:10">
      <c r="A108" s="875"/>
      <c r="B108" s="878"/>
      <c r="C108" s="872"/>
      <c r="D108" s="872"/>
      <c r="E108" s="872"/>
      <c r="F108" s="872"/>
      <c r="G108" s="872"/>
      <c r="H108" s="872"/>
      <c r="I108" s="873"/>
      <c r="J108" s="874"/>
    </row>
    <row r="109" spans="1:10">
      <c r="A109" s="867"/>
      <c r="B109" s="868"/>
      <c r="C109" s="872"/>
      <c r="D109" s="872"/>
      <c r="E109" s="872"/>
      <c r="F109" s="872"/>
      <c r="G109" s="872"/>
      <c r="H109" s="872"/>
      <c r="I109" s="873"/>
      <c r="J109" s="874"/>
    </row>
    <row r="110" spans="1:10">
      <c r="A110" s="875"/>
      <c r="B110" s="878"/>
      <c r="C110" s="872"/>
      <c r="D110" s="872"/>
      <c r="E110" s="872"/>
      <c r="F110" s="872"/>
      <c r="G110" s="872"/>
      <c r="H110" s="872"/>
      <c r="I110" s="873"/>
      <c r="J110" s="874"/>
    </row>
    <row r="111" spans="1:10">
      <c r="A111" s="867"/>
      <c r="B111" s="868"/>
      <c r="C111" s="872"/>
      <c r="D111" s="872"/>
      <c r="E111" s="872"/>
      <c r="F111" s="872"/>
      <c r="G111" s="872"/>
      <c r="H111" s="872"/>
      <c r="I111" s="873"/>
      <c r="J111" s="874"/>
    </row>
    <row r="112" spans="1:10">
      <c r="A112" s="875"/>
      <c r="B112" s="878"/>
      <c r="C112" s="872"/>
      <c r="D112" s="872"/>
      <c r="E112" s="872"/>
      <c r="F112" s="872"/>
      <c r="G112" s="872"/>
      <c r="H112" s="872"/>
      <c r="I112" s="873"/>
      <c r="J112" s="874"/>
    </row>
    <row r="113" spans="1:10">
      <c r="A113" s="867"/>
      <c r="B113" s="868"/>
      <c r="C113" s="869"/>
      <c r="D113" s="869"/>
      <c r="E113" s="869"/>
      <c r="F113" s="869"/>
      <c r="G113" s="869"/>
      <c r="H113" s="869"/>
      <c r="I113" s="870"/>
      <c r="J113" s="871"/>
    </row>
    <row r="114" spans="1:10">
      <c r="A114" s="875"/>
      <c r="B114" s="878"/>
      <c r="C114" s="872"/>
      <c r="D114" s="872"/>
      <c r="E114" s="872"/>
      <c r="F114" s="872"/>
      <c r="G114" s="872"/>
      <c r="H114" s="872"/>
      <c r="I114" s="873"/>
      <c r="J114" s="874"/>
    </row>
    <row r="115" spans="1:10" ht="30">
      <c r="A115" s="867"/>
      <c r="B115" s="868"/>
      <c r="C115" s="1470" t="str">
        <f>+C63</f>
        <v>NO CORRESPONDE</v>
      </c>
      <c r="D115" s="1470"/>
      <c r="E115" s="1470"/>
      <c r="F115" s="1470"/>
      <c r="G115" s="1470"/>
      <c r="H115" s="1470"/>
      <c r="I115" s="1470"/>
      <c r="J115" s="874"/>
    </row>
    <row r="116" spans="1:10">
      <c r="A116" s="875"/>
      <c r="B116" s="878"/>
      <c r="C116" s="872"/>
      <c r="D116" s="872"/>
      <c r="E116" s="872"/>
      <c r="F116" s="872"/>
      <c r="G116" s="872"/>
      <c r="H116" s="872"/>
      <c r="I116" s="873"/>
      <c r="J116" s="874"/>
    </row>
    <row r="117" spans="1:10">
      <c r="A117" s="867"/>
      <c r="B117" s="868"/>
      <c r="C117" s="872"/>
      <c r="D117" s="872"/>
      <c r="E117" s="872"/>
      <c r="F117" s="872"/>
      <c r="G117" s="872"/>
      <c r="H117" s="872"/>
      <c r="I117" s="873"/>
      <c r="J117" s="874"/>
    </row>
    <row r="118" spans="1:10">
      <c r="A118" s="867"/>
      <c r="B118" s="868"/>
      <c r="C118" s="872"/>
      <c r="D118" s="872"/>
      <c r="E118" s="872"/>
      <c r="F118" s="872"/>
      <c r="G118" s="872"/>
      <c r="H118" s="872"/>
      <c r="I118" s="873"/>
      <c r="J118" s="874"/>
    </row>
    <row r="119" spans="1:10">
      <c r="A119" s="875"/>
      <c r="B119" s="878"/>
      <c r="C119" s="872"/>
      <c r="D119" s="872"/>
      <c r="E119" s="872"/>
      <c r="F119" s="872"/>
      <c r="G119" s="872"/>
      <c r="H119" s="872"/>
      <c r="I119" s="873"/>
      <c r="J119" s="874"/>
    </row>
    <row r="120" spans="1:10">
      <c r="A120" s="867"/>
      <c r="B120" s="868"/>
      <c r="C120" s="869"/>
      <c r="D120" s="869"/>
      <c r="E120" s="869"/>
      <c r="F120" s="869"/>
      <c r="G120" s="869"/>
      <c r="H120" s="869"/>
      <c r="I120" s="870"/>
      <c r="J120" s="871"/>
    </row>
    <row r="121" spans="1:10">
      <c r="A121" s="875"/>
      <c r="B121" s="878"/>
      <c r="C121" s="872"/>
      <c r="D121" s="872"/>
      <c r="E121" s="872"/>
      <c r="F121" s="872"/>
      <c r="G121" s="872"/>
      <c r="H121" s="872"/>
      <c r="I121" s="873"/>
      <c r="J121" s="874"/>
    </row>
    <row r="122" spans="1:10">
      <c r="A122" s="867"/>
      <c r="B122" s="868"/>
      <c r="C122" s="869"/>
      <c r="D122" s="869"/>
      <c r="E122" s="869"/>
      <c r="F122" s="869"/>
      <c r="G122" s="869"/>
      <c r="H122" s="869"/>
      <c r="I122" s="870"/>
      <c r="J122" s="871"/>
    </row>
    <row r="123" spans="1:10">
      <c r="A123" s="875"/>
      <c r="B123" s="878"/>
      <c r="C123" s="872"/>
      <c r="D123" s="872"/>
      <c r="E123" s="872"/>
      <c r="F123" s="872"/>
      <c r="G123" s="872"/>
      <c r="H123" s="872"/>
      <c r="I123" s="873"/>
      <c r="J123" s="874"/>
    </row>
    <row r="124" spans="1:10">
      <c r="A124" s="867"/>
      <c r="B124" s="868"/>
      <c r="C124" s="872"/>
      <c r="D124" s="872"/>
      <c r="E124" s="872"/>
      <c r="F124" s="872"/>
      <c r="G124" s="872"/>
      <c r="H124" s="872"/>
      <c r="I124" s="873"/>
      <c r="J124" s="874"/>
    </row>
    <row r="125" spans="1:10">
      <c r="A125" s="875"/>
      <c r="B125" s="878"/>
      <c r="C125" s="872"/>
      <c r="D125" s="872"/>
      <c r="E125" s="872"/>
      <c r="F125" s="872"/>
      <c r="G125" s="872"/>
      <c r="H125" s="872"/>
      <c r="I125" s="873"/>
      <c r="J125" s="874"/>
    </row>
    <row r="126" spans="1:10">
      <c r="A126" s="867"/>
      <c r="B126" s="868"/>
      <c r="C126" s="872"/>
      <c r="D126" s="872"/>
      <c r="E126" s="872"/>
      <c r="F126" s="872"/>
      <c r="G126" s="872"/>
      <c r="H126" s="872"/>
      <c r="I126" s="873"/>
      <c r="J126" s="874"/>
    </row>
    <row r="127" spans="1:10">
      <c r="A127" s="875"/>
      <c r="B127" s="878"/>
      <c r="C127" s="872"/>
      <c r="D127" s="872"/>
      <c r="E127" s="872"/>
      <c r="F127" s="872"/>
      <c r="G127" s="872"/>
      <c r="H127" s="872"/>
      <c r="I127" s="873"/>
      <c r="J127" s="874"/>
    </row>
    <row r="128" spans="1:10">
      <c r="A128" s="867"/>
      <c r="B128" s="868"/>
      <c r="C128" s="872"/>
      <c r="D128" s="872"/>
      <c r="E128" s="872"/>
      <c r="F128" s="872"/>
      <c r="G128" s="872"/>
      <c r="H128" s="872"/>
      <c r="I128" s="873"/>
      <c r="J128" s="874"/>
    </row>
    <row r="129" spans="1:10">
      <c r="A129" s="875"/>
      <c r="B129" s="878"/>
      <c r="C129" s="872"/>
      <c r="D129" s="872"/>
      <c r="E129" s="872"/>
      <c r="F129" s="872"/>
      <c r="G129" s="872"/>
      <c r="H129" s="872"/>
      <c r="I129" s="873"/>
      <c r="J129" s="874"/>
    </row>
    <row r="130" spans="1:10">
      <c r="A130" s="867"/>
      <c r="B130" s="868"/>
      <c r="C130" s="872"/>
      <c r="D130" s="872"/>
      <c r="E130" s="872"/>
      <c r="F130" s="872"/>
      <c r="G130" s="872"/>
      <c r="H130" s="872"/>
      <c r="I130" s="873"/>
      <c r="J130" s="874"/>
    </row>
    <row r="131" spans="1:10">
      <c r="A131" s="875"/>
      <c r="B131" s="878"/>
      <c r="C131" s="872"/>
      <c r="D131" s="872"/>
      <c r="E131" s="872"/>
      <c r="F131" s="872"/>
      <c r="G131" s="872"/>
      <c r="H131" s="872"/>
      <c r="I131" s="873"/>
      <c r="J131" s="874"/>
    </row>
    <row r="132" spans="1:10">
      <c r="A132" s="867"/>
      <c r="B132" s="868"/>
      <c r="C132" s="872"/>
      <c r="D132" s="872"/>
      <c r="E132" s="872"/>
      <c r="F132" s="872"/>
      <c r="G132" s="872"/>
      <c r="H132" s="872"/>
      <c r="I132" s="873"/>
      <c r="J132" s="874"/>
    </row>
    <row r="133" spans="1:10">
      <c r="A133" s="875"/>
      <c r="B133" s="878"/>
      <c r="C133" s="885"/>
      <c r="D133" s="885"/>
      <c r="E133" s="885"/>
      <c r="F133" s="885"/>
      <c r="G133" s="885"/>
      <c r="H133" s="885"/>
      <c r="I133" s="873"/>
      <c r="J133" s="874"/>
    </row>
    <row r="134" spans="1:10">
      <c r="A134" s="867"/>
      <c r="B134" s="868"/>
      <c r="C134" s="872"/>
      <c r="D134" s="872"/>
      <c r="E134" s="872"/>
      <c r="F134" s="872"/>
      <c r="G134" s="872"/>
      <c r="H134" s="872"/>
      <c r="I134" s="873"/>
      <c r="J134" s="874"/>
    </row>
    <row r="135" spans="1:10">
      <c r="A135" s="875"/>
      <c r="B135" s="878"/>
      <c r="C135" s="872"/>
      <c r="D135" s="872"/>
      <c r="E135" s="872"/>
      <c r="F135" s="872"/>
      <c r="G135" s="872"/>
      <c r="H135" s="872"/>
      <c r="I135" s="873"/>
      <c r="J135" s="871"/>
    </row>
    <row r="136" spans="1:10">
      <c r="A136" s="867"/>
      <c r="B136" s="868"/>
      <c r="C136" s="872"/>
      <c r="D136" s="872"/>
      <c r="E136" s="872"/>
      <c r="F136" s="872"/>
      <c r="G136" s="872"/>
      <c r="H136" s="872"/>
      <c r="I136" s="873"/>
      <c r="J136" s="874"/>
    </row>
    <row r="137" spans="1:10">
      <c r="A137" s="875"/>
      <c r="B137" s="878"/>
      <c r="C137" s="869"/>
      <c r="D137" s="869"/>
      <c r="E137" s="869"/>
      <c r="F137" s="869"/>
      <c r="G137" s="869"/>
      <c r="H137" s="869"/>
      <c r="I137" s="873"/>
      <c r="J137" s="871"/>
    </row>
    <row r="138" spans="1:10">
      <c r="A138" s="867"/>
      <c r="B138" s="868"/>
      <c r="C138" s="872"/>
      <c r="D138" s="872"/>
      <c r="E138" s="872"/>
      <c r="F138" s="872"/>
      <c r="G138" s="872"/>
      <c r="H138" s="872"/>
      <c r="I138" s="886"/>
      <c r="J138" s="887"/>
    </row>
    <row r="139" spans="1:10" ht="15" thickBot="1">
      <c r="A139" s="879"/>
      <c r="B139" s="880"/>
      <c r="C139" s="1468"/>
      <c r="D139" s="1468"/>
      <c r="E139" s="1468"/>
      <c r="F139" s="1468"/>
      <c r="G139" s="1468"/>
      <c r="H139" s="1468"/>
      <c r="I139" s="1468"/>
      <c r="J139" s="1469"/>
    </row>
    <row r="140" spans="1:10" ht="15.6" thickTop="1" thickBot="1"/>
    <row r="141" spans="1:10" ht="15" thickTop="1">
      <c r="A141" s="860"/>
      <c r="B141" s="861"/>
      <c r="C141" s="862"/>
      <c r="D141" s="862"/>
      <c r="E141" s="862"/>
      <c r="F141" s="862"/>
      <c r="G141" s="862"/>
      <c r="H141" s="862"/>
      <c r="I141" s="862"/>
      <c r="J141" s="863"/>
    </row>
    <row r="142" spans="1:10" ht="17.399999999999999">
      <c r="A142" s="1458"/>
      <c r="B142" s="1459"/>
      <c r="C142" s="1459"/>
      <c r="D142" s="1459"/>
      <c r="E142" s="1459"/>
      <c r="F142" s="1459"/>
      <c r="G142" s="1459"/>
      <c r="H142" s="1459"/>
      <c r="I142" s="1459"/>
      <c r="J142" s="1460"/>
    </row>
    <row r="143" spans="1:10">
      <c r="A143" s="867"/>
      <c r="B143" s="868"/>
      <c r="C143" s="869"/>
      <c r="D143" s="869"/>
      <c r="E143" s="869"/>
      <c r="F143" s="869"/>
      <c r="G143" s="869"/>
      <c r="H143" s="869"/>
      <c r="I143" s="869"/>
      <c r="J143" s="884"/>
    </row>
    <row r="144" spans="1:10">
      <c r="A144" s="875"/>
      <c r="B144" s="878"/>
      <c r="C144" s="1457"/>
      <c r="D144" s="1457"/>
      <c r="E144" s="1457"/>
      <c r="F144" s="1457"/>
      <c r="G144" s="1457"/>
      <c r="H144" s="1457"/>
      <c r="I144" s="873"/>
      <c r="J144" s="871"/>
    </row>
    <row r="145" spans="1:10">
      <c r="A145" s="867"/>
      <c r="B145" s="868"/>
      <c r="C145" s="869"/>
      <c r="D145" s="869"/>
      <c r="E145" s="869"/>
      <c r="F145" s="869"/>
      <c r="G145" s="869"/>
      <c r="H145" s="869"/>
      <c r="I145" s="870"/>
      <c r="J145" s="871"/>
    </row>
    <row r="146" spans="1:10">
      <c r="A146" s="875"/>
      <c r="B146" s="878"/>
      <c r="C146" s="872"/>
      <c r="D146" s="872"/>
      <c r="E146" s="872"/>
      <c r="F146" s="872"/>
      <c r="G146" s="872"/>
      <c r="H146" s="872"/>
      <c r="I146" s="873"/>
      <c r="J146" s="871"/>
    </row>
    <row r="147" spans="1:10">
      <c r="A147" s="875"/>
      <c r="B147" s="878"/>
      <c r="C147" s="872"/>
      <c r="D147" s="872"/>
      <c r="E147" s="872"/>
      <c r="F147" s="872"/>
      <c r="G147" s="872"/>
      <c r="H147" s="872"/>
      <c r="I147" s="873"/>
      <c r="J147" s="871"/>
    </row>
    <row r="148" spans="1:10">
      <c r="A148" s="875"/>
      <c r="B148" s="878"/>
      <c r="C148" s="872"/>
      <c r="D148" s="872"/>
      <c r="E148" s="872"/>
      <c r="F148" s="872"/>
      <c r="G148" s="872"/>
      <c r="H148" s="872"/>
      <c r="I148" s="873"/>
      <c r="J148" s="871"/>
    </row>
    <row r="149" spans="1:10">
      <c r="A149" s="875"/>
      <c r="B149" s="878"/>
      <c r="C149" s="872"/>
      <c r="D149" s="872"/>
      <c r="E149" s="872"/>
      <c r="F149" s="872"/>
      <c r="G149" s="872"/>
      <c r="H149" s="872"/>
      <c r="I149" s="873"/>
      <c r="J149" s="871"/>
    </row>
    <row r="150" spans="1:10">
      <c r="A150" s="875"/>
      <c r="B150" s="878"/>
      <c r="C150" s="872"/>
      <c r="D150" s="872"/>
      <c r="E150" s="872"/>
      <c r="F150" s="872"/>
      <c r="G150" s="872"/>
      <c r="H150" s="872"/>
      <c r="I150" s="873"/>
      <c r="J150" s="871"/>
    </row>
    <row r="151" spans="1:10">
      <c r="A151" s="875"/>
      <c r="B151" s="878"/>
      <c r="C151" s="872"/>
      <c r="D151" s="872"/>
      <c r="E151" s="872"/>
      <c r="F151" s="872"/>
      <c r="G151" s="872"/>
      <c r="H151" s="872"/>
      <c r="I151" s="873"/>
      <c r="J151" s="871"/>
    </row>
    <row r="152" spans="1:10">
      <c r="A152" s="875"/>
      <c r="B152" s="878"/>
      <c r="C152" s="872"/>
      <c r="D152" s="872"/>
      <c r="E152" s="872"/>
      <c r="F152" s="872"/>
      <c r="G152" s="872"/>
      <c r="H152" s="872"/>
      <c r="I152" s="873"/>
      <c r="J152" s="871"/>
    </row>
    <row r="153" spans="1:10">
      <c r="A153" s="875"/>
      <c r="B153" s="878"/>
      <c r="C153" s="872"/>
      <c r="D153" s="872"/>
      <c r="E153" s="872"/>
      <c r="F153" s="872"/>
      <c r="G153" s="872"/>
      <c r="H153" s="872"/>
      <c r="I153" s="873"/>
      <c r="J153" s="871"/>
    </row>
    <row r="154" spans="1:10">
      <c r="A154" s="875"/>
      <c r="B154" s="878"/>
      <c r="C154" s="872"/>
      <c r="D154" s="872"/>
      <c r="E154" s="872"/>
      <c r="F154" s="872"/>
      <c r="G154" s="872"/>
      <c r="H154" s="872"/>
      <c r="I154" s="873"/>
      <c r="J154" s="871"/>
    </row>
    <row r="155" spans="1:10">
      <c r="A155" s="875"/>
      <c r="B155" s="878"/>
      <c r="C155" s="872"/>
      <c r="D155" s="872"/>
      <c r="E155" s="872"/>
      <c r="F155" s="872"/>
      <c r="G155" s="872"/>
      <c r="H155" s="872"/>
      <c r="I155" s="873"/>
      <c r="J155" s="871"/>
    </row>
    <row r="156" spans="1:10">
      <c r="A156" s="875"/>
      <c r="B156" s="878"/>
      <c r="C156" s="872"/>
      <c r="D156" s="872"/>
      <c r="E156" s="872"/>
      <c r="F156" s="872"/>
      <c r="G156" s="872"/>
      <c r="H156" s="872"/>
      <c r="I156" s="873"/>
      <c r="J156" s="871"/>
    </row>
    <row r="157" spans="1:10">
      <c r="A157" s="867"/>
      <c r="B157" s="868"/>
      <c r="C157" s="869"/>
      <c r="D157" s="869"/>
      <c r="E157" s="869"/>
      <c r="F157" s="869"/>
      <c r="G157" s="869"/>
      <c r="H157" s="869"/>
      <c r="I157" s="870"/>
      <c r="J157" s="871"/>
    </row>
    <row r="158" spans="1:10">
      <c r="A158" s="875"/>
      <c r="B158" s="878"/>
      <c r="C158" s="872"/>
      <c r="D158" s="872"/>
      <c r="E158" s="872"/>
      <c r="F158" s="872"/>
      <c r="G158" s="872"/>
      <c r="H158" s="872"/>
      <c r="I158" s="873"/>
      <c r="J158" s="874"/>
    </row>
    <row r="159" spans="1:10">
      <c r="A159" s="867"/>
      <c r="B159" s="868"/>
      <c r="C159" s="872"/>
      <c r="D159" s="872"/>
      <c r="E159" s="872"/>
      <c r="F159" s="872"/>
      <c r="G159" s="872"/>
      <c r="H159" s="872"/>
      <c r="I159" s="873"/>
      <c r="J159" s="874"/>
    </row>
    <row r="160" spans="1:10">
      <c r="A160" s="875"/>
      <c r="B160" s="878"/>
      <c r="C160" s="872"/>
      <c r="D160" s="872"/>
      <c r="E160" s="872"/>
      <c r="F160" s="872"/>
      <c r="G160" s="872"/>
      <c r="H160" s="872"/>
      <c r="I160" s="873"/>
      <c r="J160" s="874"/>
    </row>
    <row r="161" spans="1:10">
      <c r="A161" s="867"/>
      <c r="B161" s="868"/>
      <c r="C161" s="872"/>
      <c r="D161" s="872"/>
      <c r="E161" s="872"/>
      <c r="F161" s="872"/>
      <c r="G161" s="872"/>
      <c r="H161" s="872"/>
      <c r="I161" s="873"/>
      <c r="J161" s="874"/>
    </row>
    <row r="162" spans="1:10">
      <c r="A162" s="875"/>
      <c r="B162" s="878"/>
      <c r="C162" s="872"/>
      <c r="D162" s="872"/>
      <c r="E162" s="872"/>
      <c r="F162" s="872"/>
      <c r="G162" s="872"/>
      <c r="H162" s="872"/>
      <c r="I162" s="873"/>
      <c r="J162" s="874"/>
    </row>
    <row r="163" spans="1:10">
      <c r="A163" s="867"/>
      <c r="B163" s="868"/>
      <c r="C163" s="869"/>
      <c r="D163" s="869"/>
      <c r="E163" s="869"/>
      <c r="F163" s="869"/>
      <c r="G163" s="869"/>
      <c r="H163" s="869"/>
      <c r="I163" s="870"/>
      <c r="J163" s="871"/>
    </row>
    <row r="164" spans="1:10">
      <c r="A164" s="875"/>
      <c r="B164" s="878"/>
      <c r="C164" s="872"/>
      <c r="D164" s="872"/>
      <c r="E164" s="872"/>
      <c r="F164" s="872"/>
      <c r="G164" s="872"/>
      <c r="H164" s="872"/>
      <c r="I164" s="873"/>
      <c r="J164" s="874"/>
    </row>
    <row r="165" spans="1:10" ht="30">
      <c r="A165" s="867"/>
      <c r="B165" s="868"/>
      <c r="C165" s="1470" t="s">
        <v>490</v>
      </c>
      <c r="D165" s="1470"/>
      <c r="E165" s="1470"/>
      <c r="F165" s="1470"/>
      <c r="G165" s="1470"/>
      <c r="H165" s="1470"/>
      <c r="I165" s="1470"/>
      <c r="J165" s="874"/>
    </row>
    <row r="166" spans="1:10">
      <c r="A166" s="875"/>
      <c r="B166" s="878"/>
      <c r="C166" s="872"/>
      <c r="D166" s="872"/>
      <c r="E166" s="872"/>
      <c r="F166" s="872"/>
      <c r="G166" s="872"/>
      <c r="H166" s="872"/>
      <c r="I166" s="873"/>
      <c r="J166" s="874"/>
    </row>
    <row r="167" spans="1:10">
      <c r="A167" s="867"/>
      <c r="B167" s="868"/>
      <c r="C167" s="872"/>
      <c r="D167" s="872"/>
      <c r="E167" s="872"/>
      <c r="F167" s="872"/>
      <c r="G167" s="872"/>
      <c r="H167" s="872"/>
      <c r="I167" s="873"/>
      <c r="J167" s="874"/>
    </row>
    <row r="168" spans="1:10">
      <c r="A168" s="867"/>
      <c r="B168" s="868"/>
      <c r="C168" s="872"/>
      <c r="D168" s="872"/>
      <c r="E168" s="872"/>
      <c r="F168" s="872"/>
      <c r="G168" s="872"/>
      <c r="H168" s="872"/>
      <c r="I168" s="873"/>
      <c r="J168" s="874"/>
    </row>
    <row r="169" spans="1:10">
      <c r="A169" s="875"/>
      <c r="B169" s="878"/>
      <c r="C169" s="872"/>
      <c r="D169" s="872"/>
      <c r="E169" s="872"/>
      <c r="F169" s="872"/>
      <c r="G169" s="872"/>
      <c r="H169" s="872"/>
      <c r="I169" s="873"/>
      <c r="J169" s="874"/>
    </row>
    <row r="170" spans="1:10">
      <c r="A170" s="867"/>
      <c r="B170" s="868"/>
      <c r="C170" s="869"/>
      <c r="D170" s="869"/>
      <c r="E170" s="869"/>
      <c r="F170" s="869"/>
      <c r="G170" s="869"/>
      <c r="H170" s="869"/>
      <c r="I170" s="870"/>
      <c r="J170" s="871"/>
    </row>
    <row r="171" spans="1:10">
      <c r="A171" s="875"/>
      <c r="B171" s="878"/>
      <c r="C171" s="872"/>
      <c r="D171" s="872"/>
      <c r="E171" s="872"/>
      <c r="F171" s="872"/>
      <c r="G171" s="872"/>
      <c r="H171" s="872"/>
      <c r="I171" s="873"/>
      <c r="J171" s="874"/>
    </row>
    <row r="172" spans="1:10">
      <c r="A172" s="875"/>
      <c r="B172" s="878"/>
      <c r="C172" s="872"/>
      <c r="D172" s="872"/>
      <c r="E172" s="872"/>
      <c r="F172" s="872"/>
      <c r="G172" s="872"/>
      <c r="H172" s="872"/>
      <c r="I172" s="873"/>
      <c r="J172" s="874"/>
    </row>
    <row r="173" spans="1:10">
      <c r="A173" s="875"/>
      <c r="B173" s="878"/>
      <c r="C173" s="872"/>
      <c r="D173" s="872"/>
      <c r="E173" s="872"/>
      <c r="F173" s="872"/>
      <c r="G173" s="872"/>
      <c r="H173" s="872"/>
      <c r="I173" s="873"/>
      <c r="J173" s="874"/>
    </row>
    <row r="174" spans="1:10" ht="26.25" customHeight="1">
      <c r="A174" s="867"/>
      <c r="B174" s="868"/>
      <c r="C174" s="869"/>
      <c r="D174" s="869"/>
      <c r="E174" s="869"/>
      <c r="F174" s="869"/>
      <c r="G174" s="869"/>
      <c r="H174" s="869"/>
      <c r="I174" s="870"/>
      <c r="J174" s="871"/>
    </row>
    <row r="175" spans="1:10">
      <c r="A175" s="875"/>
      <c r="B175" s="878"/>
      <c r="C175" s="872"/>
      <c r="D175" s="872"/>
      <c r="E175" s="872"/>
      <c r="F175" s="872"/>
      <c r="G175" s="872"/>
      <c r="H175" s="872"/>
      <c r="I175" s="873"/>
      <c r="J175" s="874"/>
    </row>
    <row r="176" spans="1:10">
      <c r="A176" s="867"/>
      <c r="B176" s="868"/>
      <c r="C176" s="872"/>
      <c r="D176" s="872"/>
      <c r="E176" s="872"/>
      <c r="F176" s="872"/>
      <c r="G176" s="872"/>
      <c r="H176" s="872"/>
      <c r="I176" s="873"/>
      <c r="J176" s="874"/>
    </row>
    <row r="177" spans="1:10">
      <c r="A177" s="875"/>
      <c r="B177" s="878"/>
      <c r="C177" s="872"/>
      <c r="D177" s="872"/>
      <c r="E177" s="872"/>
      <c r="F177" s="872"/>
      <c r="G177" s="872"/>
      <c r="H177" s="872"/>
      <c r="I177" s="873"/>
      <c r="J177" s="874"/>
    </row>
    <row r="178" spans="1:10">
      <c r="A178" s="867"/>
      <c r="B178" s="868"/>
      <c r="C178" s="872"/>
      <c r="D178" s="872"/>
      <c r="E178" s="872"/>
      <c r="F178" s="872"/>
      <c r="G178" s="872"/>
      <c r="H178" s="872"/>
      <c r="I178" s="873"/>
      <c r="J178" s="874"/>
    </row>
    <row r="179" spans="1:10">
      <c r="A179" s="875"/>
      <c r="B179" s="878"/>
      <c r="C179" s="872"/>
      <c r="D179" s="872"/>
      <c r="E179" s="872"/>
      <c r="F179" s="872"/>
      <c r="G179" s="872"/>
      <c r="H179" s="872"/>
      <c r="I179" s="873"/>
      <c r="J179" s="874"/>
    </row>
    <row r="180" spans="1:10">
      <c r="A180" s="867"/>
      <c r="B180" s="868"/>
      <c r="C180" s="872"/>
      <c r="D180" s="872"/>
      <c r="E180" s="872"/>
      <c r="F180" s="872"/>
      <c r="G180" s="872"/>
      <c r="H180" s="872"/>
      <c r="I180" s="873"/>
      <c r="J180" s="874"/>
    </row>
    <row r="181" spans="1:10">
      <c r="A181" s="875"/>
      <c r="B181" s="878"/>
      <c r="C181" s="872"/>
      <c r="D181" s="872"/>
      <c r="E181" s="872"/>
      <c r="F181" s="872"/>
      <c r="G181" s="872"/>
      <c r="H181" s="872"/>
      <c r="I181" s="873"/>
      <c r="J181" s="874"/>
    </row>
    <row r="182" spans="1:10">
      <c r="A182" s="867"/>
      <c r="B182" s="868"/>
      <c r="C182" s="872"/>
      <c r="D182" s="872"/>
      <c r="E182" s="872"/>
      <c r="F182" s="872"/>
      <c r="G182" s="872"/>
      <c r="H182" s="872"/>
      <c r="I182" s="873"/>
      <c r="J182" s="874"/>
    </row>
    <row r="183" spans="1:10">
      <c r="A183" s="875"/>
      <c r="B183" s="878"/>
      <c r="C183" s="872"/>
      <c r="D183" s="872"/>
      <c r="E183" s="872"/>
      <c r="F183" s="872"/>
      <c r="G183" s="872"/>
      <c r="H183" s="872"/>
      <c r="I183" s="873"/>
      <c r="J183" s="874"/>
    </row>
    <row r="184" spans="1:10">
      <c r="A184" s="867"/>
      <c r="B184" s="868"/>
      <c r="C184" s="872"/>
      <c r="D184" s="872"/>
      <c r="E184" s="872"/>
      <c r="F184" s="872"/>
      <c r="G184" s="872"/>
      <c r="H184" s="872"/>
      <c r="I184" s="873"/>
      <c r="J184" s="874"/>
    </row>
    <row r="185" spans="1:10">
      <c r="A185" s="875"/>
      <c r="B185" s="878"/>
      <c r="C185" s="885"/>
      <c r="D185" s="885"/>
      <c r="E185" s="885"/>
      <c r="F185" s="885"/>
      <c r="G185" s="885"/>
      <c r="H185" s="885"/>
      <c r="I185" s="873"/>
      <c r="J185" s="874"/>
    </row>
    <row r="186" spans="1:10">
      <c r="A186" s="867"/>
      <c r="B186" s="868"/>
      <c r="C186" s="872"/>
      <c r="D186" s="872"/>
      <c r="E186" s="872"/>
      <c r="F186" s="872"/>
      <c r="G186" s="872"/>
      <c r="H186" s="872"/>
      <c r="I186" s="873"/>
      <c r="J186" s="874"/>
    </row>
    <row r="187" spans="1:10">
      <c r="A187" s="875"/>
      <c r="B187" s="878"/>
      <c r="C187" s="872"/>
      <c r="D187" s="872"/>
      <c r="E187" s="872"/>
      <c r="F187" s="872"/>
      <c r="G187" s="872"/>
      <c r="H187" s="872"/>
      <c r="I187" s="873"/>
      <c r="J187" s="871"/>
    </row>
    <row r="188" spans="1:10">
      <c r="A188" s="867"/>
      <c r="B188" s="868"/>
      <c r="C188" s="872"/>
      <c r="D188" s="872"/>
      <c r="E188" s="872"/>
      <c r="F188" s="872"/>
      <c r="G188" s="872"/>
      <c r="H188" s="872"/>
      <c r="I188" s="873"/>
      <c r="J188" s="874"/>
    </row>
    <row r="189" spans="1:10">
      <c r="A189" s="875"/>
      <c r="B189" s="878"/>
      <c r="C189" s="869"/>
      <c r="D189" s="869"/>
      <c r="E189" s="869"/>
      <c r="F189" s="869"/>
      <c r="G189" s="869"/>
      <c r="H189" s="869"/>
      <c r="I189" s="873"/>
      <c r="J189" s="871"/>
    </row>
    <row r="190" spans="1:10">
      <c r="A190" s="867"/>
      <c r="B190" s="868"/>
      <c r="C190" s="872"/>
      <c r="D190" s="872"/>
      <c r="E190" s="872"/>
      <c r="F190" s="872"/>
      <c r="G190" s="872"/>
      <c r="H190" s="872"/>
      <c r="I190" s="886"/>
      <c r="J190" s="887"/>
    </row>
    <row r="191" spans="1:10" ht="15" thickBot="1">
      <c r="A191" s="879"/>
      <c r="B191" s="880"/>
      <c r="C191" s="1468"/>
      <c r="D191" s="1468"/>
      <c r="E191" s="1468"/>
      <c r="F191" s="1468"/>
      <c r="G191" s="1468"/>
      <c r="H191" s="1468"/>
      <c r="I191" s="1468"/>
      <c r="J191" s="1469"/>
    </row>
    <row r="192" spans="1:10" ht="15" thickTop="1"/>
  </sheetData>
  <mergeCells count="20">
    <mergeCell ref="C191:H191"/>
    <mergeCell ref="I191:J191"/>
    <mergeCell ref="C63:I63"/>
    <mergeCell ref="C87:H87"/>
    <mergeCell ref="I87:J87"/>
    <mergeCell ref="A90:J90"/>
    <mergeCell ref="C92:H92"/>
    <mergeCell ref="C115:I115"/>
    <mergeCell ref="C139:H139"/>
    <mergeCell ref="I139:J139"/>
    <mergeCell ref="A142:J142"/>
    <mergeCell ref="C144:H144"/>
    <mergeCell ref="C165:I165"/>
    <mergeCell ref="C40:H40"/>
    <mergeCell ref="A3:J3"/>
    <mergeCell ref="A4:J4"/>
    <mergeCell ref="C20:J20"/>
    <mergeCell ref="C22:J22"/>
    <mergeCell ref="A38:J38"/>
    <mergeCell ref="C21:J21"/>
  </mergeCells>
  <printOptions horizontalCentered="1"/>
  <pageMargins left="0.98425196850393704" right="0.78740157480314965" top="0.78740157480314965" bottom="0.78740157480314965" header="0" footer="0"/>
  <pageSetup scale="87" orientation="portrait" horizontalDpi="4294967295" verticalDpi="4294967295" r:id="rId1"/>
  <rowBreaks count="2" manualBreakCount="2">
    <brk id="36" max="16383" man="1"/>
    <brk id="8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FD45"/>
  <sheetViews>
    <sheetView view="pageBreakPreview" zoomScaleNormal="70" zoomScaleSheetLayoutView="100" zoomScalePageLayoutView="25" workbookViewId="0">
      <selection activeCell="F15" sqref="F15"/>
    </sheetView>
  </sheetViews>
  <sheetFormatPr baseColWidth="10" defaultColWidth="11.44140625" defaultRowHeight="13.5" customHeight="1"/>
  <cols>
    <col min="1" max="2" width="5.6640625" style="801" customWidth="1"/>
    <col min="3" max="12" width="6.33203125" style="801" customWidth="1"/>
    <col min="13" max="15" width="5.6640625" style="801" customWidth="1"/>
    <col min="16" max="16384" width="11.44140625" style="801"/>
  </cols>
  <sheetData>
    <row r="1" spans="1:14" ht="13.2">
      <c r="A1" s="798"/>
      <c r="B1" s="799"/>
      <c r="C1" s="799"/>
      <c r="D1" s="799"/>
      <c r="E1" s="799"/>
      <c r="F1" s="799"/>
      <c r="G1" s="799"/>
      <c r="H1" s="799"/>
      <c r="I1" s="799"/>
      <c r="J1" s="799"/>
      <c r="K1" s="799"/>
      <c r="L1" s="799"/>
      <c r="M1" s="799"/>
      <c r="N1" s="800"/>
    </row>
    <row r="2" spans="1:14" ht="13.2">
      <c r="A2" s="802"/>
      <c r="B2" s="803"/>
      <c r="C2" s="803"/>
      <c r="D2" s="803"/>
      <c r="E2" s="803"/>
      <c r="F2" s="803"/>
      <c r="G2" s="803"/>
      <c r="H2" s="803"/>
      <c r="I2" s="803"/>
      <c r="J2" s="803"/>
      <c r="K2" s="803"/>
      <c r="L2" s="803"/>
      <c r="M2" s="803"/>
      <c r="N2" s="804"/>
    </row>
    <row r="3" spans="1:14" ht="20.399999999999999">
      <c r="A3" s="1474" t="s">
        <v>155</v>
      </c>
      <c r="B3" s="1475"/>
      <c r="C3" s="1475"/>
      <c r="D3" s="1475"/>
      <c r="E3" s="1475"/>
      <c r="F3" s="1475"/>
      <c r="G3" s="1475"/>
      <c r="H3" s="1475"/>
      <c r="I3" s="1475"/>
      <c r="J3" s="1475"/>
      <c r="K3" s="1475"/>
      <c r="L3" s="1475"/>
      <c r="M3" s="1475"/>
      <c r="N3" s="1476"/>
    </row>
    <row r="4" spans="1:14" ht="13.8">
      <c r="A4" s="1477" t="s">
        <v>600</v>
      </c>
      <c r="B4" s="1478"/>
      <c r="C4" s="1478"/>
      <c r="D4" s="1478"/>
      <c r="E4" s="1478"/>
      <c r="F4" s="1478"/>
      <c r="G4" s="1478"/>
      <c r="H4" s="1478"/>
      <c r="I4" s="1478"/>
      <c r="J4" s="1478"/>
      <c r="K4" s="1478"/>
      <c r="L4" s="1478"/>
      <c r="M4" s="1478"/>
      <c r="N4" s="1479"/>
    </row>
    <row r="5" spans="1:14" ht="12.9" customHeight="1">
      <c r="A5" s="802"/>
      <c r="B5" s="803"/>
      <c r="C5" s="803"/>
      <c r="D5" s="803"/>
      <c r="E5" s="803"/>
      <c r="F5" s="803"/>
      <c r="G5" s="803"/>
      <c r="H5" s="803"/>
      <c r="I5" s="803"/>
      <c r="J5" s="803"/>
      <c r="K5" s="803"/>
      <c r="L5" s="803"/>
      <c r="M5" s="803"/>
      <c r="N5" s="804"/>
    </row>
    <row r="6" spans="1:14" ht="12.9" customHeight="1">
      <c r="A6" s="802"/>
      <c r="B6" s="803"/>
      <c r="C6" s="803"/>
      <c r="D6" s="803"/>
      <c r="E6" s="803"/>
      <c r="F6" s="803"/>
      <c r="G6" s="803"/>
      <c r="H6" s="803"/>
      <c r="I6" s="803"/>
      <c r="J6" s="803"/>
      <c r="K6" s="803"/>
      <c r="L6" s="803"/>
      <c r="M6" s="803"/>
      <c r="N6" s="804"/>
    </row>
    <row r="7" spans="1:14" ht="12.9" customHeight="1">
      <c r="A7" s="809"/>
      <c r="B7" s="808"/>
      <c r="C7" s="808"/>
      <c r="D7" s="808"/>
      <c r="E7" s="808"/>
      <c r="F7" s="808"/>
      <c r="G7" s="808"/>
      <c r="H7" s="808"/>
      <c r="I7" s="808"/>
      <c r="J7" s="808"/>
      <c r="K7" s="808"/>
      <c r="L7" s="808"/>
      <c r="M7" s="808"/>
      <c r="N7" s="810"/>
    </row>
    <row r="8" spans="1:14" ht="12.9" customHeight="1">
      <c r="A8" s="809"/>
      <c r="B8" s="808"/>
      <c r="C8" s="808"/>
      <c r="D8" s="808"/>
      <c r="E8" s="808"/>
      <c r="F8" s="808"/>
      <c r="G8" s="808"/>
      <c r="H8" s="808"/>
      <c r="I8" s="808"/>
      <c r="J8" s="808"/>
      <c r="K8" s="808"/>
      <c r="L8" s="808"/>
      <c r="M8" s="808"/>
      <c r="N8" s="810"/>
    </row>
    <row r="9" spans="1:14" ht="12.9" customHeight="1">
      <c r="A9" s="802"/>
      <c r="B9" s="803"/>
      <c r="C9" s="803"/>
      <c r="D9" s="803"/>
      <c r="E9" s="803"/>
      <c r="F9" s="803"/>
      <c r="G9" s="808"/>
      <c r="H9" s="808"/>
      <c r="I9" s="808"/>
      <c r="J9" s="808"/>
      <c r="K9" s="808"/>
      <c r="L9" s="808"/>
      <c r="M9" s="808"/>
      <c r="N9" s="804"/>
    </row>
    <row r="10" spans="1:14" ht="12.9" customHeight="1">
      <c r="A10" s="802"/>
      <c r="B10" s="803"/>
      <c r="C10" s="803"/>
      <c r="D10" s="803"/>
      <c r="E10" s="803"/>
      <c r="F10" s="803"/>
      <c r="G10" s="808"/>
      <c r="H10" s="808"/>
      <c r="I10" s="808"/>
      <c r="J10" s="808"/>
      <c r="K10" s="808"/>
      <c r="L10" s="808"/>
      <c r="M10" s="808"/>
      <c r="N10" s="804"/>
    </row>
    <row r="11" spans="1:14" ht="12.9" customHeight="1">
      <c r="A11" s="802"/>
      <c r="B11" s="803"/>
      <c r="C11" s="803"/>
      <c r="D11" s="803"/>
      <c r="E11" s="803"/>
      <c r="F11" s="803"/>
      <c r="G11" s="808"/>
      <c r="H11" s="808"/>
      <c r="I11" s="808"/>
      <c r="J11" s="808"/>
      <c r="K11" s="808"/>
      <c r="L11" s="808"/>
      <c r="M11" s="808"/>
      <c r="N11" s="804"/>
    </row>
    <row r="12" spans="1:14" ht="12.9" customHeight="1">
      <c r="A12" s="809"/>
      <c r="B12" s="803"/>
      <c r="C12" s="803"/>
      <c r="D12" s="803"/>
      <c r="E12" s="803"/>
      <c r="F12" s="803"/>
      <c r="G12" s="808"/>
      <c r="H12" s="808"/>
      <c r="I12" s="808"/>
      <c r="J12" s="808"/>
      <c r="K12" s="808"/>
      <c r="L12" s="808"/>
      <c r="M12" s="808"/>
      <c r="N12" s="810"/>
    </row>
    <row r="13" spans="1:14" ht="12.9" customHeight="1">
      <c r="A13" s="802"/>
      <c r="B13" s="803"/>
      <c r="C13" s="803"/>
      <c r="D13" s="803"/>
      <c r="E13" s="803"/>
      <c r="F13" s="825" t="s">
        <v>459</v>
      </c>
      <c r="G13" s="803"/>
      <c r="H13" s="803"/>
      <c r="I13" s="803"/>
      <c r="J13" s="803"/>
      <c r="K13" s="803"/>
      <c r="L13" s="803"/>
      <c r="M13" s="803"/>
      <c r="N13" s="804"/>
    </row>
    <row r="14" spans="1:14" ht="12.9" customHeight="1">
      <c r="A14" s="802"/>
      <c r="B14" s="803"/>
      <c r="C14" s="803"/>
      <c r="D14" s="811"/>
      <c r="E14" s="812"/>
      <c r="F14" s="803"/>
      <c r="G14" s="803"/>
      <c r="H14" s="803"/>
      <c r="I14" s="803"/>
      <c r="J14" s="803"/>
      <c r="K14" s="803"/>
      <c r="L14" s="803"/>
      <c r="M14" s="803"/>
      <c r="N14" s="804"/>
    </row>
    <row r="15" spans="1:14" ht="12.9" customHeight="1">
      <c r="A15" s="802"/>
      <c r="B15" s="808"/>
      <c r="C15" s="808"/>
      <c r="D15" s="812"/>
      <c r="E15" s="803"/>
      <c r="F15" s="803"/>
      <c r="G15" s="803"/>
      <c r="H15" s="803"/>
      <c r="I15" s="803"/>
      <c r="J15" s="803"/>
      <c r="K15" s="803"/>
      <c r="L15" s="803"/>
      <c r="M15" s="803"/>
      <c r="N15" s="804"/>
    </row>
    <row r="16" spans="1:14" ht="12.9" customHeight="1">
      <c r="A16" s="802"/>
      <c r="B16" s="803"/>
      <c r="C16" s="803"/>
      <c r="D16" s="803"/>
      <c r="E16" s="803"/>
      <c r="F16" s="803"/>
      <c r="G16" s="803"/>
      <c r="H16" s="803"/>
      <c r="I16" s="803"/>
      <c r="J16" s="803"/>
      <c r="K16" s="803"/>
      <c r="L16" s="803"/>
      <c r="M16" s="803"/>
      <c r="N16" s="804"/>
    </row>
    <row r="17" spans="1:16384" ht="12.9" customHeight="1">
      <c r="A17" s="802"/>
      <c r="B17" s="803"/>
      <c r="C17" s="803"/>
      <c r="D17" s="803"/>
      <c r="E17" s="803"/>
      <c r="F17" s="803"/>
      <c r="G17" s="803"/>
      <c r="H17" s="803"/>
      <c r="I17" s="803"/>
      <c r="J17" s="803"/>
      <c r="K17" s="803"/>
      <c r="L17" s="803"/>
      <c r="M17" s="803"/>
      <c r="N17" s="804"/>
    </row>
    <row r="18" spans="1:16384" ht="12.9" customHeight="1">
      <c r="A18" s="802"/>
      <c r="B18" s="803"/>
      <c r="C18" s="803"/>
      <c r="D18" s="803"/>
      <c r="E18" s="803"/>
      <c r="F18" s="803"/>
      <c r="G18" s="803"/>
      <c r="H18" s="803"/>
      <c r="I18" s="803"/>
      <c r="J18" s="803"/>
      <c r="K18" s="803"/>
      <c r="L18" s="803"/>
      <c r="M18" s="803"/>
      <c r="N18" s="804"/>
    </row>
    <row r="19" spans="1:16384" ht="18" customHeight="1">
      <c r="A19" s="1483" t="str">
        <f>+Datos!B2</f>
        <v>PROYECTO: CONSTRUCCION Y REHABILITACION TRAMO CARRETERO 
VILLA MONTES - LA VERTIENTE - PALO MARCADO</v>
      </c>
      <c r="B19" s="1484"/>
      <c r="C19" s="1484"/>
      <c r="D19" s="1484"/>
      <c r="E19" s="1484"/>
      <c r="F19" s="1484"/>
      <c r="G19" s="1484"/>
      <c r="H19" s="1484"/>
      <c r="I19" s="1484"/>
      <c r="J19" s="1484"/>
      <c r="K19" s="1484"/>
      <c r="L19" s="1484"/>
      <c r="M19" s="1484"/>
      <c r="N19" s="1485"/>
    </row>
    <row r="20" spans="1:16384" ht="18" customHeight="1">
      <c r="A20" s="1483"/>
      <c r="B20" s="1484"/>
      <c r="C20" s="1484"/>
      <c r="D20" s="1484"/>
      <c r="E20" s="1484"/>
      <c r="F20" s="1484"/>
      <c r="G20" s="1484"/>
      <c r="H20" s="1484"/>
      <c r="I20" s="1484"/>
      <c r="J20" s="1484"/>
      <c r="K20" s="1484"/>
      <c r="L20" s="1484"/>
      <c r="M20" s="1484"/>
      <c r="N20" s="1485"/>
    </row>
    <row r="21" spans="1:16384" ht="14.1" customHeight="1">
      <c r="A21" s="822"/>
      <c r="B21" s="823"/>
      <c r="C21" s="823"/>
      <c r="D21" s="823"/>
      <c r="E21" s="823"/>
      <c r="F21" s="823"/>
      <c r="G21" s="823"/>
      <c r="H21" s="823"/>
      <c r="I21" s="823"/>
      <c r="J21" s="823"/>
      <c r="K21" s="823"/>
      <c r="L21" s="823"/>
      <c r="M21" s="823"/>
      <c r="N21" s="824"/>
    </row>
    <row r="22" spans="1:16384" ht="14.1" customHeight="1">
      <c r="A22" s="1471" t="str">
        <f>"CONTRATO: "&amp;Datos!B4</f>
        <v>CONTRATO: ABC N° 818/19 GNT-SCT-OBR-TGN</v>
      </c>
      <c r="B22" s="1472"/>
      <c r="C22" s="1472"/>
      <c r="D22" s="1472"/>
      <c r="E22" s="1472"/>
      <c r="F22" s="1472"/>
      <c r="G22" s="1472"/>
      <c r="H22" s="1472"/>
      <c r="I22" s="1472"/>
      <c r="J22" s="1472"/>
      <c r="K22" s="1472"/>
      <c r="L22" s="1472"/>
      <c r="M22" s="1472"/>
      <c r="N22" s="1473"/>
    </row>
    <row r="23" spans="1:16384" ht="14.1" customHeight="1">
      <c r="A23" s="1471" t="str">
        <f>"CONTRATO MODIFICATORIO Nº 1: "&amp;Datos!B5</f>
        <v>CONTRATO MODIFICATORIO Nº 1: ABC Nº 341/20 GTJ-MOD-TGN</v>
      </c>
      <c r="B23" s="1472"/>
      <c r="C23" s="1472"/>
      <c r="D23" s="1472"/>
      <c r="E23" s="1472"/>
      <c r="F23" s="1472"/>
      <c r="G23" s="1472"/>
      <c r="H23" s="1472"/>
      <c r="I23" s="1472"/>
      <c r="J23" s="1472"/>
      <c r="K23" s="1472"/>
      <c r="L23" s="1472"/>
      <c r="M23" s="1472"/>
      <c r="N23" s="1473"/>
    </row>
    <row r="24" spans="1:16384" ht="14.1" customHeight="1">
      <c r="A24" s="1471" t="str">
        <f>"CONTRATO MODIFICATORIO Nº 2: "&amp;Datos!B6</f>
        <v>CONTRATO MODIFICATORIO Nº 2: ABC Nº 255/21 GTJ-MOD-TGN</v>
      </c>
      <c r="B24" s="1472"/>
      <c r="C24" s="1472"/>
      <c r="D24" s="1472"/>
      <c r="E24" s="1472"/>
      <c r="F24" s="1472"/>
      <c r="G24" s="1472"/>
      <c r="H24" s="1472"/>
      <c r="I24" s="1472"/>
      <c r="J24" s="1472"/>
      <c r="K24" s="1472"/>
      <c r="L24" s="1472"/>
      <c r="M24" s="1472"/>
      <c r="N24" s="1473"/>
      <c r="O24" s="1471"/>
      <c r="P24" s="1472"/>
      <c r="Q24" s="1472"/>
      <c r="R24" s="1472"/>
      <c r="S24" s="1472"/>
      <c r="T24" s="1472"/>
      <c r="U24" s="1472"/>
      <c r="V24" s="1472"/>
      <c r="W24" s="1472"/>
      <c r="X24" s="1472"/>
      <c r="Y24" s="1472"/>
      <c r="Z24" s="1472"/>
      <c r="AA24" s="1472"/>
      <c r="AB24" s="1473"/>
      <c r="AC24" s="1471"/>
      <c r="AD24" s="1472"/>
      <c r="AE24" s="1472"/>
      <c r="AF24" s="1472"/>
      <c r="AG24" s="1472"/>
      <c r="AH24" s="1472"/>
      <c r="AI24" s="1472"/>
      <c r="AJ24" s="1472"/>
      <c r="AK24" s="1472"/>
      <c r="AL24" s="1472"/>
      <c r="AM24" s="1472"/>
      <c r="AN24" s="1472"/>
      <c r="AO24" s="1472"/>
      <c r="AP24" s="1473"/>
      <c r="AQ24" s="1471"/>
      <c r="AR24" s="1472"/>
      <c r="AS24" s="1472"/>
      <c r="AT24" s="1472"/>
      <c r="AU24" s="1472"/>
      <c r="AV24" s="1472"/>
      <c r="AW24" s="1472"/>
      <c r="AX24" s="1472"/>
      <c r="AY24" s="1472"/>
      <c r="AZ24" s="1472"/>
      <c r="BA24" s="1472"/>
      <c r="BB24" s="1472"/>
      <c r="BC24" s="1472"/>
      <c r="BD24" s="1473"/>
      <c r="BE24" s="1471"/>
      <c r="BF24" s="1472"/>
      <c r="BG24" s="1472"/>
      <c r="BH24" s="1472"/>
      <c r="BI24" s="1472"/>
      <c r="BJ24" s="1472"/>
      <c r="BK24" s="1472"/>
      <c r="BL24" s="1472"/>
      <c r="BM24" s="1472"/>
      <c r="BN24" s="1472"/>
      <c r="BO24" s="1472"/>
      <c r="BP24" s="1472"/>
      <c r="BQ24" s="1472"/>
      <c r="BR24" s="1473"/>
      <c r="BS24" s="1471"/>
      <c r="BT24" s="1472"/>
      <c r="BU24" s="1472"/>
      <c r="BV24" s="1472"/>
      <c r="BW24" s="1472"/>
      <c r="BX24" s="1472"/>
      <c r="BY24" s="1472"/>
      <c r="BZ24" s="1472"/>
      <c r="CA24" s="1472"/>
      <c r="CB24" s="1472"/>
      <c r="CC24" s="1472"/>
      <c r="CD24" s="1472"/>
      <c r="CE24" s="1472"/>
      <c r="CF24" s="1473"/>
      <c r="CG24" s="1471"/>
      <c r="CH24" s="1472"/>
      <c r="CI24" s="1472"/>
      <c r="CJ24" s="1472"/>
      <c r="CK24" s="1472"/>
      <c r="CL24" s="1472"/>
      <c r="CM24" s="1472"/>
      <c r="CN24" s="1472"/>
      <c r="CO24" s="1472"/>
      <c r="CP24" s="1472"/>
      <c r="CQ24" s="1472"/>
      <c r="CR24" s="1472"/>
      <c r="CS24" s="1472"/>
      <c r="CT24" s="1473"/>
      <c r="CU24" s="1471"/>
      <c r="CV24" s="1472"/>
      <c r="CW24" s="1472"/>
      <c r="CX24" s="1472"/>
      <c r="CY24" s="1472"/>
      <c r="CZ24" s="1472"/>
      <c r="DA24" s="1472"/>
      <c r="DB24" s="1472"/>
      <c r="DC24" s="1472"/>
      <c r="DD24" s="1472"/>
      <c r="DE24" s="1472"/>
      <c r="DF24" s="1472"/>
      <c r="DG24" s="1472"/>
      <c r="DH24" s="1473"/>
      <c r="DI24" s="1471"/>
      <c r="DJ24" s="1472"/>
      <c r="DK24" s="1472"/>
      <c r="DL24" s="1472"/>
      <c r="DM24" s="1472"/>
      <c r="DN24" s="1472"/>
      <c r="DO24" s="1472"/>
      <c r="DP24" s="1472"/>
      <c r="DQ24" s="1472"/>
      <c r="DR24" s="1472"/>
      <c r="DS24" s="1472"/>
      <c r="DT24" s="1472"/>
      <c r="DU24" s="1472"/>
      <c r="DV24" s="1473"/>
      <c r="DW24" s="1471"/>
      <c r="DX24" s="1472"/>
      <c r="DY24" s="1472"/>
      <c r="DZ24" s="1472"/>
      <c r="EA24" s="1472"/>
      <c r="EB24" s="1472"/>
      <c r="EC24" s="1472"/>
      <c r="ED24" s="1472"/>
      <c r="EE24" s="1472"/>
      <c r="EF24" s="1472"/>
      <c r="EG24" s="1472"/>
      <c r="EH24" s="1472"/>
      <c r="EI24" s="1472"/>
      <c r="EJ24" s="1473"/>
      <c r="EK24" s="1471"/>
      <c r="EL24" s="1472"/>
      <c r="EM24" s="1472"/>
      <c r="EN24" s="1472"/>
      <c r="EO24" s="1472"/>
      <c r="EP24" s="1472"/>
      <c r="EQ24" s="1472"/>
      <c r="ER24" s="1472"/>
      <c r="ES24" s="1472"/>
      <c r="ET24" s="1472"/>
      <c r="EU24" s="1472"/>
      <c r="EV24" s="1472"/>
      <c r="EW24" s="1472"/>
      <c r="EX24" s="1473"/>
      <c r="EY24" s="1471"/>
      <c r="EZ24" s="1472"/>
      <c r="FA24" s="1472"/>
      <c r="FB24" s="1472"/>
      <c r="FC24" s="1472"/>
      <c r="FD24" s="1472"/>
      <c r="FE24" s="1472"/>
      <c r="FF24" s="1472"/>
      <c r="FG24" s="1472"/>
      <c r="FH24" s="1472"/>
      <c r="FI24" s="1472"/>
      <c r="FJ24" s="1472"/>
      <c r="FK24" s="1472"/>
      <c r="FL24" s="1473"/>
      <c r="FM24" s="1471"/>
      <c r="FN24" s="1472"/>
      <c r="FO24" s="1472"/>
      <c r="FP24" s="1472"/>
      <c r="FQ24" s="1472"/>
      <c r="FR24" s="1472"/>
      <c r="FS24" s="1472"/>
      <c r="FT24" s="1472"/>
      <c r="FU24" s="1472"/>
      <c r="FV24" s="1472"/>
      <c r="FW24" s="1472"/>
      <c r="FX24" s="1472"/>
      <c r="FY24" s="1472"/>
      <c r="FZ24" s="1473"/>
      <c r="GA24" s="1471"/>
      <c r="GB24" s="1472"/>
      <c r="GC24" s="1472"/>
      <c r="GD24" s="1472"/>
      <c r="GE24" s="1472"/>
      <c r="GF24" s="1472"/>
      <c r="GG24" s="1472"/>
      <c r="GH24" s="1472"/>
      <c r="GI24" s="1472"/>
      <c r="GJ24" s="1472"/>
      <c r="GK24" s="1472"/>
      <c r="GL24" s="1472"/>
      <c r="GM24" s="1472"/>
      <c r="GN24" s="1473"/>
      <c r="GO24" s="1471"/>
      <c r="GP24" s="1472"/>
      <c r="GQ24" s="1472"/>
      <c r="GR24" s="1472"/>
      <c r="GS24" s="1472"/>
      <c r="GT24" s="1472"/>
      <c r="GU24" s="1472"/>
      <c r="GV24" s="1472"/>
      <c r="GW24" s="1472"/>
      <c r="GX24" s="1472"/>
      <c r="GY24" s="1472"/>
      <c r="GZ24" s="1472"/>
      <c r="HA24" s="1472"/>
      <c r="HB24" s="1473"/>
      <c r="HC24" s="1471"/>
      <c r="HD24" s="1472"/>
      <c r="HE24" s="1472"/>
      <c r="HF24" s="1472"/>
      <c r="HG24" s="1472"/>
      <c r="HH24" s="1472"/>
      <c r="HI24" s="1472"/>
      <c r="HJ24" s="1472"/>
      <c r="HK24" s="1472"/>
      <c r="HL24" s="1472"/>
      <c r="HM24" s="1472"/>
      <c r="HN24" s="1472"/>
      <c r="HO24" s="1472"/>
      <c r="HP24" s="1473"/>
      <c r="HQ24" s="1471"/>
      <c r="HR24" s="1472"/>
      <c r="HS24" s="1472"/>
      <c r="HT24" s="1472"/>
      <c r="HU24" s="1472"/>
      <c r="HV24" s="1472"/>
      <c r="HW24" s="1472"/>
      <c r="HX24" s="1472"/>
      <c r="HY24" s="1472"/>
      <c r="HZ24" s="1472"/>
      <c r="IA24" s="1472"/>
      <c r="IB24" s="1472"/>
      <c r="IC24" s="1472"/>
      <c r="ID24" s="1473"/>
      <c r="IE24" s="1471"/>
      <c r="IF24" s="1472"/>
      <c r="IG24" s="1472"/>
      <c r="IH24" s="1472"/>
      <c r="II24" s="1472"/>
      <c r="IJ24" s="1472"/>
      <c r="IK24" s="1472"/>
      <c r="IL24" s="1472"/>
      <c r="IM24" s="1472"/>
      <c r="IN24" s="1472"/>
      <c r="IO24" s="1472"/>
      <c r="IP24" s="1472"/>
      <c r="IQ24" s="1472"/>
      <c r="IR24" s="1473"/>
      <c r="IS24" s="1471"/>
      <c r="IT24" s="1472"/>
      <c r="IU24" s="1472"/>
      <c r="IV24" s="1472"/>
      <c r="IW24" s="1472"/>
      <c r="IX24" s="1472"/>
      <c r="IY24" s="1472"/>
      <c r="IZ24" s="1472"/>
      <c r="JA24" s="1472"/>
      <c r="JB24" s="1472"/>
      <c r="JC24" s="1472"/>
      <c r="JD24" s="1472"/>
      <c r="JE24" s="1472"/>
      <c r="JF24" s="1473"/>
      <c r="JG24" s="1471"/>
      <c r="JH24" s="1472"/>
      <c r="JI24" s="1472"/>
      <c r="JJ24" s="1472"/>
      <c r="JK24" s="1472"/>
      <c r="JL24" s="1472"/>
      <c r="JM24" s="1472"/>
      <c r="JN24" s="1472"/>
      <c r="JO24" s="1472"/>
      <c r="JP24" s="1472"/>
      <c r="JQ24" s="1472"/>
      <c r="JR24" s="1472"/>
      <c r="JS24" s="1472"/>
      <c r="JT24" s="1473"/>
      <c r="JU24" s="1471"/>
      <c r="JV24" s="1472"/>
      <c r="JW24" s="1472"/>
      <c r="JX24" s="1472"/>
      <c r="JY24" s="1472"/>
      <c r="JZ24" s="1472"/>
      <c r="KA24" s="1472"/>
      <c r="KB24" s="1472"/>
      <c r="KC24" s="1472"/>
      <c r="KD24" s="1472"/>
      <c r="KE24" s="1472"/>
      <c r="KF24" s="1472"/>
      <c r="KG24" s="1472"/>
      <c r="KH24" s="1473"/>
      <c r="KI24" s="1471"/>
      <c r="KJ24" s="1472"/>
      <c r="KK24" s="1472"/>
      <c r="KL24" s="1472"/>
      <c r="KM24" s="1472"/>
      <c r="KN24" s="1472"/>
      <c r="KO24" s="1472"/>
      <c r="KP24" s="1472"/>
      <c r="KQ24" s="1472"/>
      <c r="KR24" s="1472"/>
      <c r="KS24" s="1472"/>
      <c r="KT24" s="1472"/>
      <c r="KU24" s="1472"/>
      <c r="KV24" s="1473"/>
      <c r="KW24" s="1471"/>
      <c r="KX24" s="1472"/>
      <c r="KY24" s="1472"/>
      <c r="KZ24" s="1472"/>
      <c r="LA24" s="1472"/>
      <c r="LB24" s="1472"/>
      <c r="LC24" s="1472"/>
      <c r="LD24" s="1472"/>
      <c r="LE24" s="1472"/>
      <c r="LF24" s="1472"/>
      <c r="LG24" s="1472"/>
      <c r="LH24" s="1472"/>
      <c r="LI24" s="1472"/>
      <c r="LJ24" s="1473"/>
      <c r="LK24" s="1471"/>
      <c r="LL24" s="1472"/>
      <c r="LM24" s="1472"/>
      <c r="LN24" s="1472"/>
      <c r="LO24" s="1472"/>
      <c r="LP24" s="1472"/>
      <c r="LQ24" s="1472"/>
      <c r="LR24" s="1472"/>
      <c r="LS24" s="1472"/>
      <c r="LT24" s="1472"/>
      <c r="LU24" s="1472"/>
      <c r="LV24" s="1472"/>
      <c r="LW24" s="1472"/>
      <c r="LX24" s="1473"/>
      <c r="LY24" s="1471"/>
      <c r="LZ24" s="1472"/>
      <c r="MA24" s="1472"/>
      <c r="MB24" s="1472"/>
      <c r="MC24" s="1472"/>
      <c r="MD24" s="1472"/>
      <c r="ME24" s="1472"/>
      <c r="MF24" s="1472"/>
      <c r="MG24" s="1472"/>
      <c r="MH24" s="1472"/>
      <c r="MI24" s="1472"/>
      <c r="MJ24" s="1472"/>
      <c r="MK24" s="1472"/>
      <c r="ML24" s="1473"/>
      <c r="MM24" s="1471"/>
      <c r="MN24" s="1472"/>
      <c r="MO24" s="1472"/>
      <c r="MP24" s="1472"/>
      <c r="MQ24" s="1472"/>
      <c r="MR24" s="1472"/>
      <c r="MS24" s="1472"/>
      <c r="MT24" s="1472"/>
      <c r="MU24" s="1472"/>
      <c r="MV24" s="1472"/>
      <c r="MW24" s="1472"/>
      <c r="MX24" s="1472"/>
      <c r="MY24" s="1472"/>
      <c r="MZ24" s="1473"/>
      <c r="NA24" s="1471"/>
      <c r="NB24" s="1472"/>
      <c r="NC24" s="1472"/>
      <c r="ND24" s="1472"/>
      <c r="NE24" s="1472"/>
      <c r="NF24" s="1472"/>
      <c r="NG24" s="1472"/>
      <c r="NH24" s="1472"/>
      <c r="NI24" s="1472"/>
      <c r="NJ24" s="1472"/>
      <c r="NK24" s="1472"/>
      <c r="NL24" s="1472"/>
      <c r="NM24" s="1472"/>
      <c r="NN24" s="1473"/>
      <c r="NO24" s="1471"/>
      <c r="NP24" s="1472"/>
      <c r="NQ24" s="1472"/>
      <c r="NR24" s="1472"/>
      <c r="NS24" s="1472"/>
      <c r="NT24" s="1472"/>
      <c r="NU24" s="1472"/>
      <c r="NV24" s="1472"/>
      <c r="NW24" s="1472"/>
      <c r="NX24" s="1472"/>
      <c r="NY24" s="1472"/>
      <c r="NZ24" s="1472"/>
      <c r="OA24" s="1472"/>
      <c r="OB24" s="1473"/>
      <c r="OC24" s="1471"/>
      <c r="OD24" s="1472"/>
      <c r="OE24" s="1472"/>
      <c r="OF24" s="1472"/>
      <c r="OG24" s="1472"/>
      <c r="OH24" s="1472"/>
      <c r="OI24" s="1472"/>
      <c r="OJ24" s="1472"/>
      <c r="OK24" s="1472"/>
      <c r="OL24" s="1472"/>
      <c r="OM24" s="1472"/>
      <c r="ON24" s="1472"/>
      <c r="OO24" s="1472"/>
      <c r="OP24" s="1473"/>
      <c r="OQ24" s="1471"/>
      <c r="OR24" s="1472"/>
      <c r="OS24" s="1472"/>
      <c r="OT24" s="1472"/>
      <c r="OU24" s="1472"/>
      <c r="OV24" s="1472"/>
      <c r="OW24" s="1472"/>
      <c r="OX24" s="1472"/>
      <c r="OY24" s="1472"/>
      <c r="OZ24" s="1472"/>
      <c r="PA24" s="1472"/>
      <c r="PB24" s="1472"/>
      <c r="PC24" s="1472"/>
      <c r="PD24" s="1473"/>
      <c r="PE24" s="1471"/>
      <c r="PF24" s="1472"/>
      <c r="PG24" s="1472"/>
      <c r="PH24" s="1472"/>
      <c r="PI24" s="1472"/>
      <c r="PJ24" s="1472"/>
      <c r="PK24" s="1472"/>
      <c r="PL24" s="1472"/>
      <c r="PM24" s="1472"/>
      <c r="PN24" s="1472"/>
      <c r="PO24" s="1472"/>
      <c r="PP24" s="1472"/>
      <c r="PQ24" s="1472"/>
      <c r="PR24" s="1473"/>
      <c r="PS24" s="1471"/>
      <c r="PT24" s="1472"/>
      <c r="PU24" s="1472"/>
      <c r="PV24" s="1472"/>
      <c r="PW24" s="1472"/>
      <c r="PX24" s="1472"/>
      <c r="PY24" s="1472"/>
      <c r="PZ24" s="1472"/>
      <c r="QA24" s="1472"/>
      <c r="QB24" s="1472"/>
      <c r="QC24" s="1472"/>
      <c r="QD24" s="1472"/>
      <c r="QE24" s="1472"/>
      <c r="QF24" s="1473"/>
      <c r="QG24" s="1471"/>
      <c r="QH24" s="1472"/>
      <c r="QI24" s="1472"/>
      <c r="QJ24" s="1472"/>
      <c r="QK24" s="1472"/>
      <c r="QL24" s="1472"/>
      <c r="QM24" s="1472"/>
      <c r="QN24" s="1472"/>
      <c r="QO24" s="1472"/>
      <c r="QP24" s="1472"/>
      <c r="QQ24" s="1472"/>
      <c r="QR24" s="1472"/>
      <c r="QS24" s="1472"/>
      <c r="QT24" s="1473"/>
      <c r="QU24" s="1471"/>
      <c r="QV24" s="1472"/>
      <c r="QW24" s="1472"/>
      <c r="QX24" s="1472"/>
      <c r="QY24" s="1472"/>
      <c r="QZ24" s="1472"/>
      <c r="RA24" s="1472"/>
      <c r="RB24" s="1472"/>
      <c r="RC24" s="1472"/>
      <c r="RD24" s="1472"/>
      <c r="RE24" s="1472"/>
      <c r="RF24" s="1472"/>
      <c r="RG24" s="1472"/>
      <c r="RH24" s="1473"/>
      <c r="RI24" s="1471"/>
      <c r="RJ24" s="1472"/>
      <c r="RK24" s="1472"/>
      <c r="RL24" s="1472"/>
      <c r="RM24" s="1472"/>
      <c r="RN24" s="1472"/>
      <c r="RO24" s="1472"/>
      <c r="RP24" s="1472"/>
      <c r="RQ24" s="1472"/>
      <c r="RR24" s="1472"/>
      <c r="RS24" s="1472"/>
      <c r="RT24" s="1472"/>
      <c r="RU24" s="1472"/>
      <c r="RV24" s="1473"/>
      <c r="RW24" s="1471"/>
      <c r="RX24" s="1472"/>
      <c r="RY24" s="1472"/>
      <c r="RZ24" s="1472"/>
      <c r="SA24" s="1472"/>
      <c r="SB24" s="1472"/>
      <c r="SC24" s="1472"/>
      <c r="SD24" s="1472"/>
      <c r="SE24" s="1472"/>
      <c r="SF24" s="1472"/>
      <c r="SG24" s="1472"/>
      <c r="SH24" s="1472"/>
      <c r="SI24" s="1472"/>
      <c r="SJ24" s="1473"/>
      <c r="SK24" s="1471"/>
      <c r="SL24" s="1472"/>
      <c r="SM24" s="1472"/>
      <c r="SN24" s="1472"/>
      <c r="SO24" s="1472"/>
      <c r="SP24" s="1472"/>
      <c r="SQ24" s="1472"/>
      <c r="SR24" s="1472"/>
      <c r="SS24" s="1472"/>
      <c r="ST24" s="1472"/>
      <c r="SU24" s="1472"/>
      <c r="SV24" s="1472"/>
      <c r="SW24" s="1472"/>
      <c r="SX24" s="1473"/>
      <c r="SY24" s="1471"/>
      <c r="SZ24" s="1472"/>
      <c r="TA24" s="1472"/>
      <c r="TB24" s="1472"/>
      <c r="TC24" s="1472"/>
      <c r="TD24" s="1472"/>
      <c r="TE24" s="1472"/>
      <c r="TF24" s="1472"/>
      <c r="TG24" s="1472"/>
      <c r="TH24" s="1472"/>
      <c r="TI24" s="1472"/>
      <c r="TJ24" s="1472"/>
      <c r="TK24" s="1472"/>
      <c r="TL24" s="1473"/>
      <c r="TM24" s="1471"/>
      <c r="TN24" s="1472"/>
      <c r="TO24" s="1472"/>
      <c r="TP24" s="1472"/>
      <c r="TQ24" s="1472"/>
      <c r="TR24" s="1472"/>
      <c r="TS24" s="1472"/>
      <c r="TT24" s="1472"/>
      <c r="TU24" s="1472"/>
      <c r="TV24" s="1472"/>
      <c r="TW24" s="1472"/>
      <c r="TX24" s="1472"/>
      <c r="TY24" s="1472"/>
      <c r="TZ24" s="1473"/>
      <c r="UA24" s="1471"/>
      <c r="UB24" s="1472"/>
      <c r="UC24" s="1472"/>
      <c r="UD24" s="1472"/>
      <c r="UE24" s="1472"/>
      <c r="UF24" s="1472"/>
      <c r="UG24" s="1472"/>
      <c r="UH24" s="1472"/>
      <c r="UI24" s="1472"/>
      <c r="UJ24" s="1472"/>
      <c r="UK24" s="1472"/>
      <c r="UL24" s="1472"/>
      <c r="UM24" s="1472"/>
      <c r="UN24" s="1473"/>
      <c r="UO24" s="1471"/>
      <c r="UP24" s="1472"/>
      <c r="UQ24" s="1472"/>
      <c r="UR24" s="1472"/>
      <c r="US24" s="1472"/>
      <c r="UT24" s="1472"/>
      <c r="UU24" s="1472"/>
      <c r="UV24" s="1472"/>
      <c r="UW24" s="1472"/>
      <c r="UX24" s="1472"/>
      <c r="UY24" s="1472"/>
      <c r="UZ24" s="1472"/>
      <c r="VA24" s="1472"/>
      <c r="VB24" s="1473"/>
      <c r="VC24" s="1471"/>
      <c r="VD24" s="1472"/>
      <c r="VE24" s="1472"/>
      <c r="VF24" s="1472"/>
      <c r="VG24" s="1472"/>
      <c r="VH24" s="1472"/>
      <c r="VI24" s="1472"/>
      <c r="VJ24" s="1472"/>
      <c r="VK24" s="1472"/>
      <c r="VL24" s="1472"/>
      <c r="VM24" s="1472"/>
      <c r="VN24" s="1472"/>
      <c r="VO24" s="1472"/>
      <c r="VP24" s="1473"/>
      <c r="VQ24" s="1471"/>
      <c r="VR24" s="1472"/>
      <c r="VS24" s="1472"/>
      <c r="VT24" s="1472"/>
      <c r="VU24" s="1472"/>
      <c r="VV24" s="1472"/>
      <c r="VW24" s="1472"/>
      <c r="VX24" s="1472"/>
      <c r="VY24" s="1472"/>
      <c r="VZ24" s="1472"/>
      <c r="WA24" s="1472"/>
      <c r="WB24" s="1472"/>
      <c r="WC24" s="1472"/>
      <c r="WD24" s="1473"/>
      <c r="WE24" s="1471"/>
      <c r="WF24" s="1472"/>
      <c r="WG24" s="1472"/>
      <c r="WH24" s="1472"/>
      <c r="WI24" s="1472"/>
      <c r="WJ24" s="1472"/>
      <c r="WK24" s="1472"/>
      <c r="WL24" s="1472"/>
      <c r="WM24" s="1472"/>
      <c r="WN24" s="1472"/>
      <c r="WO24" s="1472"/>
      <c r="WP24" s="1472"/>
      <c r="WQ24" s="1472"/>
      <c r="WR24" s="1473"/>
      <c r="WS24" s="1471"/>
      <c r="WT24" s="1472"/>
      <c r="WU24" s="1472"/>
      <c r="WV24" s="1472"/>
      <c r="WW24" s="1472"/>
      <c r="WX24" s="1472"/>
      <c r="WY24" s="1472"/>
      <c r="WZ24" s="1472"/>
      <c r="XA24" s="1472"/>
      <c r="XB24" s="1472"/>
      <c r="XC24" s="1472"/>
      <c r="XD24" s="1472"/>
      <c r="XE24" s="1472"/>
      <c r="XF24" s="1473"/>
      <c r="XG24" s="1471"/>
      <c r="XH24" s="1472"/>
      <c r="XI24" s="1472"/>
      <c r="XJ24" s="1472"/>
      <c r="XK24" s="1472"/>
      <c r="XL24" s="1472"/>
      <c r="XM24" s="1472"/>
      <c r="XN24" s="1472"/>
      <c r="XO24" s="1472"/>
      <c r="XP24" s="1472"/>
      <c r="XQ24" s="1472"/>
      <c r="XR24" s="1472"/>
      <c r="XS24" s="1472"/>
      <c r="XT24" s="1473"/>
      <c r="XU24" s="1471"/>
      <c r="XV24" s="1472"/>
      <c r="XW24" s="1472"/>
      <c r="XX24" s="1472"/>
      <c r="XY24" s="1472"/>
      <c r="XZ24" s="1472"/>
      <c r="YA24" s="1472"/>
      <c r="YB24" s="1472"/>
      <c r="YC24" s="1472"/>
      <c r="YD24" s="1472"/>
      <c r="YE24" s="1472"/>
      <c r="YF24" s="1472"/>
      <c r="YG24" s="1472"/>
      <c r="YH24" s="1473"/>
      <c r="YI24" s="1471"/>
      <c r="YJ24" s="1472"/>
      <c r="YK24" s="1472"/>
      <c r="YL24" s="1472"/>
      <c r="YM24" s="1472"/>
      <c r="YN24" s="1472"/>
      <c r="YO24" s="1472"/>
      <c r="YP24" s="1472"/>
      <c r="YQ24" s="1472"/>
      <c r="YR24" s="1472"/>
      <c r="YS24" s="1472"/>
      <c r="YT24" s="1472"/>
      <c r="YU24" s="1472"/>
      <c r="YV24" s="1473"/>
      <c r="YW24" s="1471"/>
      <c r="YX24" s="1472"/>
      <c r="YY24" s="1472"/>
      <c r="YZ24" s="1472"/>
      <c r="ZA24" s="1472"/>
      <c r="ZB24" s="1472"/>
      <c r="ZC24" s="1472"/>
      <c r="ZD24" s="1472"/>
      <c r="ZE24" s="1472"/>
      <c r="ZF24" s="1472"/>
      <c r="ZG24" s="1472"/>
      <c r="ZH24" s="1472"/>
      <c r="ZI24" s="1472"/>
      <c r="ZJ24" s="1473"/>
      <c r="ZK24" s="1471"/>
      <c r="ZL24" s="1472"/>
      <c r="ZM24" s="1472"/>
      <c r="ZN24" s="1472"/>
      <c r="ZO24" s="1472"/>
      <c r="ZP24" s="1472"/>
      <c r="ZQ24" s="1472"/>
      <c r="ZR24" s="1472"/>
      <c r="ZS24" s="1472"/>
      <c r="ZT24" s="1472"/>
      <c r="ZU24" s="1472"/>
      <c r="ZV24" s="1472"/>
      <c r="ZW24" s="1472"/>
      <c r="ZX24" s="1473"/>
      <c r="ZY24" s="1471"/>
      <c r="ZZ24" s="1472"/>
      <c r="AAA24" s="1472"/>
      <c r="AAB24" s="1472"/>
      <c r="AAC24" s="1472"/>
      <c r="AAD24" s="1472"/>
      <c r="AAE24" s="1472"/>
      <c r="AAF24" s="1472"/>
      <c r="AAG24" s="1472"/>
      <c r="AAH24" s="1472"/>
      <c r="AAI24" s="1472"/>
      <c r="AAJ24" s="1472"/>
      <c r="AAK24" s="1472"/>
      <c r="AAL24" s="1473"/>
      <c r="AAM24" s="1471"/>
      <c r="AAN24" s="1472"/>
      <c r="AAO24" s="1472"/>
      <c r="AAP24" s="1472"/>
      <c r="AAQ24" s="1472"/>
      <c r="AAR24" s="1472"/>
      <c r="AAS24" s="1472"/>
      <c r="AAT24" s="1472"/>
      <c r="AAU24" s="1472"/>
      <c r="AAV24" s="1472"/>
      <c r="AAW24" s="1472"/>
      <c r="AAX24" s="1472"/>
      <c r="AAY24" s="1472"/>
      <c r="AAZ24" s="1473"/>
      <c r="ABA24" s="1471"/>
      <c r="ABB24" s="1472"/>
      <c r="ABC24" s="1472"/>
      <c r="ABD24" s="1472"/>
      <c r="ABE24" s="1472"/>
      <c r="ABF24" s="1472"/>
      <c r="ABG24" s="1472"/>
      <c r="ABH24" s="1472"/>
      <c r="ABI24" s="1472"/>
      <c r="ABJ24" s="1472"/>
      <c r="ABK24" s="1472"/>
      <c r="ABL24" s="1472"/>
      <c r="ABM24" s="1472"/>
      <c r="ABN24" s="1473"/>
      <c r="ABO24" s="1471"/>
      <c r="ABP24" s="1472"/>
      <c r="ABQ24" s="1472"/>
      <c r="ABR24" s="1472"/>
      <c r="ABS24" s="1472"/>
      <c r="ABT24" s="1472"/>
      <c r="ABU24" s="1472"/>
      <c r="ABV24" s="1472"/>
      <c r="ABW24" s="1472"/>
      <c r="ABX24" s="1472"/>
      <c r="ABY24" s="1472"/>
      <c r="ABZ24" s="1472"/>
      <c r="ACA24" s="1472"/>
      <c r="ACB24" s="1473"/>
      <c r="ACC24" s="1471"/>
      <c r="ACD24" s="1472"/>
      <c r="ACE24" s="1472"/>
      <c r="ACF24" s="1472"/>
      <c r="ACG24" s="1472"/>
      <c r="ACH24" s="1472"/>
      <c r="ACI24" s="1472"/>
      <c r="ACJ24" s="1472"/>
      <c r="ACK24" s="1472"/>
      <c r="ACL24" s="1472"/>
      <c r="ACM24" s="1472"/>
      <c r="ACN24" s="1472"/>
      <c r="ACO24" s="1472"/>
      <c r="ACP24" s="1473"/>
      <c r="ACQ24" s="1471"/>
      <c r="ACR24" s="1472"/>
      <c r="ACS24" s="1472"/>
      <c r="ACT24" s="1472"/>
      <c r="ACU24" s="1472"/>
      <c r="ACV24" s="1472"/>
      <c r="ACW24" s="1472"/>
      <c r="ACX24" s="1472"/>
      <c r="ACY24" s="1472"/>
      <c r="ACZ24" s="1472"/>
      <c r="ADA24" s="1472"/>
      <c r="ADB24" s="1472"/>
      <c r="ADC24" s="1472"/>
      <c r="ADD24" s="1473"/>
      <c r="ADE24" s="1471"/>
      <c r="ADF24" s="1472"/>
      <c r="ADG24" s="1472"/>
      <c r="ADH24" s="1472"/>
      <c r="ADI24" s="1472"/>
      <c r="ADJ24" s="1472"/>
      <c r="ADK24" s="1472"/>
      <c r="ADL24" s="1472"/>
      <c r="ADM24" s="1472"/>
      <c r="ADN24" s="1472"/>
      <c r="ADO24" s="1472"/>
      <c r="ADP24" s="1472"/>
      <c r="ADQ24" s="1472"/>
      <c r="ADR24" s="1473"/>
      <c r="ADS24" s="1471"/>
      <c r="ADT24" s="1472"/>
      <c r="ADU24" s="1472"/>
      <c r="ADV24" s="1472"/>
      <c r="ADW24" s="1472"/>
      <c r="ADX24" s="1472"/>
      <c r="ADY24" s="1472"/>
      <c r="ADZ24" s="1472"/>
      <c r="AEA24" s="1472"/>
      <c r="AEB24" s="1472"/>
      <c r="AEC24" s="1472"/>
      <c r="AED24" s="1472"/>
      <c r="AEE24" s="1472"/>
      <c r="AEF24" s="1473"/>
      <c r="AEG24" s="1471"/>
      <c r="AEH24" s="1472"/>
      <c r="AEI24" s="1472"/>
      <c r="AEJ24" s="1472"/>
      <c r="AEK24" s="1472"/>
      <c r="AEL24" s="1472"/>
      <c r="AEM24" s="1472"/>
      <c r="AEN24" s="1472"/>
      <c r="AEO24" s="1472"/>
      <c r="AEP24" s="1472"/>
      <c r="AEQ24" s="1472"/>
      <c r="AER24" s="1472"/>
      <c r="AES24" s="1472"/>
      <c r="AET24" s="1473"/>
      <c r="AEU24" s="1471"/>
      <c r="AEV24" s="1472"/>
      <c r="AEW24" s="1472"/>
      <c r="AEX24" s="1472"/>
      <c r="AEY24" s="1472"/>
      <c r="AEZ24" s="1472"/>
      <c r="AFA24" s="1472"/>
      <c r="AFB24" s="1472"/>
      <c r="AFC24" s="1472"/>
      <c r="AFD24" s="1472"/>
      <c r="AFE24" s="1472"/>
      <c r="AFF24" s="1472"/>
      <c r="AFG24" s="1472"/>
      <c r="AFH24" s="1473"/>
      <c r="AFI24" s="1471"/>
      <c r="AFJ24" s="1472"/>
      <c r="AFK24" s="1472"/>
      <c r="AFL24" s="1472"/>
      <c r="AFM24" s="1472"/>
      <c r="AFN24" s="1472"/>
      <c r="AFO24" s="1472"/>
      <c r="AFP24" s="1472"/>
      <c r="AFQ24" s="1472"/>
      <c r="AFR24" s="1472"/>
      <c r="AFS24" s="1472"/>
      <c r="AFT24" s="1472"/>
      <c r="AFU24" s="1472"/>
      <c r="AFV24" s="1473"/>
      <c r="AFW24" s="1471"/>
      <c r="AFX24" s="1472"/>
      <c r="AFY24" s="1472"/>
      <c r="AFZ24" s="1472"/>
      <c r="AGA24" s="1472"/>
      <c r="AGB24" s="1472"/>
      <c r="AGC24" s="1472"/>
      <c r="AGD24" s="1472"/>
      <c r="AGE24" s="1472"/>
      <c r="AGF24" s="1472"/>
      <c r="AGG24" s="1472"/>
      <c r="AGH24" s="1472"/>
      <c r="AGI24" s="1472"/>
      <c r="AGJ24" s="1473"/>
      <c r="AGK24" s="1471"/>
      <c r="AGL24" s="1472"/>
      <c r="AGM24" s="1472"/>
      <c r="AGN24" s="1472"/>
      <c r="AGO24" s="1472"/>
      <c r="AGP24" s="1472"/>
      <c r="AGQ24" s="1472"/>
      <c r="AGR24" s="1472"/>
      <c r="AGS24" s="1472"/>
      <c r="AGT24" s="1472"/>
      <c r="AGU24" s="1472"/>
      <c r="AGV24" s="1472"/>
      <c r="AGW24" s="1472"/>
      <c r="AGX24" s="1473"/>
      <c r="AGY24" s="1471"/>
      <c r="AGZ24" s="1472"/>
      <c r="AHA24" s="1472"/>
      <c r="AHB24" s="1472"/>
      <c r="AHC24" s="1472"/>
      <c r="AHD24" s="1472"/>
      <c r="AHE24" s="1472"/>
      <c r="AHF24" s="1472"/>
      <c r="AHG24" s="1472"/>
      <c r="AHH24" s="1472"/>
      <c r="AHI24" s="1472"/>
      <c r="AHJ24" s="1472"/>
      <c r="AHK24" s="1472"/>
      <c r="AHL24" s="1473"/>
      <c r="AHM24" s="1471"/>
      <c r="AHN24" s="1472"/>
      <c r="AHO24" s="1472"/>
      <c r="AHP24" s="1472"/>
      <c r="AHQ24" s="1472"/>
      <c r="AHR24" s="1472"/>
      <c r="AHS24" s="1472"/>
      <c r="AHT24" s="1472"/>
      <c r="AHU24" s="1472"/>
      <c r="AHV24" s="1472"/>
      <c r="AHW24" s="1472"/>
      <c r="AHX24" s="1472"/>
      <c r="AHY24" s="1472"/>
      <c r="AHZ24" s="1473"/>
      <c r="AIA24" s="1471"/>
      <c r="AIB24" s="1472"/>
      <c r="AIC24" s="1472"/>
      <c r="AID24" s="1472"/>
      <c r="AIE24" s="1472"/>
      <c r="AIF24" s="1472"/>
      <c r="AIG24" s="1472"/>
      <c r="AIH24" s="1472"/>
      <c r="AII24" s="1472"/>
      <c r="AIJ24" s="1472"/>
      <c r="AIK24" s="1472"/>
      <c r="AIL24" s="1472"/>
      <c r="AIM24" s="1472"/>
      <c r="AIN24" s="1473"/>
      <c r="AIO24" s="1471"/>
      <c r="AIP24" s="1472"/>
      <c r="AIQ24" s="1472"/>
      <c r="AIR24" s="1472"/>
      <c r="AIS24" s="1472"/>
      <c r="AIT24" s="1472"/>
      <c r="AIU24" s="1472"/>
      <c r="AIV24" s="1472"/>
      <c r="AIW24" s="1472"/>
      <c r="AIX24" s="1472"/>
      <c r="AIY24" s="1472"/>
      <c r="AIZ24" s="1472"/>
      <c r="AJA24" s="1472"/>
      <c r="AJB24" s="1473"/>
      <c r="AJC24" s="1471"/>
      <c r="AJD24" s="1472"/>
      <c r="AJE24" s="1472"/>
      <c r="AJF24" s="1472"/>
      <c r="AJG24" s="1472"/>
      <c r="AJH24" s="1472"/>
      <c r="AJI24" s="1472"/>
      <c r="AJJ24" s="1472"/>
      <c r="AJK24" s="1472"/>
      <c r="AJL24" s="1472"/>
      <c r="AJM24" s="1472"/>
      <c r="AJN24" s="1472"/>
      <c r="AJO24" s="1472"/>
      <c r="AJP24" s="1473"/>
      <c r="AJQ24" s="1471"/>
      <c r="AJR24" s="1472"/>
      <c r="AJS24" s="1472"/>
      <c r="AJT24" s="1472"/>
      <c r="AJU24" s="1472"/>
      <c r="AJV24" s="1472"/>
      <c r="AJW24" s="1472"/>
      <c r="AJX24" s="1472"/>
      <c r="AJY24" s="1472"/>
      <c r="AJZ24" s="1472"/>
      <c r="AKA24" s="1472"/>
      <c r="AKB24" s="1472"/>
      <c r="AKC24" s="1472"/>
      <c r="AKD24" s="1473"/>
      <c r="AKE24" s="1471"/>
      <c r="AKF24" s="1472"/>
      <c r="AKG24" s="1472"/>
      <c r="AKH24" s="1472"/>
      <c r="AKI24" s="1472"/>
      <c r="AKJ24" s="1472"/>
      <c r="AKK24" s="1472"/>
      <c r="AKL24" s="1472"/>
      <c r="AKM24" s="1472"/>
      <c r="AKN24" s="1472"/>
      <c r="AKO24" s="1472"/>
      <c r="AKP24" s="1472"/>
      <c r="AKQ24" s="1472"/>
      <c r="AKR24" s="1473"/>
      <c r="AKS24" s="1471"/>
      <c r="AKT24" s="1472"/>
      <c r="AKU24" s="1472"/>
      <c r="AKV24" s="1472"/>
      <c r="AKW24" s="1472"/>
      <c r="AKX24" s="1472"/>
      <c r="AKY24" s="1472"/>
      <c r="AKZ24" s="1472"/>
      <c r="ALA24" s="1472"/>
      <c r="ALB24" s="1472"/>
      <c r="ALC24" s="1472"/>
      <c r="ALD24" s="1472"/>
      <c r="ALE24" s="1472"/>
      <c r="ALF24" s="1473"/>
      <c r="ALG24" s="1471"/>
      <c r="ALH24" s="1472"/>
      <c r="ALI24" s="1472"/>
      <c r="ALJ24" s="1472"/>
      <c r="ALK24" s="1472"/>
      <c r="ALL24" s="1472"/>
      <c r="ALM24" s="1472"/>
      <c r="ALN24" s="1472"/>
      <c r="ALO24" s="1472"/>
      <c r="ALP24" s="1472"/>
      <c r="ALQ24" s="1472"/>
      <c r="ALR24" s="1472"/>
      <c r="ALS24" s="1472"/>
      <c r="ALT24" s="1473"/>
      <c r="ALU24" s="1471"/>
      <c r="ALV24" s="1472"/>
      <c r="ALW24" s="1472"/>
      <c r="ALX24" s="1472"/>
      <c r="ALY24" s="1472"/>
      <c r="ALZ24" s="1472"/>
      <c r="AMA24" s="1472"/>
      <c r="AMB24" s="1472"/>
      <c r="AMC24" s="1472"/>
      <c r="AMD24" s="1472"/>
      <c r="AME24" s="1472"/>
      <c r="AMF24" s="1472"/>
      <c r="AMG24" s="1472"/>
      <c r="AMH24" s="1473"/>
      <c r="AMI24" s="1471"/>
      <c r="AMJ24" s="1472"/>
      <c r="AMK24" s="1472"/>
      <c r="AML24" s="1472"/>
      <c r="AMM24" s="1472"/>
      <c r="AMN24" s="1472"/>
      <c r="AMO24" s="1472"/>
      <c r="AMP24" s="1472"/>
      <c r="AMQ24" s="1472"/>
      <c r="AMR24" s="1472"/>
      <c r="AMS24" s="1472"/>
      <c r="AMT24" s="1472"/>
      <c r="AMU24" s="1472"/>
      <c r="AMV24" s="1473"/>
      <c r="AMW24" s="1471"/>
      <c r="AMX24" s="1472"/>
      <c r="AMY24" s="1472"/>
      <c r="AMZ24" s="1472"/>
      <c r="ANA24" s="1472"/>
      <c r="ANB24" s="1472"/>
      <c r="ANC24" s="1472"/>
      <c r="AND24" s="1472"/>
      <c r="ANE24" s="1472"/>
      <c r="ANF24" s="1472"/>
      <c r="ANG24" s="1472"/>
      <c r="ANH24" s="1472"/>
      <c r="ANI24" s="1472"/>
      <c r="ANJ24" s="1473"/>
      <c r="ANK24" s="1471"/>
      <c r="ANL24" s="1472"/>
      <c r="ANM24" s="1472"/>
      <c r="ANN24" s="1472"/>
      <c r="ANO24" s="1472"/>
      <c r="ANP24" s="1472"/>
      <c r="ANQ24" s="1472"/>
      <c r="ANR24" s="1472"/>
      <c r="ANS24" s="1472"/>
      <c r="ANT24" s="1472"/>
      <c r="ANU24" s="1472"/>
      <c r="ANV24" s="1472"/>
      <c r="ANW24" s="1472"/>
      <c r="ANX24" s="1473"/>
      <c r="ANY24" s="1471"/>
      <c r="ANZ24" s="1472"/>
      <c r="AOA24" s="1472"/>
      <c r="AOB24" s="1472"/>
      <c r="AOC24" s="1472"/>
      <c r="AOD24" s="1472"/>
      <c r="AOE24" s="1472"/>
      <c r="AOF24" s="1472"/>
      <c r="AOG24" s="1472"/>
      <c r="AOH24" s="1472"/>
      <c r="AOI24" s="1472"/>
      <c r="AOJ24" s="1472"/>
      <c r="AOK24" s="1472"/>
      <c r="AOL24" s="1473"/>
      <c r="AOM24" s="1471"/>
      <c r="AON24" s="1472"/>
      <c r="AOO24" s="1472"/>
      <c r="AOP24" s="1472"/>
      <c r="AOQ24" s="1472"/>
      <c r="AOR24" s="1472"/>
      <c r="AOS24" s="1472"/>
      <c r="AOT24" s="1472"/>
      <c r="AOU24" s="1472"/>
      <c r="AOV24" s="1472"/>
      <c r="AOW24" s="1472"/>
      <c r="AOX24" s="1472"/>
      <c r="AOY24" s="1472"/>
      <c r="AOZ24" s="1473"/>
      <c r="APA24" s="1471"/>
      <c r="APB24" s="1472"/>
      <c r="APC24" s="1472"/>
      <c r="APD24" s="1472"/>
      <c r="APE24" s="1472"/>
      <c r="APF24" s="1472"/>
      <c r="APG24" s="1472"/>
      <c r="APH24" s="1472"/>
      <c r="API24" s="1472"/>
      <c r="APJ24" s="1472"/>
      <c r="APK24" s="1472"/>
      <c r="APL24" s="1472"/>
      <c r="APM24" s="1472"/>
      <c r="APN24" s="1473"/>
      <c r="APO24" s="1471"/>
      <c r="APP24" s="1472"/>
      <c r="APQ24" s="1472"/>
      <c r="APR24" s="1472"/>
      <c r="APS24" s="1472"/>
      <c r="APT24" s="1472"/>
      <c r="APU24" s="1472"/>
      <c r="APV24" s="1472"/>
      <c r="APW24" s="1472"/>
      <c r="APX24" s="1472"/>
      <c r="APY24" s="1472"/>
      <c r="APZ24" s="1472"/>
      <c r="AQA24" s="1472"/>
      <c r="AQB24" s="1473"/>
      <c r="AQC24" s="1471"/>
      <c r="AQD24" s="1472"/>
      <c r="AQE24" s="1472"/>
      <c r="AQF24" s="1472"/>
      <c r="AQG24" s="1472"/>
      <c r="AQH24" s="1472"/>
      <c r="AQI24" s="1472"/>
      <c r="AQJ24" s="1472"/>
      <c r="AQK24" s="1472"/>
      <c r="AQL24" s="1472"/>
      <c r="AQM24" s="1472"/>
      <c r="AQN24" s="1472"/>
      <c r="AQO24" s="1472"/>
      <c r="AQP24" s="1473"/>
      <c r="AQQ24" s="1471"/>
      <c r="AQR24" s="1472"/>
      <c r="AQS24" s="1472"/>
      <c r="AQT24" s="1472"/>
      <c r="AQU24" s="1472"/>
      <c r="AQV24" s="1472"/>
      <c r="AQW24" s="1472"/>
      <c r="AQX24" s="1472"/>
      <c r="AQY24" s="1472"/>
      <c r="AQZ24" s="1472"/>
      <c r="ARA24" s="1472"/>
      <c r="ARB24" s="1472"/>
      <c r="ARC24" s="1472"/>
      <c r="ARD24" s="1473"/>
      <c r="ARE24" s="1471"/>
      <c r="ARF24" s="1472"/>
      <c r="ARG24" s="1472"/>
      <c r="ARH24" s="1472"/>
      <c r="ARI24" s="1472"/>
      <c r="ARJ24" s="1472"/>
      <c r="ARK24" s="1472"/>
      <c r="ARL24" s="1472"/>
      <c r="ARM24" s="1472"/>
      <c r="ARN24" s="1472"/>
      <c r="ARO24" s="1472"/>
      <c r="ARP24" s="1472"/>
      <c r="ARQ24" s="1472"/>
      <c r="ARR24" s="1473"/>
      <c r="ARS24" s="1471"/>
      <c r="ART24" s="1472"/>
      <c r="ARU24" s="1472"/>
      <c r="ARV24" s="1472"/>
      <c r="ARW24" s="1472"/>
      <c r="ARX24" s="1472"/>
      <c r="ARY24" s="1472"/>
      <c r="ARZ24" s="1472"/>
      <c r="ASA24" s="1472"/>
      <c r="ASB24" s="1472"/>
      <c r="ASC24" s="1472"/>
      <c r="ASD24" s="1472"/>
      <c r="ASE24" s="1472"/>
      <c r="ASF24" s="1473"/>
      <c r="ASG24" s="1471"/>
      <c r="ASH24" s="1472"/>
      <c r="ASI24" s="1472"/>
      <c r="ASJ24" s="1472"/>
      <c r="ASK24" s="1472"/>
      <c r="ASL24" s="1472"/>
      <c r="ASM24" s="1472"/>
      <c r="ASN24" s="1472"/>
      <c r="ASO24" s="1472"/>
      <c r="ASP24" s="1472"/>
      <c r="ASQ24" s="1472"/>
      <c r="ASR24" s="1472"/>
      <c r="ASS24" s="1472"/>
      <c r="AST24" s="1473"/>
      <c r="ASU24" s="1471"/>
      <c r="ASV24" s="1472"/>
      <c r="ASW24" s="1472"/>
      <c r="ASX24" s="1472"/>
      <c r="ASY24" s="1472"/>
      <c r="ASZ24" s="1472"/>
      <c r="ATA24" s="1472"/>
      <c r="ATB24" s="1472"/>
      <c r="ATC24" s="1472"/>
      <c r="ATD24" s="1472"/>
      <c r="ATE24" s="1472"/>
      <c r="ATF24" s="1472"/>
      <c r="ATG24" s="1472"/>
      <c r="ATH24" s="1473"/>
      <c r="ATI24" s="1471"/>
      <c r="ATJ24" s="1472"/>
      <c r="ATK24" s="1472"/>
      <c r="ATL24" s="1472"/>
      <c r="ATM24" s="1472"/>
      <c r="ATN24" s="1472"/>
      <c r="ATO24" s="1472"/>
      <c r="ATP24" s="1472"/>
      <c r="ATQ24" s="1472"/>
      <c r="ATR24" s="1472"/>
      <c r="ATS24" s="1472"/>
      <c r="ATT24" s="1472"/>
      <c r="ATU24" s="1472"/>
      <c r="ATV24" s="1473"/>
      <c r="ATW24" s="1471"/>
      <c r="ATX24" s="1472"/>
      <c r="ATY24" s="1472"/>
      <c r="ATZ24" s="1472"/>
      <c r="AUA24" s="1472"/>
      <c r="AUB24" s="1472"/>
      <c r="AUC24" s="1472"/>
      <c r="AUD24" s="1472"/>
      <c r="AUE24" s="1472"/>
      <c r="AUF24" s="1472"/>
      <c r="AUG24" s="1472"/>
      <c r="AUH24" s="1472"/>
      <c r="AUI24" s="1472"/>
      <c r="AUJ24" s="1473"/>
      <c r="AUK24" s="1471"/>
      <c r="AUL24" s="1472"/>
      <c r="AUM24" s="1472"/>
      <c r="AUN24" s="1472"/>
      <c r="AUO24" s="1472"/>
      <c r="AUP24" s="1472"/>
      <c r="AUQ24" s="1472"/>
      <c r="AUR24" s="1472"/>
      <c r="AUS24" s="1472"/>
      <c r="AUT24" s="1472"/>
      <c r="AUU24" s="1472"/>
      <c r="AUV24" s="1472"/>
      <c r="AUW24" s="1472"/>
      <c r="AUX24" s="1473"/>
      <c r="AUY24" s="1471"/>
      <c r="AUZ24" s="1472"/>
      <c r="AVA24" s="1472"/>
      <c r="AVB24" s="1472"/>
      <c r="AVC24" s="1472"/>
      <c r="AVD24" s="1472"/>
      <c r="AVE24" s="1472"/>
      <c r="AVF24" s="1472"/>
      <c r="AVG24" s="1472"/>
      <c r="AVH24" s="1472"/>
      <c r="AVI24" s="1472"/>
      <c r="AVJ24" s="1472"/>
      <c r="AVK24" s="1472"/>
      <c r="AVL24" s="1473"/>
      <c r="AVM24" s="1471"/>
      <c r="AVN24" s="1472"/>
      <c r="AVO24" s="1472"/>
      <c r="AVP24" s="1472"/>
      <c r="AVQ24" s="1472"/>
      <c r="AVR24" s="1472"/>
      <c r="AVS24" s="1472"/>
      <c r="AVT24" s="1472"/>
      <c r="AVU24" s="1472"/>
      <c r="AVV24" s="1472"/>
      <c r="AVW24" s="1472"/>
      <c r="AVX24" s="1472"/>
      <c r="AVY24" s="1472"/>
      <c r="AVZ24" s="1473"/>
      <c r="AWA24" s="1471"/>
      <c r="AWB24" s="1472"/>
      <c r="AWC24" s="1472"/>
      <c r="AWD24" s="1472"/>
      <c r="AWE24" s="1472"/>
      <c r="AWF24" s="1472"/>
      <c r="AWG24" s="1472"/>
      <c r="AWH24" s="1472"/>
      <c r="AWI24" s="1472"/>
      <c r="AWJ24" s="1472"/>
      <c r="AWK24" s="1472"/>
      <c r="AWL24" s="1472"/>
      <c r="AWM24" s="1472"/>
      <c r="AWN24" s="1473"/>
      <c r="AWO24" s="1471"/>
      <c r="AWP24" s="1472"/>
      <c r="AWQ24" s="1472"/>
      <c r="AWR24" s="1472"/>
      <c r="AWS24" s="1472"/>
      <c r="AWT24" s="1472"/>
      <c r="AWU24" s="1472"/>
      <c r="AWV24" s="1472"/>
      <c r="AWW24" s="1472"/>
      <c r="AWX24" s="1472"/>
      <c r="AWY24" s="1472"/>
      <c r="AWZ24" s="1472"/>
      <c r="AXA24" s="1472"/>
      <c r="AXB24" s="1473"/>
      <c r="AXC24" s="1471"/>
      <c r="AXD24" s="1472"/>
      <c r="AXE24" s="1472"/>
      <c r="AXF24" s="1472"/>
      <c r="AXG24" s="1472"/>
      <c r="AXH24" s="1472"/>
      <c r="AXI24" s="1472"/>
      <c r="AXJ24" s="1472"/>
      <c r="AXK24" s="1472"/>
      <c r="AXL24" s="1472"/>
      <c r="AXM24" s="1472"/>
      <c r="AXN24" s="1472"/>
      <c r="AXO24" s="1472"/>
      <c r="AXP24" s="1473"/>
      <c r="AXQ24" s="1471"/>
      <c r="AXR24" s="1472"/>
      <c r="AXS24" s="1472"/>
      <c r="AXT24" s="1472"/>
      <c r="AXU24" s="1472"/>
      <c r="AXV24" s="1472"/>
      <c r="AXW24" s="1472"/>
      <c r="AXX24" s="1472"/>
      <c r="AXY24" s="1472"/>
      <c r="AXZ24" s="1472"/>
      <c r="AYA24" s="1472"/>
      <c r="AYB24" s="1472"/>
      <c r="AYC24" s="1472"/>
      <c r="AYD24" s="1473"/>
      <c r="AYE24" s="1471"/>
      <c r="AYF24" s="1472"/>
      <c r="AYG24" s="1472"/>
      <c r="AYH24" s="1472"/>
      <c r="AYI24" s="1472"/>
      <c r="AYJ24" s="1472"/>
      <c r="AYK24" s="1472"/>
      <c r="AYL24" s="1472"/>
      <c r="AYM24" s="1472"/>
      <c r="AYN24" s="1472"/>
      <c r="AYO24" s="1472"/>
      <c r="AYP24" s="1472"/>
      <c r="AYQ24" s="1472"/>
      <c r="AYR24" s="1473"/>
      <c r="AYS24" s="1471"/>
      <c r="AYT24" s="1472"/>
      <c r="AYU24" s="1472"/>
      <c r="AYV24" s="1472"/>
      <c r="AYW24" s="1472"/>
      <c r="AYX24" s="1472"/>
      <c r="AYY24" s="1472"/>
      <c r="AYZ24" s="1472"/>
      <c r="AZA24" s="1472"/>
      <c r="AZB24" s="1472"/>
      <c r="AZC24" s="1472"/>
      <c r="AZD24" s="1472"/>
      <c r="AZE24" s="1472"/>
      <c r="AZF24" s="1473"/>
      <c r="AZG24" s="1471"/>
      <c r="AZH24" s="1472"/>
      <c r="AZI24" s="1472"/>
      <c r="AZJ24" s="1472"/>
      <c r="AZK24" s="1472"/>
      <c r="AZL24" s="1472"/>
      <c r="AZM24" s="1472"/>
      <c r="AZN24" s="1472"/>
      <c r="AZO24" s="1472"/>
      <c r="AZP24" s="1472"/>
      <c r="AZQ24" s="1472"/>
      <c r="AZR24" s="1472"/>
      <c r="AZS24" s="1472"/>
      <c r="AZT24" s="1473"/>
      <c r="AZU24" s="1471"/>
      <c r="AZV24" s="1472"/>
      <c r="AZW24" s="1472"/>
      <c r="AZX24" s="1472"/>
      <c r="AZY24" s="1472"/>
      <c r="AZZ24" s="1472"/>
      <c r="BAA24" s="1472"/>
      <c r="BAB24" s="1472"/>
      <c r="BAC24" s="1472"/>
      <c r="BAD24" s="1472"/>
      <c r="BAE24" s="1472"/>
      <c r="BAF24" s="1472"/>
      <c r="BAG24" s="1472"/>
      <c r="BAH24" s="1473"/>
      <c r="BAI24" s="1471"/>
      <c r="BAJ24" s="1472"/>
      <c r="BAK24" s="1472"/>
      <c r="BAL24" s="1472"/>
      <c r="BAM24" s="1472"/>
      <c r="BAN24" s="1472"/>
      <c r="BAO24" s="1472"/>
      <c r="BAP24" s="1472"/>
      <c r="BAQ24" s="1472"/>
      <c r="BAR24" s="1472"/>
      <c r="BAS24" s="1472"/>
      <c r="BAT24" s="1472"/>
      <c r="BAU24" s="1472"/>
      <c r="BAV24" s="1473"/>
      <c r="BAW24" s="1471"/>
      <c r="BAX24" s="1472"/>
      <c r="BAY24" s="1472"/>
      <c r="BAZ24" s="1472"/>
      <c r="BBA24" s="1472"/>
      <c r="BBB24" s="1472"/>
      <c r="BBC24" s="1472"/>
      <c r="BBD24" s="1472"/>
      <c r="BBE24" s="1472"/>
      <c r="BBF24" s="1472"/>
      <c r="BBG24" s="1472"/>
      <c r="BBH24" s="1472"/>
      <c r="BBI24" s="1472"/>
      <c r="BBJ24" s="1473"/>
      <c r="BBK24" s="1471"/>
      <c r="BBL24" s="1472"/>
      <c r="BBM24" s="1472"/>
      <c r="BBN24" s="1472"/>
      <c r="BBO24" s="1472"/>
      <c r="BBP24" s="1472"/>
      <c r="BBQ24" s="1472"/>
      <c r="BBR24" s="1472"/>
      <c r="BBS24" s="1472"/>
      <c r="BBT24" s="1472"/>
      <c r="BBU24" s="1472"/>
      <c r="BBV24" s="1472"/>
      <c r="BBW24" s="1472"/>
      <c r="BBX24" s="1473"/>
      <c r="BBY24" s="1471"/>
      <c r="BBZ24" s="1472"/>
      <c r="BCA24" s="1472"/>
      <c r="BCB24" s="1472"/>
      <c r="BCC24" s="1472"/>
      <c r="BCD24" s="1472"/>
      <c r="BCE24" s="1472"/>
      <c r="BCF24" s="1472"/>
      <c r="BCG24" s="1472"/>
      <c r="BCH24" s="1472"/>
      <c r="BCI24" s="1472"/>
      <c r="BCJ24" s="1472"/>
      <c r="BCK24" s="1472"/>
      <c r="BCL24" s="1473"/>
      <c r="BCM24" s="1471"/>
      <c r="BCN24" s="1472"/>
      <c r="BCO24" s="1472"/>
      <c r="BCP24" s="1472"/>
      <c r="BCQ24" s="1472"/>
      <c r="BCR24" s="1472"/>
      <c r="BCS24" s="1472"/>
      <c r="BCT24" s="1472"/>
      <c r="BCU24" s="1472"/>
      <c r="BCV24" s="1472"/>
      <c r="BCW24" s="1472"/>
      <c r="BCX24" s="1472"/>
      <c r="BCY24" s="1472"/>
      <c r="BCZ24" s="1473"/>
      <c r="BDA24" s="1471"/>
      <c r="BDB24" s="1472"/>
      <c r="BDC24" s="1472"/>
      <c r="BDD24" s="1472"/>
      <c r="BDE24" s="1472"/>
      <c r="BDF24" s="1472"/>
      <c r="BDG24" s="1472"/>
      <c r="BDH24" s="1472"/>
      <c r="BDI24" s="1472"/>
      <c r="BDJ24" s="1472"/>
      <c r="BDK24" s="1472"/>
      <c r="BDL24" s="1472"/>
      <c r="BDM24" s="1472"/>
      <c r="BDN24" s="1473"/>
      <c r="BDO24" s="1471"/>
      <c r="BDP24" s="1472"/>
      <c r="BDQ24" s="1472"/>
      <c r="BDR24" s="1472"/>
      <c r="BDS24" s="1472"/>
      <c r="BDT24" s="1472"/>
      <c r="BDU24" s="1472"/>
      <c r="BDV24" s="1472"/>
      <c r="BDW24" s="1472"/>
      <c r="BDX24" s="1472"/>
      <c r="BDY24" s="1472"/>
      <c r="BDZ24" s="1472"/>
      <c r="BEA24" s="1472"/>
      <c r="BEB24" s="1473"/>
      <c r="BEC24" s="1471"/>
      <c r="BED24" s="1472"/>
      <c r="BEE24" s="1472"/>
      <c r="BEF24" s="1472"/>
      <c r="BEG24" s="1472"/>
      <c r="BEH24" s="1472"/>
      <c r="BEI24" s="1472"/>
      <c r="BEJ24" s="1472"/>
      <c r="BEK24" s="1472"/>
      <c r="BEL24" s="1472"/>
      <c r="BEM24" s="1472"/>
      <c r="BEN24" s="1472"/>
      <c r="BEO24" s="1472"/>
      <c r="BEP24" s="1473"/>
      <c r="BEQ24" s="1471"/>
      <c r="BER24" s="1472"/>
      <c r="BES24" s="1472"/>
      <c r="BET24" s="1472"/>
      <c r="BEU24" s="1472"/>
      <c r="BEV24" s="1472"/>
      <c r="BEW24" s="1472"/>
      <c r="BEX24" s="1472"/>
      <c r="BEY24" s="1472"/>
      <c r="BEZ24" s="1472"/>
      <c r="BFA24" s="1472"/>
      <c r="BFB24" s="1472"/>
      <c r="BFC24" s="1472"/>
      <c r="BFD24" s="1473"/>
      <c r="BFE24" s="1471"/>
      <c r="BFF24" s="1472"/>
      <c r="BFG24" s="1472"/>
      <c r="BFH24" s="1472"/>
      <c r="BFI24" s="1472"/>
      <c r="BFJ24" s="1472"/>
      <c r="BFK24" s="1472"/>
      <c r="BFL24" s="1472"/>
      <c r="BFM24" s="1472"/>
      <c r="BFN24" s="1472"/>
      <c r="BFO24" s="1472"/>
      <c r="BFP24" s="1472"/>
      <c r="BFQ24" s="1472"/>
      <c r="BFR24" s="1473"/>
      <c r="BFS24" s="1471"/>
      <c r="BFT24" s="1472"/>
      <c r="BFU24" s="1472"/>
      <c r="BFV24" s="1472"/>
      <c r="BFW24" s="1472"/>
      <c r="BFX24" s="1472"/>
      <c r="BFY24" s="1472"/>
      <c r="BFZ24" s="1472"/>
      <c r="BGA24" s="1472"/>
      <c r="BGB24" s="1472"/>
      <c r="BGC24" s="1472"/>
      <c r="BGD24" s="1472"/>
      <c r="BGE24" s="1472"/>
      <c r="BGF24" s="1473"/>
      <c r="BGG24" s="1471"/>
      <c r="BGH24" s="1472"/>
      <c r="BGI24" s="1472"/>
      <c r="BGJ24" s="1472"/>
      <c r="BGK24" s="1472"/>
      <c r="BGL24" s="1472"/>
      <c r="BGM24" s="1472"/>
      <c r="BGN24" s="1472"/>
      <c r="BGO24" s="1472"/>
      <c r="BGP24" s="1472"/>
      <c r="BGQ24" s="1472"/>
      <c r="BGR24" s="1472"/>
      <c r="BGS24" s="1472"/>
      <c r="BGT24" s="1473"/>
      <c r="BGU24" s="1471"/>
      <c r="BGV24" s="1472"/>
      <c r="BGW24" s="1472"/>
      <c r="BGX24" s="1472"/>
      <c r="BGY24" s="1472"/>
      <c r="BGZ24" s="1472"/>
      <c r="BHA24" s="1472"/>
      <c r="BHB24" s="1472"/>
      <c r="BHC24" s="1472"/>
      <c r="BHD24" s="1472"/>
      <c r="BHE24" s="1472"/>
      <c r="BHF24" s="1472"/>
      <c r="BHG24" s="1472"/>
      <c r="BHH24" s="1473"/>
      <c r="BHI24" s="1471"/>
      <c r="BHJ24" s="1472"/>
      <c r="BHK24" s="1472"/>
      <c r="BHL24" s="1472"/>
      <c r="BHM24" s="1472"/>
      <c r="BHN24" s="1472"/>
      <c r="BHO24" s="1472"/>
      <c r="BHP24" s="1472"/>
      <c r="BHQ24" s="1472"/>
      <c r="BHR24" s="1472"/>
      <c r="BHS24" s="1472"/>
      <c r="BHT24" s="1472"/>
      <c r="BHU24" s="1472"/>
      <c r="BHV24" s="1473"/>
      <c r="BHW24" s="1471"/>
      <c r="BHX24" s="1472"/>
      <c r="BHY24" s="1472"/>
      <c r="BHZ24" s="1472"/>
      <c r="BIA24" s="1472"/>
      <c r="BIB24" s="1472"/>
      <c r="BIC24" s="1472"/>
      <c r="BID24" s="1472"/>
      <c r="BIE24" s="1472"/>
      <c r="BIF24" s="1472"/>
      <c r="BIG24" s="1472"/>
      <c r="BIH24" s="1472"/>
      <c r="BII24" s="1472"/>
      <c r="BIJ24" s="1473"/>
      <c r="BIK24" s="1471"/>
      <c r="BIL24" s="1472"/>
      <c r="BIM24" s="1472"/>
      <c r="BIN24" s="1472"/>
      <c r="BIO24" s="1472"/>
      <c r="BIP24" s="1472"/>
      <c r="BIQ24" s="1472"/>
      <c r="BIR24" s="1472"/>
      <c r="BIS24" s="1472"/>
      <c r="BIT24" s="1472"/>
      <c r="BIU24" s="1472"/>
      <c r="BIV24" s="1472"/>
      <c r="BIW24" s="1472"/>
      <c r="BIX24" s="1473"/>
      <c r="BIY24" s="1471"/>
      <c r="BIZ24" s="1472"/>
      <c r="BJA24" s="1472"/>
      <c r="BJB24" s="1472"/>
      <c r="BJC24" s="1472"/>
      <c r="BJD24" s="1472"/>
      <c r="BJE24" s="1472"/>
      <c r="BJF24" s="1472"/>
      <c r="BJG24" s="1472"/>
      <c r="BJH24" s="1472"/>
      <c r="BJI24" s="1472"/>
      <c r="BJJ24" s="1472"/>
      <c r="BJK24" s="1472"/>
      <c r="BJL24" s="1473"/>
      <c r="BJM24" s="1471"/>
      <c r="BJN24" s="1472"/>
      <c r="BJO24" s="1472"/>
      <c r="BJP24" s="1472"/>
      <c r="BJQ24" s="1472"/>
      <c r="BJR24" s="1472"/>
      <c r="BJS24" s="1472"/>
      <c r="BJT24" s="1472"/>
      <c r="BJU24" s="1472"/>
      <c r="BJV24" s="1472"/>
      <c r="BJW24" s="1472"/>
      <c r="BJX24" s="1472"/>
      <c r="BJY24" s="1472"/>
      <c r="BJZ24" s="1473"/>
      <c r="BKA24" s="1471"/>
      <c r="BKB24" s="1472"/>
      <c r="BKC24" s="1472"/>
      <c r="BKD24" s="1472"/>
      <c r="BKE24" s="1472"/>
      <c r="BKF24" s="1472"/>
      <c r="BKG24" s="1472"/>
      <c r="BKH24" s="1472"/>
      <c r="BKI24" s="1472"/>
      <c r="BKJ24" s="1472"/>
      <c r="BKK24" s="1472"/>
      <c r="BKL24" s="1472"/>
      <c r="BKM24" s="1472"/>
      <c r="BKN24" s="1473"/>
      <c r="BKO24" s="1471"/>
      <c r="BKP24" s="1472"/>
      <c r="BKQ24" s="1472"/>
      <c r="BKR24" s="1472"/>
      <c r="BKS24" s="1472"/>
      <c r="BKT24" s="1472"/>
      <c r="BKU24" s="1472"/>
      <c r="BKV24" s="1472"/>
      <c r="BKW24" s="1472"/>
      <c r="BKX24" s="1472"/>
      <c r="BKY24" s="1472"/>
      <c r="BKZ24" s="1472"/>
      <c r="BLA24" s="1472"/>
      <c r="BLB24" s="1473"/>
      <c r="BLC24" s="1471"/>
      <c r="BLD24" s="1472"/>
      <c r="BLE24" s="1472"/>
      <c r="BLF24" s="1472"/>
      <c r="BLG24" s="1472"/>
      <c r="BLH24" s="1472"/>
      <c r="BLI24" s="1472"/>
      <c r="BLJ24" s="1472"/>
      <c r="BLK24" s="1472"/>
      <c r="BLL24" s="1472"/>
      <c r="BLM24" s="1472"/>
      <c r="BLN24" s="1472"/>
      <c r="BLO24" s="1472"/>
      <c r="BLP24" s="1473"/>
      <c r="BLQ24" s="1471"/>
      <c r="BLR24" s="1472"/>
      <c r="BLS24" s="1472"/>
      <c r="BLT24" s="1472"/>
      <c r="BLU24" s="1472"/>
      <c r="BLV24" s="1472"/>
      <c r="BLW24" s="1472"/>
      <c r="BLX24" s="1472"/>
      <c r="BLY24" s="1472"/>
      <c r="BLZ24" s="1472"/>
      <c r="BMA24" s="1472"/>
      <c r="BMB24" s="1472"/>
      <c r="BMC24" s="1472"/>
      <c r="BMD24" s="1473"/>
      <c r="BME24" s="1471"/>
      <c r="BMF24" s="1472"/>
      <c r="BMG24" s="1472"/>
      <c r="BMH24" s="1472"/>
      <c r="BMI24" s="1472"/>
      <c r="BMJ24" s="1472"/>
      <c r="BMK24" s="1472"/>
      <c r="BML24" s="1472"/>
      <c r="BMM24" s="1472"/>
      <c r="BMN24" s="1472"/>
      <c r="BMO24" s="1472"/>
      <c r="BMP24" s="1472"/>
      <c r="BMQ24" s="1472"/>
      <c r="BMR24" s="1473"/>
      <c r="BMS24" s="1471"/>
      <c r="BMT24" s="1472"/>
      <c r="BMU24" s="1472"/>
      <c r="BMV24" s="1472"/>
      <c r="BMW24" s="1472"/>
      <c r="BMX24" s="1472"/>
      <c r="BMY24" s="1472"/>
      <c r="BMZ24" s="1472"/>
      <c r="BNA24" s="1472"/>
      <c r="BNB24" s="1472"/>
      <c r="BNC24" s="1472"/>
      <c r="BND24" s="1472"/>
      <c r="BNE24" s="1472"/>
      <c r="BNF24" s="1473"/>
      <c r="BNG24" s="1471"/>
      <c r="BNH24" s="1472"/>
      <c r="BNI24" s="1472"/>
      <c r="BNJ24" s="1472"/>
      <c r="BNK24" s="1472"/>
      <c r="BNL24" s="1472"/>
      <c r="BNM24" s="1472"/>
      <c r="BNN24" s="1472"/>
      <c r="BNO24" s="1472"/>
      <c r="BNP24" s="1472"/>
      <c r="BNQ24" s="1472"/>
      <c r="BNR24" s="1472"/>
      <c r="BNS24" s="1472"/>
      <c r="BNT24" s="1473"/>
      <c r="BNU24" s="1471"/>
      <c r="BNV24" s="1472"/>
      <c r="BNW24" s="1472"/>
      <c r="BNX24" s="1472"/>
      <c r="BNY24" s="1472"/>
      <c r="BNZ24" s="1472"/>
      <c r="BOA24" s="1472"/>
      <c r="BOB24" s="1472"/>
      <c r="BOC24" s="1472"/>
      <c r="BOD24" s="1472"/>
      <c r="BOE24" s="1472"/>
      <c r="BOF24" s="1472"/>
      <c r="BOG24" s="1472"/>
      <c r="BOH24" s="1473"/>
      <c r="BOI24" s="1471"/>
      <c r="BOJ24" s="1472"/>
      <c r="BOK24" s="1472"/>
      <c r="BOL24" s="1472"/>
      <c r="BOM24" s="1472"/>
      <c r="BON24" s="1472"/>
      <c r="BOO24" s="1472"/>
      <c r="BOP24" s="1472"/>
      <c r="BOQ24" s="1472"/>
      <c r="BOR24" s="1472"/>
      <c r="BOS24" s="1472"/>
      <c r="BOT24" s="1472"/>
      <c r="BOU24" s="1472"/>
      <c r="BOV24" s="1473"/>
      <c r="BOW24" s="1471"/>
      <c r="BOX24" s="1472"/>
      <c r="BOY24" s="1472"/>
      <c r="BOZ24" s="1472"/>
      <c r="BPA24" s="1472"/>
      <c r="BPB24" s="1472"/>
      <c r="BPC24" s="1472"/>
      <c r="BPD24" s="1472"/>
      <c r="BPE24" s="1472"/>
      <c r="BPF24" s="1472"/>
      <c r="BPG24" s="1472"/>
      <c r="BPH24" s="1472"/>
      <c r="BPI24" s="1472"/>
      <c r="BPJ24" s="1473"/>
      <c r="BPK24" s="1471"/>
      <c r="BPL24" s="1472"/>
      <c r="BPM24" s="1472"/>
      <c r="BPN24" s="1472"/>
      <c r="BPO24" s="1472"/>
      <c r="BPP24" s="1472"/>
      <c r="BPQ24" s="1472"/>
      <c r="BPR24" s="1472"/>
      <c r="BPS24" s="1472"/>
      <c r="BPT24" s="1472"/>
      <c r="BPU24" s="1472"/>
      <c r="BPV24" s="1472"/>
      <c r="BPW24" s="1472"/>
      <c r="BPX24" s="1473"/>
      <c r="BPY24" s="1471"/>
      <c r="BPZ24" s="1472"/>
      <c r="BQA24" s="1472"/>
      <c r="BQB24" s="1472"/>
      <c r="BQC24" s="1472"/>
      <c r="BQD24" s="1472"/>
      <c r="BQE24" s="1472"/>
      <c r="BQF24" s="1472"/>
      <c r="BQG24" s="1472"/>
      <c r="BQH24" s="1472"/>
      <c r="BQI24" s="1472"/>
      <c r="BQJ24" s="1472"/>
      <c r="BQK24" s="1472"/>
      <c r="BQL24" s="1473"/>
      <c r="BQM24" s="1471"/>
      <c r="BQN24" s="1472"/>
      <c r="BQO24" s="1472"/>
      <c r="BQP24" s="1472"/>
      <c r="BQQ24" s="1472"/>
      <c r="BQR24" s="1472"/>
      <c r="BQS24" s="1472"/>
      <c r="BQT24" s="1472"/>
      <c r="BQU24" s="1472"/>
      <c r="BQV24" s="1472"/>
      <c r="BQW24" s="1472"/>
      <c r="BQX24" s="1472"/>
      <c r="BQY24" s="1472"/>
      <c r="BQZ24" s="1473"/>
      <c r="BRA24" s="1471"/>
      <c r="BRB24" s="1472"/>
      <c r="BRC24" s="1472"/>
      <c r="BRD24" s="1472"/>
      <c r="BRE24" s="1472"/>
      <c r="BRF24" s="1472"/>
      <c r="BRG24" s="1472"/>
      <c r="BRH24" s="1472"/>
      <c r="BRI24" s="1472"/>
      <c r="BRJ24" s="1472"/>
      <c r="BRK24" s="1472"/>
      <c r="BRL24" s="1472"/>
      <c r="BRM24" s="1472"/>
      <c r="BRN24" s="1473"/>
      <c r="BRO24" s="1471"/>
      <c r="BRP24" s="1472"/>
      <c r="BRQ24" s="1472"/>
      <c r="BRR24" s="1472"/>
      <c r="BRS24" s="1472"/>
      <c r="BRT24" s="1472"/>
      <c r="BRU24" s="1472"/>
      <c r="BRV24" s="1472"/>
      <c r="BRW24" s="1472"/>
      <c r="BRX24" s="1472"/>
      <c r="BRY24" s="1472"/>
      <c r="BRZ24" s="1472"/>
      <c r="BSA24" s="1472"/>
      <c r="BSB24" s="1473"/>
      <c r="BSC24" s="1471"/>
      <c r="BSD24" s="1472"/>
      <c r="BSE24" s="1472"/>
      <c r="BSF24" s="1472"/>
      <c r="BSG24" s="1472"/>
      <c r="BSH24" s="1472"/>
      <c r="BSI24" s="1472"/>
      <c r="BSJ24" s="1472"/>
      <c r="BSK24" s="1472"/>
      <c r="BSL24" s="1472"/>
      <c r="BSM24" s="1472"/>
      <c r="BSN24" s="1472"/>
      <c r="BSO24" s="1472"/>
      <c r="BSP24" s="1473"/>
      <c r="BSQ24" s="1471"/>
      <c r="BSR24" s="1472"/>
      <c r="BSS24" s="1472"/>
      <c r="BST24" s="1472"/>
      <c r="BSU24" s="1472"/>
      <c r="BSV24" s="1472"/>
      <c r="BSW24" s="1472"/>
      <c r="BSX24" s="1472"/>
      <c r="BSY24" s="1472"/>
      <c r="BSZ24" s="1472"/>
      <c r="BTA24" s="1472"/>
      <c r="BTB24" s="1472"/>
      <c r="BTC24" s="1472"/>
      <c r="BTD24" s="1473"/>
      <c r="BTE24" s="1471"/>
      <c r="BTF24" s="1472"/>
      <c r="BTG24" s="1472"/>
      <c r="BTH24" s="1472"/>
      <c r="BTI24" s="1472"/>
      <c r="BTJ24" s="1472"/>
      <c r="BTK24" s="1472"/>
      <c r="BTL24" s="1472"/>
      <c r="BTM24" s="1472"/>
      <c r="BTN24" s="1472"/>
      <c r="BTO24" s="1472"/>
      <c r="BTP24" s="1472"/>
      <c r="BTQ24" s="1472"/>
      <c r="BTR24" s="1473"/>
      <c r="BTS24" s="1471"/>
      <c r="BTT24" s="1472"/>
      <c r="BTU24" s="1472"/>
      <c r="BTV24" s="1472"/>
      <c r="BTW24" s="1472"/>
      <c r="BTX24" s="1472"/>
      <c r="BTY24" s="1472"/>
      <c r="BTZ24" s="1472"/>
      <c r="BUA24" s="1472"/>
      <c r="BUB24" s="1472"/>
      <c r="BUC24" s="1472"/>
      <c r="BUD24" s="1472"/>
      <c r="BUE24" s="1472"/>
      <c r="BUF24" s="1473"/>
      <c r="BUG24" s="1471"/>
      <c r="BUH24" s="1472"/>
      <c r="BUI24" s="1472"/>
      <c r="BUJ24" s="1472"/>
      <c r="BUK24" s="1472"/>
      <c r="BUL24" s="1472"/>
      <c r="BUM24" s="1472"/>
      <c r="BUN24" s="1472"/>
      <c r="BUO24" s="1472"/>
      <c r="BUP24" s="1472"/>
      <c r="BUQ24" s="1472"/>
      <c r="BUR24" s="1472"/>
      <c r="BUS24" s="1472"/>
      <c r="BUT24" s="1473"/>
      <c r="BUU24" s="1471"/>
      <c r="BUV24" s="1472"/>
      <c r="BUW24" s="1472"/>
      <c r="BUX24" s="1472"/>
      <c r="BUY24" s="1472"/>
      <c r="BUZ24" s="1472"/>
      <c r="BVA24" s="1472"/>
      <c r="BVB24" s="1472"/>
      <c r="BVC24" s="1472"/>
      <c r="BVD24" s="1472"/>
      <c r="BVE24" s="1472"/>
      <c r="BVF24" s="1472"/>
      <c r="BVG24" s="1472"/>
      <c r="BVH24" s="1473"/>
      <c r="BVI24" s="1471"/>
      <c r="BVJ24" s="1472"/>
      <c r="BVK24" s="1472"/>
      <c r="BVL24" s="1472"/>
      <c r="BVM24" s="1472"/>
      <c r="BVN24" s="1472"/>
      <c r="BVO24" s="1472"/>
      <c r="BVP24" s="1472"/>
      <c r="BVQ24" s="1472"/>
      <c r="BVR24" s="1472"/>
      <c r="BVS24" s="1472"/>
      <c r="BVT24" s="1472"/>
      <c r="BVU24" s="1472"/>
      <c r="BVV24" s="1473"/>
      <c r="BVW24" s="1471"/>
      <c r="BVX24" s="1472"/>
      <c r="BVY24" s="1472"/>
      <c r="BVZ24" s="1472"/>
      <c r="BWA24" s="1472"/>
      <c r="BWB24" s="1472"/>
      <c r="BWC24" s="1472"/>
      <c r="BWD24" s="1472"/>
      <c r="BWE24" s="1472"/>
      <c r="BWF24" s="1472"/>
      <c r="BWG24" s="1472"/>
      <c r="BWH24" s="1472"/>
      <c r="BWI24" s="1472"/>
      <c r="BWJ24" s="1473"/>
      <c r="BWK24" s="1471"/>
      <c r="BWL24" s="1472"/>
      <c r="BWM24" s="1472"/>
      <c r="BWN24" s="1472"/>
      <c r="BWO24" s="1472"/>
      <c r="BWP24" s="1472"/>
      <c r="BWQ24" s="1472"/>
      <c r="BWR24" s="1472"/>
      <c r="BWS24" s="1472"/>
      <c r="BWT24" s="1472"/>
      <c r="BWU24" s="1472"/>
      <c r="BWV24" s="1472"/>
      <c r="BWW24" s="1472"/>
      <c r="BWX24" s="1473"/>
      <c r="BWY24" s="1471"/>
      <c r="BWZ24" s="1472"/>
      <c r="BXA24" s="1472"/>
      <c r="BXB24" s="1472"/>
      <c r="BXC24" s="1472"/>
      <c r="BXD24" s="1472"/>
      <c r="BXE24" s="1472"/>
      <c r="BXF24" s="1472"/>
      <c r="BXG24" s="1472"/>
      <c r="BXH24" s="1472"/>
      <c r="BXI24" s="1472"/>
      <c r="BXJ24" s="1472"/>
      <c r="BXK24" s="1472"/>
      <c r="BXL24" s="1473"/>
      <c r="BXM24" s="1471"/>
      <c r="BXN24" s="1472"/>
      <c r="BXO24" s="1472"/>
      <c r="BXP24" s="1472"/>
      <c r="BXQ24" s="1472"/>
      <c r="BXR24" s="1472"/>
      <c r="BXS24" s="1472"/>
      <c r="BXT24" s="1472"/>
      <c r="BXU24" s="1472"/>
      <c r="BXV24" s="1472"/>
      <c r="BXW24" s="1472"/>
      <c r="BXX24" s="1472"/>
      <c r="BXY24" s="1472"/>
      <c r="BXZ24" s="1473"/>
      <c r="BYA24" s="1471"/>
      <c r="BYB24" s="1472"/>
      <c r="BYC24" s="1472"/>
      <c r="BYD24" s="1472"/>
      <c r="BYE24" s="1472"/>
      <c r="BYF24" s="1472"/>
      <c r="BYG24" s="1472"/>
      <c r="BYH24" s="1472"/>
      <c r="BYI24" s="1472"/>
      <c r="BYJ24" s="1472"/>
      <c r="BYK24" s="1472"/>
      <c r="BYL24" s="1472"/>
      <c r="BYM24" s="1472"/>
      <c r="BYN24" s="1473"/>
      <c r="BYO24" s="1471"/>
      <c r="BYP24" s="1472"/>
      <c r="BYQ24" s="1472"/>
      <c r="BYR24" s="1472"/>
      <c r="BYS24" s="1472"/>
      <c r="BYT24" s="1472"/>
      <c r="BYU24" s="1472"/>
      <c r="BYV24" s="1472"/>
      <c r="BYW24" s="1472"/>
      <c r="BYX24" s="1472"/>
      <c r="BYY24" s="1472"/>
      <c r="BYZ24" s="1472"/>
      <c r="BZA24" s="1472"/>
      <c r="BZB24" s="1473"/>
      <c r="BZC24" s="1471"/>
      <c r="BZD24" s="1472"/>
      <c r="BZE24" s="1472"/>
      <c r="BZF24" s="1472"/>
      <c r="BZG24" s="1472"/>
      <c r="BZH24" s="1472"/>
      <c r="BZI24" s="1472"/>
      <c r="BZJ24" s="1472"/>
      <c r="BZK24" s="1472"/>
      <c r="BZL24" s="1472"/>
      <c r="BZM24" s="1472"/>
      <c r="BZN24" s="1472"/>
      <c r="BZO24" s="1472"/>
      <c r="BZP24" s="1473"/>
      <c r="BZQ24" s="1471"/>
      <c r="BZR24" s="1472"/>
      <c r="BZS24" s="1472"/>
      <c r="BZT24" s="1472"/>
      <c r="BZU24" s="1472"/>
      <c r="BZV24" s="1472"/>
      <c r="BZW24" s="1472"/>
      <c r="BZX24" s="1472"/>
      <c r="BZY24" s="1472"/>
      <c r="BZZ24" s="1472"/>
      <c r="CAA24" s="1472"/>
      <c r="CAB24" s="1472"/>
      <c r="CAC24" s="1472"/>
      <c r="CAD24" s="1473"/>
      <c r="CAE24" s="1471"/>
      <c r="CAF24" s="1472"/>
      <c r="CAG24" s="1472"/>
      <c r="CAH24" s="1472"/>
      <c r="CAI24" s="1472"/>
      <c r="CAJ24" s="1472"/>
      <c r="CAK24" s="1472"/>
      <c r="CAL24" s="1472"/>
      <c r="CAM24" s="1472"/>
      <c r="CAN24" s="1472"/>
      <c r="CAO24" s="1472"/>
      <c r="CAP24" s="1472"/>
      <c r="CAQ24" s="1472"/>
      <c r="CAR24" s="1473"/>
      <c r="CAS24" s="1471"/>
      <c r="CAT24" s="1472"/>
      <c r="CAU24" s="1472"/>
      <c r="CAV24" s="1472"/>
      <c r="CAW24" s="1472"/>
      <c r="CAX24" s="1472"/>
      <c r="CAY24" s="1472"/>
      <c r="CAZ24" s="1472"/>
      <c r="CBA24" s="1472"/>
      <c r="CBB24" s="1472"/>
      <c r="CBC24" s="1472"/>
      <c r="CBD24" s="1472"/>
      <c r="CBE24" s="1472"/>
      <c r="CBF24" s="1473"/>
      <c r="CBG24" s="1471"/>
      <c r="CBH24" s="1472"/>
      <c r="CBI24" s="1472"/>
      <c r="CBJ24" s="1472"/>
      <c r="CBK24" s="1472"/>
      <c r="CBL24" s="1472"/>
      <c r="CBM24" s="1472"/>
      <c r="CBN24" s="1472"/>
      <c r="CBO24" s="1472"/>
      <c r="CBP24" s="1472"/>
      <c r="CBQ24" s="1472"/>
      <c r="CBR24" s="1472"/>
      <c r="CBS24" s="1472"/>
      <c r="CBT24" s="1473"/>
      <c r="CBU24" s="1471"/>
      <c r="CBV24" s="1472"/>
      <c r="CBW24" s="1472"/>
      <c r="CBX24" s="1472"/>
      <c r="CBY24" s="1472"/>
      <c r="CBZ24" s="1472"/>
      <c r="CCA24" s="1472"/>
      <c r="CCB24" s="1472"/>
      <c r="CCC24" s="1472"/>
      <c r="CCD24" s="1472"/>
      <c r="CCE24" s="1472"/>
      <c r="CCF24" s="1472"/>
      <c r="CCG24" s="1472"/>
      <c r="CCH24" s="1473"/>
      <c r="CCI24" s="1471"/>
      <c r="CCJ24" s="1472"/>
      <c r="CCK24" s="1472"/>
      <c r="CCL24" s="1472"/>
      <c r="CCM24" s="1472"/>
      <c r="CCN24" s="1472"/>
      <c r="CCO24" s="1472"/>
      <c r="CCP24" s="1472"/>
      <c r="CCQ24" s="1472"/>
      <c r="CCR24" s="1472"/>
      <c r="CCS24" s="1472"/>
      <c r="CCT24" s="1472"/>
      <c r="CCU24" s="1472"/>
      <c r="CCV24" s="1473"/>
      <c r="CCW24" s="1471"/>
      <c r="CCX24" s="1472"/>
      <c r="CCY24" s="1472"/>
      <c r="CCZ24" s="1472"/>
      <c r="CDA24" s="1472"/>
      <c r="CDB24" s="1472"/>
      <c r="CDC24" s="1472"/>
      <c r="CDD24" s="1472"/>
      <c r="CDE24" s="1472"/>
      <c r="CDF24" s="1472"/>
      <c r="CDG24" s="1472"/>
      <c r="CDH24" s="1472"/>
      <c r="CDI24" s="1472"/>
      <c r="CDJ24" s="1473"/>
      <c r="CDK24" s="1471"/>
      <c r="CDL24" s="1472"/>
      <c r="CDM24" s="1472"/>
      <c r="CDN24" s="1472"/>
      <c r="CDO24" s="1472"/>
      <c r="CDP24" s="1472"/>
      <c r="CDQ24" s="1472"/>
      <c r="CDR24" s="1472"/>
      <c r="CDS24" s="1472"/>
      <c r="CDT24" s="1472"/>
      <c r="CDU24" s="1472"/>
      <c r="CDV24" s="1472"/>
      <c r="CDW24" s="1472"/>
      <c r="CDX24" s="1473"/>
      <c r="CDY24" s="1471"/>
      <c r="CDZ24" s="1472"/>
      <c r="CEA24" s="1472"/>
      <c r="CEB24" s="1472"/>
      <c r="CEC24" s="1472"/>
      <c r="CED24" s="1472"/>
      <c r="CEE24" s="1472"/>
      <c r="CEF24" s="1472"/>
      <c r="CEG24" s="1472"/>
      <c r="CEH24" s="1472"/>
      <c r="CEI24" s="1472"/>
      <c r="CEJ24" s="1472"/>
      <c r="CEK24" s="1472"/>
      <c r="CEL24" s="1473"/>
      <c r="CEM24" s="1471"/>
      <c r="CEN24" s="1472"/>
      <c r="CEO24" s="1472"/>
      <c r="CEP24" s="1472"/>
      <c r="CEQ24" s="1472"/>
      <c r="CER24" s="1472"/>
      <c r="CES24" s="1472"/>
      <c r="CET24" s="1472"/>
      <c r="CEU24" s="1472"/>
      <c r="CEV24" s="1472"/>
      <c r="CEW24" s="1472"/>
      <c r="CEX24" s="1472"/>
      <c r="CEY24" s="1472"/>
      <c r="CEZ24" s="1473"/>
      <c r="CFA24" s="1471"/>
      <c r="CFB24" s="1472"/>
      <c r="CFC24" s="1472"/>
      <c r="CFD24" s="1472"/>
      <c r="CFE24" s="1472"/>
      <c r="CFF24" s="1472"/>
      <c r="CFG24" s="1472"/>
      <c r="CFH24" s="1472"/>
      <c r="CFI24" s="1472"/>
      <c r="CFJ24" s="1472"/>
      <c r="CFK24" s="1472"/>
      <c r="CFL24" s="1472"/>
      <c r="CFM24" s="1472"/>
      <c r="CFN24" s="1473"/>
      <c r="CFO24" s="1471"/>
      <c r="CFP24" s="1472"/>
      <c r="CFQ24" s="1472"/>
      <c r="CFR24" s="1472"/>
      <c r="CFS24" s="1472"/>
      <c r="CFT24" s="1472"/>
      <c r="CFU24" s="1472"/>
      <c r="CFV24" s="1472"/>
      <c r="CFW24" s="1472"/>
      <c r="CFX24" s="1472"/>
      <c r="CFY24" s="1472"/>
      <c r="CFZ24" s="1472"/>
      <c r="CGA24" s="1472"/>
      <c r="CGB24" s="1473"/>
      <c r="CGC24" s="1471"/>
      <c r="CGD24" s="1472"/>
      <c r="CGE24" s="1472"/>
      <c r="CGF24" s="1472"/>
      <c r="CGG24" s="1472"/>
      <c r="CGH24" s="1472"/>
      <c r="CGI24" s="1472"/>
      <c r="CGJ24" s="1472"/>
      <c r="CGK24" s="1472"/>
      <c r="CGL24" s="1472"/>
      <c r="CGM24" s="1472"/>
      <c r="CGN24" s="1472"/>
      <c r="CGO24" s="1472"/>
      <c r="CGP24" s="1473"/>
      <c r="CGQ24" s="1471"/>
      <c r="CGR24" s="1472"/>
      <c r="CGS24" s="1472"/>
      <c r="CGT24" s="1472"/>
      <c r="CGU24" s="1472"/>
      <c r="CGV24" s="1472"/>
      <c r="CGW24" s="1472"/>
      <c r="CGX24" s="1472"/>
      <c r="CGY24" s="1472"/>
      <c r="CGZ24" s="1472"/>
      <c r="CHA24" s="1472"/>
      <c r="CHB24" s="1472"/>
      <c r="CHC24" s="1472"/>
      <c r="CHD24" s="1473"/>
      <c r="CHE24" s="1471"/>
      <c r="CHF24" s="1472"/>
      <c r="CHG24" s="1472"/>
      <c r="CHH24" s="1472"/>
      <c r="CHI24" s="1472"/>
      <c r="CHJ24" s="1472"/>
      <c r="CHK24" s="1472"/>
      <c r="CHL24" s="1472"/>
      <c r="CHM24" s="1472"/>
      <c r="CHN24" s="1472"/>
      <c r="CHO24" s="1472"/>
      <c r="CHP24" s="1472"/>
      <c r="CHQ24" s="1472"/>
      <c r="CHR24" s="1473"/>
      <c r="CHS24" s="1471"/>
      <c r="CHT24" s="1472"/>
      <c r="CHU24" s="1472"/>
      <c r="CHV24" s="1472"/>
      <c r="CHW24" s="1472"/>
      <c r="CHX24" s="1472"/>
      <c r="CHY24" s="1472"/>
      <c r="CHZ24" s="1472"/>
      <c r="CIA24" s="1472"/>
      <c r="CIB24" s="1472"/>
      <c r="CIC24" s="1472"/>
      <c r="CID24" s="1472"/>
      <c r="CIE24" s="1472"/>
      <c r="CIF24" s="1473"/>
      <c r="CIG24" s="1471"/>
      <c r="CIH24" s="1472"/>
      <c r="CII24" s="1472"/>
      <c r="CIJ24" s="1472"/>
      <c r="CIK24" s="1472"/>
      <c r="CIL24" s="1472"/>
      <c r="CIM24" s="1472"/>
      <c r="CIN24" s="1472"/>
      <c r="CIO24" s="1472"/>
      <c r="CIP24" s="1472"/>
      <c r="CIQ24" s="1472"/>
      <c r="CIR24" s="1472"/>
      <c r="CIS24" s="1472"/>
      <c r="CIT24" s="1473"/>
      <c r="CIU24" s="1471"/>
      <c r="CIV24" s="1472"/>
      <c r="CIW24" s="1472"/>
      <c r="CIX24" s="1472"/>
      <c r="CIY24" s="1472"/>
      <c r="CIZ24" s="1472"/>
      <c r="CJA24" s="1472"/>
      <c r="CJB24" s="1472"/>
      <c r="CJC24" s="1472"/>
      <c r="CJD24" s="1472"/>
      <c r="CJE24" s="1472"/>
      <c r="CJF24" s="1472"/>
      <c r="CJG24" s="1472"/>
      <c r="CJH24" s="1473"/>
      <c r="CJI24" s="1471"/>
      <c r="CJJ24" s="1472"/>
      <c r="CJK24" s="1472"/>
      <c r="CJL24" s="1472"/>
      <c r="CJM24" s="1472"/>
      <c r="CJN24" s="1472"/>
      <c r="CJO24" s="1472"/>
      <c r="CJP24" s="1472"/>
      <c r="CJQ24" s="1472"/>
      <c r="CJR24" s="1472"/>
      <c r="CJS24" s="1472"/>
      <c r="CJT24" s="1472"/>
      <c r="CJU24" s="1472"/>
      <c r="CJV24" s="1473"/>
      <c r="CJW24" s="1471"/>
      <c r="CJX24" s="1472"/>
      <c r="CJY24" s="1472"/>
      <c r="CJZ24" s="1472"/>
      <c r="CKA24" s="1472"/>
      <c r="CKB24" s="1472"/>
      <c r="CKC24" s="1472"/>
      <c r="CKD24" s="1472"/>
      <c r="CKE24" s="1472"/>
      <c r="CKF24" s="1472"/>
      <c r="CKG24" s="1472"/>
      <c r="CKH24" s="1472"/>
      <c r="CKI24" s="1472"/>
      <c r="CKJ24" s="1473"/>
      <c r="CKK24" s="1471"/>
      <c r="CKL24" s="1472"/>
      <c r="CKM24" s="1472"/>
      <c r="CKN24" s="1472"/>
      <c r="CKO24" s="1472"/>
      <c r="CKP24" s="1472"/>
      <c r="CKQ24" s="1472"/>
      <c r="CKR24" s="1472"/>
      <c r="CKS24" s="1472"/>
      <c r="CKT24" s="1472"/>
      <c r="CKU24" s="1472"/>
      <c r="CKV24" s="1472"/>
      <c r="CKW24" s="1472"/>
      <c r="CKX24" s="1473"/>
      <c r="CKY24" s="1471"/>
      <c r="CKZ24" s="1472"/>
      <c r="CLA24" s="1472"/>
      <c r="CLB24" s="1472"/>
      <c r="CLC24" s="1472"/>
      <c r="CLD24" s="1472"/>
      <c r="CLE24" s="1472"/>
      <c r="CLF24" s="1472"/>
      <c r="CLG24" s="1472"/>
      <c r="CLH24" s="1472"/>
      <c r="CLI24" s="1472"/>
      <c r="CLJ24" s="1472"/>
      <c r="CLK24" s="1472"/>
      <c r="CLL24" s="1473"/>
      <c r="CLM24" s="1471"/>
      <c r="CLN24" s="1472"/>
      <c r="CLO24" s="1472"/>
      <c r="CLP24" s="1472"/>
      <c r="CLQ24" s="1472"/>
      <c r="CLR24" s="1472"/>
      <c r="CLS24" s="1472"/>
      <c r="CLT24" s="1472"/>
      <c r="CLU24" s="1472"/>
      <c r="CLV24" s="1472"/>
      <c r="CLW24" s="1472"/>
      <c r="CLX24" s="1472"/>
      <c r="CLY24" s="1472"/>
      <c r="CLZ24" s="1473"/>
      <c r="CMA24" s="1471"/>
      <c r="CMB24" s="1472"/>
      <c r="CMC24" s="1472"/>
      <c r="CMD24" s="1472"/>
      <c r="CME24" s="1472"/>
      <c r="CMF24" s="1472"/>
      <c r="CMG24" s="1472"/>
      <c r="CMH24" s="1472"/>
      <c r="CMI24" s="1472"/>
      <c r="CMJ24" s="1472"/>
      <c r="CMK24" s="1472"/>
      <c r="CML24" s="1472"/>
      <c r="CMM24" s="1472"/>
      <c r="CMN24" s="1473"/>
      <c r="CMO24" s="1471"/>
      <c r="CMP24" s="1472"/>
      <c r="CMQ24" s="1472"/>
      <c r="CMR24" s="1472"/>
      <c r="CMS24" s="1472"/>
      <c r="CMT24" s="1472"/>
      <c r="CMU24" s="1472"/>
      <c r="CMV24" s="1472"/>
      <c r="CMW24" s="1472"/>
      <c r="CMX24" s="1472"/>
      <c r="CMY24" s="1472"/>
      <c r="CMZ24" s="1472"/>
      <c r="CNA24" s="1472"/>
      <c r="CNB24" s="1473"/>
      <c r="CNC24" s="1471"/>
      <c r="CND24" s="1472"/>
      <c r="CNE24" s="1472"/>
      <c r="CNF24" s="1472"/>
      <c r="CNG24" s="1472"/>
      <c r="CNH24" s="1472"/>
      <c r="CNI24" s="1472"/>
      <c r="CNJ24" s="1472"/>
      <c r="CNK24" s="1472"/>
      <c r="CNL24" s="1472"/>
      <c r="CNM24" s="1472"/>
      <c r="CNN24" s="1472"/>
      <c r="CNO24" s="1472"/>
      <c r="CNP24" s="1473"/>
      <c r="CNQ24" s="1471"/>
      <c r="CNR24" s="1472"/>
      <c r="CNS24" s="1472"/>
      <c r="CNT24" s="1472"/>
      <c r="CNU24" s="1472"/>
      <c r="CNV24" s="1472"/>
      <c r="CNW24" s="1472"/>
      <c r="CNX24" s="1472"/>
      <c r="CNY24" s="1472"/>
      <c r="CNZ24" s="1472"/>
      <c r="COA24" s="1472"/>
      <c r="COB24" s="1472"/>
      <c r="COC24" s="1472"/>
      <c r="COD24" s="1473"/>
      <c r="COE24" s="1471"/>
      <c r="COF24" s="1472"/>
      <c r="COG24" s="1472"/>
      <c r="COH24" s="1472"/>
      <c r="COI24" s="1472"/>
      <c r="COJ24" s="1472"/>
      <c r="COK24" s="1472"/>
      <c r="COL24" s="1472"/>
      <c r="COM24" s="1472"/>
      <c r="CON24" s="1472"/>
      <c r="COO24" s="1472"/>
      <c r="COP24" s="1472"/>
      <c r="COQ24" s="1472"/>
      <c r="COR24" s="1473"/>
      <c r="COS24" s="1471"/>
      <c r="COT24" s="1472"/>
      <c r="COU24" s="1472"/>
      <c r="COV24" s="1472"/>
      <c r="COW24" s="1472"/>
      <c r="COX24" s="1472"/>
      <c r="COY24" s="1472"/>
      <c r="COZ24" s="1472"/>
      <c r="CPA24" s="1472"/>
      <c r="CPB24" s="1472"/>
      <c r="CPC24" s="1472"/>
      <c r="CPD24" s="1472"/>
      <c r="CPE24" s="1472"/>
      <c r="CPF24" s="1473"/>
      <c r="CPG24" s="1471"/>
      <c r="CPH24" s="1472"/>
      <c r="CPI24" s="1472"/>
      <c r="CPJ24" s="1472"/>
      <c r="CPK24" s="1472"/>
      <c r="CPL24" s="1472"/>
      <c r="CPM24" s="1472"/>
      <c r="CPN24" s="1472"/>
      <c r="CPO24" s="1472"/>
      <c r="CPP24" s="1472"/>
      <c r="CPQ24" s="1472"/>
      <c r="CPR24" s="1472"/>
      <c r="CPS24" s="1472"/>
      <c r="CPT24" s="1473"/>
      <c r="CPU24" s="1471"/>
      <c r="CPV24" s="1472"/>
      <c r="CPW24" s="1472"/>
      <c r="CPX24" s="1472"/>
      <c r="CPY24" s="1472"/>
      <c r="CPZ24" s="1472"/>
      <c r="CQA24" s="1472"/>
      <c r="CQB24" s="1472"/>
      <c r="CQC24" s="1472"/>
      <c r="CQD24" s="1472"/>
      <c r="CQE24" s="1472"/>
      <c r="CQF24" s="1472"/>
      <c r="CQG24" s="1472"/>
      <c r="CQH24" s="1473"/>
      <c r="CQI24" s="1471"/>
      <c r="CQJ24" s="1472"/>
      <c r="CQK24" s="1472"/>
      <c r="CQL24" s="1472"/>
      <c r="CQM24" s="1472"/>
      <c r="CQN24" s="1472"/>
      <c r="CQO24" s="1472"/>
      <c r="CQP24" s="1472"/>
      <c r="CQQ24" s="1472"/>
      <c r="CQR24" s="1472"/>
      <c r="CQS24" s="1472"/>
      <c r="CQT24" s="1472"/>
      <c r="CQU24" s="1472"/>
      <c r="CQV24" s="1473"/>
      <c r="CQW24" s="1471"/>
      <c r="CQX24" s="1472"/>
      <c r="CQY24" s="1472"/>
      <c r="CQZ24" s="1472"/>
      <c r="CRA24" s="1472"/>
      <c r="CRB24" s="1472"/>
      <c r="CRC24" s="1472"/>
      <c r="CRD24" s="1472"/>
      <c r="CRE24" s="1472"/>
      <c r="CRF24" s="1472"/>
      <c r="CRG24" s="1472"/>
      <c r="CRH24" s="1472"/>
      <c r="CRI24" s="1472"/>
      <c r="CRJ24" s="1473"/>
      <c r="CRK24" s="1471"/>
      <c r="CRL24" s="1472"/>
      <c r="CRM24" s="1472"/>
      <c r="CRN24" s="1472"/>
      <c r="CRO24" s="1472"/>
      <c r="CRP24" s="1472"/>
      <c r="CRQ24" s="1472"/>
      <c r="CRR24" s="1472"/>
      <c r="CRS24" s="1472"/>
      <c r="CRT24" s="1472"/>
      <c r="CRU24" s="1472"/>
      <c r="CRV24" s="1472"/>
      <c r="CRW24" s="1472"/>
      <c r="CRX24" s="1473"/>
      <c r="CRY24" s="1471"/>
      <c r="CRZ24" s="1472"/>
      <c r="CSA24" s="1472"/>
      <c r="CSB24" s="1472"/>
      <c r="CSC24" s="1472"/>
      <c r="CSD24" s="1472"/>
      <c r="CSE24" s="1472"/>
      <c r="CSF24" s="1472"/>
      <c r="CSG24" s="1472"/>
      <c r="CSH24" s="1472"/>
      <c r="CSI24" s="1472"/>
      <c r="CSJ24" s="1472"/>
      <c r="CSK24" s="1472"/>
      <c r="CSL24" s="1473"/>
      <c r="CSM24" s="1471"/>
      <c r="CSN24" s="1472"/>
      <c r="CSO24" s="1472"/>
      <c r="CSP24" s="1472"/>
      <c r="CSQ24" s="1472"/>
      <c r="CSR24" s="1472"/>
      <c r="CSS24" s="1472"/>
      <c r="CST24" s="1472"/>
      <c r="CSU24" s="1472"/>
      <c r="CSV24" s="1472"/>
      <c r="CSW24" s="1472"/>
      <c r="CSX24" s="1472"/>
      <c r="CSY24" s="1472"/>
      <c r="CSZ24" s="1473"/>
      <c r="CTA24" s="1471"/>
      <c r="CTB24" s="1472"/>
      <c r="CTC24" s="1472"/>
      <c r="CTD24" s="1472"/>
      <c r="CTE24" s="1472"/>
      <c r="CTF24" s="1472"/>
      <c r="CTG24" s="1472"/>
      <c r="CTH24" s="1472"/>
      <c r="CTI24" s="1472"/>
      <c r="CTJ24" s="1472"/>
      <c r="CTK24" s="1472"/>
      <c r="CTL24" s="1472"/>
      <c r="CTM24" s="1472"/>
      <c r="CTN24" s="1473"/>
      <c r="CTO24" s="1471"/>
      <c r="CTP24" s="1472"/>
      <c r="CTQ24" s="1472"/>
      <c r="CTR24" s="1472"/>
      <c r="CTS24" s="1472"/>
      <c r="CTT24" s="1472"/>
      <c r="CTU24" s="1472"/>
      <c r="CTV24" s="1472"/>
      <c r="CTW24" s="1472"/>
      <c r="CTX24" s="1472"/>
      <c r="CTY24" s="1472"/>
      <c r="CTZ24" s="1472"/>
      <c r="CUA24" s="1472"/>
      <c r="CUB24" s="1473"/>
      <c r="CUC24" s="1471"/>
      <c r="CUD24" s="1472"/>
      <c r="CUE24" s="1472"/>
      <c r="CUF24" s="1472"/>
      <c r="CUG24" s="1472"/>
      <c r="CUH24" s="1472"/>
      <c r="CUI24" s="1472"/>
      <c r="CUJ24" s="1472"/>
      <c r="CUK24" s="1472"/>
      <c r="CUL24" s="1472"/>
      <c r="CUM24" s="1472"/>
      <c r="CUN24" s="1472"/>
      <c r="CUO24" s="1472"/>
      <c r="CUP24" s="1473"/>
      <c r="CUQ24" s="1471"/>
      <c r="CUR24" s="1472"/>
      <c r="CUS24" s="1472"/>
      <c r="CUT24" s="1472"/>
      <c r="CUU24" s="1472"/>
      <c r="CUV24" s="1472"/>
      <c r="CUW24" s="1472"/>
      <c r="CUX24" s="1472"/>
      <c r="CUY24" s="1472"/>
      <c r="CUZ24" s="1472"/>
      <c r="CVA24" s="1472"/>
      <c r="CVB24" s="1472"/>
      <c r="CVC24" s="1472"/>
      <c r="CVD24" s="1473"/>
      <c r="CVE24" s="1471"/>
      <c r="CVF24" s="1472"/>
      <c r="CVG24" s="1472"/>
      <c r="CVH24" s="1472"/>
      <c r="CVI24" s="1472"/>
      <c r="CVJ24" s="1472"/>
      <c r="CVK24" s="1472"/>
      <c r="CVL24" s="1472"/>
      <c r="CVM24" s="1472"/>
      <c r="CVN24" s="1472"/>
      <c r="CVO24" s="1472"/>
      <c r="CVP24" s="1472"/>
      <c r="CVQ24" s="1472"/>
      <c r="CVR24" s="1473"/>
      <c r="CVS24" s="1471"/>
      <c r="CVT24" s="1472"/>
      <c r="CVU24" s="1472"/>
      <c r="CVV24" s="1472"/>
      <c r="CVW24" s="1472"/>
      <c r="CVX24" s="1472"/>
      <c r="CVY24" s="1472"/>
      <c r="CVZ24" s="1472"/>
      <c r="CWA24" s="1472"/>
      <c r="CWB24" s="1472"/>
      <c r="CWC24" s="1472"/>
      <c r="CWD24" s="1472"/>
      <c r="CWE24" s="1472"/>
      <c r="CWF24" s="1473"/>
      <c r="CWG24" s="1471"/>
      <c r="CWH24" s="1472"/>
      <c r="CWI24" s="1472"/>
      <c r="CWJ24" s="1472"/>
      <c r="CWK24" s="1472"/>
      <c r="CWL24" s="1472"/>
      <c r="CWM24" s="1472"/>
      <c r="CWN24" s="1472"/>
      <c r="CWO24" s="1472"/>
      <c r="CWP24" s="1472"/>
      <c r="CWQ24" s="1472"/>
      <c r="CWR24" s="1472"/>
      <c r="CWS24" s="1472"/>
      <c r="CWT24" s="1473"/>
      <c r="CWU24" s="1471"/>
      <c r="CWV24" s="1472"/>
      <c r="CWW24" s="1472"/>
      <c r="CWX24" s="1472"/>
      <c r="CWY24" s="1472"/>
      <c r="CWZ24" s="1472"/>
      <c r="CXA24" s="1472"/>
      <c r="CXB24" s="1472"/>
      <c r="CXC24" s="1472"/>
      <c r="CXD24" s="1472"/>
      <c r="CXE24" s="1472"/>
      <c r="CXF24" s="1472"/>
      <c r="CXG24" s="1472"/>
      <c r="CXH24" s="1473"/>
      <c r="CXI24" s="1471"/>
      <c r="CXJ24" s="1472"/>
      <c r="CXK24" s="1472"/>
      <c r="CXL24" s="1472"/>
      <c r="CXM24" s="1472"/>
      <c r="CXN24" s="1472"/>
      <c r="CXO24" s="1472"/>
      <c r="CXP24" s="1472"/>
      <c r="CXQ24" s="1472"/>
      <c r="CXR24" s="1472"/>
      <c r="CXS24" s="1472"/>
      <c r="CXT24" s="1472"/>
      <c r="CXU24" s="1472"/>
      <c r="CXV24" s="1473"/>
      <c r="CXW24" s="1471"/>
      <c r="CXX24" s="1472"/>
      <c r="CXY24" s="1472"/>
      <c r="CXZ24" s="1472"/>
      <c r="CYA24" s="1472"/>
      <c r="CYB24" s="1472"/>
      <c r="CYC24" s="1472"/>
      <c r="CYD24" s="1472"/>
      <c r="CYE24" s="1472"/>
      <c r="CYF24" s="1472"/>
      <c r="CYG24" s="1472"/>
      <c r="CYH24" s="1472"/>
      <c r="CYI24" s="1472"/>
      <c r="CYJ24" s="1473"/>
      <c r="CYK24" s="1471"/>
      <c r="CYL24" s="1472"/>
      <c r="CYM24" s="1472"/>
      <c r="CYN24" s="1472"/>
      <c r="CYO24" s="1472"/>
      <c r="CYP24" s="1472"/>
      <c r="CYQ24" s="1472"/>
      <c r="CYR24" s="1472"/>
      <c r="CYS24" s="1472"/>
      <c r="CYT24" s="1472"/>
      <c r="CYU24" s="1472"/>
      <c r="CYV24" s="1472"/>
      <c r="CYW24" s="1472"/>
      <c r="CYX24" s="1473"/>
      <c r="CYY24" s="1471"/>
      <c r="CYZ24" s="1472"/>
      <c r="CZA24" s="1472"/>
      <c r="CZB24" s="1472"/>
      <c r="CZC24" s="1472"/>
      <c r="CZD24" s="1472"/>
      <c r="CZE24" s="1472"/>
      <c r="CZF24" s="1472"/>
      <c r="CZG24" s="1472"/>
      <c r="CZH24" s="1472"/>
      <c r="CZI24" s="1472"/>
      <c r="CZJ24" s="1472"/>
      <c r="CZK24" s="1472"/>
      <c r="CZL24" s="1473"/>
      <c r="CZM24" s="1471"/>
      <c r="CZN24" s="1472"/>
      <c r="CZO24" s="1472"/>
      <c r="CZP24" s="1472"/>
      <c r="CZQ24" s="1472"/>
      <c r="CZR24" s="1472"/>
      <c r="CZS24" s="1472"/>
      <c r="CZT24" s="1472"/>
      <c r="CZU24" s="1472"/>
      <c r="CZV24" s="1472"/>
      <c r="CZW24" s="1472"/>
      <c r="CZX24" s="1472"/>
      <c r="CZY24" s="1472"/>
      <c r="CZZ24" s="1473"/>
      <c r="DAA24" s="1471"/>
      <c r="DAB24" s="1472"/>
      <c r="DAC24" s="1472"/>
      <c r="DAD24" s="1472"/>
      <c r="DAE24" s="1472"/>
      <c r="DAF24" s="1472"/>
      <c r="DAG24" s="1472"/>
      <c r="DAH24" s="1472"/>
      <c r="DAI24" s="1472"/>
      <c r="DAJ24" s="1472"/>
      <c r="DAK24" s="1472"/>
      <c r="DAL24" s="1472"/>
      <c r="DAM24" s="1472"/>
      <c r="DAN24" s="1473"/>
      <c r="DAO24" s="1471"/>
      <c r="DAP24" s="1472"/>
      <c r="DAQ24" s="1472"/>
      <c r="DAR24" s="1472"/>
      <c r="DAS24" s="1472"/>
      <c r="DAT24" s="1472"/>
      <c r="DAU24" s="1472"/>
      <c r="DAV24" s="1472"/>
      <c r="DAW24" s="1472"/>
      <c r="DAX24" s="1472"/>
      <c r="DAY24" s="1472"/>
      <c r="DAZ24" s="1472"/>
      <c r="DBA24" s="1472"/>
      <c r="DBB24" s="1473"/>
      <c r="DBC24" s="1471"/>
      <c r="DBD24" s="1472"/>
      <c r="DBE24" s="1472"/>
      <c r="DBF24" s="1472"/>
      <c r="DBG24" s="1472"/>
      <c r="DBH24" s="1472"/>
      <c r="DBI24" s="1472"/>
      <c r="DBJ24" s="1472"/>
      <c r="DBK24" s="1472"/>
      <c r="DBL24" s="1472"/>
      <c r="DBM24" s="1472"/>
      <c r="DBN24" s="1472"/>
      <c r="DBO24" s="1472"/>
      <c r="DBP24" s="1473"/>
      <c r="DBQ24" s="1471"/>
      <c r="DBR24" s="1472"/>
      <c r="DBS24" s="1472"/>
      <c r="DBT24" s="1472"/>
      <c r="DBU24" s="1472"/>
      <c r="DBV24" s="1472"/>
      <c r="DBW24" s="1472"/>
      <c r="DBX24" s="1472"/>
      <c r="DBY24" s="1472"/>
      <c r="DBZ24" s="1472"/>
      <c r="DCA24" s="1472"/>
      <c r="DCB24" s="1472"/>
      <c r="DCC24" s="1472"/>
      <c r="DCD24" s="1473"/>
      <c r="DCE24" s="1471"/>
      <c r="DCF24" s="1472"/>
      <c r="DCG24" s="1472"/>
      <c r="DCH24" s="1472"/>
      <c r="DCI24" s="1472"/>
      <c r="DCJ24" s="1472"/>
      <c r="DCK24" s="1472"/>
      <c r="DCL24" s="1472"/>
      <c r="DCM24" s="1472"/>
      <c r="DCN24" s="1472"/>
      <c r="DCO24" s="1472"/>
      <c r="DCP24" s="1472"/>
      <c r="DCQ24" s="1472"/>
      <c r="DCR24" s="1473"/>
      <c r="DCS24" s="1471"/>
      <c r="DCT24" s="1472"/>
      <c r="DCU24" s="1472"/>
      <c r="DCV24" s="1472"/>
      <c r="DCW24" s="1472"/>
      <c r="DCX24" s="1472"/>
      <c r="DCY24" s="1472"/>
      <c r="DCZ24" s="1472"/>
      <c r="DDA24" s="1472"/>
      <c r="DDB24" s="1472"/>
      <c r="DDC24" s="1472"/>
      <c r="DDD24" s="1472"/>
      <c r="DDE24" s="1472"/>
      <c r="DDF24" s="1473"/>
      <c r="DDG24" s="1471"/>
      <c r="DDH24" s="1472"/>
      <c r="DDI24" s="1472"/>
      <c r="DDJ24" s="1472"/>
      <c r="DDK24" s="1472"/>
      <c r="DDL24" s="1472"/>
      <c r="DDM24" s="1472"/>
      <c r="DDN24" s="1472"/>
      <c r="DDO24" s="1472"/>
      <c r="DDP24" s="1472"/>
      <c r="DDQ24" s="1472"/>
      <c r="DDR24" s="1472"/>
      <c r="DDS24" s="1472"/>
      <c r="DDT24" s="1473"/>
      <c r="DDU24" s="1471"/>
      <c r="DDV24" s="1472"/>
      <c r="DDW24" s="1472"/>
      <c r="DDX24" s="1472"/>
      <c r="DDY24" s="1472"/>
      <c r="DDZ24" s="1472"/>
      <c r="DEA24" s="1472"/>
      <c r="DEB24" s="1472"/>
      <c r="DEC24" s="1472"/>
      <c r="DED24" s="1472"/>
      <c r="DEE24" s="1472"/>
      <c r="DEF24" s="1472"/>
      <c r="DEG24" s="1472"/>
      <c r="DEH24" s="1473"/>
      <c r="DEI24" s="1471"/>
      <c r="DEJ24" s="1472"/>
      <c r="DEK24" s="1472"/>
      <c r="DEL24" s="1472"/>
      <c r="DEM24" s="1472"/>
      <c r="DEN24" s="1472"/>
      <c r="DEO24" s="1472"/>
      <c r="DEP24" s="1472"/>
      <c r="DEQ24" s="1472"/>
      <c r="DER24" s="1472"/>
      <c r="DES24" s="1472"/>
      <c r="DET24" s="1472"/>
      <c r="DEU24" s="1472"/>
      <c r="DEV24" s="1473"/>
      <c r="DEW24" s="1471"/>
      <c r="DEX24" s="1472"/>
      <c r="DEY24" s="1472"/>
      <c r="DEZ24" s="1472"/>
      <c r="DFA24" s="1472"/>
      <c r="DFB24" s="1472"/>
      <c r="DFC24" s="1472"/>
      <c r="DFD24" s="1472"/>
      <c r="DFE24" s="1472"/>
      <c r="DFF24" s="1472"/>
      <c r="DFG24" s="1472"/>
      <c r="DFH24" s="1472"/>
      <c r="DFI24" s="1472"/>
      <c r="DFJ24" s="1473"/>
      <c r="DFK24" s="1471"/>
      <c r="DFL24" s="1472"/>
      <c r="DFM24" s="1472"/>
      <c r="DFN24" s="1472"/>
      <c r="DFO24" s="1472"/>
      <c r="DFP24" s="1472"/>
      <c r="DFQ24" s="1472"/>
      <c r="DFR24" s="1472"/>
      <c r="DFS24" s="1472"/>
      <c r="DFT24" s="1472"/>
      <c r="DFU24" s="1472"/>
      <c r="DFV24" s="1472"/>
      <c r="DFW24" s="1472"/>
      <c r="DFX24" s="1473"/>
      <c r="DFY24" s="1471"/>
      <c r="DFZ24" s="1472"/>
      <c r="DGA24" s="1472"/>
      <c r="DGB24" s="1472"/>
      <c r="DGC24" s="1472"/>
      <c r="DGD24" s="1472"/>
      <c r="DGE24" s="1472"/>
      <c r="DGF24" s="1472"/>
      <c r="DGG24" s="1472"/>
      <c r="DGH24" s="1472"/>
      <c r="DGI24" s="1472"/>
      <c r="DGJ24" s="1472"/>
      <c r="DGK24" s="1472"/>
      <c r="DGL24" s="1473"/>
      <c r="DGM24" s="1471"/>
      <c r="DGN24" s="1472"/>
      <c r="DGO24" s="1472"/>
      <c r="DGP24" s="1472"/>
      <c r="DGQ24" s="1472"/>
      <c r="DGR24" s="1472"/>
      <c r="DGS24" s="1472"/>
      <c r="DGT24" s="1472"/>
      <c r="DGU24" s="1472"/>
      <c r="DGV24" s="1472"/>
      <c r="DGW24" s="1472"/>
      <c r="DGX24" s="1472"/>
      <c r="DGY24" s="1472"/>
      <c r="DGZ24" s="1473"/>
      <c r="DHA24" s="1471"/>
      <c r="DHB24" s="1472"/>
      <c r="DHC24" s="1472"/>
      <c r="DHD24" s="1472"/>
      <c r="DHE24" s="1472"/>
      <c r="DHF24" s="1472"/>
      <c r="DHG24" s="1472"/>
      <c r="DHH24" s="1472"/>
      <c r="DHI24" s="1472"/>
      <c r="DHJ24" s="1472"/>
      <c r="DHK24" s="1472"/>
      <c r="DHL24" s="1472"/>
      <c r="DHM24" s="1472"/>
      <c r="DHN24" s="1473"/>
      <c r="DHO24" s="1471"/>
      <c r="DHP24" s="1472"/>
      <c r="DHQ24" s="1472"/>
      <c r="DHR24" s="1472"/>
      <c r="DHS24" s="1472"/>
      <c r="DHT24" s="1472"/>
      <c r="DHU24" s="1472"/>
      <c r="DHV24" s="1472"/>
      <c r="DHW24" s="1472"/>
      <c r="DHX24" s="1472"/>
      <c r="DHY24" s="1472"/>
      <c r="DHZ24" s="1472"/>
      <c r="DIA24" s="1472"/>
      <c r="DIB24" s="1473"/>
      <c r="DIC24" s="1471"/>
      <c r="DID24" s="1472"/>
      <c r="DIE24" s="1472"/>
      <c r="DIF24" s="1472"/>
      <c r="DIG24" s="1472"/>
      <c r="DIH24" s="1472"/>
      <c r="DII24" s="1472"/>
      <c r="DIJ24" s="1472"/>
      <c r="DIK24" s="1472"/>
      <c r="DIL24" s="1472"/>
      <c r="DIM24" s="1472"/>
      <c r="DIN24" s="1472"/>
      <c r="DIO24" s="1472"/>
      <c r="DIP24" s="1473"/>
      <c r="DIQ24" s="1471"/>
      <c r="DIR24" s="1472"/>
      <c r="DIS24" s="1472"/>
      <c r="DIT24" s="1472"/>
      <c r="DIU24" s="1472"/>
      <c r="DIV24" s="1472"/>
      <c r="DIW24" s="1472"/>
      <c r="DIX24" s="1472"/>
      <c r="DIY24" s="1472"/>
      <c r="DIZ24" s="1472"/>
      <c r="DJA24" s="1472"/>
      <c r="DJB24" s="1472"/>
      <c r="DJC24" s="1472"/>
      <c r="DJD24" s="1473"/>
      <c r="DJE24" s="1471"/>
      <c r="DJF24" s="1472"/>
      <c r="DJG24" s="1472"/>
      <c r="DJH24" s="1472"/>
      <c r="DJI24" s="1472"/>
      <c r="DJJ24" s="1472"/>
      <c r="DJK24" s="1472"/>
      <c r="DJL24" s="1472"/>
      <c r="DJM24" s="1472"/>
      <c r="DJN24" s="1472"/>
      <c r="DJO24" s="1472"/>
      <c r="DJP24" s="1472"/>
      <c r="DJQ24" s="1472"/>
      <c r="DJR24" s="1473"/>
      <c r="DJS24" s="1471"/>
      <c r="DJT24" s="1472"/>
      <c r="DJU24" s="1472"/>
      <c r="DJV24" s="1472"/>
      <c r="DJW24" s="1472"/>
      <c r="DJX24" s="1472"/>
      <c r="DJY24" s="1472"/>
      <c r="DJZ24" s="1472"/>
      <c r="DKA24" s="1472"/>
      <c r="DKB24" s="1472"/>
      <c r="DKC24" s="1472"/>
      <c r="DKD24" s="1472"/>
      <c r="DKE24" s="1472"/>
      <c r="DKF24" s="1473"/>
      <c r="DKG24" s="1471"/>
      <c r="DKH24" s="1472"/>
      <c r="DKI24" s="1472"/>
      <c r="DKJ24" s="1472"/>
      <c r="DKK24" s="1472"/>
      <c r="DKL24" s="1472"/>
      <c r="DKM24" s="1472"/>
      <c r="DKN24" s="1472"/>
      <c r="DKO24" s="1472"/>
      <c r="DKP24" s="1472"/>
      <c r="DKQ24" s="1472"/>
      <c r="DKR24" s="1472"/>
      <c r="DKS24" s="1472"/>
      <c r="DKT24" s="1473"/>
      <c r="DKU24" s="1471"/>
      <c r="DKV24" s="1472"/>
      <c r="DKW24" s="1472"/>
      <c r="DKX24" s="1472"/>
      <c r="DKY24" s="1472"/>
      <c r="DKZ24" s="1472"/>
      <c r="DLA24" s="1472"/>
      <c r="DLB24" s="1472"/>
      <c r="DLC24" s="1472"/>
      <c r="DLD24" s="1472"/>
      <c r="DLE24" s="1472"/>
      <c r="DLF24" s="1472"/>
      <c r="DLG24" s="1472"/>
      <c r="DLH24" s="1473"/>
      <c r="DLI24" s="1471"/>
      <c r="DLJ24" s="1472"/>
      <c r="DLK24" s="1472"/>
      <c r="DLL24" s="1472"/>
      <c r="DLM24" s="1472"/>
      <c r="DLN24" s="1472"/>
      <c r="DLO24" s="1472"/>
      <c r="DLP24" s="1472"/>
      <c r="DLQ24" s="1472"/>
      <c r="DLR24" s="1472"/>
      <c r="DLS24" s="1472"/>
      <c r="DLT24" s="1472"/>
      <c r="DLU24" s="1472"/>
      <c r="DLV24" s="1473"/>
      <c r="DLW24" s="1471"/>
      <c r="DLX24" s="1472"/>
      <c r="DLY24" s="1472"/>
      <c r="DLZ24" s="1472"/>
      <c r="DMA24" s="1472"/>
      <c r="DMB24" s="1472"/>
      <c r="DMC24" s="1472"/>
      <c r="DMD24" s="1472"/>
      <c r="DME24" s="1472"/>
      <c r="DMF24" s="1472"/>
      <c r="DMG24" s="1472"/>
      <c r="DMH24" s="1472"/>
      <c r="DMI24" s="1472"/>
      <c r="DMJ24" s="1473"/>
      <c r="DMK24" s="1471"/>
      <c r="DML24" s="1472"/>
      <c r="DMM24" s="1472"/>
      <c r="DMN24" s="1472"/>
      <c r="DMO24" s="1472"/>
      <c r="DMP24" s="1472"/>
      <c r="DMQ24" s="1472"/>
      <c r="DMR24" s="1472"/>
      <c r="DMS24" s="1472"/>
      <c r="DMT24" s="1472"/>
      <c r="DMU24" s="1472"/>
      <c r="DMV24" s="1472"/>
      <c r="DMW24" s="1472"/>
      <c r="DMX24" s="1473"/>
      <c r="DMY24" s="1471"/>
      <c r="DMZ24" s="1472"/>
      <c r="DNA24" s="1472"/>
      <c r="DNB24" s="1472"/>
      <c r="DNC24" s="1472"/>
      <c r="DND24" s="1472"/>
      <c r="DNE24" s="1472"/>
      <c r="DNF24" s="1472"/>
      <c r="DNG24" s="1472"/>
      <c r="DNH24" s="1472"/>
      <c r="DNI24" s="1472"/>
      <c r="DNJ24" s="1472"/>
      <c r="DNK24" s="1472"/>
      <c r="DNL24" s="1473"/>
      <c r="DNM24" s="1471"/>
      <c r="DNN24" s="1472"/>
      <c r="DNO24" s="1472"/>
      <c r="DNP24" s="1472"/>
      <c r="DNQ24" s="1472"/>
      <c r="DNR24" s="1472"/>
      <c r="DNS24" s="1472"/>
      <c r="DNT24" s="1472"/>
      <c r="DNU24" s="1472"/>
      <c r="DNV24" s="1472"/>
      <c r="DNW24" s="1472"/>
      <c r="DNX24" s="1472"/>
      <c r="DNY24" s="1472"/>
      <c r="DNZ24" s="1473"/>
      <c r="DOA24" s="1471"/>
      <c r="DOB24" s="1472"/>
      <c r="DOC24" s="1472"/>
      <c r="DOD24" s="1472"/>
      <c r="DOE24" s="1472"/>
      <c r="DOF24" s="1472"/>
      <c r="DOG24" s="1472"/>
      <c r="DOH24" s="1472"/>
      <c r="DOI24" s="1472"/>
      <c r="DOJ24" s="1472"/>
      <c r="DOK24" s="1472"/>
      <c r="DOL24" s="1472"/>
      <c r="DOM24" s="1472"/>
      <c r="DON24" s="1473"/>
      <c r="DOO24" s="1471"/>
      <c r="DOP24" s="1472"/>
      <c r="DOQ24" s="1472"/>
      <c r="DOR24" s="1472"/>
      <c r="DOS24" s="1472"/>
      <c r="DOT24" s="1472"/>
      <c r="DOU24" s="1472"/>
      <c r="DOV24" s="1472"/>
      <c r="DOW24" s="1472"/>
      <c r="DOX24" s="1472"/>
      <c r="DOY24" s="1472"/>
      <c r="DOZ24" s="1472"/>
      <c r="DPA24" s="1472"/>
      <c r="DPB24" s="1473"/>
      <c r="DPC24" s="1471"/>
      <c r="DPD24" s="1472"/>
      <c r="DPE24" s="1472"/>
      <c r="DPF24" s="1472"/>
      <c r="DPG24" s="1472"/>
      <c r="DPH24" s="1472"/>
      <c r="DPI24" s="1472"/>
      <c r="DPJ24" s="1472"/>
      <c r="DPK24" s="1472"/>
      <c r="DPL24" s="1472"/>
      <c r="DPM24" s="1472"/>
      <c r="DPN24" s="1472"/>
      <c r="DPO24" s="1472"/>
      <c r="DPP24" s="1473"/>
      <c r="DPQ24" s="1471"/>
      <c r="DPR24" s="1472"/>
      <c r="DPS24" s="1472"/>
      <c r="DPT24" s="1472"/>
      <c r="DPU24" s="1472"/>
      <c r="DPV24" s="1472"/>
      <c r="DPW24" s="1472"/>
      <c r="DPX24" s="1472"/>
      <c r="DPY24" s="1472"/>
      <c r="DPZ24" s="1472"/>
      <c r="DQA24" s="1472"/>
      <c r="DQB24" s="1472"/>
      <c r="DQC24" s="1472"/>
      <c r="DQD24" s="1473"/>
      <c r="DQE24" s="1471"/>
      <c r="DQF24" s="1472"/>
      <c r="DQG24" s="1472"/>
      <c r="DQH24" s="1472"/>
      <c r="DQI24" s="1472"/>
      <c r="DQJ24" s="1472"/>
      <c r="DQK24" s="1472"/>
      <c r="DQL24" s="1472"/>
      <c r="DQM24" s="1472"/>
      <c r="DQN24" s="1472"/>
      <c r="DQO24" s="1472"/>
      <c r="DQP24" s="1472"/>
      <c r="DQQ24" s="1472"/>
      <c r="DQR24" s="1473"/>
      <c r="DQS24" s="1471"/>
      <c r="DQT24" s="1472"/>
      <c r="DQU24" s="1472"/>
      <c r="DQV24" s="1472"/>
      <c r="DQW24" s="1472"/>
      <c r="DQX24" s="1472"/>
      <c r="DQY24" s="1472"/>
      <c r="DQZ24" s="1472"/>
      <c r="DRA24" s="1472"/>
      <c r="DRB24" s="1472"/>
      <c r="DRC24" s="1472"/>
      <c r="DRD24" s="1472"/>
      <c r="DRE24" s="1472"/>
      <c r="DRF24" s="1473"/>
      <c r="DRG24" s="1471"/>
      <c r="DRH24" s="1472"/>
      <c r="DRI24" s="1472"/>
      <c r="DRJ24" s="1472"/>
      <c r="DRK24" s="1472"/>
      <c r="DRL24" s="1472"/>
      <c r="DRM24" s="1472"/>
      <c r="DRN24" s="1472"/>
      <c r="DRO24" s="1472"/>
      <c r="DRP24" s="1472"/>
      <c r="DRQ24" s="1472"/>
      <c r="DRR24" s="1472"/>
      <c r="DRS24" s="1472"/>
      <c r="DRT24" s="1473"/>
      <c r="DRU24" s="1471"/>
      <c r="DRV24" s="1472"/>
      <c r="DRW24" s="1472"/>
      <c r="DRX24" s="1472"/>
      <c r="DRY24" s="1472"/>
      <c r="DRZ24" s="1472"/>
      <c r="DSA24" s="1472"/>
      <c r="DSB24" s="1472"/>
      <c r="DSC24" s="1472"/>
      <c r="DSD24" s="1472"/>
      <c r="DSE24" s="1472"/>
      <c r="DSF24" s="1472"/>
      <c r="DSG24" s="1472"/>
      <c r="DSH24" s="1473"/>
      <c r="DSI24" s="1471"/>
      <c r="DSJ24" s="1472"/>
      <c r="DSK24" s="1472"/>
      <c r="DSL24" s="1472"/>
      <c r="DSM24" s="1472"/>
      <c r="DSN24" s="1472"/>
      <c r="DSO24" s="1472"/>
      <c r="DSP24" s="1472"/>
      <c r="DSQ24" s="1472"/>
      <c r="DSR24" s="1472"/>
      <c r="DSS24" s="1472"/>
      <c r="DST24" s="1472"/>
      <c r="DSU24" s="1472"/>
      <c r="DSV24" s="1473"/>
      <c r="DSW24" s="1471"/>
      <c r="DSX24" s="1472"/>
      <c r="DSY24" s="1472"/>
      <c r="DSZ24" s="1472"/>
      <c r="DTA24" s="1472"/>
      <c r="DTB24" s="1472"/>
      <c r="DTC24" s="1472"/>
      <c r="DTD24" s="1472"/>
      <c r="DTE24" s="1472"/>
      <c r="DTF24" s="1472"/>
      <c r="DTG24" s="1472"/>
      <c r="DTH24" s="1472"/>
      <c r="DTI24" s="1472"/>
      <c r="DTJ24" s="1473"/>
      <c r="DTK24" s="1471"/>
      <c r="DTL24" s="1472"/>
      <c r="DTM24" s="1472"/>
      <c r="DTN24" s="1472"/>
      <c r="DTO24" s="1472"/>
      <c r="DTP24" s="1472"/>
      <c r="DTQ24" s="1472"/>
      <c r="DTR24" s="1472"/>
      <c r="DTS24" s="1472"/>
      <c r="DTT24" s="1472"/>
      <c r="DTU24" s="1472"/>
      <c r="DTV24" s="1472"/>
      <c r="DTW24" s="1472"/>
      <c r="DTX24" s="1473"/>
      <c r="DTY24" s="1471"/>
      <c r="DTZ24" s="1472"/>
      <c r="DUA24" s="1472"/>
      <c r="DUB24" s="1472"/>
      <c r="DUC24" s="1472"/>
      <c r="DUD24" s="1472"/>
      <c r="DUE24" s="1472"/>
      <c r="DUF24" s="1472"/>
      <c r="DUG24" s="1472"/>
      <c r="DUH24" s="1472"/>
      <c r="DUI24" s="1472"/>
      <c r="DUJ24" s="1472"/>
      <c r="DUK24" s="1472"/>
      <c r="DUL24" s="1473"/>
      <c r="DUM24" s="1471"/>
      <c r="DUN24" s="1472"/>
      <c r="DUO24" s="1472"/>
      <c r="DUP24" s="1472"/>
      <c r="DUQ24" s="1472"/>
      <c r="DUR24" s="1472"/>
      <c r="DUS24" s="1472"/>
      <c r="DUT24" s="1472"/>
      <c r="DUU24" s="1472"/>
      <c r="DUV24" s="1472"/>
      <c r="DUW24" s="1472"/>
      <c r="DUX24" s="1472"/>
      <c r="DUY24" s="1472"/>
      <c r="DUZ24" s="1473"/>
      <c r="DVA24" s="1471"/>
      <c r="DVB24" s="1472"/>
      <c r="DVC24" s="1472"/>
      <c r="DVD24" s="1472"/>
      <c r="DVE24" s="1472"/>
      <c r="DVF24" s="1472"/>
      <c r="DVG24" s="1472"/>
      <c r="DVH24" s="1472"/>
      <c r="DVI24" s="1472"/>
      <c r="DVJ24" s="1472"/>
      <c r="DVK24" s="1472"/>
      <c r="DVL24" s="1472"/>
      <c r="DVM24" s="1472"/>
      <c r="DVN24" s="1473"/>
      <c r="DVO24" s="1471"/>
      <c r="DVP24" s="1472"/>
      <c r="DVQ24" s="1472"/>
      <c r="DVR24" s="1472"/>
      <c r="DVS24" s="1472"/>
      <c r="DVT24" s="1472"/>
      <c r="DVU24" s="1472"/>
      <c r="DVV24" s="1472"/>
      <c r="DVW24" s="1472"/>
      <c r="DVX24" s="1472"/>
      <c r="DVY24" s="1472"/>
      <c r="DVZ24" s="1472"/>
      <c r="DWA24" s="1472"/>
      <c r="DWB24" s="1473"/>
      <c r="DWC24" s="1471"/>
      <c r="DWD24" s="1472"/>
      <c r="DWE24" s="1472"/>
      <c r="DWF24" s="1472"/>
      <c r="DWG24" s="1472"/>
      <c r="DWH24" s="1472"/>
      <c r="DWI24" s="1472"/>
      <c r="DWJ24" s="1472"/>
      <c r="DWK24" s="1472"/>
      <c r="DWL24" s="1472"/>
      <c r="DWM24" s="1472"/>
      <c r="DWN24" s="1472"/>
      <c r="DWO24" s="1472"/>
      <c r="DWP24" s="1473"/>
      <c r="DWQ24" s="1471"/>
      <c r="DWR24" s="1472"/>
      <c r="DWS24" s="1472"/>
      <c r="DWT24" s="1472"/>
      <c r="DWU24" s="1472"/>
      <c r="DWV24" s="1472"/>
      <c r="DWW24" s="1472"/>
      <c r="DWX24" s="1472"/>
      <c r="DWY24" s="1472"/>
      <c r="DWZ24" s="1472"/>
      <c r="DXA24" s="1472"/>
      <c r="DXB24" s="1472"/>
      <c r="DXC24" s="1472"/>
      <c r="DXD24" s="1473"/>
      <c r="DXE24" s="1471"/>
      <c r="DXF24" s="1472"/>
      <c r="DXG24" s="1472"/>
      <c r="DXH24" s="1472"/>
      <c r="DXI24" s="1472"/>
      <c r="DXJ24" s="1472"/>
      <c r="DXK24" s="1472"/>
      <c r="DXL24" s="1472"/>
      <c r="DXM24" s="1472"/>
      <c r="DXN24" s="1472"/>
      <c r="DXO24" s="1472"/>
      <c r="DXP24" s="1472"/>
      <c r="DXQ24" s="1472"/>
      <c r="DXR24" s="1473"/>
      <c r="DXS24" s="1471"/>
      <c r="DXT24" s="1472"/>
      <c r="DXU24" s="1472"/>
      <c r="DXV24" s="1472"/>
      <c r="DXW24" s="1472"/>
      <c r="DXX24" s="1472"/>
      <c r="DXY24" s="1472"/>
      <c r="DXZ24" s="1472"/>
      <c r="DYA24" s="1472"/>
      <c r="DYB24" s="1472"/>
      <c r="DYC24" s="1472"/>
      <c r="DYD24" s="1472"/>
      <c r="DYE24" s="1472"/>
      <c r="DYF24" s="1473"/>
      <c r="DYG24" s="1471"/>
      <c r="DYH24" s="1472"/>
      <c r="DYI24" s="1472"/>
      <c r="DYJ24" s="1472"/>
      <c r="DYK24" s="1472"/>
      <c r="DYL24" s="1472"/>
      <c r="DYM24" s="1472"/>
      <c r="DYN24" s="1472"/>
      <c r="DYO24" s="1472"/>
      <c r="DYP24" s="1472"/>
      <c r="DYQ24" s="1472"/>
      <c r="DYR24" s="1472"/>
      <c r="DYS24" s="1472"/>
      <c r="DYT24" s="1473"/>
      <c r="DYU24" s="1471"/>
      <c r="DYV24" s="1472"/>
      <c r="DYW24" s="1472"/>
      <c r="DYX24" s="1472"/>
      <c r="DYY24" s="1472"/>
      <c r="DYZ24" s="1472"/>
      <c r="DZA24" s="1472"/>
      <c r="DZB24" s="1472"/>
      <c r="DZC24" s="1472"/>
      <c r="DZD24" s="1472"/>
      <c r="DZE24" s="1472"/>
      <c r="DZF24" s="1472"/>
      <c r="DZG24" s="1472"/>
      <c r="DZH24" s="1473"/>
      <c r="DZI24" s="1471"/>
      <c r="DZJ24" s="1472"/>
      <c r="DZK24" s="1472"/>
      <c r="DZL24" s="1472"/>
      <c r="DZM24" s="1472"/>
      <c r="DZN24" s="1472"/>
      <c r="DZO24" s="1472"/>
      <c r="DZP24" s="1472"/>
      <c r="DZQ24" s="1472"/>
      <c r="DZR24" s="1472"/>
      <c r="DZS24" s="1472"/>
      <c r="DZT24" s="1472"/>
      <c r="DZU24" s="1472"/>
      <c r="DZV24" s="1473"/>
      <c r="DZW24" s="1471"/>
      <c r="DZX24" s="1472"/>
      <c r="DZY24" s="1472"/>
      <c r="DZZ24" s="1472"/>
      <c r="EAA24" s="1472"/>
      <c r="EAB24" s="1472"/>
      <c r="EAC24" s="1472"/>
      <c r="EAD24" s="1472"/>
      <c r="EAE24" s="1472"/>
      <c r="EAF24" s="1472"/>
      <c r="EAG24" s="1472"/>
      <c r="EAH24" s="1472"/>
      <c r="EAI24" s="1472"/>
      <c r="EAJ24" s="1473"/>
      <c r="EAK24" s="1471"/>
      <c r="EAL24" s="1472"/>
      <c r="EAM24" s="1472"/>
      <c r="EAN24" s="1472"/>
      <c r="EAO24" s="1472"/>
      <c r="EAP24" s="1472"/>
      <c r="EAQ24" s="1472"/>
      <c r="EAR24" s="1472"/>
      <c r="EAS24" s="1472"/>
      <c r="EAT24" s="1472"/>
      <c r="EAU24" s="1472"/>
      <c r="EAV24" s="1472"/>
      <c r="EAW24" s="1472"/>
      <c r="EAX24" s="1473"/>
      <c r="EAY24" s="1471"/>
      <c r="EAZ24" s="1472"/>
      <c r="EBA24" s="1472"/>
      <c r="EBB24" s="1472"/>
      <c r="EBC24" s="1472"/>
      <c r="EBD24" s="1472"/>
      <c r="EBE24" s="1472"/>
      <c r="EBF24" s="1472"/>
      <c r="EBG24" s="1472"/>
      <c r="EBH24" s="1472"/>
      <c r="EBI24" s="1472"/>
      <c r="EBJ24" s="1472"/>
      <c r="EBK24" s="1472"/>
      <c r="EBL24" s="1473"/>
      <c r="EBM24" s="1471"/>
      <c r="EBN24" s="1472"/>
      <c r="EBO24" s="1472"/>
      <c r="EBP24" s="1472"/>
      <c r="EBQ24" s="1472"/>
      <c r="EBR24" s="1472"/>
      <c r="EBS24" s="1472"/>
      <c r="EBT24" s="1472"/>
      <c r="EBU24" s="1472"/>
      <c r="EBV24" s="1472"/>
      <c r="EBW24" s="1472"/>
      <c r="EBX24" s="1472"/>
      <c r="EBY24" s="1472"/>
      <c r="EBZ24" s="1473"/>
      <c r="ECA24" s="1471"/>
      <c r="ECB24" s="1472"/>
      <c r="ECC24" s="1472"/>
      <c r="ECD24" s="1472"/>
      <c r="ECE24" s="1472"/>
      <c r="ECF24" s="1472"/>
      <c r="ECG24" s="1472"/>
      <c r="ECH24" s="1472"/>
      <c r="ECI24" s="1472"/>
      <c r="ECJ24" s="1472"/>
      <c r="ECK24" s="1472"/>
      <c r="ECL24" s="1472"/>
      <c r="ECM24" s="1472"/>
      <c r="ECN24" s="1473"/>
      <c r="ECO24" s="1471"/>
      <c r="ECP24" s="1472"/>
      <c r="ECQ24" s="1472"/>
      <c r="ECR24" s="1472"/>
      <c r="ECS24" s="1472"/>
      <c r="ECT24" s="1472"/>
      <c r="ECU24" s="1472"/>
      <c r="ECV24" s="1472"/>
      <c r="ECW24" s="1472"/>
      <c r="ECX24" s="1472"/>
      <c r="ECY24" s="1472"/>
      <c r="ECZ24" s="1472"/>
      <c r="EDA24" s="1472"/>
      <c r="EDB24" s="1473"/>
      <c r="EDC24" s="1471"/>
      <c r="EDD24" s="1472"/>
      <c r="EDE24" s="1472"/>
      <c r="EDF24" s="1472"/>
      <c r="EDG24" s="1472"/>
      <c r="EDH24" s="1472"/>
      <c r="EDI24" s="1472"/>
      <c r="EDJ24" s="1472"/>
      <c r="EDK24" s="1472"/>
      <c r="EDL24" s="1472"/>
      <c r="EDM24" s="1472"/>
      <c r="EDN24" s="1472"/>
      <c r="EDO24" s="1472"/>
      <c r="EDP24" s="1473"/>
      <c r="EDQ24" s="1471"/>
      <c r="EDR24" s="1472"/>
      <c r="EDS24" s="1472"/>
      <c r="EDT24" s="1472"/>
      <c r="EDU24" s="1472"/>
      <c r="EDV24" s="1472"/>
      <c r="EDW24" s="1472"/>
      <c r="EDX24" s="1472"/>
      <c r="EDY24" s="1472"/>
      <c r="EDZ24" s="1472"/>
      <c r="EEA24" s="1472"/>
      <c r="EEB24" s="1472"/>
      <c r="EEC24" s="1472"/>
      <c r="EED24" s="1473"/>
      <c r="EEE24" s="1471"/>
      <c r="EEF24" s="1472"/>
      <c r="EEG24" s="1472"/>
      <c r="EEH24" s="1472"/>
      <c r="EEI24" s="1472"/>
      <c r="EEJ24" s="1472"/>
      <c r="EEK24" s="1472"/>
      <c r="EEL24" s="1472"/>
      <c r="EEM24" s="1472"/>
      <c r="EEN24" s="1472"/>
      <c r="EEO24" s="1472"/>
      <c r="EEP24" s="1472"/>
      <c r="EEQ24" s="1472"/>
      <c r="EER24" s="1473"/>
      <c r="EES24" s="1471"/>
      <c r="EET24" s="1472"/>
      <c r="EEU24" s="1472"/>
      <c r="EEV24" s="1472"/>
      <c r="EEW24" s="1472"/>
      <c r="EEX24" s="1472"/>
      <c r="EEY24" s="1472"/>
      <c r="EEZ24" s="1472"/>
      <c r="EFA24" s="1472"/>
      <c r="EFB24" s="1472"/>
      <c r="EFC24" s="1472"/>
      <c r="EFD24" s="1472"/>
      <c r="EFE24" s="1472"/>
      <c r="EFF24" s="1473"/>
      <c r="EFG24" s="1471"/>
      <c r="EFH24" s="1472"/>
      <c r="EFI24" s="1472"/>
      <c r="EFJ24" s="1472"/>
      <c r="EFK24" s="1472"/>
      <c r="EFL24" s="1472"/>
      <c r="EFM24" s="1472"/>
      <c r="EFN24" s="1472"/>
      <c r="EFO24" s="1472"/>
      <c r="EFP24" s="1472"/>
      <c r="EFQ24" s="1472"/>
      <c r="EFR24" s="1472"/>
      <c r="EFS24" s="1472"/>
      <c r="EFT24" s="1473"/>
      <c r="EFU24" s="1471"/>
      <c r="EFV24" s="1472"/>
      <c r="EFW24" s="1472"/>
      <c r="EFX24" s="1472"/>
      <c r="EFY24" s="1472"/>
      <c r="EFZ24" s="1472"/>
      <c r="EGA24" s="1472"/>
      <c r="EGB24" s="1472"/>
      <c r="EGC24" s="1472"/>
      <c r="EGD24" s="1472"/>
      <c r="EGE24" s="1472"/>
      <c r="EGF24" s="1472"/>
      <c r="EGG24" s="1472"/>
      <c r="EGH24" s="1473"/>
      <c r="EGI24" s="1471"/>
      <c r="EGJ24" s="1472"/>
      <c r="EGK24" s="1472"/>
      <c r="EGL24" s="1472"/>
      <c r="EGM24" s="1472"/>
      <c r="EGN24" s="1472"/>
      <c r="EGO24" s="1472"/>
      <c r="EGP24" s="1472"/>
      <c r="EGQ24" s="1472"/>
      <c r="EGR24" s="1472"/>
      <c r="EGS24" s="1472"/>
      <c r="EGT24" s="1472"/>
      <c r="EGU24" s="1472"/>
      <c r="EGV24" s="1473"/>
      <c r="EGW24" s="1471"/>
      <c r="EGX24" s="1472"/>
      <c r="EGY24" s="1472"/>
      <c r="EGZ24" s="1472"/>
      <c r="EHA24" s="1472"/>
      <c r="EHB24" s="1472"/>
      <c r="EHC24" s="1472"/>
      <c r="EHD24" s="1472"/>
      <c r="EHE24" s="1472"/>
      <c r="EHF24" s="1472"/>
      <c r="EHG24" s="1472"/>
      <c r="EHH24" s="1472"/>
      <c r="EHI24" s="1472"/>
      <c r="EHJ24" s="1473"/>
      <c r="EHK24" s="1471"/>
      <c r="EHL24" s="1472"/>
      <c r="EHM24" s="1472"/>
      <c r="EHN24" s="1472"/>
      <c r="EHO24" s="1472"/>
      <c r="EHP24" s="1472"/>
      <c r="EHQ24" s="1472"/>
      <c r="EHR24" s="1472"/>
      <c r="EHS24" s="1472"/>
      <c r="EHT24" s="1472"/>
      <c r="EHU24" s="1472"/>
      <c r="EHV24" s="1472"/>
      <c r="EHW24" s="1472"/>
      <c r="EHX24" s="1473"/>
      <c r="EHY24" s="1471"/>
      <c r="EHZ24" s="1472"/>
      <c r="EIA24" s="1472"/>
      <c r="EIB24" s="1472"/>
      <c r="EIC24" s="1472"/>
      <c r="EID24" s="1472"/>
      <c r="EIE24" s="1472"/>
      <c r="EIF24" s="1472"/>
      <c r="EIG24" s="1472"/>
      <c r="EIH24" s="1472"/>
      <c r="EII24" s="1472"/>
      <c r="EIJ24" s="1472"/>
      <c r="EIK24" s="1472"/>
      <c r="EIL24" s="1473"/>
      <c r="EIM24" s="1471"/>
      <c r="EIN24" s="1472"/>
      <c r="EIO24" s="1472"/>
      <c r="EIP24" s="1472"/>
      <c r="EIQ24" s="1472"/>
      <c r="EIR24" s="1472"/>
      <c r="EIS24" s="1472"/>
      <c r="EIT24" s="1472"/>
      <c r="EIU24" s="1472"/>
      <c r="EIV24" s="1472"/>
      <c r="EIW24" s="1472"/>
      <c r="EIX24" s="1472"/>
      <c r="EIY24" s="1472"/>
      <c r="EIZ24" s="1473"/>
      <c r="EJA24" s="1471"/>
      <c r="EJB24" s="1472"/>
      <c r="EJC24" s="1472"/>
      <c r="EJD24" s="1472"/>
      <c r="EJE24" s="1472"/>
      <c r="EJF24" s="1472"/>
      <c r="EJG24" s="1472"/>
      <c r="EJH24" s="1472"/>
      <c r="EJI24" s="1472"/>
      <c r="EJJ24" s="1472"/>
      <c r="EJK24" s="1472"/>
      <c r="EJL24" s="1472"/>
      <c r="EJM24" s="1472"/>
      <c r="EJN24" s="1473"/>
      <c r="EJO24" s="1471"/>
      <c r="EJP24" s="1472"/>
      <c r="EJQ24" s="1472"/>
      <c r="EJR24" s="1472"/>
      <c r="EJS24" s="1472"/>
      <c r="EJT24" s="1472"/>
      <c r="EJU24" s="1472"/>
      <c r="EJV24" s="1472"/>
      <c r="EJW24" s="1472"/>
      <c r="EJX24" s="1472"/>
      <c r="EJY24" s="1472"/>
      <c r="EJZ24" s="1472"/>
      <c r="EKA24" s="1472"/>
      <c r="EKB24" s="1473"/>
      <c r="EKC24" s="1471"/>
      <c r="EKD24" s="1472"/>
      <c r="EKE24" s="1472"/>
      <c r="EKF24" s="1472"/>
      <c r="EKG24" s="1472"/>
      <c r="EKH24" s="1472"/>
      <c r="EKI24" s="1472"/>
      <c r="EKJ24" s="1472"/>
      <c r="EKK24" s="1472"/>
      <c r="EKL24" s="1472"/>
      <c r="EKM24" s="1472"/>
      <c r="EKN24" s="1472"/>
      <c r="EKO24" s="1472"/>
      <c r="EKP24" s="1473"/>
      <c r="EKQ24" s="1471"/>
      <c r="EKR24" s="1472"/>
      <c r="EKS24" s="1472"/>
      <c r="EKT24" s="1472"/>
      <c r="EKU24" s="1472"/>
      <c r="EKV24" s="1472"/>
      <c r="EKW24" s="1472"/>
      <c r="EKX24" s="1472"/>
      <c r="EKY24" s="1472"/>
      <c r="EKZ24" s="1472"/>
      <c r="ELA24" s="1472"/>
      <c r="ELB24" s="1472"/>
      <c r="ELC24" s="1472"/>
      <c r="ELD24" s="1473"/>
      <c r="ELE24" s="1471"/>
      <c r="ELF24" s="1472"/>
      <c r="ELG24" s="1472"/>
      <c r="ELH24" s="1472"/>
      <c r="ELI24" s="1472"/>
      <c r="ELJ24" s="1472"/>
      <c r="ELK24" s="1472"/>
      <c r="ELL24" s="1472"/>
      <c r="ELM24" s="1472"/>
      <c r="ELN24" s="1472"/>
      <c r="ELO24" s="1472"/>
      <c r="ELP24" s="1472"/>
      <c r="ELQ24" s="1472"/>
      <c r="ELR24" s="1473"/>
      <c r="ELS24" s="1471"/>
      <c r="ELT24" s="1472"/>
      <c r="ELU24" s="1472"/>
      <c r="ELV24" s="1472"/>
      <c r="ELW24" s="1472"/>
      <c r="ELX24" s="1472"/>
      <c r="ELY24" s="1472"/>
      <c r="ELZ24" s="1472"/>
      <c r="EMA24" s="1472"/>
      <c r="EMB24" s="1472"/>
      <c r="EMC24" s="1472"/>
      <c r="EMD24" s="1472"/>
      <c r="EME24" s="1472"/>
      <c r="EMF24" s="1473"/>
      <c r="EMG24" s="1471"/>
      <c r="EMH24" s="1472"/>
      <c r="EMI24" s="1472"/>
      <c r="EMJ24" s="1472"/>
      <c r="EMK24" s="1472"/>
      <c r="EML24" s="1472"/>
      <c r="EMM24" s="1472"/>
      <c r="EMN24" s="1472"/>
      <c r="EMO24" s="1472"/>
      <c r="EMP24" s="1472"/>
      <c r="EMQ24" s="1472"/>
      <c r="EMR24" s="1472"/>
      <c r="EMS24" s="1472"/>
      <c r="EMT24" s="1473"/>
      <c r="EMU24" s="1471"/>
      <c r="EMV24" s="1472"/>
      <c r="EMW24" s="1472"/>
      <c r="EMX24" s="1472"/>
      <c r="EMY24" s="1472"/>
      <c r="EMZ24" s="1472"/>
      <c r="ENA24" s="1472"/>
      <c r="ENB24" s="1472"/>
      <c r="ENC24" s="1472"/>
      <c r="END24" s="1472"/>
      <c r="ENE24" s="1472"/>
      <c r="ENF24" s="1472"/>
      <c r="ENG24" s="1472"/>
      <c r="ENH24" s="1473"/>
      <c r="ENI24" s="1471"/>
      <c r="ENJ24" s="1472"/>
      <c r="ENK24" s="1472"/>
      <c r="ENL24" s="1472"/>
      <c r="ENM24" s="1472"/>
      <c r="ENN24" s="1472"/>
      <c r="ENO24" s="1472"/>
      <c r="ENP24" s="1472"/>
      <c r="ENQ24" s="1472"/>
      <c r="ENR24" s="1472"/>
      <c r="ENS24" s="1472"/>
      <c r="ENT24" s="1472"/>
      <c r="ENU24" s="1472"/>
      <c r="ENV24" s="1473"/>
      <c r="ENW24" s="1471"/>
      <c r="ENX24" s="1472"/>
      <c r="ENY24" s="1472"/>
      <c r="ENZ24" s="1472"/>
      <c r="EOA24" s="1472"/>
      <c r="EOB24" s="1472"/>
      <c r="EOC24" s="1472"/>
      <c r="EOD24" s="1472"/>
      <c r="EOE24" s="1472"/>
      <c r="EOF24" s="1472"/>
      <c r="EOG24" s="1472"/>
      <c r="EOH24" s="1472"/>
      <c r="EOI24" s="1472"/>
      <c r="EOJ24" s="1473"/>
      <c r="EOK24" s="1471"/>
      <c r="EOL24" s="1472"/>
      <c r="EOM24" s="1472"/>
      <c r="EON24" s="1472"/>
      <c r="EOO24" s="1472"/>
      <c r="EOP24" s="1472"/>
      <c r="EOQ24" s="1472"/>
      <c r="EOR24" s="1472"/>
      <c r="EOS24" s="1472"/>
      <c r="EOT24" s="1472"/>
      <c r="EOU24" s="1472"/>
      <c r="EOV24" s="1472"/>
      <c r="EOW24" s="1472"/>
      <c r="EOX24" s="1473"/>
      <c r="EOY24" s="1471"/>
      <c r="EOZ24" s="1472"/>
      <c r="EPA24" s="1472"/>
      <c r="EPB24" s="1472"/>
      <c r="EPC24" s="1472"/>
      <c r="EPD24" s="1472"/>
      <c r="EPE24" s="1472"/>
      <c r="EPF24" s="1472"/>
      <c r="EPG24" s="1472"/>
      <c r="EPH24" s="1472"/>
      <c r="EPI24" s="1472"/>
      <c r="EPJ24" s="1472"/>
      <c r="EPK24" s="1472"/>
      <c r="EPL24" s="1473"/>
      <c r="EPM24" s="1471"/>
      <c r="EPN24" s="1472"/>
      <c r="EPO24" s="1472"/>
      <c r="EPP24" s="1472"/>
      <c r="EPQ24" s="1472"/>
      <c r="EPR24" s="1472"/>
      <c r="EPS24" s="1472"/>
      <c r="EPT24" s="1472"/>
      <c r="EPU24" s="1472"/>
      <c r="EPV24" s="1472"/>
      <c r="EPW24" s="1472"/>
      <c r="EPX24" s="1472"/>
      <c r="EPY24" s="1472"/>
      <c r="EPZ24" s="1473"/>
      <c r="EQA24" s="1471"/>
      <c r="EQB24" s="1472"/>
      <c r="EQC24" s="1472"/>
      <c r="EQD24" s="1472"/>
      <c r="EQE24" s="1472"/>
      <c r="EQF24" s="1472"/>
      <c r="EQG24" s="1472"/>
      <c r="EQH24" s="1472"/>
      <c r="EQI24" s="1472"/>
      <c r="EQJ24" s="1472"/>
      <c r="EQK24" s="1472"/>
      <c r="EQL24" s="1472"/>
      <c r="EQM24" s="1472"/>
      <c r="EQN24" s="1473"/>
      <c r="EQO24" s="1471"/>
      <c r="EQP24" s="1472"/>
      <c r="EQQ24" s="1472"/>
      <c r="EQR24" s="1472"/>
      <c r="EQS24" s="1472"/>
      <c r="EQT24" s="1472"/>
      <c r="EQU24" s="1472"/>
      <c r="EQV24" s="1472"/>
      <c r="EQW24" s="1472"/>
      <c r="EQX24" s="1472"/>
      <c r="EQY24" s="1472"/>
      <c r="EQZ24" s="1472"/>
      <c r="ERA24" s="1472"/>
      <c r="ERB24" s="1473"/>
      <c r="ERC24" s="1471"/>
      <c r="ERD24" s="1472"/>
      <c r="ERE24" s="1472"/>
      <c r="ERF24" s="1472"/>
      <c r="ERG24" s="1472"/>
      <c r="ERH24" s="1472"/>
      <c r="ERI24" s="1472"/>
      <c r="ERJ24" s="1472"/>
      <c r="ERK24" s="1472"/>
      <c r="ERL24" s="1472"/>
      <c r="ERM24" s="1472"/>
      <c r="ERN24" s="1472"/>
      <c r="ERO24" s="1472"/>
      <c r="ERP24" s="1473"/>
      <c r="ERQ24" s="1471"/>
      <c r="ERR24" s="1472"/>
      <c r="ERS24" s="1472"/>
      <c r="ERT24" s="1472"/>
      <c r="ERU24" s="1472"/>
      <c r="ERV24" s="1472"/>
      <c r="ERW24" s="1472"/>
      <c r="ERX24" s="1472"/>
      <c r="ERY24" s="1472"/>
      <c r="ERZ24" s="1472"/>
      <c r="ESA24" s="1472"/>
      <c r="ESB24" s="1472"/>
      <c r="ESC24" s="1472"/>
      <c r="ESD24" s="1473"/>
      <c r="ESE24" s="1471"/>
      <c r="ESF24" s="1472"/>
      <c r="ESG24" s="1472"/>
      <c r="ESH24" s="1472"/>
      <c r="ESI24" s="1472"/>
      <c r="ESJ24" s="1472"/>
      <c r="ESK24" s="1472"/>
      <c r="ESL24" s="1472"/>
      <c r="ESM24" s="1472"/>
      <c r="ESN24" s="1472"/>
      <c r="ESO24" s="1472"/>
      <c r="ESP24" s="1472"/>
      <c r="ESQ24" s="1472"/>
      <c r="ESR24" s="1473"/>
      <c r="ESS24" s="1471"/>
      <c r="EST24" s="1472"/>
      <c r="ESU24" s="1472"/>
      <c r="ESV24" s="1472"/>
      <c r="ESW24" s="1472"/>
      <c r="ESX24" s="1472"/>
      <c r="ESY24" s="1472"/>
      <c r="ESZ24" s="1472"/>
      <c r="ETA24" s="1472"/>
      <c r="ETB24" s="1472"/>
      <c r="ETC24" s="1472"/>
      <c r="ETD24" s="1472"/>
      <c r="ETE24" s="1472"/>
      <c r="ETF24" s="1473"/>
      <c r="ETG24" s="1471"/>
      <c r="ETH24" s="1472"/>
      <c r="ETI24" s="1472"/>
      <c r="ETJ24" s="1472"/>
      <c r="ETK24" s="1472"/>
      <c r="ETL24" s="1472"/>
      <c r="ETM24" s="1472"/>
      <c r="ETN24" s="1472"/>
      <c r="ETO24" s="1472"/>
      <c r="ETP24" s="1472"/>
      <c r="ETQ24" s="1472"/>
      <c r="ETR24" s="1472"/>
      <c r="ETS24" s="1472"/>
      <c r="ETT24" s="1473"/>
      <c r="ETU24" s="1471"/>
      <c r="ETV24" s="1472"/>
      <c r="ETW24" s="1472"/>
      <c r="ETX24" s="1472"/>
      <c r="ETY24" s="1472"/>
      <c r="ETZ24" s="1472"/>
      <c r="EUA24" s="1472"/>
      <c r="EUB24" s="1472"/>
      <c r="EUC24" s="1472"/>
      <c r="EUD24" s="1472"/>
      <c r="EUE24" s="1472"/>
      <c r="EUF24" s="1472"/>
      <c r="EUG24" s="1472"/>
      <c r="EUH24" s="1473"/>
      <c r="EUI24" s="1471"/>
      <c r="EUJ24" s="1472"/>
      <c r="EUK24" s="1472"/>
      <c r="EUL24" s="1472"/>
      <c r="EUM24" s="1472"/>
      <c r="EUN24" s="1472"/>
      <c r="EUO24" s="1472"/>
      <c r="EUP24" s="1472"/>
      <c r="EUQ24" s="1472"/>
      <c r="EUR24" s="1472"/>
      <c r="EUS24" s="1472"/>
      <c r="EUT24" s="1472"/>
      <c r="EUU24" s="1472"/>
      <c r="EUV24" s="1473"/>
      <c r="EUW24" s="1471"/>
      <c r="EUX24" s="1472"/>
      <c r="EUY24" s="1472"/>
      <c r="EUZ24" s="1472"/>
      <c r="EVA24" s="1472"/>
      <c r="EVB24" s="1472"/>
      <c r="EVC24" s="1472"/>
      <c r="EVD24" s="1472"/>
      <c r="EVE24" s="1472"/>
      <c r="EVF24" s="1472"/>
      <c r="EVG24" s="1472"/>
      <c r="EVH24" s="1472"/>
      <c r="EVI24" s="1472"/>
      <c r="EVJ24" s="1473"/>
      <c r="EVK24" s="1471"/>
      <c r="EVL24" s="1472"/>
      <c r="EVM24" s="1472"/>
      <c r="EVN24" s="1472"/>
      <c r="EVO24" s="1472"/>
      <c r="EVP24" s="1472"/>
      <c r="EVQ24" s="1472"/>
      <c r="EVR24" s="1472"/>
      <c r="EVS24" s="1472"/>
      <c r="EVT24" s="1472"/>
      <c r="EVU24" s="1472"/>
      <c r="EVV24" s="1472"/>
      <c r="EVW24" s="1472"/>
      <c r="EVX24" s="1473"/>
      <c r="EVY24" s="1471"/>
      <c r="EVZ24" s="1472"/>
      <c r="EWA24" s="1472"/>
      <c r="EWB24" s="1472"/>
      <c r="EWC24" s="1472"/>
      <c r="EWD24" s="1472"/>
      <c r="EWE24" s="1472"/>
      <c r="EWF24" s="1472"/>
      <c r="EWG24" s="1472"/>
      <c r="EWH24" s="1472"/>
      <c r="EWI24" s="1472"/>
      <c r="EWJ24" s="1472"/>
      <c r="EWK24" s="1472"/>
      <c r="EWL24" s="1473"/>
      <c r="EWM24" s="1471"/>
      <c r="EWN24" s="1472"/>
      <c r="EWO24" s="1472"/>
      <c r="EWP24" s="1472"/>
      <c r="EWQ24" s="1472"/>
      <c r="EWR24" s="1472"/>
      <c r="EWS24" s="1472"/>
      <c r="EWT24" s="1472"/>
      <c r="EWU24" s="1472"/>
      <c r="EWV24" s="1472"/>
      <c r="EWW24" s="1472"/>
      <c r="EWX24" s="1472"/>
      <c r="EWY24" s="1472"/>
      <c r="EWZ24" s="1473"/>
      <c r="EXA24" s="1471"/>
      <c r="EXB24" s="1472"/>
      <c r="EXC24" s="1472"/>
      <c r="EXD24" s="1472"/>
      <c r="EXE24" s="1472"/>
      <c r="EXF24" s="1472"/>
      <c r="EXG24" s="1472"/>
      <c r="EXH24" s="1472"/>
      <c r="EXI24" s="1472"/>
      <c r="EXJ24" s="1472"/>
      <c r="EXK24" s="1472"/>
      <c r="EXL24" s="1472"/>
      <c r="EXM24" s="1472"/>
      <c r="EXN24" s="1473"/>
      <c r="EXO24" s="1471"/>
      <c r="EXP24" s="1472"/>
      <c r="EXQ24" s="1472"/>
      <c r="EXR24" s="1472"/>
      <c r="EXS24" s="1472"/>
      <c r="EXT24" s="1472"/>
      <c r="EXU24" s="1472"/>
      <c r="EXV24" s="1472"/>
      <c r="EXW24" s="1472"/>
      <c r="EXX24" s="1472"/>
      <c r="EXY24" s="1472"/>
      <c r="EXZ24" s="1472"/>
      <c r="EYA24" s="1472"/>
      <c r="EYB24" s="1473"/>
      <c r="EYC24" s="1471"/>
      <c r="EYD24" s="1472"/>
      <c r="EYE24" s="1472"/>
      <c r="EYF24" s="1472"/>
      <c r="EYG24" s="1472"/>
      <c r="EYH24" s="1472"/>
      <c r="EYI24" s="1472"/>
      <c r="EYJ24" s="1472"/>
      <c r="EYK24" s="1472"/>
      <c r="EYL24" s="1472"/>
      <c r="EYM24" s="1472"/>
      <c r="EYN24" s="1472"/>
      <c r="EYO24" s="1472"/>
      <c r="EYP24" s="1473"/>
      <c r="EYQ24" s="1471"/>
      <c r="EYR24" s="1472"/>
      <c r="EYS24" s="1472"/>
      <c r="EYT24" s="1472"/>
      <c r="EYU24" s="1472"/>
      <c r="EYV24" s="1472"/>
      <c r="EYW24" s="1472"/>
      <c r="EYX24" s="1472"/>
      <c r="EYY24" s="1472"/>
      <c r="EYZ24" s="1472"/>
      <c r="EZA24" s="1472"/>
      <c r="EZB24" s="1472"/>
      <c r="EZC24" s="1472"/>
      <c r="EZD24" s="1473"/>
      <c r="EZE24" s="1471"/>
      <c r="EZF24" s="1472"/>
      <c r="EZG24" s="1472"/>
      <c r="EZH24" s="1472"/>
      <c r="EZI24" s="1472"/>
      <c r="EZJ24" s="1472"/>
      <c r="EZK24" s="1472"/>
      <c r="EZL24" s="1472"/>
      <c r="EZM24" s="1472"/>
      <c r="EZN24" s="1472"/>
      <c r="EZO24" s="1472"/>
      <c r="EZP24" s="1472"/>
      <c r="EZQ24" s="1472"/>
      <c r="EZR24" s="1473"/>
      <c r="EZS24" s="1471"/>
      <c r="EZT24" s="1472"/>
      <c r="EZU24" s="1472"/>
      <c r="EZV24" s="1472"/>
      <c r="EZW24" s="1472"/>
      <c r="EZX24" s="1472"/>
      <c r="EZY24" s="1472"/>
      <c r="EZZ24" s="1472"/>
      <c r="FAA24" s="1472"/>
      <c r="FAB24" s="1472"/>
      <c r="FAC24" s="1472"/>
      <c r="FAD24" s="1472"/>
      <c r="FAE24" s="1472"/>
      <c r="FAF24" s="1473"/>
      <c r="FAG24" s="1471"/>
      <c r="FAH24" s="1472"/>
      <c r="FAI24" s="1472"/>
      <c r="FAJ24" s="1472"/>
      <c r="FAK24" s="1472"/>
      <c r="FAL24" s="1472"/>
      <c r="FAM24" s="1472"/>
      <c r="FAN24" s="1472"/>
      <c r="FAO24" s="1472"/>
      <c r="FAP24" s="1472"/>
      <c r="FAQ24" s="1472"/>
      <c r="FAR24" s="1472"/>
      <c r="FAS24" s="1472"/>
      <c r="FAT24" s="1473"/>
      <c r="FAU24" s="1471"/>
      <c r="FAV24" s="1472"/>
      <c r="FAW24" s="1472"/>
      <c r="FAX24" s="1472"/>
      <c r="FAY24" s="1472"/>
      <c r="FAZ24" s="1472"/>
      <c r="FBA24" s="1472"/>
      <c r="FBB24" s="1472"/>
      <c r="FBC24" s="1472"/>
      <c r="FBD24" s="1472"/>
      <c r="FBE24" s="1472"/>
      <c r="FBF24" s="1472"/>
      <c r="FBG24" s="1472"/>
      <c r="FBH24" s="1473"/>
      <c r="FBI24" s="1471"/>
      <c r="FBJ24" s="1472"/>
      <c r="FBK24" s="1472"/>
      <c r="FBL24" s="1472"/>
      <c r="FBM24" s="1472"/>
      <c r="FBN24" s="1472"/>
      <c r="FBO24" s="1472"/>
      <c r="FBP24" s="1472"/>
      <c r="FBQ24" s="1472"/>
      <c r="FBR24" s="1472"/>
      <c r="FBS24" s="1472"/>
      <c r="FBT24" s="1472"/>
      <c r="FBU24" s="1472"/>
      <c r="FBV24" s="1473"/>
      <c r="FBW24" s="1471"/>
      <c r="FBX24" s="1472"/>
      <c r="FBY24" s="1472"/>
      <c r="FBZ24" s="1472"/>
      <c r="FCA24" s="1472"/>
      <c r="FCB24" s="1472"/>
      <c r="FCC24" s="1472"/>
      <c r="FCD24" s="1472"/>
      <c r="FCE24" s="1472"/>
      <c r="FCF24" s="1472"/>
      <c r="FCG24" s="1472"/>
      <c r="FCH24" s="1472"/>
      <c r="FCI24" s="1472"/>
      <c r="FCJ24" s="1473"/>
      <c r="FCK24" s="1471"/>
      <c r="FCL24" s="1472"/>
      <c r="FCM24" s="1472"/>
      <c r="FCN24" s="1472"/>
      <c r="FCO24" s="1472"/>
      <c r="FCP24" s="1472"/>
      <c r="FCQ24" s="1472"/>
      <c r="FCR24" s="1472"/>
      <c r="FCS24" s="1472"/>
      <c r="FCT24" s="1472"/>
      <c r="FCU24" s="1472"/>
      <c r="FCV24" s="1472"/>
      <c r="FCW24" s="1472"/>
      <c r="FCX24" s="1473"/>
      <c r="FCY24" s="1471"/>
      <c r="FCZ24" s="1472"/>
      <c r="FDA24" s="1472"/>
      <c r="FDB24" s="1472"/>
      <c r="FDC24" s="1472"/>
      <c r="FDD24" s="1472"/>
      <c r="FDE24" s="1472"/>
      <c r="FDF24" s="1472"/>
      <c r="FDG24" s="1472"/>
      <c r="FDH24" s="1472"/>
      <c r="FDI24" s="1472"/>
      <c r="FDJ24" s="1472"/>
      <c r="FDK24" s="1472"/>
      <c r="FDL24" s="1473"/>
      <c r="FDM24" s="1471"/>
      <c r="FDN24" s="1472"/>
      <c r="FDO24" s="1472"/>
      <c r="FDP24" s="1472"/>
      <c r="FDQ24" s="1472"/>
      <c r="FDR24" s="1472"/>
      <c r="FDS24" s="1472"/>
      <c r="FDT24" s="1472"/>
      <c r="FDU24" s="1472"/>
      <c r="FDV24" s="1472"/>
      <c r="FDW24" s="1472"/>
      <c r="FDX24" s="1472"/>
      <c r="FDY24" s="1472"/>
      <c r="FDZ24" s="1473"/>
      <c r="FEA24" s="1471"/>
      <c r="FEB24" s="1472"/>
      <c r="FEC24" s="1472"/>
      <c r="FED24" s="1472"/>
      <c r="FEE24" s="1472"/>
      <c r="FEF24" s="1472"/>
      <c r="FEG24" s="1472"/>
      <c r="FEH24" s="1472"/>
      <c r="FEI24" s="1472"/>
      <c r="FEJ24" s="1472"/>
      <c r="FEK24" s="1472"/>
      <c r="FEL24" s="1472"/>
      <c r="FEM24" s="1472"/>
      <c r="FEN24" s="1473"/>
      <c r="FEO24" s="1471"/>
      <c r="FEP24" s="1472"/>
      <c r="FEQ24" s="1472"/>
      <c r="FER24" s="1472"/>
      <c r="FES24" s="1472"/>
      <c r="FET24" s="1472"/>
      <c r="FEU24" s="1472"/>
      <c r="FEV24" s="1472"/>
      <c r="FEW24" s="1472"/>
      <c r="FEX24" s="1472"/>
      <c r="FEY24" s="1472"/>
      <c r="FEZ24" s="1472"/>
      <c r="FFA24" s="1472"/>
      <c r="FFB24" s="1473"/>
      <c r="FFC24" s="1471"/>
      <c r="FFD24" s="1472"/>
      <c r="FFE24" s="1472"/>
      <c r="FFF24" s="1472"/>
      <c r="FFG24" s="1472"/>
      <c r="FFH24" s="1472"/>
      <c r="FFI24" s="1472"/>
      <c r="FFJ24" s="1472"/>
      <c r="FFK24" s="1472"/>
      <c r="FFL24" s="1472"/>
      <c r="FFM24" s="1472"/>
      <c r="FFN24" s="1472"/>
      <c r="FFO24" s="1472"/>
      <c r="FFP24" s="1473"/>
      <c r="FFQ24" s="1471"/>
      <c r="FFR24" s="1472"/>
      <c r="FFS24" s="1472"/>
      <c r="FFT24" s="1472"/>
      <c r="FFU24" s="1472"/>
      <c r="FFV24" s="1472"/>
      <c r="FFW24" s="1472"/>
      <c r="FFX24" s="1472"/>
      <c r="FFY24" s="1472"/>
      <c r="FFZ24" s="1472"/>
      <c r="FGA24" s="1472"/>
      <c r="FGB24" s="1472"/>
      <c r="FGC24" s="1472"/>
      <c r="FGD24" s="1473"/>
      <c r="FGE24" s="1471"/>
      <c r="FGF24" s="1472"/>
      <c r="FGG24" s="1472"/>
      <c r="FGH24" s="1472"/>
      <c r="FGI24" s="1472"/>
      <c r="FGJ24" s="1472"/>
      <c r="FGK24" s="1472"/>
      <c r="FGL24" s="1472"/>
      <c r="FGM24" s="1472"/>
      <c r="FGN24" s="1472"/>
      <c r="FGO24" s="1472"/>
      <c r="FGP24" s="1472"/>
      <c r="FGQ24" s="1472"/>
      <c r="FGR24" s="1473"/>
      <c r="FGS24" s="1471"/>
      <c r="FGT24" s="1472"/>
      <c r="FGU24" s="1472"/>
      <c r="FGV24" s="1472"/>
      <c r="FGW24" s="1472"/>
      <c r="FGX24" s="1472"/>
      <c r="FGY24" s="1472"/>
      <c r="FGZ24" s="1472"/>
      <c r="FHA24" s="1472"/>
      <c r="FHB24" s="1472"/>
      <c r="FHC24" s="1472"/>
      <c r="FHD24" s="1472"/>
      <c r="FHE24" s="1472"/>
      <c r="FHF24" s="1473"/>
      <c r="FHG24" s="1471"/>
      <c r="FHH24" s="1472"/>
      <c r="FHI24" s="1472"/>
      <c r="FHJ24" s="1472"/>
      <c r="FHK24" s="1472"/>
      <c r="FHL24" s="1472"/>
      <c r="FHM24" s="1472"/>
      <c r="FHN24" s="1472"/>
      <c r="FHO24" s="1472"/>
      <c r="FHP24" s="1472"/>
      <c r="FHQ24" s="1472"/>
      <c r="FHR24" s="1472"/>
      <c r="FHS24" s="1472"/>
      <c r="FHT24" s="1473"/>
      <c r="FHU24" s="1471"/>
      <c r="FHV24" s="1472"/>
      <c r="FHW24" s="1472"/>
      <c r="FHX24" s="1472"/>
      <c r="FHY24" s="1472"/>
      <c r="FHZ24" s="1472"/>
      <c r="FIA24" s="1472"/>
      <c r="FIB24" s="1472"/>
      <c r="FIC24" s="1472"/>
      <c r="FID24" s="1472"/>
      <c r="FIE24" s="1472"/>
      <c r="FIF24" s="1472"/>
      <c r="FIG24" s="1472"/>
      <c r="FIH24" s="1473"/>
      <c r="FII24" s="1471"/>
      <c r="FIJ24" s="1472"/>
      <c r="FIK24" s="1472"/>
      <c r="FIL24" s="1472"/>
      <c r="FIM24" s="1472"/>
      <c r="FIN24" s="1472"/>
      <c r="FIO24" s="1472"/>
      <c r="FIP24" s="1472"/>
      <c r="FIQ24" s="1472"/>
      <c r="FIR24" s="1472"/>
      <c r="FIS24" s="1472"/>
      <c r="FIT24" s="1472"/>
      <c r="FIU24" s="1472"/>
      <c r="FIV24" s="1473"/>
      <c r="FIW24" s="1471"/>
      <c r="FIX24" s="1472"/>
      <c r="FIY24" s="1472"/>
      <c r="FIZ24" s="1472"/>
      <c r="FJA24" s="1472"/>
      <c r="FJB24" s="1472"/>
      <c r="FJC24" s="1472"/>
      <c r="FJD24" s="1472"/>
      <c r="FJE24" s="1472"/>
      <c r="FJF24" s="1472"/>
      <c r="FJG24" s="1472"/>
      <c r="FJH24" s="1472"/>
      <c r="FJI24" s="1472"/>
      <c r="FJJ24" s="1473"/>
      <c r="FJK24" s="1471"/>
      <c r="FJL24" s="1472"/>
      <c r="FJM24" s="1472"/>
      <c r="FJN24" s="1472"/>
      <c r="FJO24" s="1472"/>
      <c r="FJP24" s="1472"/>
      <c r="FJQ24" s="1472"/>
      <c r="FJR24" s="1472"/>
      <c r="FJS24" s="1472"/>
      <c r="FJT24" s="1472"/>
      <c r="FJU24" s="1472"/>
      <c r="FJV24" s="1472"/>
      <c r="FJW24" s="1472"/>
      <c r="FJX24" s="1473"/>
      <c r="FJY24" s="1471"/>
      <c r="FJZ24" s="1472"/>
      <c r="FKA24" s="1472"/>
      <c r="FKB24" s="1472"/>
      <c r="FKC24" s="1472"/>
      <c r="FKD24" s="1472"/>
      <c r="FKE24" s="1472"/>
      <c r="FKF24" s="1472"/>
      <c r="FKG24" s="1472"/>
      <c r="FKH24" s="1472"/>
      <c r="FKI24" s="1472"/>
      <c r="FKJ24" s="1472"/>
      <c r="FKK24" s="1472"/>
      <c r="FKL24" s="1473"/>
      <c r="FKM24" s="1471"/>
      <c r="FKN24" s="1472"/>
      <c r="FKO24" s="1472"/>
      <c r="FKP24" s="1472"/>
      <c r="FKQ24" s="1472"/>
      <c r="FKR24" s="1472"/>
      <c r="FKS24" s="1472"/>
      <c r="FKT24" s="1472"/>
      <c r="FKU24" s="1472"/>
      <c r="FKV24" s="1472"/>
      <c r="FKW24" s="1472"/>
      <c r="FKX24" s="1472"/>
      <c r="FKY24" s="1472"/>
      <c r="FKZ24" s="1473"/>
      <c r="FLA24" s="1471"/>
      <c r="FLB24" s="1472"/>
      <c r="FLC24" s="1472"/>
      <c r="FLD24" s="1472"/>
      <c r="FLE24" s="1472"/>
      <c r="FLF24" s="1472"/>
      <c r="FLG24" s="1472"/>
      <c r="FLH24" s="1472"/>
      <c r="FLI24" s="1472"/>
      <c r="FLJ24" s="1472"/>
      <c r="FLK24" s="1472"/>
      <c r="FLL24" s="1472"/>
      <c r="FLM24" s="1472"/>
      <c r="FLN24" s="1473"/>
      <c r="FLO24" s="1471"/>
      <c r="FLP24" s="1472"/>
      <c r="FLQ24" s="1472"/>
      <c r="FLR24" s="1472"/>
      <c r="FLS24" s="1472"/>
      <c r="FLT24" s="1472"/>
      <c r="FLU24" s="1472"/>
      <c r="FLV24" s="1472"/>
      <c r="FLW24" s="1472"/>
      <c r="FLX24" s="1472"/>
      <c r="FLY24" s="1472"/>
      <c r="FLZ24" s="1472"/>
      <c r="FMA24" s="1472"/>
      <c r="FMB24" s="1473"/>
      <c r="FMC24" s="1471"/>
      <c r="FMD24" s="1472"/>
      <c r="FME24" s="1472"/>
      <c r="FMF24" s="1472"/>
      <c r="FMG24" s="1472"/>
      <c r="FMH24" s="1472"/>
      <c r="FMI24" s="1472"/>
      <c r="FMJ24" s="1472"/>
      <c r="FMK24" s="1472"/>
      <c r="FML24" s="1472"/>
      <c r="FMM24" s="1472"/>
      <c r="FMN24" s="1472"/>
      <c r="FMO24" s="1472"/>
      <c r="FMP24" s="1473"/>
      <c r="FMQ24" s="1471"/>
      <c r="FMR24" s="1472"/>
      <c r="FMS24" s="1472"/>
      <c r="FMT24" s="1472"/>
      <c r="FMU24" s="1472"/>
      <c r="FMV24" s="1472"/>
      <c r="FMW24" s="1472"/>
      <c r="FMX24" s="1472"/>
      <c r="FMY24" s="1472"/>
      <c r="FMZ24" s="1472"/>
      <c r="FNA24" s="1472"/>
      <c r="FNB24" s="1472"/>
      <c r="FNC24" s="1472"/>
      <c r="FND24" s="1473"/>
      <c r="FNE24" s="1471"/>
      <c r="FNF24" s="1472"/>
      <c r="FNG24" s="1472"/>
      <c r="FNH24" s="1472"/>
      <c r="FNI24" s="1472"/>
      <c r="FNJ24" s="1472"/>
      <c r="FNK24" s="1472"/>
      <c r="FNL24" s="1472"/>
      <c r="FNM24" s="1472"/>
      <c r="FNN24" s="1472"/>
      <c r="FNO24" s="1472"/>
      <c r="FNP24" s="1472"/>
      <c r="FNQ24" s="1472"/>
      <c r="FNR24" s="1473"/>
      <c r="FNS24" s="1471"/>
      <c r="FNT24" s="1472"/>
      <c r="FNU24" s="1472"/>
      <c r="FNV24" s="1472"/>
      <c r="FNW24" s="1472"/>
      <c r="FNX24" s="1472"/>
      <c r="FNY24" s="1472"/>
      <c r="FNZ24" s="1472"/>
      <c r="FOA24" s="1472"/>
      <c r="FOB24" s="1472"/>
      <c r="FOC24" s="1472"/>
      <c r="FOD24" s="1472"/>
      <c r="FOE24" s="1472"/>
      <c r="FOF24" s="1473"/>
      <c r="FOG24" s="1471"/>
      <c r="FOH24" s="1472"/>
      <c r="FOI24" s="1472"/>
      <c r="FOJ24" s="1472"/>
      <c r="FOK24" s="1472"/>
      <c r="FOL24" s="1472"/>
      <c r="FOM24" s="1472"/>
      <c r="FON24" s="1472"/>
      <c r="FOO24" s="1472"/>
      <c r="FOP24" s="1472"/>
      <c r="FOQ24" s="1472"/>
      <c r="FOR24" s="1472"/>
      <c r="FOS24" s="1472"/>
      <c r="FOT24" s="1473"/>
      <c r="FOU24" s="1471"/>
      <c r="FOV24" s="1472"/>
      <c r="FOW24" s="1472"/>
      <c r="FOX24" s="1472"/>
      <c r="FOY24" s="1472"/>
      <c r="FOZ24" s="1472"/>
      <c r="FPA24" s="1472"/>
      <c r="FPB24" s="1472"/>
      <c r="FPC24" s="1472"/>
      <c r="FPD24" s="1472"/>
      <c r="FPE24" s="1472"/>
      <c r="FPF24" s="1472"/>
      <c r="FPG24" s="1472"/>
      <c r="FPH24" s="1473"/>
      <c r="FPI24" s="1471"/>
      <c r="FPJ24" s="1472"/>
      <c r="FPK24" s="1472"/>
      <c r="FPL24" s="1472"/>
      <c r="FPM24" s="1472"/>
      <c r="FPN24" s="1472"/>
      <c r="FPO24" s="1472"/>
      <c r="FPP24" s="1472"/>
      <c r="FPQ24" s="1472"/>
      <c r="FPR24" s="1472"/>
      <c r="FPS24" s="1472"/>
      <c r="FPT24" s="1472"/>
      <c r="FPU24" s="1472"/>
      <c r="FPV24" s="1473"/>
      <c r="FPW24" s="1471"/>
      <c r="FPX24" s="1472"/>
      <c r="FPY24" s="1472"/>
      <c r="FPZ24" s="1472"/>
      <c r="FQA24" s="1472"/>
      <c r="FQB24" s="1472"/>
      <c r="FQC24" s="1472"/>
      <c r="FQD24" s="1472"/>
      <c r="FQE24" s="1472"/>
      <c r="FQF24" s="1472"/>
      <c r="FQG24" s="1472"/>
      <c r="FQH24" s="1472"/>
      <c r="FQI24" s="1472"/>
      <c r="FQJ24" s="1473"/>
      <c r="FQK24" s="1471"/>
      <c r="FQL24" s="1472"/>
      <c r="FQM24" s="1472"/>
      <c r="FQN24" s="1472"/>
      <c r="FQO24" s="1472"/>
      <c r="FQP24" s="1472"/>
      <c r="FQQ24" s="1472"/>
      <c r="FQR24" s="1472"/>
      <c r="FQS24" s="1472"/>
      <c r="FQT24" s="1472"/>
      <c r="FQU24" s="1472"/>
      <c r="FQV24" s="1472"/>
      <c r="FQW24" s="1472"/>
      <c r="FQX24" s="1473"/>
      <c r="FQY24" s="1471"/>
      <c r="FQZ24" s="1472"/>
      <c r="FRA24" s="1472"/>
      <c r="FRB24" s="1472"/>
      <c r="FRC24" s="1472"/>
      <c r="FRD24" s="1472"/>
      <c r="FRE24" s="1472"/>
      <c r="FRF24" s="1472"/>
      <c r="FRG24" s="1472"/>
      <c r="FRH24" s="1472"/>
      <c r="FRI24" s="1472"/>
      <c r="FRJ24" s="1472"/>
      <c r="FRK24" s="1472"/>
      <c r="FRL24" s="1473"/>
      <c r="FRM24" s="1471"/>
      <c r="FRN24" s="1472"/>
      <c r="FRO24" s="1472"/>
      <c r="FRP24" s="1472"/>
      <c r="FRQ24" s="1472"/>
      <c r="FRR24" s="1472"/>
      <c r="FRS24" s="1472"/>
      <c r="FRT24" s="1472"/>
      <c r="FRU24" s="1472"/>
      <c r="FRV24" s="1472"/>
      <c r="FRW24" s="1472"/>
      <c r="FRX24" s="1472"/>
      <c r="FRY24" s="1472"/>
      <c r="FRZ24" s="1473"/>
      <c r="FSA24" s="1471"/>
      <c r="FSB24" s="1472"/>
      <c r="FSC24" s="1472"/>
      <c r="FSD24" s="1472"/>
      <c r="FSE24" s="1472"/>
      <c r="FSF24" s="1472"/>
      <c r="FSG24" s="1472"/>
      <c r="FSH24" s="1472"/>
      <c r="FSI24" s="1472"/>
      <c r="FSJ24" s="1472"/>
      <c r="FSK24" s="1472"/>
      <c r="FSL24" s="1472"/>
      <c r="FSM24" s="1472"/>
      <c r="FSN24" s="1473"/>
      <c r="FSO24" s="1471"/>
      <c r="FSP24" s="1472"/>
      <c r="FSQ24" s="1472"/>
      <c r="FSR24" s="1472"/>
      <c r="FSS24" s="1472"/>
      <c r="FST24" s="1472"/>
      <c r="FSU24" s="1472"/>
      <c r="FSV24" s="1472"/>
      <c r="FSW24" s="1472"/>
      <c r="FSX24" s="1472"/>
      <c r="FSY24" s="1472"/>
      <c r="FSZ24" s="1472"/>
      <c r="FTA24" s="1472"/>
      <c r="FTB24" s="1473"/>
      <c r="FTC24" s="1471"/>
      <c r="FTD24" s="1472"/>
      <c r="FTE24" s="1472"/>
      <c r="FTF24" s="1472"/>
      <c r="FTG24" s="1472"/>
      <c r="FTH24" s="1472"/>
      <c r="FTI24" s="1472"/>
      <c r="FTJ24" s="1472"/>
      <c r="FTK24" s="1472"/>
      <c r="FTL24" s="1472"/>
      <c r="FTM24" s="1472"/>
      <c r="FTN24" s="1472"/>
      <c r="FTO24" s="1472"/>
      <c r="FTP24" s="1473"/>
      <c r="FTQ24" s="1471"/>
      <c r="FTR24" s="1472"/>
      <c r="FTS24" s="1472"/>
      <c r="FTT24" s="1472"/>
      <c r="FTU24" s="1472"/>
      <c r="FTV24" s="1472"/>
      <c r="FTW24" s="1472"/>
      <c r="FTX24" s="1472"/>
      <c r="FTY24" s="1472"/>
      <c r="FTZ24" s="1472"/>
      <c r="FUA24" s="1472"/>
      <c r="FUB24" s="1472"/>
      <c r="FUC24" s="1472"/>
      <c r="FUD24" s="1473"/>
      <c r="FUE24" s="1471"/>
      <c r="FUF24" s="1472"/>
      <c r="FUG24" s="1472"/>
      <c r="FUH24" s="1472"/>
      <c r="FUI24" s="1472"/>
      <c r="FUJ24" s="1472"/>
      <c r="FUK24" s="1472"/>
      <c r="FUL24" s="1472"/>
      <c r="FUM24" s="1472"/>
      <c r="FUN24" s="1472"/>
      <c r="FUO24" s="1472"/>
      <c r="FUP24" s="1472"/>
      <c r="FUQ24" s="1472"/>
      <c r="FUR24" s="1473"/>
      <c r="FUS24" s="1471"/>
      <c r="FUT24" s="1472"/>
      <c r="FUU24" s="1472"/>
      <c r="FUV24" s="1472"/>
      <c r="FUW24" s="1472"/>
      <c r="FUX24" s="1472"/>
      <c r="FUY24" s="1472"/>
      <c r="FUZ24" s="1472"/>
      <c r="FVA24" s="1472"/>
      <c r="FVB24" s="1472"/>
      <c r="FVC24" s="1472"/>
      <c r="FVD24" s="1472"/>
      <c r="FVE24" s="1472"/>
      <c r="FVF24" s="1473"/>
      <c r="FVG24" s="1471"/>
      <c r="FVH24" s="1472"/>
      <c r="FVI24" s="1472"/>
      <c r="FVJ24" s="1472"/>
      <c r="FVK24" s="1472"/>
      <c r="FVL24" s="1472"/>
      <c r="FVM24" s="1472"/>
      <c r="FVN24" s="1472"/>
      <c r="FVO24" s="1472"/>
      <c r="FVP24" s="1472"/>
      <c r="FVQ24" s="1472"/>
      <c r="FVR24" s="1472"/>
      <c r="FVS24" s="1472"/>
      <c r="FVT24" s="1473"/>
      <c r="FVU24" s="1471"/>
      <c r="FVV24" s="1472"/>
      <c r="FVW24" s="1472"/>
      <c r="FVX24" s="1472"/>
      <c r="FVY24" s="1472"/>
      <c r="FVZ24" s="1472"/>
      <c r="FWA24" s="1472"/>
      <c r="FWB24" s="1472"/>
      <c r="FWC24" s="1472"/>
      <c r="FWD24" s="1472"/>
      <c r="FWE24" s="1472"/>
      <c r="FWF24" s="1472"/>
      <c r="FWG24" s="1472"/>
      <c r="FWH24" s="1473"/>
      <c r="FWI24" s="1471"/>
      <c r="FWJ24" s="1472"/>
      <c r="FWK24" s="1472"/>
      <c r="FWL24" s="1472"/>
      <c r="FWM24" s="1472"/>
      <c r="FWN24" s="1472"/>
      <c r="FWO24" s="1472"/>
      <c r="FWP24" s="1472"/>
      <c r="FWQ24" s="1472"/>
      <c r="FWR24" s="1472"/>
      <c r="FWS24" s="1472"/>
      <c r="FWT24" s="1472"/>
      <c r="FWU24" s="1472"/>
      <c r="FWV24" s="1473"/>
      <c r="FWW24" s="1471"/>
      <c r="FWX24" s="1472"/>
      <c r="FWY24" s="1472"/>
      <c r="FWZ24" s="1472"/>
      <c r="FXA24" s="1472"/>
      <c r="FXB24" s="1472"/>
      <c r="FXC24" s="1472"/>
      <c r="FXD24" s="1472"/>
      <c r="FXE24" s="1472"/>
      <c r="FXF24" s="1472"/>
      <c r="FXG24" s="1472"/>
      <c r="FXH24" s="1472"/>
      <c r="FXI24" s="1472"/>
      <c r="FXJ24" s="1473"/>
      <c r="FXK24" s="1471"/>
      <c r="FXL24" s="1472"/>
      <c r="FXM24" s="1472"/>
      <c r="FXN24" s="1472"/>
      <c r="FXO24" s="1472"/>
      <c r="FXP24" s="1472"/>
      <c r="FXQ24" s="1472"/>
      <c r="FXR24" s="1472"/>
      <c r="FXS24" s="1472"/>
      <c r="FXT24" s="1472"/>
      <c r="FXU24" s="1472"/>
      <c r="FXV24" s="1472"/>
      <c r="FXW24" s="1472"/>
      <c r="FXX24" s="1473"/>
      <c r="FXY24" s="1471"/>
      <c r="FXZ24" s="1472"/>
      <c r="FYA24" s="1472"/>
      <c r="FYB24" s="1472"/>
      <c r="FYC24" s="1472"/>
      <c r="FYD24" s="1472"/>
      <c r="FYE24" s="1472"/>
      <c r="FYF24" s="1472"/>
      <c r="FYG24" s="1472"/>
      <c r="FYH24" s="1472"/>
      <c r="FYI24" s="1472"/>
      <c r="FYJ24" s="1472"/>
      <c r="FYK24" s="1472"/>
      <c r="FYL24" s="1473"/>
      <c r="FYM24" s="1471"/>
      <c r="FYN24" s="1472"/>
      <c r="FYO24" s="1472"/>
      <c r="FYP24" s="1472"/>
      <c r="FYQ24" s="1472"/>
      <c r="FYR24" s="1472"/>
      <c r="FYS24" s="1472"/>
      <c r="FYT24" s="1472"/>
      <c r="FYU24" s="1472"/>
      <c r="FYV24" s="1472"/>
      <c r="FYW24" s="1472"/>
      <c r="FYX24" s="1472"/>
      <c r="FYY24" s="1472"/>
      <c r="FYZ24" s="1473"/>
      <c r="FZA24" s="1471"/>
      <c r="FZB24" s="1472"/>
      <c r="FZC24" s="1472"/>
      <c r="FZD24" s="1472"/>
      <c r="FZE24" s="1472"/>
      <c r="FZF24" s="1472"/>
      <c r="FZG24" s="1472"/>
      <c r="FZH24" s="1472"/>
      <c r="FZI24" s="1472"/>
      <c r="FZJ24" s="1472"/>
      <c r="FZK24" s="1472"/>
      <c r="FZL24" s="1472"/>
      <c r="FZM24" s="1472"/>
      <c r="FZN24" s="1473"/>
      <c r="FZO24" s="1471"/>
      <c r="FZP24" s="1472"/>
      <c r="FZQ24" s="1472"/>
      <c r="FZR24" s="1472"/>
      <c r="FZS24" s="1472"/>
      <c r="FZT24" s="1472"/>
      <c r="FZU24" s="1472"/>
      <c r="FZV24" s="1472"/>
      <c r="FZW24" s="1472"/>
      <c r="FZX24" s="1472"/>
      <c r="FZY24" s="1472"/>
      <c r="FZZ24" s="1472"/>
      <c r="GAA24" s="1472"/>
      <c r="GAB24" s="1473"/>
      <c r="GAC24" s="1471"/>
      <c r="GAD24" s="1472"/>
      <c r="GAE24" s="1472"/>
      <c r="GAF24" s="1472"/>
      <c r="GAG24" s="1472"/>
      <c r="GAH24" s="1472"/>
      <c r="GAI24" s="1472"/>
      <c r="GAJ24" s="1472"/>
      <c r="GAK24" s="1472"/>
      <c r="GAL24" s="1472"/>
      <c r="GAM24" s="1472"/>
      <c r="GAN24" s="1472"/>
      <c r="GAO24" s="1472"/>
      <c r="GAP24" s="1473"/>
      <c r="GAQ24" s="1471"/>
      <c r="GAR24" s="1472"/>
      <c r="GAS24" s="1472"/>
      <c r="GAT24" s="1472"/>
      <c r="GAU24" s="1472"/>
      <c r="GAV24" s="1472"/>
      <c r="GAW24" s="1472"/>
      <c r="GAX24" s="1472"/>
      <c r="GAY24" s="1472"/>
      <c r="GAZ24" s="1472"/>
      <c r="GBA24" s="1472"/>
      <c r="GBB24" s="1472"/>
      <c r="GBC24" s="1472"/>
      <c r="GBD24" s="1473"/>
      <c r="GBE24" s="1471"/>
      <c r="GBF24" s="1472"/>
      <c r="GBG24" s="1472"/>
      <c r="GBH24" s="1472"/>
      <c r="GBI24" s="1472"/>
      <c r="GBJ24" s="1472"/>
      <c r="GBK24" s="1472"/>
      <c r="GBL24" s="1472"/>
      <c r="GBM24" s="1472"/>
      <c r="GBN24" s="1472"/>
      <c r="GBO24" s="1472"/>
      <c r="GBP24" s="1472"/>
      <c r="GBQ24" s="1472"/>
      <c r="GBR24" s="1473"/>
      <c r="GBS24" s="1471"/>
      <c r="GBT24" s="1472"/>
      <c r="GBU24" s="1472"/>
      <c r="GBV24" s="1472"/>
      <c r="GBW24" s="1472"/>
      <c r="GBX24" s="1472"/>
      <c r="GBY24" s="1472"/>
      <c r="GBZ24" s="1472"/>
      <c r="GCA24" s="1472"/>
      <c r="GCB24" s="1472"/>
      <c r="GCC24" s="1472"/>
      <c r="GCD24" s="1472"/>
      <c r="GCE24" s="1472"/>
      <c r="GCF24" s="1473"/>
      <c r="GCG24" s="1471"/>
      <c r="GCH24" s="1472"/>
      <c r="GCI24" s="1472"/>
      <c r="GCJ24" s="1472"/>
      <c r="GCK24" s="1472"/>
      <c r="GCL24" s="1472"/>
      <c r="GCM24" s="1472"/>
      <c r="GCN24" s="1472"/>
      <c r="GCO24" s="1472"/>
      <c r="GCP24" s="1472"/>
      <c r="GCQ24" s="1472"/>
      <c r="GCR24" s="1472"/>
      <c r="GCS24" s="1472"/>
      <c r="GCT24" s="1473"/>
      <c r="GCU24" s="1471"/>
      <c r="GCV24" s="1472"/>
      <c r="GCW24" s="1472"/>
      <c r="GCX24" s="1472"/>
      <c r="GCY24" s="1472"/>
      <c r="GCZ24" s="1472"/>
      <c r="GDA24" s="1472"/>
      <c r="GDB24" s="1472"/>
      <c r="GDC24" s="1472"/>
      <c r="GDD24" s="1472"/>
      <c r="GDE24" s="1472"/>
      <c r="GDF24" s="1472"/>
      <c r="GDG24" s="1472"/>
      <c r="GDH24" s="1473"/>
      <c r="GDI24" s="1471"/>
      <c r="GDJ24" s="1472"/>
      <c r="GDK24" s="1472"/>
      <c r="GDL24" s="1472"/>
      <c r="GDM24" s="1472"/>
      <c r="GDN24" s="1472"/>
      <c r="GDO24" s="1472"/>
      <c r="GDP24" s="1472"/>
      <c r="GDQ24" s="1472"/>
      <c r="GDR24" s="1472"/>
      <c r="GDS24" s="1472"/>
      <c r="GDT24" s="1472"/>
      <c r="GDU24" s="1472"/>
      <c r="GDV24" s="1473"/>
      <c r="GDW24" s="1471"/>
      <c r="GDX24" s="1472"/>
      <c r="GDY24" s="1472"/>
      <c r="GDZ24" s="1472"/>
      <c r="GEA24" s="1472"/>
      <c r="GEB24" s="1472"/>
      <c r="GEC24" s="1472"/>
      <c r="GED24" s="1472"/>
      <c r="GEE24" s="1472"/>
      <c r="GEF24" s="1472"/>
      <c r="GEG24" s="1472"/>
      <c r="GEH24" s="1472"/>
      <c r="GEI24" s="1472"/>
      <c r="GEJ24" s="1473"/>
      <c r="GEK24" s="1471"/>
      <c r="GEL24" s="1472"/>
      <c r="GEM24" s="1472"/>
      <c r="GEN24" s="1472"/>
      <c r="GEO24" s="1472"/>
      <c r="GEP24" s="1472"/>
      <c r="GEQ24" s="1472"/>
      <c r="GER24" s="1472"/>
      <c r="GES24" s="1472"/>
      <c r="GET24" s="1472"/>
      <c r="GEU24" s="1472"/>
      <c r="GEV24" s="1472"/>
      <c r="GEW24" s="1472"/>
      <c r="GEX24" s="1473"/>
      <c r="GEY24" s="1471"/>
      <c r="GEZ24" s="1472"/>
      <c r="GFA24" s="1472"/>
      <c r="GFB24" s="1472"/>
      <c r="GFC24" s="1472"/>
      <c r="GFD24" s="1472"/>
      <c r="GFE24" s="1472"/>
      <c r="GFF24" s="1472"/>
      <c r="GFG24" s="1472"/>
      <c r="GFH24" s="1472"/>
      <c r="GFI24" s="1472"/>
      <c r="GFJ24" s="1472"/>
      <c r="GFK24" s="1472"/>
      <c r="GFL24" s="1473"/>
      <c r="GFM24" s="1471"/>
      <c r="GFN24" s="1472"/>
      <c r="GFO24" s="1472"/>
      <c r="GFP24" s="1472"/>
      <c r="GFQ24" s="1472"/>
      <c r="GFR24" s="1472"/>
      <c r="GFS24" s="1472"/>
      <c r="GFT24" s="1472"/>
      <c r="GFU24" s="1472"/>
      <c r="GFV24" s="1472"/>
      <c r="GFW24" s="1472"/>
      <c r="GFX24" s="1472"/>
      <c r="GFY24" s="1472"/>
      <c r="GFZ24" s="1473"/>
      <c r="GGA24" s="1471"/>
      <c r="GGB24" s="1472"/>
      <c r="GGC24" s="1472"/>
      <c r="GGD24" s="1472"/>
      <c r="GGE24" s="1472"/>
      <c r="GGF24" s="1472"/>
      <c r="GGG24" s="1472"/>
      <c r="GGH24" s="1472"/>
      <c r="GGI24" s="1472"/>
      <c r="GGJ24" s="1472"/>
      <c r="GGK24" s="1472"/>
      <c r="GGL24" s="1472"/>
      <c r="GGM24" s="1472"/>
      <c r="GGN24" s="1473"/>
      <c r="GGO24" s="1471"/>
      <c r="GGP24" s="1472"/>
      <c r="GGQ24" s="1472"/>
      <c r="GGR24" s="1472"/>
      <c r="GGS24" s="1472"/>
      <c r="GGT24" s="1472"/>
      <c r="GGU24" s="1472"/>
      <c r="GGV24" s="1472"/>
      <c r="GGW24" s="1472"/>
      <c r="GGX24" s="1472"/>
      <c r="GGY24" s="1472"/>
      <c r="GGZ24" s="1472"/>
      <c r="GHA24" s="1472"/>
      <c r="GHB24" s="1473"/>
      <c r="GHC24" s="1471"/>
      <c r="GHD24" s="1472"/>
      <c r="GHE24" s="1472"/>
      <c r="GHF24" s="1472"/>
      <c r="GHG24" s="1472"/>
      <c r="GHH24" s="1472"/>
      <c r="GHI24" s="1472"/>
      <c r="GHJ24" s="1472"/>
      <c r="GHK24" s="1472"/>
      <c r="GHL24" s="1472"/>
      <c r="GHM24" s="1472"/>
      <c r="GHN24" s="1472"/>
      <c r="GHO24" s="1472"/>
      <c r="GHP24" s="1473"/>
      <c r="GHQ24" s="1471"/>
      <c r="GHR24" s="1472"/>
      <c r="GHS24" s="1472"/>
      <c r="GHT24" s="1472"/>
      <c r="GHU24" s="1472"/>
      <c r="GHV24" s="1472"/>
      <c r="GHW24" s="1472"/>
      <c r="GHX24" s="1472"/>
      <c r="GHY24" s="1472"/>
      <c r="GHZ24" s="1472"/>
      <c r="GIA24" s="1472"/>
      <c r="GIB24" s="1472"/>
      <c r="GIC24" s="1472"/>
      <c r="GID24" s="1473"/>
      <c r="GIE24" s="1471"/>
      <c r="GIF24" s="1472"/>
      <c r="GIG24" s="1472"/>
      <c r="GIH24" s="1472"/>
      <c r="GII24" s="1472"/>
      <c r="GIJ24" s="1472"/>
      <c r="GIK24" s="1472"/>
      <c r="GIL24" s="1472"/>
      <c r="GIM24" s="1472"/>
      <c r="GIN24" s="1472"/>
      <c r="GIO24" s="1472"/>
      <c r="GIP24" s="1472"/>
      <c r="GIQ24" s="1472"/>
      <c r="GIR24" s="1473"/>
      <c r="GIS24" s="1471"/>
      <c r="GIT24" s="1472"/>
      <c r="GIU24" s="1472"/>
      <c r="GIV24" s="1472"/>
      <c r="GIW24" s="1472"/>
      <c r="GIX24" s="1472"/>
      <c r="GIY24" s="1472"/>
      <c r="GIZ24" s="1472"/>
      <c r="GJA24" s="1472"/>
      <c r="GJB24" s="1472"/>
      <c r="GJC24" s="1472"/>
      <c r="GJD24" s="1472"/>
      <c r="GJE24" s="1472"/>
      <c r="GJF24" s="1473"/>
      <c r="GJG24" s="1471"/>
      <c r="GJH24" s="1472"/>
      <c r="GJI24" s="1472"/>
      <c r="GJJ24" s="1472"/>
      <c r="GJK24" s="1472"/>
      <c r="GJL24" s="1472"/>
      <c r="GJM24" s="1472"/>
      <c r="GJN24" s="1472"/>
      <c r="GJO24" s="1472"/>
      <c r="GJP24" s="1472"/>
      <c r="GJQ24" s="1472"/>
      <c r="GJR24" s="1472"/>
      <c r="GJS24" s="1472"/>
      <c r="GJT24" s="1473"/>
      <c r="GJU24" s="1471"/>
      <c r="GJV24" s="1472"/>
      <c r="GJW24" s="1472"/>
      <c r="GJX24" s="1472"/>
      <c r="GJY24" s="1472"/>
      <c r="GJZ24" s="1472"/>
      <c r="GKA24" s="1472"/>
      <c r="GKB24" s="1472"/>
      <c r="GKC24" s="1472"/>
      <c r="GKD24" s="1472"/>
      <c r="GKE24" s="1472"/>
      <c r="GKF24" s="1472"/>
      <c r="GKG24" s="1472"/>
      <c r="GKH24" s="1473"/>
      <c r="GKI24" s="1471"/>
      <c r="GKJ24" s="1472"/>
      <c r="GKK24" s="1472"/>
      <c r="GKL24" s="1472"/>
      <c r="GKM24" s="1472"/>
      <c r="GKN24" s="1472"/>
      <c r="GKO24" s="1472"/>
      <c r="GKP24" s="1472"/>
      <c r="GKQ24" s="1472"/>
      <c r="GKR24" s="1472"/>
      <c r="GKS24" s="1472"/>
      <c r="GKT24" s="1472"/>
      <c r="GKU24" s="1472"/>
      <c r="GKV24" s="1473"/>
      <c r="GKW24" s="1471"/>
      <c r="GKX24" s="1472"/>
      <c r="GKY24" s="1472"/>
      <c r="GKZ24" s="1472"/>
      <c r="GLA24" s="1472"/>
      <c r="GLB24" s="1472"/>
      <c r="GLC24" s="1472"/>
      <c r="GLD24" s="1472"/>
      <c r="GLE24" s="1472"/>
      <c r="GLF24" s="1472"/>
      <c r="GLG24" s="1472"/>
      <c r="GLH24" s="1472"/>
      <c r="GLI24" s="1472"/>
      <c r="GLJ24" s="1473"/>
      <c r="GLK24" s="1471"/>
      <c r="GLL24" s="1472"/>
      <c r="GLM24" s="1472"/>
      <c r="GLN24" s="1472"/>
      <c r="GLO24" s="1472"/>
      <c r="GLP24" s="1472"/>
      <c r="GLQ24" s="1472"/>
      <c r="GLR24" s="1472"/>
      <c r="GLS24" s="1472"/>
      <c r="GLT24" s="1472"/>
      <c r="GLU24" s="1472"/>
      <c r="GLV24" s="1472"/>
      <c r="GLW24" s="1472"/>
      <c r="GLX24" s="1473"/>
      <c r="GLY24" s="1471"/>
      <c r="GLZ24" s="1472"/>
      <c r="GMA24" s="1472"/>
      <c r="GMB24" s="1472"/>
      <c r="GMC24" s="1472"/>
      <c r="GMD24" s="1472"/>
      <c r="GME24" s="1472"/>
      <c r="GMF24" s="1472"/>
      <c r="GMG24" s="1472"/>
      <c r="GMH24" s="1472"/>
      <c r="GMI24" s="1472"/>
      <c r="GMJ24" s="1472"/>
      <c r="GMK24" s="1472"/>
      <c r="GML24" s="1473"/>
      <c r="GMM24" s="1471"/>
      <c r="GMN24" s="1472"/>
      <c r="GMO24" s="1472"/>
      <c r="GMP24" s="1472"/>
      <c r="GMQ24" s="1472"/>
      <c r="GMR24" s="1472"/>
      <c r="GMS24" s="1472"/>
      <c r="GMT24" s="1472"/>
      <c r="GMU24" s="1472"/>
      <c r="GMV24" s="1472"/>
      <c r="GMW24" s="1472"/>
      <c r="GMX24" s="1472"/>
      <c r="GMY24" s="1472"/>
      <c r="GMZ24" s="1473"/>
      <c r="GNA24" s="1471"/>
      <c r="GNB24" s="1472"/>
      <c r="GNC24" s="1472"/>
      <c r="GND24" s="1472"/>
      <c r="GNE24" s="1472"/>
      <c r="GNF24" s="1472"/>
      <c r="GNG24" s="1472"/>
      <c r="GNH24" s="1472"/>
      <c r="GNI24" s="1472"/>
      <c r="GNJ24" s="1472"/>
      <c r="GNK24" s="1472"/>
      <c r="GNL24" s="1472"/>
      <c r="GNM24" s="1472"/>
      <c r="GNN24" s="1473"/>
      <c r="GNO24" s="1471"/>
      <c r="GNP24" s="1472"/>
      <c r="GNQ24" s="1472"/>
      <c r="GNR24" s="1472"/>
      <c r="GNS24" s="1472"/>
      <c r="GNT24" s="1472"/>
      <c r="GNU24" s="1472"/>
      <c r="GNV24" s="1472"/>
      <c r="GNW24" s="1472"/>
      <c r="GNX24" s="1472"/>
      <c r="GNY24" s="1472"/>
      <c r="GNZ24" s="1472"/>
      <c r="GOA24" s="1472"/>
      <c r="GOB24" s="1473"/>
      <c r="GOC24" s="1471"/>
      <c r="GOD24" s="1472"/>
      <c r="GOE24" s="1472"/>
      <c r="GOF24" s="1472"/>
      <c r="GOG24" s="1472"/>
      <c r="GOH24" s="1472"/>
      <c r="GOI24" s="1472"/>
      <c r="GOJ24" s="1472"/>
      <c r="GOK24" s="1472"/>
      <c r="GOL24" s="1472"/>
      <c r="GOM24" s="1472"/>
      <c r="GON24" s="1472"/>
      <c r="GOO24" s="1472"/>
      <c r="GOP24" s="1473"/>
      <c r="GOQ24" s="1471"/>
      <c r="GOR24" s="1472"/>
      <c r="GOS24" s="1472"/>
      <c r="GOT24" s="1472"/>
      <c r="GOU24" s="1472"/>
      <c r="GOV24" s="1472"/>
      <c r="GOW24" s="1472"/>
      <c r="GOX24" s="1472"/>
      <c r="GOY24" s="1472"/>
      <c r="GOZ24" s="1472"/>
      <c r="GPA24" s="1472"/>
      <c r="GPB24" s="1472"/>
      <c r="GPC24" s="1472"/>
      <c r="GPD24" s="1473"/>
      <c r="GPE24" s="1471"/>
      <c r="GPF24" s="1472"/>
      <c r="GPG24" s="1472"/>
      <c r="GPH24" s="1472"/>
      <c r="GPI24" s="1472"/>
      <c r="GPJ24" s="1472"/>
      <c r="GPK24" s="1472"/>
      <c r="GPL24" s="1472"/>
      <c r="GPM24" s="1472"/>
      <c r="GPN24" s="1472"/>
      <c r="GPO24" s="1472"/>
      <c r="GPP24" s="1472"/>
      <c r="GPQ24" s="1472"/>
      <c r="GPR24" s="1473"/>
      <c r="GPS24" s="1471"/>
      <c r="GPT24" s="1472"/>
      <c r="GPU24" s="1472"/>
      <c r="GPV24" s="1472"/>
      <c r="GPW24" s="1472"/>
      <c r="GPX24" s="1472"/>
      <c r="GPY24" s="1472"/>
      <c r="GPZ24" s="1472"/>
      <c r="GQA24" s="1472"/>
      <c r="GQB24" s="1472"/>
      <c r="GQC24" s="1472"/>
      <c r="GQD24" s="1472"/>
      <c r="GQE24" s="1472"/>
      <c r="GQF24" s="1473"/>
      <c r="GQG24" s="1471"/>
      <c r="GQH24" s="1472"/>
      <c r="GQI24" s="1472"/>
      <c r="GQJ24" s="1472"/>
      <c r="GQK24" s="1472"/>
      <c r="GQL24" s="1472"/>
      <c r="GQM24" s="1472"/>
      <c r="GQN24" s="1472"/>
      <c r="GQO24" s="1472"/>
      <c r="GQP24" s="1472"/>
      <c r="GQQ24" s="1472"/>
      <c r="GQR24" s="1472"/>
      <c r="GQS24" s="1472"/>
      <c r="GQT24" s="1473"/>
      <c r="GQU24" s="1471"/>
      <c r="GQV24" s="1472"/>
      <c r="GQW24" s="1472"/>
      <c r="GQX24" s="1472"/>
      <c r="GQY24" s="1472"/>
      <c r="GQZ24" s="1472"/>
      <c r="GRA24" s="1472"/>
      <c r="GRB24" s="1472"/>
      <c r="GRC24" s="1472"/>
      <c r="GRD24" s="1472"/>
      <c r="GRE24" s="1472"/>
      <c r="GRF24" s="1472"/>
      <c r="GRG24" s="1472"/>
      <c r="GRH24" s="1473"/>
      <c r="GRI24" s="1471"/>
      <c r="GRJ24" s="1472"/>
      <c r="GRK24" s="1472"/>
      <c r="GRL24" s="1472"/>
      <c r="GRM24" s="1472"/>
      <c r="GRN24" s="1472"/>
      <c r="GRO24" s="1472"/>
      <c r="GRP24" s="1472"/>
      <c r="GRQ24" s="1472"/>
      <c r="GRR24" s="1472"/>
      <c r="GRS24" s="1472"/>
      <c r="GRT24" s="1472"/>
      <c r="GRU24" s="1472"/>
      <c r="GRV24" s="1473"/>
      <c r="GRW24" s="1471"/>
      <c r="GRX24" s="1472"/>
      <c r="GRY24" s="1472"/>
      <c r="GRZ24" s="1472"/>
      <c r="GSA24" s="1472"/>
      <c r="GSB24" s="1472"/>
      <c r="GSC24" s="1472"/>
      <c r="GSD24" s="1472"/>
      <c r="GSE24" s="1472"/>
      <c r="GSF24" s="1472"/>
      <c r="GSG24" s="1472"/>
      <c r="GSH24" s="1472"/>
      <c r="GSI24" s="1472"/>
      <c r="GSJ24" s="1473"/>
      <c r="GSK24" s="1471"/>
      <c r="GSL24" s="1472"/>
      <c r="GSM24" s="1472"/>
      <c r="GSN24" s="1472"/>
      <c r="GSO24" s="1472"/>
      <c r="GSP24" s="1472"/>
      <c r="GSQ24" s="1472"/>
      <c r="GSR24" s="1472"/>
      <c r="GSS24" s="1472"/>
      <c r="GST24" s="1472"/>
      <c r="GSU24" s="1472"/>
      <c r="GSV24" s="1472"/>
      <c r="GSW24" s="1472"/>
      <c r="GSX24" s="1473"/>
      <c r="GSY24" s="1471"/>
      <c r="GSZ24" s="1472"/>
      <c r="GTA24" s="1472"/>
      <c r="GTB24" s="1472"/>
      <c r="GTC24" s="1472"/>
      <c r="GTD24" s="1472"/>
      <c r="GTE24" s="1472"/>
      <c r="GTF24" s="1472"/>
      <c r="GTG24" s="1472"/>
      <c r="GTH24" s="1472"/>
      <c r="GTI24" s="1472"/>
      <c r="GTJ24" s="1472"/>
      <c r="GTK24" s="1472"/>
      <c r="GTL24" s="1473"/>
      <c r="GTM24" s="1471"/>
      <c r="GTN24" s="1472"/>
      <c r="GTO24" s="1472"/>
      <c r="GTP24" s="1472"/>
      <c r="GTQ24" s="1472"/>
      <c r="GTR24" s="1472"/>
      <c r="GTS24" s="1472"/>
      <c r="GTT24" s="1472"/>
      <c r="GTU24" s="1472"/>
      <c r="GTV24" s="1472"/>
      <c r="GTW24" s="1472"/>
      <c r="GTX24" s="1472"/>
      <c r="GTY24" s="1472"/>
      <c r="GTZ24" s="1473"/>
      <c r="GUA24" s="1471"/>
      <c r="GUB24" s="1472"/>
      <c r="GUC24" s="1472"/>
      <c r="GUD24" s="1472"/>
      <c r="GUE24" s="1472"/>
      <c r="GUF24" s="1472"/>
      <c r="GUG24" s="1472"/>
      <c r="GUH24" s="1472"/>
      <c r="GUI24" s="1472"/>
      <c r="GUJ24" s="1472"/>
      <c r="GUK24" s="1472"/>
      <c r="GUL24" s="1472"/>
      <c r="GUM24" s="1472"/>
      <c r="GUN24" s="1473"/>
      <c r="GUO24" s="1471"/>
      <c r="GUP24" s="1472"/>
      <c r="GUQ24" s="1472"/>
      <c r="GUR24" s="1472"/>
      <c r="GUS24" s="1472"/>
      <c r="GUT24" s="1472"/>
      <c r="GUU24" s="1472"/>
      <c r="GUV24" s="1472"/>
      <c r="GUW24" s="1472"/>
      <c r="GUX24" s="1472"/>
      <c r="GUY24" s="1472"/>
      <c r="GUZ24" s="1472"/>
      <c r="GVA24" s="1472"/>
      <c r="GVB24" s="1473"/>
      <c r="GVC24" s="1471"/>
      <c r="GVD24" s="1472"/>
      <c r="GVE24" s="1472"/>
      <c r="GVF24" s="1472"/>
      <c r="GVG24" s="1472"/>
      <c r="GVH24" s="1472"/>
      <c r="GVI24" s="1472"/>
      <c r="GVJ24" s="1472"/>
      <c r="GVK24" s="1472"/>
      <c r="GVL24" s="1472"/>
      <c r="GVM24" s="1472"/>
      <c r="GVN24" s="1472"/>
      <c r="GVO24" s="1472"/>
      <c r="GVP24" s="1473"/>
      <c r="GVQ24" s="1471"/>
      <c r="GVR24" s="1472"/>
      <c r="GVS24" s="1472"/>
      <c r="GVT24" s="1472"/>
      <c r="GVU24" s="1472"/>
      <c r="GVV24" s="1472"/>
      <c r="GVW24" s="1472"/>
      <c r="GVX24" s="1472"/>
      <c r="GVY24" s="1472"/>
      <c r="GVZ24" s="1472"/>
      <c r="GWA24" s="1472"/>
      <c r="GWB24" s="1472"/>
      <c r="GWC24" s="1472"/>
      <c r="GWD24" s="1473"/>
      <c r="GWE24" s="1471"/>
      <c r="GWF24" s="1472"/>
      <c r="GWG24" s="1472"/>
      <c r="GWH24" s="1472"/>
      <c r="GWI24" s="1472"/>
      <c r="GWJ24" s="1472"/>
      <c r="GWK24" s="1472"/>
      <c r="GWL24" s="1472"/>
      <c r="GWM24" s="1472"/>
      <c r="GWN24" s="1472"/>
      <c r="GWO24" s="1472"/>
      <c r="GWP24" s="1472"/>
      <c r="GWQ24" s="1472"/>
      <c r="GWR24" s="1473"/>
      <c r="GWS24" s="1471"/>
      <c r="GWT24" s="1472"/>
      <c r="GWU24" s="1472"/>
      <c r="GWV24" s="1472"/>
      <c r="GWW24" s="1472"/>
      <c r="GWX24" s="1472"/>
      <c r="GWY24" s="1472"/>
      <c r="GWZ24" s="1472"/>
      <c r="GXA24" s="1472"/>
      <c r="GXB24" s="1472"/>
      <c r="GXC24" s="1472"/>
      <c r="GXD24" s="1472"/>
      <c r="GXE24" s="1472"/>
      <c r="GXF24" s="1473"/>
      <c r="GXG24" s="1471"/>
      <c r="GXH24" s="1472"/>
      <c r="GXI24" s="1472"/>
      <c r="GXJ24" s="1472"/>
      <c r="GXK24" s="1472"/>
      <c r="GXL24" s="1472"/>
      <c r="GXM24" s="1472"/>
      <c r="GXN24" s="1472"/>
      <c r="GXO24" s="1472"/>
      <c r="GXP24" s="1472"/>
      <c r="GXQ24" s="1472"/>
      <c r="GXR24" s="1472"/>
      <c r="GXS24" s="1472"/>
      <c r="GXT24" s="1473"/>
      <c r="GXU24" s="1471"/>
      <c r="GXV24" s="1472"/>
      <c r="GXW24" s="1472"/>
      <c r="GXX24" s="1472"/>
      <c r="GXY24" s="1472"/>
      <c r="GXZ24" s="1472"/>
      <c r="GYA24" s="1472"/>
      <c r="GYB24" s="1472"/>
      <c r="GYC24" s="1472"/>
      <c r="GYD24" s="1472"/>
      <c r="GYE24" s="1472"/>
      <c r="GYF24" s="1472"/>
      <c r="GYG24" s="1472"/>
      <c r="GYH24" s="1473"/>
      <c r="GYI24" s="1471"/>
      <c r="GYJ24" s="1472"/>
      <c r="GYK24" s="1472"/>
      <c r="GYL24" s="1472"/>
      <c r="GYM24" s="1472"/>
      <c r="GYN24" s="1472"/>
      <c r="GYO24" s="1472"/>
      <c r="GYP24" s="1472"/>
      <c r="GYQ24" s="1472"/>
      <c r="GYR24" s="1472"/>
      <c r="GYS24" s="1472"/>
      <c r="GYT24" s="1472"/>
      <c r="GYU24" s="1472"/>
      <c r="GYV24" s="1473"/>
      <c r="GYW24" s="1471"/>
      <c r="GYX24" s="1472"/>
      <c r="GYY24" s="1472"/>
      <c r="GYZ24" s="1472"/>
      <c r="GZA24" s="1472"/>
      <c r="GZB24" s="1472"/>
      <c r="GZC24" s="1472"/>
      <c r="GZD24" s="1472"/>
      <c r="GZE24" s="1472"/>
      <c r="GZF24" s="1472"/>
      <c r="GZG24" s="1472"/>
      <c r="GZH24" s="1472"/>
      <c r="GZI24" s="1472"/>
      <c r="GZJ24" s="1473"/>
      <c r="GZK24" s="1471"/>
      <c r="GZL24" s="1472"/>
      <c r="GZM24" s="1472"/>
      <c r="GZN24" s="1472"/>
      <c r="GZO24" s="1472"/>
      <c r="GZP24" s="1472"/>
      <c r="GZQ24" s="1472"/>
      <c r="GZR24" s="1472"/>
      <c r="GZS24" s="1472"/>
      <c r="GZT24" s="1472"/>
      <c r="GZU24" s="1472"/>
      <c r="GZV24" s="1472"/>
      <c r="GZW24" s="1472"/>
      <c r="GZX24" s="1473"/>
      <c r="GZY24" s="1471"/>
      <c r="GZZ24" s="1472"/>
      <c r="HAA24" s="1472"/>
      <c r="HAB24" s="1472"/>
      <c r="HAC24" s="1472"/>
      <c r="HAD24" s="1472"/>
      <c r="HAE24" s="1472"/>
      <c r="HAF24" s="1472"/>
      <c r="HAG24" s="1472"/>
      <c r="HAH24" s="1472"/>
      <c r="HAI24" s="1472"/>
      <c r="HAJ24" s="1472"/>
      <c r="HAK24" s="1472"/>
      <c r="HAL24" s="1473"/>
      <c r="HAM24" s="1471"/>
      <c r="HAN24" s="1472"/>
      <c r="HAO24" s="1472"/>
      <c r="HAP24" s="1472"/>
      <c r="HAQ24" s="1472"/>
      <c r="HAR24" s="1472"/>
      <c r="HAS24" s="1472"/>
      <c r="HAT24" s="1472"/>
      <c r="HAU24" s="1472"/>
      <c r="HAV24" s="1472"/>
      <c r="HAW24" s="1472"/>
      <c r="HAX24" s="1472"/>
      <c r="HAY24" s="1472"/>
      <c r="HAZ24" s="1473"/>
      <c r="HBA24" s="1471"/>
      <c r="HBB24" s="1472"/>
      <c r="HBC24" s="1472"/>
      <c r="HBD24" s="1472"/>
      <c r="HBE24" s="1472"/>
      <c r="HBF24" s="1472"/>
      <c r="HBG24" s="1472"/>
      <c r="HBH24" s="1472"/>
      <c r="HBI24" s="1472"/>
      <c r="HBJ24" s="1472"/>
      <c r="HBK24" s="1472"/>
      <c r="HBL24" s="1472"/>
      <c r="HBM24" s="1472"/>
      <c r="HBN24" s="1473"/>
      <c r="HBO24" s="1471"/>
      <c r="HBP24" s="1472"/>
      <c r="HBQ24" s="1472"/>
      <c r="HBR24" s="1472"/>
      <c r="HBS24" s="1472"/>
      <c r="HBT24" s="1472"/>
      <c r="HBU24" s="1472"/>
      <c r="HBV24" s="1472"/>
      <c r="HBW24" s="1472"/>
      <c r="HBX24" s="1472"/>
      <c r="HBY24" s="1472"/>
      <c r="HBZ24" s="1472"/>
      <c r="HCA24" s="1472"/>
      <c r="HCB24" s="1473"/>
      <c r="HCC24" s="1471"/>
      <c r="HCD24" s="1472"/>
      <c r="HCE24" s="1472"/>
      <c r="HCF24" s="1472"/>
      <c r="HCG24" s="1472"/>
      <c r="HCH24" s="1472"/>
      <c r="HCI24" s="1472"/>
      <c r="HCJ24" s="1472"/>
      <c r="HCK24" s="1472"/>
      <c r="HCL24" s="1472"/>
      <c r="HCM24" s="1472"/>
      <c r="HCN24" s="1472"/>
      <c r="HCO24" s="1472"/>
      <c r="HCP24" s="1473"/>
      <c r="HCQ24" s="1471"/>
      <c r="HCR24" s="1472"/>
      <c r="HCS24" s="1472"/>
      <c r="HCT24" s="1472"/>
      <c r="HCU24" s="1472"/>
      <c r="HCV24" s="1472"/>
      <c r="HCW24" s="1472"/>
      <c r="HCX24" s="1472"/>
      <c r="HCY24" s="1472"/>
      <c r="HCZ24" s="1472"/>
      <c r="HDA24" s="1472"/>
      <c r="HDB24" s="1472"/>
      <c r="HDC24" s="1472"/>
      <c r="HDD24" s="1473"/>
      <c r="HDE24" s="1471"/>
      <c r="HDF24" s="1472"/>
      <c r="HDG24" s="1472"/>
      <c r="HDH24" s="1472"/>
      <c r="HDI24" s="1472"/>
      <c r="HDJ24" s="1472"/>
      <c r="HDK24" s="1472"/>
      <c r="HDL24" s="1472"/>
      <c r="HDM24" s="1472"/>
      <c r="HDN24" s="1472"/>
      <c r="HDO24" s="1472"/>
      <c r="HDP24" s="1472"/>
      <c r="HDQ24" s="1472"/>
      <c r="HDR24" s="1473"/>
      <c r="HDS24" s="1471"/>
      <c r="HDT24" s="1472"/>
      <c r="HDU24" s="1472"/>
      <c r="HDV24" s="1472"/>
      <c r="HDW24" s="1472"/>
      <c r="HDX24" s="1472"/>
      <c r="HDY24" s="1472"/>
      <c r="HDZ24" s="1472"/>
      <c r="HEA24" s="1472"/>
      <c r="HEB24" s="1472"/>
      <c r="HEC24" s="1472"/>
      <c r="HED24" s="1472"/>
      <c r="HEE24" s="1472"/>
      <c r="HEF24" s="1473"/>
      <c r="HEG24" s="1471"/>
      <c r="HEH24" s="1472"/>
      <c r="HEI24" s="1472"/>
      <c r="HEJ24" s="1472"/>
      <c r="HEK24" s="1472"/>
      <c r="HEL24" s="1472"/>
      <c r="HEM24" s="1472"/>
      <c r="HEN24" s="1472"/>
      <c r="HEO24" s="1472"/>
      <c r="HEP24" s="1472"/>
      <c r="HEQ24" s="1472"/>
      <c r="HER24" s="1472"/>
      <c r="HES24" s="1472"/>
      <c r="HET24" s="1473"/>
      <c r="HEU24" s="1471"/>
      <c r="HEV24" s="1472"/>
      <c r="HEW24" s="1472"/>
      <c r="HEX24" s="1472"/>
      <c r="HEY24" s="1472"/>
      <c r="HEZ24" s="1472"/>
      <c r="HFA24" s="1472"/>
      <c r="HFB24" s="1472"/>
      <c r="HFC24" s="1472"/>
      <c r="HFD24" s="1472"/>
      <c r="HFE24" s="1472"/>
      <c r="HFF24" s="1472"/>
      <c r="HFG24" s="1472"/>
      <c r="HFH24" s="1473"/>
      <c r="HFI24" s="1471"/>
      <c r="HFJ24" s="1472"/>
      <c r="HFK24" s="1472"/>
      <c r="HFL24" s="1472"/>
      <c r="HFM24" s="1472"/>
      <c r="HFN24" s="1472"/>
      <c r="HFO24" s="1472"/>
      <c r="HFP24" s="1472"/>
      <c r="HFQ24" s="1472"/>
      <c r="HFR24" s="1472"/>
      <c r="HFS24" s="1472"/>
      <c r="HFT24" s="1472"/>
      <c r="HFU24" s="1472"/>
      <c r="HFV24" s="1473"/>
      <c r="HFW24" s="1471"/>
      <c r="HFX24" s="1472"/>
      <c r="HFY24" s="1472"/>
      <c r="HFZ24" s="1472"/>
      <c r="HGA24" s="1472"/>
      <c r="HGB24" s="1472"/>
      <c r="HGC24" s="1472"/>
      <c r="HGD24" s="1472"/>
      <c r="HGE24" s="1472"/>
      <c r="HGF24" s="1472"/>
      <c r="HGG24" s="1472"/>
      <c r="HGH24" s="1472"/>
      <c r="HGI24" s="1472"/>
      <c r="HGJ24" s="1473"/>
      <c r="HGK24" s="1471"/>
      <c r="HGL24" s="1472"/>
      <c r="HGM24" s="1472"/>
      <c r="HGN24" s="1472"/>
      <c r="HGO24" s="1472"/>
      <c r="HGP24" s="1472"/>
      <c r="HGQ24" s="1472"/>
      <c r="HGR24" s="1472"/>
      <c r="HGS24" s="1472"/>
      <c r="HGT24" s="1472"/>
      <c r="HGU24" s="1472"/>
      <c r="HGV24" s="1472"/>
      <c r="HGW24" s="1472"/>
      <c r="HGX24" s="1473"/>
      <c r="HGY24" s="1471"/>
      <c r="HGZ24" s="1472"/>
      <c r="HHA24" s="1472"/>
      <c r="HHB24" s="1472"/>
      <c r="HHC24" s="1472"/>
      <c r="HHD24" s="1472"/>
      <c r="HHE24" s="1472"/>
      <c r="HHF24" s="1472"/>
      <c r="HHG24" s="1472"/>
      <c r="HHH24" s="1472"/>
      <c r="HHI24" s="1472"/>
      <c r="HHJ24" s="1472"/>
      <c r="HHK24" s="1472"/>
      <c r="HHL24" s="1473"/>
      <c r="HHM24" s="1471"/>
      <c r="HHN24" s="1472"/>
      <c r="HHO24" s="1472"/>
      <c r="HHP24" s="1472"/>
      <c r="HHQ24" s="1472"/>
      <c r="HHR24" s="1472"/>
      <c r="HHS24" s="1472"/>
      <c r="HHT24" s="1472"/>
      <c r="HHU24" s="1472"/>
      <c r="HHV24" s="1472"/>
      <c r="HHW24" s="1472"/>
      <c r="HHX24" s="1472"/>
      <c r="HHY24" s="1472"/>
      <c r="HHZ24" s="1473"/>
      <c r="HIA24" s="1471"/>
      <c r="HIB24" s="1472"/>
      <c r="HIC24" s="1472"/>
      <c r="HID24" s="1472"/>
      <c r="HIE24" s="1472"/>
      <c r="HIF24" s="1472"/>
      <c r="HIG24" s="1472"/>
      <c r="HIH24" s="1472"/>
      <c r="HII24" s="1472"/>
      <c r="HIJ24" s="1472"/>
      <c r="HIK24" s="1472"/>
      <c r="HIL24" s="1472"/>
      <c r="HIM24" s="1472"/>
      <c r="HIN24" s="1473"/>
      <c r="HIO24" s="1471"/>
      <c r="HIP24" s="1472"/>
      <c r="HIQ24" s="1472"/>
      <c r="HIR24" s="1472"/>
      <c r="HIS24" s="1472"/>
      <c r="HIT24" s="1472"/>
      <c r="HIU24" s="1472"/>
      <c r="HIV24" s="1472"/>
      <c r="HIW24" s="1472"/>
      <c r="HIX24" s="1472"/>
      <c r="HIY24" s="1472"/>
      <c r="HIZ24" s="1472"/>
      <c r="HJA24" s="1472"/>
      <c r="HJB24" s="1473"/>
      <c r="HJC24" s="1471"/>
      <c r="HJD24" s="1472"/>
      <c r="HJE24" s="1472"/>
      <c r="HJF24" s="1472"/>
      <c r="HJG24" s="1472"/>
      <c r="HJH24" s="1472"/>
      <c r="HJI24" s="1472"/>
      <c r="HJJ24" s="1472"/>
      <c r="HJK24" s="1472"/>
      <c r="HJL24" s="1472"/>
      <c r="HJM24" s="1472"/>
      <c r="HJN24" s="1472"/>
      <c r="HJO24" s="1472"/>
      <c r="HJP24" s="1473"/>
      <c r="HJQ24" s="1471"/>
      <c r="HJR24" s="1472"/>
      <c r="HJS24" s="1472"/>
      <c r="HJT24" s="1472"/>
      <c r="HJU24" s="1472"/>
      <c r="HJV24" s="1472"/>
      <c r="HJW24" s="1472"/>
      <c r="HJX24" s="1472"/>
      <c r="HJY24" s="1472"/>
      <c r="HJZ24" s="1472"/>
      <c r="HKA24" s="1472"/>
      <c r="HKB24" s="1472"/>
      <c r="HKC24" s="1472"/>
      <c r="HKD24" s="1473"/>
      <c r="HKE24" s="1471"/>
      <c r="HKF24" s="1472"/>
      <c r="HKG24" s="1472"/>
      <c r="HKH24" s="1472"/>
      <c r="HKI24" s="1472"/>
      <c r="HKJ24" s="1472"/>
      <c r="HKK24" s="1472"/>
      <c r="HKL24" s="1472"/>
      <c r="HKM24" s="1472"/>
      <c r="HKN24" s="1472"/>
      <c r="HKO24" s="1472"/>
      <c r="HKP24" s="1472"/>
      <c r="HKQ24" s="1472"/>
      <c r="HKR24" s="1473"/>
      <c r="HKS24" s="1471"/>
      <c r="HKT24" s="1472"/>
      <c r="HKU24" s="1472"/>
      <c r="HKV24" s="1472"/>
      <c r="HKW24" s="1472"/>
      <c r="HKX24" s="1472"/>
      <c r="HKY24" s="1472"/>
      <c r="HKZ24" s="1472"/>
      <c r="HLA24" s="1472"/>
      <c r="HLB24" s="1472"/>
      <c r="HLC24" s="1472"/>
      <c r="HLD24" s="1472"/>
      <c r="HLE24" s="1472"/>
      <c r="HLF24" s="1473"/>
      <c r="HLG24" s="1471"/>
      <c r="HLH24" s="1472"/>
      <c r="HLI24" s="1472"/>
      <c r="HLJ24" s="1472"/>
      <c r="HLK24" s="1472"/>
      <c r="HLL24" s="1472"/>
      <c r="HLM24" s="1472"/>
      <c r="HLN24" s="1472"/>
      <c r="HLO24" s="1472"/>
      <c r="HLP24" s="1472"/>
      <c r="HLQ24" s="1472"/>
      <c r="HLR24" s="1472"/>
      <c r="HLS24" s="1472"/>
      <c r="HLT24" s="1473"/>
      <c r="HLU24" s="1471"/>
      <c r="HLV24" s="1472"/>
      <c r="HLW24" s="1472"/>
      <c r="HLX24" s="1472"/>
      <c r="HLY24" s="1472"/>
      <c r="HLZ24" s="1472"/>
      <c r="HMA24" s="1472"/>
      <c r="HMB24" s="1472"/>
      <c r="HMC24" s="1472"/>
      <c r="HMD24" s="1472"/>
      <c r="HME24" s="1472"/>
      <c r="HMF24" s="1472"/>
      <c r="HMG24" s="1472"/>
      <c r="HMH24" s="1473"/>
      <c r="HMI24" s="1471"/>
      <c r="HMJ24" s="1472"/>
      <c r="HMK24" s="1472"/>
      <c r="HML24" s="1472"/>
      <c r="HMM24" s="1472"/>
      <c r="HMN24" s="1472"/>
      <c r="HMO24" s="1472"/>
      <c r="HMP24" s="1472"/>
      <c r="HMQ24" s="1472"/>
      <c r="HMR24" s="1472"/>
      <c r="HMS24" s="1472"/>
      <c r="HMT24" s="1472"/>
      <c r="HMU24" s="1472"/>
      <c r="HMV24" s="1473"/>
      <c r="HMW24" s="1471"/>
      <c r="HMX24" s="1472"/>
      <c r="HMY24" s="1472"/>
      <c r="HMZ24" s="1472"/>
      <c r="HNA24" s="1472"/>
      <c r="HNB24" s="1472"/>
      <c r="HNC24" s="1472"/>
      <c r="HND24" s="1472"/>
      <c r="HNE24" s="1472"/>
      <c r="HNF24" s="1472"/>
      <c r="HNG24" s="1472"/>
      <c r="HNH24" s="1472"/>
      <c r="HNI24" s="1472"/>
      <c r="HNJ24" s="1473"/>
      <c r="HNK24" s="1471"/>
      <c r="HNL24" s="1472"/>
      <c r="HNM24" s="1472"/>
      <c r="HNN24" s="1472"/>
      <c r="HNO24" s="1472"/>
      <c r="HNP24" s="1472"/>
      <c r="HNQ24" s="1472"/>
      <c r="HNR24" s="1472"/>
      <c r="HNS24" s="1472"/>
      <c r="HNT24" s="1472"/>
      <c r="HNU24" s="1472"/>
      <c r="HNV24" s="1472"/>
      <c r="HNW24" s="1472"/>
      <c r="HNX24" s="1473"/>
      <c r="HNY24" s="1471"/>
      <c r="HNZ24" s="1472"/>
      <c r="HOA24" s="1472"/>
      <c r="HOB24" s="1472"/>
      <c r="HOC24" s="1472"/>
      <c r="HOD24" s="1472"/>
      <c r="HOE24" s="1472"/>
      <c r="HOF24" s="1472"/>
      <c r="HOG24" s="1472"/>
      <c r="HOH24" s="1472"/>
      <c r="HOI24" s="1472"/>
      <c r="HOJ24" s="1472"/>
      <c r="HOK24" s="1472"/>
      <c r="HOL24" s="1473"/>
      <c r="HOM24" s="1471"/>
      <c r="HON24" s="1472"/>
      <c r="HOO24" s="1472"/>
      <c r="HOP24" s="1472"/>
      <c r="HOQ24" s="1472"/>
      <c r="HOR24" s="1472"/>
      <c r="HOS24" s="1472"/>
      <c r="HOT24" s="1472"/>
      <c r="HOU24" s="1472"/>
      <c r="HOV24" s="1472"/>
      <c r="HOW24" s="1472"/>
      <c r="HOX24" s="1472"/>
      <c r="HOY24" s="1472"/>
      <c r="HOZ24" s="1473"/>
      <c r="HPA24" s="1471"/>
      <c r="HPB24" s="1472"/>
      <c r="HPC24" s="1472"/>
      <c r="HPD24" s="1472"/>
      <c r="HPE24" s="1472"/>
      <c r="HPF24" s="1472"/>
      <c r="HPG24" s="1472"/>
      <c r="HPH24" s="1472"/>
      <c r="HPI24" s="1472"/>
      <c r="HPJ24" s="1472"/>
      <c r="HPK24" s="1472"/>
      <c r="HPL24" s="1472"/>
      <c r="HPM24" s="1472"/>
      <c r="HPN24" s="1473"/>
      <c r="HPO24" s="1471"/>
      <c r="HPP24" s="1472"/>
      <c r="HPQ24" s="1472"/>
      <c r="HPR24" s="1472"/>
      <c r="HPS24" s="1472"/>
      <c r="HPT24" s="1472"/>
      <c r="HPU24" s="1472"/>
      <c r="HPV24" s="1472"/>
      <c r="HPW24" s="1472"/>
      <c r="HPX24" s="1472"/>
      <c r="HPY24" s="1472"/>
      <c r="HPZ24" s="1472"/>
      <c r="HQA24" s="1472"/>
      <c r="HQB24" s="1473"/>
      <c r="HQC24" s="1471"/>
      <c r="HQD24" s="1472"/>
      <c r="HQE24" s="1472"/>
      <c r="HQF24" s="1472"/>
      <c r="HQG24" s="1472"/>
      <c r="HQH24" s="1472"/>
      <c r="HQI24" s="1472"/>
      <c r="HQJ24" s="1472"/>
      <c r="HQK24" s="1472"/>
      <c r="HQL24" s="1472"/>
      <c r="HQM24" s="1472"/>
      <c r="HQN24" s="1472"/>
      <c r="HQO24" s="1472"/>
      <c r="HQP24" s="1473"/>
      <c r="HQQ24" s="1471"/>
      <c r="HQR24" s="1472"/>
      <c r="HQS24" s="1472"/>
      <c r="HQT24" s="1472"/>
      <c r="HQU24" s="1472"/>
      <c r="HQV24" s="1472"/>
      <c r="HQW24" s="1472"/>
      <c r="HQX24" s="1472"/>
      <c r="HQY24" s="1472"/>
      <c r="HQZ24" s="1472"/>
      <c r="HRA24" s="1472"/>
      <c r="HRB24" s="1472"/>
      <c r="HRC24" s="1472"/>
      <c r="HRD24" s="1473"/>
      <c r="HRE24" s="1471"/>
      <c r="HRF24" s="1472"/>
      <c r="HRG24" s="1472"/>
      <c r="HRH24" s="1472"/>
      <c r="HRI24" s="1472"/>
      <c r="HRJ24" s="1472"/>
      <c r="HRK24" s="1472"/>
      <c r="HRL24" s="1472"/>
      <c r="HRM24" s="1472"/>
      <c r="HRN24" s="1472"/>
      <c r="HRO24" s="1472"/>
      <c r="HRP24" s="1472"/>
      <c r="HRQ24" s="1472"/>
      <c r="HRR24" s="1473"/>
      <c r="HRS24" s="1471"/>
      <c r="HRT24" s="1472"/>
      <c r="HRU24" s="1472"/>
      <c r="HRV24" s="1472"/>
      <c r="HRW24" s="1472"/>
      <c r="HRX24" s="1472"/>
      <c r="HRY24" s="1472"/>
      <c r="HRZ24" s="1472"/>
      <c r="HSA24" s="1472"/>
      <c r="HSB24" s="1472"/>
      <c r="HSC24" s="1472"/>
      <c r="HSD24" s="1472"/>
      <c r="HSE24" s="1472"/>
      <c r="HSF24" s="1473"/>
      <c r="HSG24" s="1471"/>
      <c r="HSH24" s="1472"/>
      <c r="HSI24" s="1472"/>
      <c r="HSJ24" s="1472"/>
      <c r="HSK24" s="1472"/>
      <c r="HSL24" s="1472"/>
      <c r="HSM24" s="1472"/>
      <c r="HSN24" s="1472"/>
      <c r="HSO24" s="1472"/>
      <c r="HSP24" s="1472"/>
      <c r="HSQ24" s="1472"/>
      <c r="HSR24" s="1472"/>
      <c r="HSS24" s="1472"/>
      <c r="HST24" s="1473"/>
      <c r="HSU24" s="1471"/>
      <c r="HSV24" s="1472"/>
      <c r="HSW24" s="1472"/>
      <c r="HSX24" s="1472"/>
      <c r="HSY24" s="1472"/>
      <c r="HSZ24" s="1472"/>
      <c r="HTA24" s="1472"/>
      <c r="HTB24" s="1472"/>
      <c r="HTC24" s="1472"/>
      <c r="HTD24" s="1472"/>
      <c r="HTE24" s="1472"/>
      <c r="HTF24" s="1472"/>
      <c r="HTG24" s="1472"/>
      <c r="HTH24" s="1473"/>
      <c r="HTI24" s="1471"/>
      <c r="HTJ24" s="1472"/>
      <c r="HTK24" s="1472"/>
      <c r="HTL24" s="1472"/>
      <c r="HTM24" s="1472"/>
      <c r="HTN24" s="1472"/>
      <c r="HTO24" s="1472"/>
      <c r="HTP24" s="1472"/>
      <c r="HTQ24" s="1472"/>
      <c r="HTR24" s="1472"/>
      <c r="HTS24" s="1472"/>
      <c r="HTT24" s="1472"/>
      <c r="HTU24" s="1472"/>
      <c r="HTV24" s="1473"/>
      <c r="HTW24" s="1471"/>
      <c r="HTX24" s="1472"/>
      <c r="HTY24" s="1472"/>
      <c r="HTZ24" s="1472"/>
      <c r="HUA24" s="1472"/>
      <c r="HUB24" s="1472"/>
      <c r="HUC24" s="1472"/>
      <c r="HUD24" s="1472"/>
      <c r="HUE24" s="1472"/>
      <c r="HUF24" s="1472"/>
      <c r="HUG24" s="1472"/>
      <c r="HUH24" s="1472"/>
      <c r="HUI24" s="1472"/>
      <c r="HUJ24" s="1473"/>
      <c r="HUK24" s="1471"/>
      <c r="HUL24" s="1472"/>
      <c r="HUM24" s="1472"/>
      <c r="HUN24" s="1472"/>
      <c r="HUO24" s="1472"/>
      <c r="HUP24" s="1472"/>
      <c r="HUQ24" s="1472"/>
      <c r="HUR24" s="1472"/>
      <c r="HUS24" s="1472"/>
      <c r="HUT24" s="1472"/>
      <c r="HUU24" s="1472"/>
      <c r="HUV24" s="1472"/>
      <c r="HUW24" s="1472"/>
      <c r="HUX24" s="1473"/>
      <c r="HUY24" s="1471"/>
      <c r="HUZ24" s="1472"/>
      <c r="HVA24" s="1472"/>
      <c r="HVB24" s="1472"/>
      <c r="HVC24" s="1472"/>
      <c r="HVD24" s="1472"/>
      <c r="HVE24" s="1472"/>
      <c r="HVF24" s="1472"/>
      <c r="HVG24" s="1472"/>
      <c r="HVH24" s="1472"/>
      <c r="HVI24" s="1472"/>
      <c r="HVJ24" s="1472"/>
      <c r="HVK24" s="1472"/>
      <c r="HVL24" s="1473"/>
      <c r="HVM24" s="1471"/>
      <c r="HVN24" s="1472"/>
      <c r="HVO24" s="1472"/>
      <c r="HVP24" s="1472"/>
      <c r="HVQ24" s="1472"/>
      <c r="HVR24" s="1472"/>
      <c r="HVS24" s="1472"/>
      <c r="HVT24" s="1472"/>
      <c r="HVU24" s="1472"/>
      <c r="HVV24" s="1472"/>
      <c r="HVW24" s="1472"/>
      <c r="HVX24" s="1472"/>
      <c r="HVY24" s="1472"/>
      <c r="HVZ24" s="1473"/>
      <c r="HWA24" s="1471"/>
      <c r="HWB24" s="1472"/>
      <c r="HWC24" s="1472"/>
      <c r="HWD24" s="1472"/>
      <c r="HWE24" s="1472"/>
      <c r="HWF24" s="1472"/>
      <c r="HWG24" s="1472"/>
      <c r="HWH24" s="1472"/>
      <c r="HWI24" s="1472"/>
      <c r="HWJ24" s="1472"/>
      <c r="HWK24" s="1472"/>
      <c r="HWL24" s="1472"/>
      <c r="HWM24" s="1472"/>
      <c r="HWN24" s="1473"/>
      <c r="HWO24" s="1471"/>
      <c r="HWP24" s="1472"/>
      <c r="HWQ24" s="1472"/>
      <c r="HWR24" s="1472"/>
      <c r="HWS24" s="1472"/>
      <c r="HWT24" s="1472"/>
      <c r="HWU24" s="1472"/>
      <c r="HWV24" s="1472"/>
      <c r="HWW24" s="1472"/>
      <c r="HWX24" s="1472"/>
      <c r="HWY24" s="1472"/>
      <c r="HWZ24" s="1472"/>
      <c r="HXA24" s="1472"/>
      <c r="HXB24" s="1473"/>
      <c r="HXC24" s="1471"/>
      <c r="HXD24" s="1472"/>
      <c r="HXE24" s="1472"/>
      <c r="HXF24" s="1472"/>
      <c r="HXG24" s="1472"/>
      <c r="HXH24" s="1472"/>
      <c r="HXI24" s="1472"/>
      <c r="HXJ24" s="1472"/>
      <c r="HXK24" s="1472"/>
      <c r="HXL24" s="1472"/>
      <c r="HXM24" s="1472"/>
      <c r="HXN24" s="1472"/>
      <c r="HXO24" s="1472"/>
      <c r="HXP24" s="1473"/>
      <c r="HXQ24" s="1471"/>
      <c r="HXR24" s="1472"/>
      <c r="HXS24" s="1472"/>
      <c r="HXT24" s="1472"/>
      <c r="HXU24" s="1472"/>
      <c r="HXV24" s="1472"/>
      <c r="HXW24" s="1472"/>
      <c r="HXX24" s="1472"/>
      <c r="HXY24" s="1472"/>
      <c r="HXZ24" s="1472"/>
      <c r="HYA24" s="1472"/>
      <c r="HYB24" s="1472"/>
      <c r="HYC24" s="1472"/>
      <c r="HYD24" s="1473"/>
      <c r="HYE24" s="1471"/>
      <c r="HYF24" s="1472"/>
      <c r="HYG24" s="1472"/>
      <c r="HYH24" s="1472"/>
      <c r="HYI24" s="1472"/>
      <c r="HYJ24" s="1472"/>
      <c r="HYK24" s="1472"/>
      <c r="HYL24" s="1472"/>
      <c r="HYM24" s="1472"/>
      <c r="HYN24" s="1472"/>
      <c r="HYO24" s="1472"/>
      <c r="HYP24" s="1472"/>
      <c r="HYQ24" s="1472"/>
      <c r="HYR24" s="1473"/>
      <c r="HYS24" s="1471"/>
      <c r="HYT24" s="1472"/>
      <c r="HYU24" s="1472"/>
      <c r="HYV24" s="1472"/>
      <c r="HYW24" s="1472"/>
      <c r="HYX24" s="1472"/>
      <c r="HYY24" s="1472"/>
      <c r="HYZ24" s="1472"/>
      <c r="HZA24" s="1472"/>
      <c r="HZB24" s="1472"/>
      <c r="HZC24" s="1472"/>
      <c r="HZD24" s="1472"/>
      <c r="HZE24" s="1472"/>
      <c r="HZF24" s="1473"/>
      <c r="HZG24" s="1471"/>
      <c r="HZH24" s="1472"/>
      <c r="HZI24" s="1472"/>
      <c r="HZJ24" s="1472"/>
      <c r="HZK24" s="1472"/>
      <c r="HZL24" s="1472"/>
      <c r="HZM24" s="1472"/>
      <c r="HZN24" s="1472"/>
      <c r="HZO24" s="1472"/>
      <c r="HZP24" s="1472"/>
      <c r="HZQ24" s="1472"/>
      <c r="HZR24" s="1472"/>
      <c r="HZS24" s="1472"/>
      <c r="HZT24" s="1473"/>
      <c r="HZU24" s="1471"/>
      <c r="HZV24" s="1472"/>
      <c r="HZW24" s="1472"/>
      <c r="HZX24" s="1472"/>
      <c r="HZY24" s="1472"/>
      <c r="HZZ24" s="1472"/>
      <c r="IAA24" s="1472"/>
      <c r="IAB24" s="1472"/>
      <c r="IAC24" s="1472"/>
      <c r="IAD24" s="1472"/>
      <c r="IAE24" s="1472"/>
      <c r="IAF24" s="1472"/>
      <c r="IAG24" s="1472"/>
      <c r="IAH24" s="1473"/>
      <c r="IAI24" s="1471"/>
      <c r="IAJ24" s="1472"/>
      <c r="IAK24" s="1472"/>
      <c r="IAL24" s="1472"/>
      <c r="IAM24" s="1472"/>
      <c r="IAN24" s="1472"/>
      <c r="IAO24" s="1472"/>
      <c r="IAP24" s="1472"/>
      <c r="IAQ24" s="1472"/>
      <c r="IAR24" s="1472"/>
      <c r="IAS24" s="1472"/>
      <c r="IAT24" s="1472"/>
      <c r="IAU24" s="1472"/>
      <c r="IAV24" s="1473"/>
      <c r="IAW24" s="1471"/>
      <c r="IAX24" s="1472"/>
      <c r="IAY24" s="1472"/>
      <c r="IAZ24" s="1472"/>
      <c r="IBA24" s="1472"/>
      <c r="IBB24" s="1472"/>
      <c r="IBC24" s="1472"/>
      <c r="IBD24" s="1472"/>
      <c r="IBE24" s="1472"/>
      <c r="IBF24" s="1472"/>
      <c r="IBG24" s="1472"/>
      <c r="IBH24" s="1472"/>
      <c r="IBI24" s="1472"/>
      <c r="IBJ24" s="1473"/>
      <c r="IBK24" s="1471"/>
      <c r="IBL24" s="1472"/>
      <c r="IBM24" s="1472"/>
      <c r="IBN24" s="1472"/>
      <c r="IBO24" s="1472"/>
      <c r="IBP24" s="1472"/>
      <c r="IBQ24" s="1472"/>
      <c r="IBR24" s="1472"/>
      <c r="IBS24" s="1472"/>
      <c r="IBT24" s="1472"/>
      <c r="IBU24" s="1472"/>
      <c r="IBV24" s="1472"/>
      <c r="IBW24" s="1472"/>
      <c r="IBX24" s="1473"/>
      <c r="IBY24" s="1471"/>
      <c r="IBZ24" s="1472"/>
      <c r="ICA24" s="1472"/>
      <c r="ICB24" s="1472"/>
      <c r="ICC24" s="1472"/>
      <c r="ICD24" s="1472"/>
      <c r="ICE24" s="1472"/>
      <c r="ICF24" s="1472"/>
      <c r="ICG24" s="1472"/>
      <c r="ICH24" s="1472"/>
      <c r="ICI24" s="1472"/>
      <c r="ICJ24" s="1472"/>
      <c r="ICK24" s="1472"/>
      <c r="ICL24" s="1473"/>
      <c r="ICM24" s="1471"/>
      <c r="ICN24" s="1472"/>
      <c r="ICO24" s="1472"/>
      <c r="ICP24" s="1472"/>
      <c r="ICQ24" s="1472"/>
      <c r="ICR24" s="1472"/>
      <c r="ICS24" s="1472"/>
      <c r="ICT24" s="1472"/>
      <c r="ICU24" s="1472"/>
      <c r="ICV24" s="1472"/>
      <c r="ICW24" s="1472"/>
      <c r="ICX24" s="1472"/>
      <c r="ICY24" s="1472"/>
      <c r="ICZ24" s="1473"/>
      <c r="IDA24" s="1471"/>
      <c r="IDB24" s="1472"/>
      <c r="IDC24" s="1472"/>
      <c r="IDD24" s="1472"/>
      <c r="IDE24" s="1472"/>
      <c r="IDF24" s="1472"/>
      <c r="IDG24" s="1472"/>
      <c r="IDH24" s="1472"/>
      <c r="IDI24" s="1472"/>
      <c r="IDJ24" s="1472"/>
      <c r="IDK24" s="1472"/>
      <c r="IDL24" s="1472"/>
      <c r="IDM24" s="1472"/>
      <c r="IDN24" s="1473"/>
      <c r="IDO24" s="1471"/>
      <c r="IDP24" s="1472"/>
      <c r="IDQ24" s="1472"/>
      <c r="IDR24" s="1472"/>
      <c r="IDS24" s="1472"/>
      <c r="IDT24" s="1472"/>
      <c r="IDU24" s="1472"/>
      <c r="IDV24" s="1472"/>
      <c r="IDW24" s="1472"/>
      <c r="IDX24" s="1472"/>
      <c r="IDY24" s="1472"/>
      <c r="IDZ24" s="1472"/>
      <c r="IEA24" s="1472"/>
      <c r="IEB24" s="1473"/>
      <c r="IEC24" s="1471"/>
      <c r="IED24" s="1472"/>
      <c r="IEE24" s="1472"/>
      <c r="IEF24" s="1472"/>
      <c r="IEG24" s="1472"/>
      <c r="IEH24" s="1472"/>
      <c r="IEI24" s="1472"/>
      <c r="IEJ24" s="1472"/>
      <c r="IEK24" s="1472"/>
      <c r="IEL24" s="1472"/>
      <c r="IEM24" s="1472"/>
      <c r="IEN24" s="1472"/>
      <c r="IEO24" s="1472"/>
      <c r="IEP24" s="1473"/>
      <c r="IEQ24" s="1471"/>
      <c r="IER24" s="1472"/>
      <c r="IES24" s="1472"/>
      <c r="IET24" s="1472"/>
      <c r="IEU24" s="1472"/>
      <c r="IEV24" s="1472"/>
      <c r="IEW24" s="1472"/>
      <c r="IEX24" s="1472"/>
      <c r="IEY24" s="1472"/>
      <c r="IEZ24" s="1472"/>
      <c r="IFA24" s="1472"/>
      <c r="IFB24" s="1472"/>
      <c r="IFC24" s="1472"/>
      <c r="IFD24" s="1473"/>
      <c r="IFE24" s="1471"/>
      <c r="IFF24" s="1472"/>
      <c r="IFG24" s="1472"/>
      <c r="IFH24" s="1472"/>
      <c r="IFI24" s="1472"/>
      <c r="IFJ24" s="1472"/>
      <c r="IFK24" s="1472"/>
      <c r="IFL24" s="1472"/>
      <c r="IFM24" s="1472"/>
      <c r="IFN24" s="1472"/>
      <c r="IFO24" s="1472"/>
      <c r="IFP24" s="1472"/>
      <c r="IFQ24" s="1472"/>
      <c r="IFR24" s="1473"/>
      <c r="IFS24" s="1471"/>
      <c r="IFT24" s="1472"/>
      <c r="IFU24" s="1472"/>
      <c r="IFV24" s="1472"/>
      <c r="IFW24" s="1472"/>
      <c r="IFX24" s="1472"/>
      <c r="IFY24" s="1472"/>
      <c r="IFZ24" s="1472"/>
      <c r="IGA24" s="1472"/>
      <c r="IGB24" s="1472"/>
      <c r="IGC24" s="1472"/>
      <c r="IGD24" s="1472"/>
      <c r="IGE24" s="1472"/>
      <c r="IGF24" s="1473"/>
      <c r="IGG24" s="1471"/>
      <c r="IGH24" s="1472"/>
      <c r="IGI24" s="1472"/>
      <c r="IGJ24" s="1472"/>
      <c r="IGK24" s="1472"/>
      <c r="IGL24" s="1472"/>
      <c r="IGM24" s="1472"/>
      <c r="IGN24" s="1472"/>
      <c r="IGO24" s="1472"/>
      <c r="IGP24" s="1472"/>
      <c r="IGQ24" s="1472"/>
      <c r="IGR24" s="1472"/>
      <c r="IGS24" s="1472"/>
      <c r="IGT24" s="1473"/>
      <c r="IGU24" s="1471"/>
      <c r="IGV24" s="1472"/>
      <c r="IGW24" s="1472"/>
      <c r="IGX24" s="1472"/>
      <c r="IGY24" s="1472"/>
      <c r="IGZ24" s="1472"/>
      <c r="IHA24" s="1472"/>
      <c r="IHB24" s="1472"/>
      <c r="IHC24" s="1472"/>
      <c r="IHD24" s="1472"/>
      <c r="IHE24" s="1472"/>
      <c r="IHF24" s="1472"/>
      <c r="IHG24" s="1472"/>
      <c r="IHH24" s="1473"/>
      <c r="IHI24" s="1471"/>
      <c r="IHJ24" s="1472"/>
      <c r="IHK24" s="1472"/>
      <c r="IHL24" s="1472"/>
      <c r="IHM24" s="1472"/>
      <c r="IHN24" s="1472"/>
      <c r="IHO24" s="1472"/>
      <c r="IHP24" s="1472"/>
      <c r="IHQ24" s="1472"/>
      <c r="IHR24" s="1472"/>
      <c r="IHS24" s="1472"/>
      <c r="IHT24" s="1472"/>
      <c r="IHU24" s="1472"/>
      <c r="IHV24" s="1473"/>
      <c r="IHW24" s="1471"/>
      <c r="IHX24" s="1472"/>
      <c r="IHY24" s="1472"/>
      <c r="IHZ24" s="1472"/>
      <c r="IIA24" s="1472"/>
      <c r="IIB24" s="1472"/>
      <c r="IIC24" s="1472"/>
      <c r="IID24" s="1472"/>
      <c r="IIE24" s="1472"/>
      <c r="IIF24" s="1472"/>
      <c r="IIG24" s="1472"/>
      <c r="IIH24" s="1472"/>
      <c r="III24" s="1472"/>
      <c r="IIJ24" s="1473"/>
      <c r="IIK24" s="1471"/>
      <c r="IIL24" s="1472"/>
      <c r="IIM24" s="1472"/>
      <c r="IIN24" s="1472"/>
      <c r="IIO24" s="1472"/>
      <c r="IIP24" s="1472"/>
      <c r="IIQ24" s="1472"/>
      <c r="IIR24" s="1472"/>
      <c r="IIS24" s="1472"/>
      <c r="IIT24" s="1472"/>
      <c r="IIU24" s="1472"/>
      <c r="IIV24" s="1472"/>
      <c r="IIW24" s="1472"/>
      <c r="IIX24" s="1473"/>
      <c r="IIY24" s="1471"/>
      <c r="IIZ24" s="1472"/>
      <c r="IJA24" s="1472"/>
      <c r="IJB24" s="1472"/>
      <c r="IJC24" s="1472"/>
      <c r="IJD24" s="1472"/>
      <c r="IJE24" s="1472"/>
      <c r="IJF24" s="1472"/>
      <c r="IJG24" s="1472"/>
      <c r="IJH24" s="1472"/>
      <c r="IJI24" s="1472"/>
      <c r="IJJ24" s="1472"/>
      <c r="IJK24" s="1472"/>
      <c r="IJL24" s="1473"/>
      <c r="IJM24" s="1471"/>
      <c r="IJN24" s="1472"/>
      <c r="IJO24" s="1472"/>
      <c r="IJP24" s="1472"/>
      <c r="IJQ24" s="1472"/>
      <c r="IJR24" s="1472"/>
      <c r="IJS24" s="1472"/>
      <c r="IJT24" s="1472"/>
      <c r="IJU24" s="1472"/>
      <c r="IJV24" s="1472"/>
      <c r="IJW24" s="1472"/>
      <c r="IJX24" s="1472"/>
      <c r="IJY24" s="1472"/>
      <c r="IJZ24" s="1473"/>
      <c r="IKA24" s="1471"/>
      <c r="IKB24" s="1472"/>
      <c r="IKC24" s="1472"/>
      <c r="IKD24" s="1472"/>
      <c r="IKE24" s="1472"/>
      <c r="IKF24" s="1472"/>
      <c r="IKG24" s="1472"/>
      <c r="IKH24" s="1472"/>
      <c r="IKI24" s="1472"/>
      <c r="IKJ24" s="1472"/>
      <c r="IKK24" s="1472"/>
      <c r="IKL24" s="1472"/>
      <c r="IKM24" s="1472"/>
      <c r="IKN24" s="1473"/>
      <c r="IKO24" s="1471"/>
      <c r="IKP24" s="1472"/>
      <c r="IKQ24" s="1472"/>
      <c r="IKR24" s="1472"/>
      <c r="IKS24" s="1472"/>
      <c r="IKT24" s="1472"/>
      <c r="IKU24" s="1472"/>
      <c r="IKV24" s="1472"/>
      <c r="IKW24" s="1472"/>
      <c r="IKX24" s="1472"/>
      <c r="IKY24" s="1472"/>
      <c r="IKZ24" s="1472"/>
      <c r="ILA24" s="1472"/>
      <c r="ILB24" s="1473"/>
      <c r="ILC24" s="1471"/>
      <c r="ILD24" s="1472"/>
      <c r="ILE24" s="1472"/>
      <c r="ILF24" s="1472"/>
      <c r="ILG24" s="1472"/>
      <c r="ILH24" s="1472"/>
      <c r="ILI24" s="1472"/>
      <c r="ILJ24" s="1472"/>
      <c r="ILK24" s="1472"/>
      <c r="ILL24" s="1472"/>
      <c r="ILM24" s="1472"/>
      <c r="ILN24" s="1472"/>
      <c r="ILO24" s="1472"/>
      <c r="ILP24" s="1473"/>
      <c r="ILQ24" s="1471"/>
      <c r="ILR24" s="1472"/>
      <c r="ILS24" s="1472"/>
      <c r="ILT24" s="1472"/>
      <c r="ILU24" s="1472"/>
      <c r="ILV24" s="1472"/>
      <c r="ILW24" s="1472"/>
      <c r="ILX24" s="1472"/>
      <c r="ILY24" s="1472"/>
      <c r="ILZ24" s="1472"/>
      <c r="IMA24" s="1472"/>
      <c r="IMB24" s="1472"/>
      <c r="IMC24" s="1472"/>
      <c r="IMD24" s="1473"/>
      <c r="IME24" s="1471"/>
      <c r="IMF24" s="1472"/>
      <c r="IMG24" s="1472"/>
      <c r="IMH24" s="1472"/>
      <c r="IMI24" s="1472"/>
      <c r="IMJ24" s="1472"/>
      <c r="IMK24" s="1472"/>
      <c r="IML24" s="1472"/>
      <c r="IMM24" s="1472"/>
      <c r="IMN24" s="1472"/>
      <c r="IMO24" s="1472"/>
      <c r="IMP24" s="1472"/>
      <c r="IMQ24" s="1472"/>
      <c r="IMR24" s="1473"/>
      <c r="IMS24" s="1471"/>
      <c r="IMT24" s="1472"/>
      <c r="IMU24" s="1472"/>
      <c r="IMV24" s="1472"/>
      <c r="IMW24" s="1472"/>
      <c r="IMX24" s="1472"/>
      <c r="IMY24" s="1472"/>
      <c r="IMZ24" s="1472"/>
      <c r="INA24" s="1472"/>
      <c r="INB24" s="1472"/>
      <c r="INC24" s="1472"/>
      <c r="IND24" s="1472"/>
      <c r="INE24" s="1472"/>
      <c r="INF24" s="1473"/>
      <c r="ING24" s="1471"/>
      <c r="INH24" s="1472"/>
      <c r="INI24" s="1472"/>
      <c r="INJ24" s="1472"/>
      <c r="INK24" s="1472"/>
      <c r="INL24" s="1472"/>
      <c r="INM24" s="1472"/>
      <c r="INN24" s="1472"/>
      <c r="INO24" s="1472"/>
      <c r="INP24" s="1472"/>
      <c r="INQ24" s="1472"/>
      <c r="INR24" s="1472"/>
      <c r="INS24" s="1472"/>
      <c r="INT24" s="1473"/>
      <c r="INU24" s="1471"/>
      <c r="INV24" s="1472"/>
      <c r="INW24" s="1472"/>
      <c r="INX24" s="1472"/>
      <c r="INY24" s="1472"/>
      <c r="INZ24" s="1472"/>
      <c r="IOA24" s="1472"/>
      <c r="IOB24" s="1472"/>
      <c r="IOC24" s="1472"/>
      <c r="IOD24" s="1472"/>
      <c r="IOE24" s="1472"/>
      <c r="IOF24" s="1472"/>
      <c r="IOG24" s="1472"/>
      <c r="IOH24" s="1473"/>
      <c r="IOI24" s="1471"/>
      <c r="IOJ24" s="1472"/>
      <c r="IOK24" s="1472"/>
      <c r="IOL24" s="1472"/>
      <c r="IOM24" s="1472"/>
      <c r="ION24" s="1472"/>
      <c r="IOO24" s="1472"/>
      <c r="IOP24" s="1472"/>
      <c r="IOQ24" s="1472"/>
      <c r="IOR24" s="1472"/>
      <c r="IOS24" s="1472"/>
      <c r="IOT24" s="1472"/>
      <c r="IOU24" s="1472"/>
      <c r="IOV24" s="1473"/>
      <c r="IOW24" s="1471"/>
      <c r="IOX24" s="1472"/>
      <c r="IOY24" s="1472"/>
      <c r="IOZ24" s="1472"/>
      <c r="IPA24" s="1472"/>
      <c r="IPB24" s="1472"/>
      <c r="IPC24" s="1472"/>
      <c r="IPD24" s="1472"/>
      <c r="IPE24" s="1472"/>
      <c r="IPF24" s="1472"/>
      <c r="IPG24" s="1472"/>
      <c r="IPH24" s="1472"/>
      <c r="IPI24" s="1472"/>
      <c r="IPJ24" s="1473"/>
      <c r="IPK24" s="1471"/>
      <c r="IPL24" s="1472"/>
      <c r="IPM24" s="1472"/>
      <c r="IPN24" s="1472"/>
      <c r="IPO24" s="1472"/>
      <c r="IPP24" s="1472"/>
      <c r="IPQ24" s="1472"/>
      <c r="IPR24" s="1472"/>
      <c r="IPS24" s="1472"/>
      <c r="IPT24" s="1472"/>
      <c r="IPU24" s="1472"/>
      <c r="IPV24" s="1472"/>
      <c r="IPW24" s="1472"/>
      <c r="IPX24" s="1473"/>
      <c r="IPY24" s="1471"/>
      <c r="IPZ24" s="1472"/>
      <c r="IQA24" s="1472"/>
      <c r="IQB24" s="1472"/>
      <c r="IQC24" s="1472"/>
      <c r="IQD24" s="1472"/>
      <c r="IQE24" s="1472"/>
      <c r="IQF24" s="1472"/>
      <c r="IQG24" s="1472"/>
      <c r="IQH24" s="1472"/>
      <c r="IQI24" s="1472"/>
      <c r="IQJ24" s="1472"/>
      <c r="IQK24" s="1472"/>
      <c r="IQL24" s="1473"/>
      <c r="IQM24" s="1471"/>
      <c r="IQN24" s="1472"/>
      <c r="IQO24" s="1472"/>
      <c r="IQP24" s="1472"/>
      <c r="IQQ24" s="1472"/>
      <c r="IQR24" s="1472"/>
      <c r="IQS24" s="1472"/>
      <c r="IQT24" s="1472"/>
      <c r="IQU24" s="1472"/>
      <c r="IQV24" s="1472"/>
      <c r="IQW24" s="1472"/>
      <c r="IQX24" s="1472"/>
      <c r="IQY24" s="1472"/>
      <c r="IQZ24" s="1473"/>
      <c r="IRA24" s="1471"/>
      <c r="IRB24" s="1472"/>
      <c r="IRC24" s="1472"/>
      <c r="IRD24" s="1472"/>
      <c r="IRE24" s="1472"/>
      <c r="IRF24" s="1472"/>
      <c r="IRG24" s="1472"/>
      <c r="IRH24" s="1472"/>
      <c r="IRI24" s="1472"/>
      <c r="IRJ24" s="1472"/>
      <c r="IRK24" s="1472"/>
      <c r="IRL24" s="1472"/>
      <c r="IRM24" s="1472"/>
      <c r="IRN24" s="1473"/>
      <c r="IRO24" s="1471"/>
      <c r="IRP24" s="1472"/>
      <c r="IRQ24" s="1472"/>
      <c r="IRR24" s="1472"/>
      <c r="IRS24" s="1472"/>
      <c r="IRT24" s="1472"/>
      <c r="IRU24" s="1472"/>
      <c r="IRV24" s="1472"/>
      <c r="IRW24" s="1472"/>
      <c r="IRX24" s="1472"/>
      <c r="IRY24" s="1472"/>
      <c r="IRZ24" s="1472"/>
      <c r="ISA24" s="1472"/>
      <c r="ISB24" s="1473"/>
      <c r="ISC24" s="1471"/>
      <c r="ISD24" s="1472"/>
      <c r="ISE24" s="1472"/>
      <c r="ISF24" s="1472"/>
      <c r="ISG24" s="1472"/>
      <c r="ISH24" s="1472"/>
      <c r="ISI24" s="1472"/>
      <c r="ISJ24" s="1472"/>
      <c r="ISK24" s="1472"/>
      <c r="ISL24" s="1472"/>
      <c r="ISM24" s="1472"/>
      <c r="ISN24" s="1472"/>
      <c r="ISO24" s="1472"/>
      <c r="ISP24" s="1473"/>
      <c r="ISQ24" s="1471"/>
      <c r="ISR24" s="1472"/>
      <c r="ISS24" s="1472"/>
      <c r="IST24" s="1472"/>
      <c r="ISU24" s="1472"/>
      <c r="ISV24" s="1472"/>
      <c r="ISW24" s="1472"/>
      <c r="ISX24" s="1472"/>
      <c r="ISY24" s="1472"/>
      <c r="ISZ24" s="1472"/>
      <c r="ITA24" s="1472"/>
      <c r="ITB24" s="1472"/>
      <c r="ITC24" s="1472"/>
      <c r="ITD24" s="1473"/>
      <c r="ITE24" s="1471"/>
      <c r="ITF24" s="1472"/>
      <c r="ITG24" s="1472"/>
      <c r="ITH24" s="1472"/>
      <c r="ITI24" s="1472"/>
      <c r="ITJ24" s="1472"/>
      <c r="ITK24" s="1472"/>
      <c r="ITL24" s="1472"/>
      <c r="ITM24" s="1472"/>
      <c r="ITN24" s="1472"/>
      <c r="ITO24" s="1472"/>
      <c r="ITP24" s="1472"/>
      <c r="ITQ24" s="1472"/>
      <c r="ITR24" s="1473"/>
      <c r="ITS24" s="1471"/>
      <c r="ITT24" s="1472"/>
      <c r="ITU24" s="1472"/>
      <c r="ITV24" s="1472"/>
      <c r="ITW24" s="1472"/>
      <c r="ITX24" s="1472"/>
      <c r="ITY24" s="1472"/>
      <c r="ITZ24" s="1472"/>
      <c r="IUA24" s="1472"/>
      <c r="IUB24" s="1472"/>
      <c r="IUC24" s="1472"/>
      <c r="IUD24" s="1472"/>
      <c r="IUE24" s="1472"/>
      <c r="IUF24" s="1473"/>
      <c r="IUG24" s="1471"/>
      <c r="IUH24" s="1472"/>
      <c r="IUI24" s="1472"/>
      <c r="IUJ24" s="1472"/>
      <c r="IUK24" s="1472"/>
      <c r="IUL24" s="1472"/>
      <c r="IUM24" s="1472"/>
      <c r="IUN24" s="1472"/>
      <c r="IUO24" s="1472"/>
      <c r="IUP24" s="1472"/>
      <c r="IUQ24" s="1472"/>
      <c r="IUR24" s="1472"/>
      <c r="IUS24" s="1472"/>
      <c r="IUT24" s="1473"/>
      <c r="IUU24" s="1471"/>
      <c r="IUV24" s="1472"/>
      <c r="IUW24" s="1472"/>
      <c r="IUX24" s="1472"/>
      <c r="IUY24" s="1472"/>
      <c r="IUZ24" s="1472"/>
      <c r="IVA24" s="1472"/>
      <c r="IVB24" s="1472"/>
      <c r="IVC24" s="1472"/>
      <c r="IVD24" s="1472"/>
      <c r="IVE24" s="1472"/>
      <c r="IVF24" s="1472"/>
      <c r="IVG24" s="1472"/>
      <c r="IVH24" s="1473"/>
      <c r="IVI24" s="1471"/>
      <c r="IVJ24" s="1472"/>
      <c r="IVK24" s="1472"/>
      <c r="IVL24" s="1472"/>
      <c r="IVM24" s="1472"/>
      <c r="IVN24" s="1472"/>
      <c r="IVO24" s="1472"/>
      <c r="IVP24" s="1472"/>
      <c r="IVQ24" s="1472"/>
      <c r="IVR24" s="1472"/>
      <c r="IVS24" s="1472"/>
      <c r="IVT24" s="1472"/>
      <c r="IVU24" s="1472"/>
      <c r="IVV24" s="1473"/>
      <c r="IVW24" s="1471"/>
      <c r="IVX24" s="1472"/>
      <c r="IVY24" s="1472"/>
      <c r="IVZ24" s="1472"/>
      <c r="IWA24" s="1472"/>
      <c r="IWB24" s="1472"/>
      <c r="IWC24" s="1472"/>
      <c r="IWD24" s="1472"/>
      <c r="IWE24" s="1472"/>
      <c r="IWF24" s="1472"/>
      <c r="IWG24" s="1472"/>
      <c r="IWH24" s="1472"/>
      <c r="IWI24" s="1472"/>
      <c r="IWJ24" s="1473"/>
      <c r="IWK24" s="1471"/>
      <c r="IWL24" s="1472"/>
      <c r="IWM24" s="1472"/>
      <c r="IWN24" s="1472"/>
      <c r="IWO24" s="1472"/>
      <c r="IWP24" s="1472"/>
      <c r="IWQ24" s="1472"/>
      <c r="IWR24" s="1472"/>
      <c r="IWS24" s="1472"/>
      <c r="IWT24" s="1472"/>
      <c r="IWU24" s="1472"/>
      <c r="IWV24" s="1472"/>
      <c r="IWW24" s="1472"/>
      <c r="IWX24" s="1473"/>
      <c r="IWY24" s="1471"/>
      <c r="IWZ24" s="1472"/>
      <c r="IXA24" s="1472"/>
      <c r="IXB24" s="1472"/>
      <c r="IXC24" s="1472"/>
      <c r="IXD24" s="1472"/>
      <c r="IXE24" s="1472"/>
      <c r="IXF24" s="1472"/>
      <c r="IXG24" s="1472"/>
      <c r="IXH24" s="1472"/>
      <c r="IXI24" s="1472"/>
      <c r="IXJ24" s="1472"/>
      <c r="IXK24" s="1472"/>
      <c r="IXL24" s="1473"/>
      <c r="IXM24" s="1471"/>
      <c r="IXN24" s="1472"/>
      <c r="IXO24" s="1472"/>
      <c r="IXP24" s="1472"/>
      <c r="IXQ24" s="1472"/>
      <c r="IXR24" s="1472"/>
      <c r="IXS24" s="1472"/>
      <c r="IXT24" s="1472"/>
      <c r="IXU24" s="1472"/>
      <c r="IXV24" s="1472"/>
      <c r="IXW24" s="1472"/>
      <c r="IXX24" s="1472"/>
      <c r="IXY24" s="1472"/>
      <c r="IXZ24" s="1473"/>
      <c r="IYA24" s="1471"/>
      <c r="IYB24" s="1472"/>
      <c r="IYC24" s="1472"/>
      <c r="IYD24" s="1472"/>
      <c r="IYE24" s="1472"/>
      <c r="IYF24" s="1472"/>
      <c r="IYG24" s="1472"/>
      <c r="IYH24" s="1472"/>
      <c r="IYI24" s="1472"/>
      <c r="IYJ24" s="1472"/>
      <c r="IYK24" s="1472"/>
      <c r="IYL24" s="1472"/>
      <c r="IYM24" s="1472"/>
      <c r="IYN24" s="1473"/>
      <c r="IYO24" s="1471"/>
      <c r="IYP24" s="1472"/>
      <c r="IYQ24" s="1472"/>
      <c r="IYR24" s="1472"/>
      <c r="IYS24" s="1472"/>
      <c r="IYT24" s="1472"/>
      <c r="IYU24" s="1472"/>
      <c r="IYV24" s="1472"/>
      <c r="IYW24" s="1472"/>
      <c r="IYX24" s="1472"/>
      <c r="IYY24" s="1472"/>
      <c r="IYZ24" s="1472"/>
      <c r="IZA24" s="1472"/>
      <c r="IZB24" s="1473"/>
      <c r="IZC24" s="1471"/>
      <c r="IZD24" s="1472"/>
      <c r="IZE24" s="1472"/>
      <c r="IZF24" s="1472"/>
      <c r="IZG24" s="1472"/>
      <c r="IZH24" s="1472"/>
      <c r="IZI24" s="1472"/>
      <c r="IZJ24" s="1472"/>
      <c r="IZK24" s="1472"/>
      <c r="IZL24" s="1472"/>
      <c r="IZM24" s="1472"/>
      <c r="IZN24" s="1472"/>
      <c r="IZO24" s="1472"/>
      <c r="IZP24" s="1473"/>
      <c r="IZQ24" s="1471"/>
      <c r="IZR24" s="1472"/>
      <c r="IZS24" s="1472"/>
      <c r="IZT24" s="1472"/>
      <c r="IZU24" s="1472"/>
      <c r="IZV24" s="1472"/>
      <c r="IZW24" s="1472"/>
      <c r="IZX24" s="1472"/>
      <c r="IZY24" s="1472"/>
      <c r="IZZ24" s="1472"/>
      <c r="JAA24" s="1472"/>
      <c r="JAB24" s="1472"/>
      <c r="JAC24" s="1472"/>
      <c r="JAD24" s="1473"/>
      <c r="JAE24" s="1471"/>
      <c r="JAF24" s="1472"/>
      <c r="JAG24" s="1472"/>
      <c r="JAH24" s="1472"/>
      <c r="JAI24" s="1472"/>
      <c r="JAJ24" s="1472"/>
      <c r="JAK24" s="1472"/>
      <c r="JAL24" s="1472"/>
      <c r="JAM24" s="1472"/>
      <c r="JAN24" s="1472"/>
      <c r="JAO24" s="1472"/>
      <c r="JAP24" s="1472"/>
      <c r="JAQ24" s="1472"/>
      <c r="JAR24" s="1473"/>
      <c r="JAS24" s="1471"/>
      <c r="JAT24" s="1472"/>
      <c r="JAU24" s="1472"/>
      <c r="JAV24" s="1472"/>
      <c r="JAW24" s="1472"/>
      <c r="JAX24" s="1472"/>
      <c r="JAY24" s="1472"/>
      <c r="JAZ24" s="1472"/>
      <c r="JBA24" s="1472"/>
      <c r="JBB24" s="1472"/>
      <c r="JBC24" s="1472"/>
      <c r="JBD24" s="1472"/>
      <c r="JBE24" s="1472"/>
      <c r="JBF24" s="1473"/>
      <c r="JBG24" s="1471"/>
      <c r="JBH24" s="1472"/>
      <c r="JBI24" s="1472"/>
      <c r="JBJ24" s="1472"/>
      <c r="JBK24" s="1472"/>
      <c r="JBL24" s="1472"/>
      <c r="JBM24" s="1472"/>
      <c r="JBN24" s="1472"/>
      <c r="JBO24" s="1472"/>
      <c r="JBP24" s="1472"/>
      <c r="JBQ24" s="1472"/>
      <c r="JBR24" s="1472"/>
      <c r="JBS24" s="1472"/>
      <c r="JBT24" s="1473"/>
      <c r="JBU24" s="1471"/>
      <c r="JBV24" s="1472"/>
      <c r="JBW24" s="1472"/>
      <c r="JBX24" s="1472"/>
      <c r="JBY24" s="1472"/>
      <c r="JBZ24" s="1472"/>
      <c r="JCA24" s="1472"/>
      <c r="JCB24" s="1472"/>
      <c r="JCC24" s="1472"/>
      <c r="JCD24" s="1472"/>
      <c r="JCE24" s="1472"/>
      <c r="JCF24" s="1472"/>
      <c r="JCG24" s="1472"/>
      <c r="JCH24" s="1473"/>
      <c r="JCI24" s="1471"/>
      <c r="JCJ24" s="1472"/>
      <c r="JCK24" s="1472"/>
      <c r="JCL24" s="1472"/>
      <c r="JCM24" s="1472"/>
      <c r="JCN24" s="1472"/>
      <c r="JCO24" s="1472"/>
      <c r="JCP24" s="1472"/>
      <c r="JCQ24" s="1472"/>
      <c r="JCR24" s="1472"/>
      <c r="JCS24" s="1472"/>
      <c r="JCT24" s="1472"/>
      <c r="JCU24" s="1472"/>
      <c r="JCV24" s="1473"/>
      <c r="JCW24" s="1471"/>
      <c r="JCX24" s="1472"/>
      <c r="JCY24" s="1472"/>
      <c r="JCZ24" s="1472"/>
      <c r="JDA24" s="1472"/>
      <c r="JDB24" s="1472"/>
      <c r="JDC24" s="1472"/>
      <c r="JDD24" s="1472"/>
      <c r="JDE24" s="1472"/>
      <c r="JDF24" s="1472"/>
      <c r="JDG24" s="1472"/>
      <c r="JDH24" s="1472"/>
      <c r="JDI24" s="1472"/>
      <c r="JDJ24" s="1473"/>
      <c r="JDK24" s="1471"/>
      <c r="JDL24" s="1472"/>
      <c r="JDM24" s="1472"/>
      <c r="JDN24" s="1472"/>
      <c r="JDO24" s="1472"/>
      <c r="JDP24" s="1472"/>
      <c r="JDQ24" s="1472"/>
      <c r="JDR24" s="1472"/>
      <c r="JDS24" s="1472"/>
      <c r="JDT24" s="1472"/>
      <c r="JDU24" s="1472"/>
      <c r="JDV24" s="1472"/>
      <c r="JDW24" s="1472"/>
      <c r="JDX24" s="1473"/>
      <c r="JDY24" s="1471"/>
      <c r="JDZ24" s="1472"/>
      <c r="JEA24" s="1472"/>
      <c r="JEB24" s="1472"/>
      <c r="JEC24" s="1472"/>
      <c r="JED24" s="1472"/>
      <c r="JEE24" s="1472"/>
      <c r="JEF24" s="1472"/>
      <c r="JEG24" s="1472"/>
      <c r="JEH24" s="1472"/>
      <c r="JEI24" s="1472"/>
      <c r="JEJ24" s="1472"/>
      <c r="JEK24" s="1472"/>
      <c r="JEL24" s="1473"/>
      <c r="JEM24" s="1471"/>
      <c r="JEN24" s="1472"/>
      <c r="JEO24" s="1472"/>
      <c r="JEP24" s="1472"/>
      <c r="JEQ24" s="1472"/>
      <c r="JER24" s="1472"/>
      <c r="JES24" s="1472"/>
      <c r="JET24" s="1472"/>
      <c r="JEU24" s="1472"/>
      <c r="JEV24" s="1472"/>
      <c r="JEW24" s="1472"/>
      <c r="JEX24" s="1472"/>
      <c r="JEY24" s="1472"/>
      <c r="JEZ24" s="1473"/>
      <c r="JFA24" s="1471"/>
      <c r="JFB24" s="1472"/>
      <c r="JFC24" s="1472"/>
      <c r="JFD24" s="1472"/>
      <c r="JFE24" s="1472"/>
      <c r="JFF24" s="1472"/>
      <c r="JFG24" s="1472"/>
      <c r="JFH24" s="1472"/>
      <c r="JFI24" s="1472"/>
      <c r="JFJ24" s="1472"/>
      <c r="JFK24" s="1472"/>
      <c r="JFL24" s="1472"/>
      <c r="JFM24" s="1472"/>
      <c r="JFN24" s="1473"/>
      <c r="JFO24" s="1471"/>
      <c r="JFP24" s="1472"/>
      <c r="JFQ24" s="1472"/>
      <c r="JFR24" s="1472"/>
      <c r="JFS24" s="1472"/>
      <c r="JFT24" s="1472"/>
      <c r="JFU24" s="1472"/>
      <c r="JFV24" s="1472"/>
      <c r="JFW24" s="1472"/>
      <c r="JFX24" s="1472"/>
      <c r="JFY24" s="1472"/>
      <c r="JFZ24" s="1472"/>
      <c r="JGA24" s="1472"/>
      <c r="JGB24" s="1473"/>
      <c r="JGC24" s="1471"/>
      <c r="JGD24" s="1472"/>
      <c r="JGE24" s="1472"/>
      <c r="JGF24" s="1472"/>
      <c r="JGG24" s="1472"/>
      <c r="JGH24" s="1472"/>
      <c r="JGI24" s="1472"/>
      <c r="JGJ24" s="1472"/>
      <c r="JGK24" s="1472"/>
      <c r="JGL24" s="1472"/>
      <c r="JGM24" s="1472"/>
      <c r="JGN24" s="1472"/>
      <c r="JGO24" s="1472"/>
      <c r="JGP24" s="1473"/>
      <c r="JGQ24" s="1471"/>
      <c r="JGR24" s="1472"/>
      <c r="JGS24" s="1472"/>
      <c r="JGT24" s="1472"/>
      <c r="JGU24" s="1472"/>
      <c r="JGV24" s="1472"/>
      <c r="JGW24" s="1472"/>
      <c r="JGX24" s="1472"/>
      <c r="JGY24" s="1472"/>
      <c r="JGZ24" s="1472"/>
      <c r="JHA24" s="1472"/>
      <c r="JHB24" s="1472"/>
      <c r="JHC24" s="1472"/>
      <c r="JHD24" s="1473"/>
      <c r="JHE24" s="1471"/>
      <c r="JHF24" s="1472"/>
      <c r="JHG24" s="1472"/>
      <c r="JHH24" s="1472"/>
      <c r="JHI24" s="1472"/>
      <c r="JHJ24" s="1472"/>
      <c r="JHK24" s="1472"/>
      <c r="JHL24" s="1472"/>
      <c r="JHM24" s="1472"/>
      <c r="JHN24" s="1472"/>
      <c r="JHO24" s="1472"/>
      <c r="JHP24" s="1472"/>
      <c r="JHQ24" s="1472"/>
      <c r="JHR24" s="1473"/>
      <c r="JHS24" s="1471"/>
      <c r="JHT24" s="1472"/>
      <c r="JHU24" s="1472"/>
      <c r="JHV24" s="1472"/>
      <c r="JHW24" s="1472"/>
      <c r="JHX24" s="1472"/>
      <c r="JHY24" s="1472"/>
      <c r="JHZ24" s="1472"/>
      <c r="JIA24" s="1472"/>
      <c r="JIB24" s="1472"/>
      <c r="JIC24" s="1472"/>
      <c r="JID24" s="1472"/>
      <c r="JIE24" s="1472"/>
      <c r="JIF24" s="1473"/>
      <c r="JIG24" s="1471"/>
      <c r="JIH24" s="1472"/>
      <c r="JII24" s="1472"/>
      <c r="JIJ24" s="1472"/>
      <c r="JIK24" s="1472"/>
      <c r="JIL24" s="1472"/>
      <c r="JIM24" s="1472"/>
      <c r="JIN24" s="1472"/>
      <c r="JIO24" s="1472"/>
      <c r="JIP24" s="1472"/>
      <c r="JIQ24" s="1472"/>
      <c r="JIR24" s="1472"/>
      <c r="JIS24" s="1472"/>
      <c r="JIT24" s="1473"/>
      <c r="JIU24" s="1471"/>
      <c r="JIV24" s="1472"/>
      <c r="JIW24" s="1472"/>
      <c r="JIX24" s="1472"/>
      <c r="JIY24" s="1472"/>
      <c r="JIZ24" s="1472"/>
      <c r="JJA24" s="1472"/>
      <c r="JJB24" s="1472"/>
      <c r="JJC24" s="1472"/>
      <c r="JJD24" s="1472"/>
      <c r="JJE24" s="1472"/>
      <c r="JJF24" s="1472"/>
      <c r="JJG24" s="1472"/>
      <c r="JJH24" s="1473"/>
      <c r="JJI24" s="1471"/>
      <c r="JJJ24" s="1472"/>
      <c r="JJK24" s="1472"/>
      <c r="JJL24" s="1472"/>
      <c r="JJM24" s="1472"/>
      <c r="JJN24" s="1472"/>
      <c r="JJO24" s="1472"/>
      <c r="JJP24" s="1472"/>
      <c r="JJQ24" s="1472"/>
      <c r="JJR24" s="1472"/>
      <c r="JJS24" s="1472"/>
      <c r="JJT24" s="1472"/>
      <c r="JJU24" s="1472"/>
      <c r="JJV24" s="1473"/>
      <c r="JJW24" s="1471"/>
      <c r="JJX24" s="1472"/>
      <c r="JJY24" s="1472"/>
      <c r="JJZ24" s="1472"/>
      <c r="JKA24" s="1472"/>
      <c r="JKB24" s="1472"/>
      <c r="JKC24" s="1472"/>
      <c r="JKD24" s="1472"/>
      <c r="JKE24" s="1472"/>
      <c r="JKF24" s="1472"/>
      <c r="JKG24" s="1472"/>
      <c r="JKH24" s="1472"/>
      <c r="JKI24" s="1472"/>
      <c r="JKJ24" s="1473"/>
      <c r="JKK24" s="1471"/>
      <c r="JKL24" s="1472"/>
      <c r="JKM24" s="1472"/>
      <c r="JKN24" s="1472"/>
      <c r="JKO24" s="1472"/>
      <c r="JKP24" s="1472"/>
      <c r="JKQ24" s="1472"/>
      <c r="JKR24" s="1472"/>
      <c r="JKS24" s="1472"/>
      <c r="JKT24" s="1472"/>
      <c r="JKU24" s="1472"/>
      <c r="JKV24" s="1472"/>
      <c r="JKW24" s="1472"/>
      <c r="JKX24" s="1473"/>
      <c r="JKY24" s="1471"/>
      <c r="JKZ24" s="1472"/>
      <c r="JLA24" s="1472"/>
      <c r="JLB24" s="1472"/>
      <c r="JLC24" s="1472"/>
      <c r="JLD24" s="1472"/>
      <c r="JLE24" s="1472"/>
      <c r="JLF24" s="1472"/>
      <c r="JLG24" s="1472"/>
      <c r="JLH24" s="1472"/>
      <c r="JLI24" s="1472"/>
      <c r="JLJ24" s="1472"/>
      <c r="JLK24" s="1472"/>
      <c r="JLL24" s="1473"/>
      <c r="JLM24" s="1471"/>
      <c r="JLN24" s="1472"/>
      <c r="JLO24" s="1472"/>
      <c r="JLP24" s="1472"/>
      <c r="JLQ24" s="1472"/>
      <c r="JLR24" s="1472"/>
      <c r="JLS24" s="1472"/>
      <c r="JLT24" s="1472"/>
      <c r="JLU24" s="1472"/>
      <c r="JLV24" s="1472"/>
      <c r="JLW24" s="1472"/>
      <c r="JLX24" s="1472"/>
      <c r="JLY24" s="1472"/>
      <c r="JLZ24" s="1473"/>
      <c r="JMA24" s="1471"/>
      <c r="JMB24" s="1472"/>
      <c r="JMC24" s="1472"/>
      <c r="JMD24" s="1472"/>
      <c r="JME24" s="1472"/>
      <c r="JMF24" s="1472"/>
      <c r="JMG24" s="1472"/>
      <c r="JMH24" s="1472"/>
      <c r="JMI24" s="1472"/>
      <c r="JMJ24" s="1472"/>
      <c r="JMK24" s="1472"/>
      <c r="JML24" s="1472"/>
      <c r="JMM24" s="1472"/>
      <c r="JMN24" s="1473"/>
      <c r="JMO24" s="1471"/>
      <c r="JMP24" s="1472"/>
      <c r="JMQ24" s="1472"/>
      <c r="JMR24" s="1472"/>
      <c r="JMS24" s="1472"/>
      <c r="JMT24" s="1472"/>
      <c r="JMU24" s="1472"/>
      <c r="JMV24" s="1472"/>
      <c r="JMW24" s="1472"/>
      <c r="JMX24" s="1472"/>
      <c r="JMY24" s="1472"/>
      <c r="JMZ24" s="1472"/>
      <c r="JNA24" s="1472"/>
      <c r="JNB24" s="1473"/>
      <c r="JNC24" s="1471"/>
      <c r="JND24" s="1472"/>
      <c r="JNE24" s="1472"/>
      <c r="JNF24" s="1472"/>
      <c r="JNG24" s="1472"/>
      <c r="JNH24" s="1472"/>
      <c r="JNI24" s="1472"/>
      <c r="JNJ24" s="1472"/>
      <c r="JNK24" s="1472"/>
      <c r="JNL24" s="1472"/>
      <c r="JNM24" s="1472"/>
      <c r="JNN24" s="1472"/>
      <c r="JNO24" s="1472"/>
      <c r="JNP24" s="1473"/>
      <c r="JNQ24" s="1471"/>
      <c r="JNR24" s="1472"/>
      <c r="JNS24" s="1472"/>
      <c r="JNT24" s="1472"/>
      <c r="JNU24" s="1472"/>
      <c r="JNV24" s="1472"/>
      <c r="JNW24" s="1472"/>
      <c r="JNX24" s="1472"/>
      <c r="JNY24" s="1472"/>
      <c r="JNZ24" s="1472"/>
      <c r="JOA24" s="1472"/>
      <c r="JOB24" s="1472"/>
      <c r="JOC24" s="1472"/>
      <c r="JOD24" s="1473"/>
      <c r="JOE24" s="1471"/>
      <c r="JOF24" s="1472"/>
      <c r="JOG24" s="1472"/>
      <c r="JOH24" s="1472"/>
      <c r="JOI24" s="1472"/>
      <c r="JOJ24" s="1472"/>
      <c r="JOK24" s="1472"/>
      <c r="JOL24" s="1472"/>
      <c r="JOM24" s="1472"/>
      <c r="JON24" s="1472"/>
      <c r="JOO24" s="1472"/>
      <c r="JOP24" s="1472"/>
      <c r="JOQ24" s="1472"/>
      <c r="JOR24" s="1473"/>
      <c r="JOS24" s="1471"/>
      <c r="JOT24" s="1472"/>
      <c r="JOU24" s="1472"/>
      <c r="JOV24" s="1472"/>
      <c r="JOW24" s="1472"/>
      <c r="JOX24" s="1472"/>
      <c r="JOY24" s="1472"/>
      <c r="JOZ24" s="1472"/>
      <c r="JPA24" s="1472"/>
      <c r="JPB24" s="1472"/>
      <c r="JPC24" s="1472"/>
      <c r="JPD24" s="1472"/>
      <c r="JPE24" s="1472"/>
      <c r="JPF24" s="1473"/>
      <c r="JPG24" s="1471"/>
      <c r="JPH24" s="1472"/>
      <c r="JPI24" s="1472"/>
      <c r="JPJ24" s="1472"/>
      <c r="JPK24" s="1472"/>
      <c r="JPL24" s="1472"/>
      <c r="JPM24" s="1472"/>
      <c r="JPN24" s="1472"/>
      <c r="JPO24" s="1472"/>
      <c r="JPP24" s="1472"/>
      <c r="JPQ24" s="1472"/>
      <c r="JPR24" s="1472"/>
      <c r="JPS24" s="1472"/>
      <c r="JPT24" s="1473"/>
      <c r="JPU24" s="1471"/>
      <c r="JPV24" s="1472"/>
      <c r="JPW24" s="1472"/>
      <c r="JPX24" s="1472"/>
      <c r="JPY24" s="1472"/>
      <c r="JPZ24" s="1472"/>
      <c r="JQA24" s="1472"/>
      <c r="JQB24" s="1472"/>
      <c r="JQC24" s="1472"/>
      <c r="JQD24" s="1472"/>
      <c r="JQE24" s="1472"/>
      <c r="JQF24" s="1472"/>
      <c r="JQG24" s="1472"/>
      <c r="JQH24" s="1473"/>
      <c r="JQI24" s="1471"/>
      <c r="JQJ24" s="1472"/>
      <c r="JQK24" s="1472"/>
      <c r="JQL24" s="1472"/>
      <c r="JQM24" s="1472"/>
      <c r="JQN24" s="1472"/>
      <c r="JQO24" s="1472"/>
      <c r="JQP24" s="1472"/>
      <c r="JQQ24" s="1472"/>
      <c r="JQR24" s="1472"/>
      <c r="JQS24" s="1472"/>
      <c r="JQT24" s="1472"/>
      <c r="JQU24" s="1472"/>
      <c r="JQV24" s="1473"/>
      <c r="JQW24" s="1471"/>
      <c r="JQX24" s="1472"/>
      <c r="JQY24" s="1472"/>
      <c r="JQZ24" s="1472"/>
      <c r="JRA24" s="1472"/>
      <c r="JRB24" s="1472"/>
      <c r="JRC24" s="1472"/>
      <c r="JRD24" s="1472"/>
      <c r="JRE24" s="1472"/>
      <c r="JRF24" s="1472"/>
      <c r="JRG24" s="1472"/>
      <c r="JRH24" s="1472"/>
      <c r="JRI24" s="1472"/>
      <c r="JRJ24" s="1473"/>
      <c r="JRK24" s="1471"/>
      <c r="JRL24" s="1472"/>
      <c r="JRM24" s="1472"/>
      <c r="JRN24" s="1472"/>
      <c r="JRO24" s="1472"/>
      <c r="JRP24" s="1472"/>
      <c r="JRQ24" s="1472"/>
      <c r="JRR24" s="1472"/>
      <c r="JRS24" s="1472"/>
      <c r="JRT24" s="1472"/>
      <c r="JRU24" s="1472"/>
      <c r="JRV24" s="1472"/>
      <c r="JRW24" s="1472"/>
      <c r="JRX24" s="1473"/>
      <c r="JRY24" s="1471"/>
      <c r="JRZ24" s="1472"/>
      <c r="JSA24" s="1472"/>
      <c r="JSB24" s="1472"/>
      <c r="JSC24" s="1472"/>
      <c r="JSD24" s="1472"/>
      <c r="JSE24" s="1472"/>
      <c r="JSF24" s="1472"/>
      <c r="JSG24" s="1472"/>
      <c r="JSH24" s="1472"/>
      <c r="JSI24" s="1472"/>
      <c r="JSJ24" s="1472"/>
      <c r="JSK24" s="1472"/>
      <c r="JSL24" s="1473"/>
      <c r="JSM24" s="1471"/>
      <c r="JSN24" s="1472"/>
      <c r="JSO24" s="1472"/>
      <c r="JSP24" s="1472"/>
      <c r="JSQ24" s="1472"/>
      <c r="JSR24" s="1472"/>
      <c r="JSS24" s="1472"/>
      <c r="JST24" s="1472"/>
      <c r="JSU24" s="1472"/>
      <c r="JSV24" s="1472"/>
      <c r="JSW24" s="1472"/>
      <c r="JSX24" s="1472"/>
      <c r="JSY24" s="1472"/>
      <c r="JSZ24" s="1473"/>
      <c r="JTA24" s="1471"/>
      <c r="JTB24" s="1472"/>
      <c r="JTC24" s="1472"/>
      <c r="JTD24" s="1472"/>
      <c r="JTE24" s="1472"/>
      <c r="JTF24" s="1472"/>
      <c r="JTG24" s="1472"/>
      <c r="JTH24" s="1472"/>
      <c r="JTI24" s="1472"/>
      <c r="JTJ24" s="1472"/>
      <c r="JTK24" s="1472"/>
      <c r="JTL24" s="1472"/>
      <c r="JTM24" s="1472"/>
      <c r="JTN24" s="1473"/>
      <c r="JTO24" s="1471"/>
      <c r="JTP24" s="1472"/>
      <c r="JTQ24" s="1472"/>
      <c r="JTR24" s="1472"/>
      <c r="JTS24" s="1472"/>
      <c r="JTT24" s="1472"/>
      <c r="JTU24" s="1472"/>
      <c r="JTV24" s="1472"/>
      <c r="JTW24" s="1472"/>
      <c r="JTX24" s="1472"/>
      <c r="JTY24" s="1472"/>
      <c r="JTZ24" s="1472"/>
      <c r="JUA24" s="1472"/>
      <c r="JUB24" s="1473"/>
      <c r="JUC24" s="1471"/>
      <c r="JUD24" s="1472"/>
      <c r="JUE24" s="1472"/>
      <c r="JUF24" s="1472"/>
      <c r="JUG24" s="1472"/>
      <c r="JUH24" s="1472"/>
      <c r="JUI24" s="1472"/>
      <c r="JUJ24" s="1472"/>
      <c r="JUK24" s="1472"/>
      <c r="JUL24" s="1472"/>
      <c r="JUM24" s="1472"/>
      <c r="JUN24" s="1472"/>
      <c r="JUO24" s="1472"/>
      <c r="JUP24" s="1473"/>
      <c r="JUQ24" s="1471"/>
      <c r="JUR24" s="1472"/>
      <c r="JUS24" s="1472"/>
      <c r="JUT24" s="1472"/>
      <c r="JUU24" s="1472"/>
      <c r="JUV24" s="1472"/>
      <c r="JUW24" s="1472"/>
      <c r="JUX24" s="1472"/>
      <c r="JUY24" s="1472"/>
      <c r="JUZ24" s="1472"/>
      <c r="JVA24" s="1472"/>
      <c r="JVB24" s="1472"/>
      <c r="JVC24" s="1472"/>
      <c r="JVD24" s="1473"/>
      <c r="JVE24" s="1471"/>
      <c r="JVF24" s="1472"/>
      <c r="JVG24" s="1472"/>
      <c r="JVH24" s="1472"/>
      <c r="JVI24" s="1472"/>
      <c r="JVJ24" s="1472"/>
      <c r="JVK24" s="1472"/>
      <c r="JVL24" s="1472"/>
      <c r="JVM24" s="1472"/>
      <c r="JVN24" s="1472"/>
      <c r="JVO24" s="1472"/>
      <c r="JVP24" s="1472"/>
      <c r="JVQ24" s="1472"/>
      <c r="JVR24" s="1473"/>
      <c r="JVS24" s="1471"/>
      <c r="JVT24" s="1472"/>
      <c r="JVU24" s="1472"/>
      <c r="JVV24" s="1472"/>
      <c r="JVW24" s="1472"/>
      <c r="JVX24" s="1472"/>
      <c r="JVY24" s="1472"/>
      <c r="JVZ24" s="1472"/>
      <c r="JWA24" s="1472"/>
      <c r="JWB24" s="1472"/>
      <c r="JWC24" s="1472"/>
      <c r="JWD24" s="1472"/>
      <c r="JWE24" s="1472"/>
      <c r="JWF24" s="1473"/>
      <c r="JWG24" s="1471"/>
      <c r="JWH24" s="1472"/>
      <c r="JWI24" s="1472"/>
      <c r="JWJ24" s="1472"/>
      <c r="JWK24" s="1472"/>
      <c r="JWL24" s="1472"/>
      <c r="JWM24" s="1472"/>
      <c r="JWN24" s="1472"/>
      <c r="JWO24" s="1472"/>
      <c r="JWP24" s="1472"/>
      <c r="JWQ24" s="1472"/>
      <c r="JWR24" s="1472"/>
      <c r="JWS24" s="1472"/>
      <c r="JWT24" s="1473"/>
      <c r="JWU24" s="1471"/>
      <c r="JWV24" s="1472"/>
      <c r="JWW24" s="1472"/>
      <c r="JWX24" s="1472"/>
      <c r="JWY24" s="1472"/>
      <c r="JWZ24" s="1472"/>
      <c r="JXA24" s="1472"/>
      <c r="JXB24" s="1472"/>
      <c r="JXC24" s="1472"/>
      <c r="JXD24" s="1472"/>
      <c r="JXE24" s="1472"/>
      <c r="JXF24" s="1472"/>
      <c r="JXG24" s="1472"/>
      <c r="JXH24" s="1473"/>
      <c r="JXI24" s="1471"/>
      <c r="JXJ24" s="1472"/>
      <c r="JXK24" s="1472"/>
      <c r="JXL24" s="1472"/>
      <c r="JXM24" s="1472"/>
      <c r="JXN24" s="1472"/>
      <c r="JXO24" s="1472"/>
      <c r="JXP24" s="1472"/>
      <c r="JXQ24" s="1472"/>
      <c r="JXR24" s="1472"/>
      <c r="JXS24" s="1472"/>
      <c r="JXT24" s="1472"/>
      <c r="JXU24" s="1472"/>
      <c r="JXV24" s="1473"/>
      <c r="JXW24" s="1471"/>
      <c r="JXX24" s="1472"/>
      <c r="JXY24" s="1472"/>
      <c r="JXZ24" s="1472"/>
      <c r="JYA24" s="1472"/>
      <c r="JYB24" s="1472"/>
      <c r="JYC24" s="1472"/>
      <c r="JYD24" s="1472"/>
      <c r="JYE24" s="1472"/>
      <c r="JYF24" s="1472"/>
      <c r="JYG24" s="1472"/>
      <c r="JYH24" s="1472"/>
      <c r="JYI24" s="1472"/>
      <c r="JYJ24" s="1473"/>
      <c r="JYK24" s="1471"/>
      <c r="JYL24" s="1472"/>
      <c r="JYM24" s="1472"/>
      <c r="JYN24" s="1472"/>
      <c r="JYO24" s="1472"/>
      <c r="JYP24" s="1472"/>
      <c r="JYQ24" s="1472"/>
      <c r="JYR24" s="1472"/>
      <c r="JYS24" s="1472"/>
      <c r="JYT24" s="1472"/>
      <c r="JYU24" s="1472"/>
      <c r="JYV24" s="1472"/>
      <c r="JYW24" s="1472"/>
      <c r="JYX24" s="1473"/>
      <c r="JYY24" s="1471"/>
      <c r="JYZ24" s="1472"/>
      <c r="JZA24" s="1472"/>
      <c r="JZB24" s="1472"/>
      <c r="JZC24" s="1472"/>
      <c r="JZD24" s="1472"/>
      <c r="JZE24" s="1472"/>
      <c r="JZF24" s="1472"/>
      <c r="JZG24" s="1472"/>
      <c r="JZH24" s="1472"/>
      <c r="JZI24" s="1472"/>
      <c r="JZJ24" s="1472"/>
      <c r="JZK24" s="1472"/>
      <c r="JZL24" s="1473"/>
      <c r="JZM24" s="1471"/>
      <c r="JZN24" s="1472"/>
      <c r="JZO24" s="1472"/>
      <c r="JZP24" s="1472"/>
      <c r="JZQ24" s="1472"/>
      <c r="JZR24" s="1472"/>
      <c r="JZS24" s="1472"/>
      <c r="JZT24" s="1472"/>
      <c r="JZU24" s="1472"/>
      <c r="JZV24" s="1472"/>
      <c r="JZW24" s="1472"/>
      <c r="JZX24" s="1472"/>
      <c r="JZY24" s="1472"/>
      <c r="JZZ24" s="1473"/>
      <c r="KAA24" s="1471"/>
      <c r="KAB24" s="1472"/>
      <c r="KAC24" s="1472"/>
      <c r="KAD24" s="1472"/>
      <c r="KAE24" s="1472"/>
      <c r="KAF24" s="1472"/>
      <c r="KAG24" s="1472"/>
      <c r="KAH24" s="1472"/>
      <c r="KAI24" s="1472"/>
      <c r="KAJ24" s="1472"/>
      <c r="KAK24" s="1472"/>
      <c r="KAL24" s="1472"/>
      <c r="KAM24" s="1472"/>
      <c r="KAN24" s="1473"/>
      <c r="KAO24" s="1471"/>
      <c r="KAP24" s="1472"/>
      <c r="KAQ24" s="1472"/>
      <c r="KAR24" s="1472"/>
      <c r="KAS24" s="1472"/>
      <c r="KAT24" s="1472"/>
      <c r="KAU24" s="1472"/>
      <c r="KAV24" s="1472"/>
      <c r="KAW24" s="1472"/>
      <c r="KAX24" s="1472"/>
      <c r="KAY24" s="1472"/>
      <c r="KAZ24" s="1472"/>
      <c r="KBA24" s="1472"/>
      <c r="KBB24" s="1473"/>
      <c r="KBC24" s="1471"/>
      <c r="KBD24" s="1472"/>
      <c r="KBE24" s="1472"/>
      <c r="KBF24" s="1472"/>
      <c r="KBG24" s="1472"/>
      <c r="KBH24" s="1472"/>
      <c r="KBI24" s="1472"/>
      <c r="KBJ24" s="1472"/>
      <c r="KBK24" s="1472"/>
      <c r="KBL24" s="1472"/>
      <c r="KBM24" s="1472"/>
      <c r="KBN24" s="1472"/>
      <c r="KBO24" s="1472"/>
      <c r="KBP24" s="1473"/>
      <c r="KBQ24" s="1471"/>
      <c r="KBR24" s="1472"/>
      <c r="KBS24" s="1472"/>
      <c r="KBT24" s="1472"/>
      <c r="KBU24" s="1472"/>
      <c r="KBV24" s="1472"/>
      <c r="KBW24" s="1472"/>
      <c r="KBX24" s="1472"/>
      <c r="KBY24" s="1472"/>
      <c r="KBZ24" s="1472"/>
      <c r="KCA24" s="1472"/>
      <c r="KCB24" s="1472"/>
      <c r="KCC24" s="1472"/>
      <c r="KCD24" s="1473"/>
      <c r="KCE24" s="1471"/>
      <c r="KCF24" s="1472"/>
      <c r="KCG24" s="1472"/>
      <c r="KCH24" s="1472"/>
      <c r="KCI24" s="1472"/>
      <c r="KCJ24" s="1472"/>
      <c r="KCK24" s="1472"/>
      <c r="KCL24" s="1472"/>
      <c r="KCM24" s="1472"/>
      <c r="KCN24" s="1472"/>
      <c r="KCO24" s="1472"/>
      <c r="KCP24" s="1472"/>
      <c r="KCQ24" s="1472"/>
      <c r="KCR24" s="1473"/>
      <c r="KCS24" s="1471"/>
      <c r="KCT24" s="1472"/>
      <c r="KCU24" s="1472"/>
      <c r="KCV24" s="1472"/>
      <c r="KCW24" s="1472"/>
      <c r="KCX24" s="1472"/>
      <c r="KCY24" s="1472"/>
      <c r="KCZ24" s="1472"/>
      <c r="KDA24" s="1472"/>
      <c r="KDB24" s="1472"/>
      <c r="KDC24" s="1472"/>
      <c r="KDD24" s="1472"/>
      <c r="KDE24" s="1472"/>
      <c r="KDF24" s="1473"/>
      <c r="KDG24" s="1471"/>
      <c r="KDH24" s="1472"/>
      <c r="KDI24" s="1472"/>
      <c r="KDJ24" s="1472"/>
      <c r="KDK24" s="1472"/>
      <c r="KDL24" s="1472"/>
      <c r="KDM24" s="1472"/>
      <c r="KDN24" s="1472"/>
      <c r="KDO24" s="1472"/>
      <c r="KDP24" s="1472"/>
      <c r="KDQ24" s="1472"/>
      <c r="KDR24" s="1472"/>
      <c r="KDS24" s="1472"/>
      <c r="KDT24" s="1473"/>
      <c r="KDU24" s="1471"/>
      <c r="KDV24" s="1472"/>
      <c r="KDW24" s="1472"/>
      <c r="KDX24" s="1472"/>
      <c r="KDY24" s="1472"/>
      <c r="KDZ24" s="1472"/>
      <c r="KEA24" s="1472"/>
      <c r="KEB24" s="1472"/>
      <c r="KEC24" s="1472"/>
      <c r="KED24" s="1472"/>
      <c r="KEE24" s="1472"/>
      <c r="KEF24" s="1472"/>
      <c r="KEG24" s="1472"/>
      <c r="KEH24" s="1473"/>
      <c r="KEI24" s="1471"/>
      <c r="KEJ24" s="1472"/>
      <c r="KEK24" s="1472"/>
      <c r="KEL24" s="1472"/>
      <c r="KEM24" s="1472"/>
      <c r="KEN24" s="1472"/>
      <c r="KEO24" s="1472"/>
      <c r="KEP24" s="1472"/>
      <c r="KEQ24" s="1472"/>
      <c r="KER24" s="1472"/>
      <c r="KES24" s="1472"/>
      <c r="KET24" s="1472"/>
      <c r="KEU24" s="1472"/>
      <c r="KEV24" s="1473"/>
      <c r="KEW24" s="1471"/>
      <c r="KEX24" s="1472"/>
      <c r="KEY24" s="1472"/>
      <c r="KEZ24" s="1472"/>
      <c r="KFA24" s="1472"/>
      <c r="KFB24" s="1472"/>
      <c r="KFC24" s="1472"/>
      <c r="KFD24" s="1472"/>
      <c r="KFE24" s="1472"/>
      <c r="KFF24" s="1472"/>
      <c r="KFG24" s="1472"/>
      <c r="KFH24" s="1472"/>
      <c r="KFI24" s="1472"/>
      <c r="KFJ24" s="1473"/>
      <c r="KFK24" s="1471"/>
      <c r="KFL24" s="1472"/>
      <c r="KFM24" s="1472"/>
      <c r="KFN24" s="1472"/>
      <c r="KFO24" s="1472"/>
      <c r="KFP24" s="1472"/>
      <c r="KFQ24" s="1472"/>
      <c r="KFR24" s="1472"/>
      <c r="KFS24" s="1472"/>
      <c r="KFT24" s="1472"/>
      <c r="KFU24" s="1472"/>
      <c r="KFV24" s="1472"/>
      <c r="KFW24" s="1472"/>
      <c r="KFX24" s="1473"/>
      <c r="KFY24" s="1471"/>
      <c r="KFZ24" s="1472"/>
      <c r="KGA24" s="1472"/>
      <c r="KGB24" s="1472"/>
      <c r="KGC24" s="1472"/>
      <c r="KGD24" s="1472"/>
      <c r="KGE24" s="1472"/>
      <c r="KGF24" s="1472"/>
      <c r="KGG24" s="1472"/>
      <c r="KGH24" s="1472"/>
      <c r="KGI24" s="1472"/>
      <c r="KGJ24" s="1472"/>
      <c r="KGK24" s="1472"/>
      <c r="KGL24" s="1473"/>
      <c r="KGM24" s="1471"/>
      <c r="KGN24" s="1472"/>
      <c r="KGO24" s="1472"/>
      <c r="KGP24" s="1472"/>
      <c r="KGQ24" s="1472"/>
      <c r="KGR24" s="1472"/>
      <c r="KGS24" s="1472"/>
      <c r="KGT24" s="1472"/>
      <c r="KGU24" s="1472"/>
      <c r="KGV24" s="1472"/>
      <c r="KGW24" s="1472"/>
      <c r="KGX24" s="1472"/>
      <c r="KGY24" s="1472"/>
      <c r="KGZ24" s="1473"/>
      <c r="KHA24" s="1471"/>
      <c r="KHB24" s="1472"/>
      <c r="KHC24" s="1472"/>
      <c r="KHD24" s="1472"/>
      <c r="KHE24" s="1472"/>
      <c r="KHF24" s="1472"/>
      <c r="KHG24" s="1472"/>
      <c r="KHH24" s="1472"/>
      <c r="KHI24" s="1472"/>
      <c r="KHJ24" s="1472"/>
      <c r="KHK24" s="1472"/>
      <c r="KHL24" s="1472"/>
      <c r="KHM24" s="1472"/>
      <c r="KHN24" s="1473"/>
      <c r="KHO24" s="1471"/>
      <c r="KHP24" s="1472"/>
      <c r="KHQ24" s="1472"/>
      <c r="KHR24" s="1472"/>
      <c r="KHS24" s="1472"/>
      <c r="KHT24" s="1472"/>
      <c r="KHU24" s="1472"/>
      <c r="KHV24" s="1472"/>
      <c r="KHW24" s="1472"/>
      <c r="KHX24" s="1472"/>
      <c r="KHY24" s="1472"/>
      <c r="KHZ24" s="1472"/>
      <c r="KIA24" s="1472"/>
      <c r="KIB24" s="1473"/>
      <c r="KIC24" s="1471"/>
      <c r="KID24" s="1472"/>
      <c r="KIE24" s="1472"/>
      <c r="KIF24" s="1472"/>
      <c r="KIG24" s="1472"/>
      <c r="KIH24" s="1472"/>
      <c r="KII24" s="1472"/>
      <c r="KIJ24" s="1472"/>
      <c r="KIK24" s="1472"/>
      <c r="KIL24" s="1472"/>
      <c r="KIM24" s="1472"/>
      <c r="KIN24" s="1472"/>
      <c r="KIO24" s="1472"/>
      <c r="KIP24" s="1473"/>
      <c r="KIQ24" s="1471"/>
      <c r="KIR24" s="1472"/>
      <c r="KIS24" s="1472"/>
      <c r="KIT24" s="1472"/>
      <c r="KIU24" s="1472"/>
      <c r="KIV24" s="1472"/>
      <c r="KIW24" s="1472"/>
      <c r="KIX24" s="1472"/>
      <c r="KIY24" s="1472"/>
      <c r="KIZ24" s="1472"/>
      <c r="KJA24" s="1472"/>
      <c r="KJB24" s="1472"/>
      <c r="KJC24" s="1472"/>
      <c r="KJD24" s="1473"/>
      <c r="KJE24" s="1471"/>
      <c r="KJF24" s="1472"/>
      <c r="KJG24" s="1472"/>
      <c r="KJH24" s="1472"/>
      <c r="KJI24" s="1472"/>
      <c r="KJJ24" s="1472"/>
      <c r="KJK24" s="1472"/>
      <c r="KJL24" s="1472"/>
      <c r="KJM24" s="1472"/>
      <c r="KJN24" s="1472"/>
      <c r="KJO24" s="1472"/>
      <c r="KJP24" s="1472"/>
      <c r="KJQ24" s="1472"/>
      <c r="KJR24" s="1473"/>
      <c r="KJS24" s="1471"/>
      <c r="KJT24" s="1472"/>
      <c r="KJU24" s="1472"/>
      <c r="KJV24" s="1472"/>
      <c r="KJW24" s="1472"/>
      <c r="KJX24" s="1472"/>
      <c r="KJY24" s="1472"/>
      <c r="KJZ24" s="1472"/>
      <c r="KKA24" s="1472"/>
      <c r="KKB24" s="1472"/>
      <c r="KKC24" s="1472"/>
      <c r="KKD24" s="1472"/>
      <c r="KKE24" s="1472"/>
      <c r="KKF24" s="1473"/>
      <c r="KKG24" s="1471"/>
      <c r="KKH24" s="1472"/>
      <c r="KKI24" s="1472"/>
      <c r="KKJ24" s="1472"/>
      <c r="KKK24" s="1472"/>
      <c r="KKL24" s="1472"/>
      <c r="KKM24" s="1472"/>
      <c r="KKN24" s="1472"/>
      <c r="KKO24" s="1472"/>
      <c r="KKP24" s="1472"/>
      <c r="KKQ24" s="1472"/>
      <c r="KKR24" s="1472"/>
      <c r="KKS24" s="1472"/>
      <c r="KKT24" s="1473"/>
      <c r="KKU24" s="1471"/>
      <c r="KKV24" s="1472"/>
      <c r="KKW24" s="1472"/>
      <c r="KKX24" s="1472"/>
      <c r="KKY24" s="1472"/>
      <c r="KKZ24" s="1472"/>
      <c r="KLA24" s="1472"/>
      <c r="KLB24" s="1472"/>
      <c r="KLC24" s="1472"/>
      <c r="KLD24" s="1472"/>
      <c r="KLE24" s="1472"/>
      <c r="KLF24" s="1472"/>
      <c r="KLG24" s="1472"/>
      <c r="KLH24" s="1473"/>
      <c r="KLI24" s="1471"/>
      <c r="KLJ24" s="1472"/>
      <c r="KLK24" s="1472"/>
      <c r="KLL24" s="1472"/>
      <c r="KLM24" s="1472"/>
      <c r="KLN24" s="1472"/>
      <c r="KLO24" s="1472"/>
      <c r="KLP24" s="1472"/>
      <c r="KLQ24" s="1472"/>
      <c r="KLR24" s="1472"/>
      <c r="KLS24" s="1472"/>
      <c r="KLT24" s="1472"/>
      <c r="KLU24" s="1472"/>
      <c r="KLV24" s="1473"/>
      <c r="KLW24" s="1471"/>
      <c r="KLX24" s="1472"/>
      <c r="KLY24" s="1472"/>
      <c r="KLZ24" s="1472"/>
      <c r="KMA24" s="1472"/>
      <c r="KMB24" s="1472"/>
      <c r="KMC24" s="1472"/>
      <c r="KMD24" s="1472"/>
      <c r="KME24" s="1472"/>
      <c r="KMF24" s="1472"/>
      <c r="KMG24" s="1472"/>
      <c r="KMH24" s="1472"/>
      <c r="KMI24" s="1472"/>
      <c r="KMJ24" s="1473"/>
      <c r="KMK24" s="1471"/>
      <c r="KML24" s="1472"/>
      <c r="KMM24" s="1472"/>
      <c r="KMN24" s="1472"/>
      <c r="KMO24" s="1472"/>
      <c r="KMP24" s="1472"/>
      <c r="KMQ24" s="1472"/>
      <c r="KMR24" s="1472"/>
      <c r="KMS24" s="1472"/>
      <c r="KMT24" s="1472"/>
      <c r="KMU24" s="1472"/>
      <c r="KMV24" s="1472"/>
      <c r="KMW24" s="1472"/>
      <c r="KMX24" s="1473"/>
      <c r="KMY24" s="1471"/>
      <c r="KMZ24" s="1472"/>
      <c r="KNA24" s="1472"/>
      <c r="KNB24" s="1472"/>
      <c r="KNC24" s="1472"/>
      <c r="KND24" s="1472"/>
      <c r="KNE24" s="1472"/>
      <c r="KNF24" s="1472"/>
      <c r="KNG24" s="1472"/>
      <c r="KNH24" s="1472"/>
      <c r="KNI24" s="1472"/>
      <c r="KNJ24" s="1472"/>
      <c r="KNK24" s="1472"/>
      <c r="KNL24" s="1473"/>
      <c r="KNM24" s="1471"/>
      <c r="KNN24" s="1472"/>
      <c r="KNO24" s="1472"/>
      <c r="KNP24" s="1472"/>
      <c r="KNQ24" s="1472"/>
      <c r="KNR24" s="1472"/>
      <c r="KNS24" s="1472"/>
      <c r="KNT24" s="1472"/>
      <c r="KNU24" s="1472"/>
      <c r="KNV24" s="1472"/>
      <c r="KNW24" s="1472"/>
      <c r="KNX24" s="1472"/>
      <c r="KNY24" s="1472"/>
      <c r="KNZ24" s="1473"/>
      <c r="KOA24" s="1471"/>
      <c r="KOB24" s="1472"/>
      <c r="KOC24" s="1472"/>
      <c r="KOD24" s="1472"/>
      <c r="KOE24" s="1472"/>
      <c r="KOF24" s="1472"/>
      <c r="KOG24" s="1472"/>
      <c r="KOH24" s="1472"/>
      <c r="KOI24" s="1472"/>
      <c r="KOJ24" s="1472"/>
      <c r="KOK24" s="1472"/>
      <c r="KOL24" s="1472"/>
      <c r="KOM24" s="1472"/>
      <c r="KON24" s="1473"/>
      <c r="KOO24" s="1471"/>
      <c r="KOP24" s="1472"/>
      <c r="KOQ24" s="1472"/>
      <c r="KOR24" s="1472"/>
      <c r="KOS24" s="1472"/>
      <c r="KOT24" s="1472"/>
      <c r="KOU24" s="1472"/>
      <c r="KOV24" s="1472"/>
      <c r="KOW24" s="1472"/>
      <c r="KOX24" s="1472"/>
      <c r="KOY24" s="1472"/>
      <c r="KOZ24" s="1472"/>
      <c r="KPA24" s="1472"/>
      <c r="KPB24" s="1473"/>
      <c r="KPC24" s="1471"/>
      <c r="KPD24" s="1472"/>
      <c r="KPE24" s="1472"/>
      <c r="KPF24" s="1472"/>
      <c r="KPG24" s="1472"/>
      <c r="KPH24" s="1472"/>
      <c r="KPI24" s="1472"/>
      <c r="KPJ24" s="1472"/>
      <c r="KPK24" s="1472"/>
      <c r="KPL24" s="1472"/>
      <c r="KPM24" s="1472"/>
      <c r="KPN24" s="1472"/>
      <c r="KPO24" s="1472"/>
      <c r="KPP24" s="1473"/>
      <c r="KPQ24" s="1471"/>
      <c r="KPR24" s="1472"/>
      <c r="KPS24" s="1472"/>
      <c r="KPT24" s="1472"/>
      <c r="KPU24" s="1472"/>
      <c r="KPV24" s="1472"/>
      <c r="KPW24" s="1472"/>
      <c r="KPX24" s="1472"/>
      <c r="KPY24" s="1472"/>
      <c r="KPZ24" s="1472"/>
      <c r="KQA24" s="1472"/>
      <c r="KQB24" s="1472"/>
      <c r="KQC24" s="1472"/>
      <c r="KQD24" s="1473"/>
      <c r="KQE24" s="1471"/>
      <c r="KQF24" s="1472"/>
      <c r="KQG24" s="1472"/>
      <c r="KQH24" s="1472"/>
      <c r="KQI24" s="1472"/>
      <c r="KQJ24" s="1472"/>
      <c r="KQK24" s="1472"/>
      <c r="KQL24" s="1472"/>
      <c r="KQM24" s="1472"/>
      <c r="KQN24" s="1472"/>
      <c r="KQO24" s="1472"/>
      <c r="KQP24" s="1472"/>
      <c r="KQQ24" s="1472"/>
      <c r="KQR24" s="1473"/>
      <c r="KQS24" s="1471"/>
      <c r="KQT24" s="1472"/>
      <c r="KQU24" s="1472"/>
      <c r="KQV24" s="1472"/>
      <c r="KQW24" s="1472"/>
      <c r="KQX24" s="1472"/>
      <c r="KQY24" s="1472"/>
      <c r="KQZ24" s="1472"/>
      <c r="KRA24" s="1472"/>
      <c r="KRB24" s="1472"/>
      <c r="KRC24" s="1472"/>
      <c r="KRD24" s="1472"/>
      <c r="KRE24" s="1472"/>
      <c r="KRF24" s="1473"/>
      <c r="KRG24" s="1471"/>
      <c r="KRH24" s="1472"/>
      <c r="KRI24" s="1472"/>
      <c r="KRJ24" s="1472"/>
      <c r="KRK24" s="1472"/>
      <c r="KRL24" s="1472"/>
      <c r="KRM24" s="1472"/>
      <c r="KRN24" s="1472"/>
      <c r="KRO24" s="1472"/>
      <c r="KRP24" s="1472"/>
      <c r="KRQ24" s="1472"/>
      <c r="KRR24" s="1472"/>
      <c r="KRS24" s="1472"/>
      <c r="KRT24" s="1473"/>
      <c r="KRU24" s="1471"/>
      <c r="KRV24" s="1472"/>
      <c r="KRW24" s="1472"/>
      <c r="KRX24" s="1472"/>
      <c r="KRY24" s="1472"/>
      <c r="KRZ24" s="1472"/>
      <c r="KSA24" s="1472"/>
      <c r="KSB24" s="1472"/>
      <c r="KSC24" s="1472"/>
      <c r="KSD24" s="1472"/>
      <c r="KSE24" s="1472"/>
      <c r="KSF24" s="1472"/>
      <c r="KSG24" s="1472"/>
      <c r="KSH24" s="1473"/>
      <c r="KSI24" s="1471"/>
      <c r="KSJ24" s="1472"/>
      <c r="KSK24" s="1472"/>
      <c r="KSL24" s="1472"/>
      <c r="KSM24" s="1472"/>
      <c r="KSN24" s="1472"/>
      <c r="KSO24" s="1472"/>
      <c r="KSP24" s="1472"/>
      <c r="KSQ24" s="1472"/>
      <c r="KSR24" s="1472"/>
      <c r="KSS24" s="1472"/>
      <c r="KST24" s="1472"/>
      <c r="KSU24" s="1472"/>
      <c r="KSV24" s="1473"/>
      <c r="KSW24" s="1471"/>
      <c r="KSX24" s="1472"/>
      <c r="KSY24" s="1472"/>
      <c r="KSZ24" s="1472"/>
      <c r="KTA24" s="1472"/>
      <c r="KTB24" s="1472"/>
      <c r="KTC24" s="1472"/>
      <c r="KTD24" s="1472"/>
      <c r="KTE24" s="1472"/>
      <c r="KTF24" s="1472"/>
      <c r="KTG24" s="1472"/>
      <c r="KTH24" s="1472"/>
      <c r="KTI24" s="1472"/>
      <c r="KTJ24" s="1473"/>
      <c r="KTK24" s="1471"/>
      <c r="KTL24" s="1472"/>
      <c r="KTM24" s="1472"/>
      <c r="KTN24" s="1472"/>
      <c r="KTO24" s="1472"/>
      <c r="KTP24" s="1472"/>
      <c r="KTQ24" s="1472"/>
      <c r="KTR24" s="1472"/>
      <c r="KTS24" s="1472"/>
      <c r="KTT24" s="1472"/>
      <c r="KTU24" s="1472"/>
      <c r="KTV24" s="1472"/>
      <c r="KTW24" s="1472"/>
      <c r="KTX24" s="1473"/>
      <c r="KTY24" s="1471"/>
      <c r="KTZ24" s="1472"/>
      <c r="KUA24" s="1472"/>
      <c r="KUB24" s="1472"/>
      <c r="KUC24" s="1472"/>
      <c r="KUD24" s="1472"/>
      <c r="KUE24" s="1472"/>
      <c r="KUF24" s="1472"/>
      <c r="KUG24" s="1472"/>
      <c r="KUH24" s="1472"/>
      <c r="KUI24" s="1472"/>
      <c r="KUJ24" s="1472"/>
      <c r="KUK24" s="1472"/>
      <c r="KUL24" s="1473"/>
      <c r="KUM24" s="1471"/>
      <c r="KUN24" s="1472"/>
      <c r="KUO24" s="1472"/>
      <c r="KUP24" s="1472"/>
      <c r="KUQ24" s="1472"/>
      <c r="KUR24" s="1472"/>
      <c r="KUS24" s="1472"/>
      <c r="KUT24" s="1472"/>
      <c r="KUU24" s="1472"/>
      <c r="KUV24" s="1472"/>
      <c r="KUW24" s="1472"/>
      <c r="KUX24" s="1472"/>
      <c r="KUY24" s="1472"/>
      <c r="KUZ24" s="1473"/>
      <c r="KVA24" s="1471"/>
      <c r="KVB24" s="1472"/>
      <c r="KVC24" s="1472"/>
      <c r="KVD24" s="1472"/>
      <c r="KVE24" s="1472"/>
      <c r="KVF24" s="1472"/>
      <c r="KVG24" s="1472"/>
      <c r="KVH24" s="1472"/>
      <c r="KVI24" s="1472"/>
      <c r="KVJ24" s="1472"/>
      <c r="KVK24" s="1472"/>
      <c r="KVL24" s="1472"/>
      <c r="KVM24" s="1472"/>
      <c r="KVN24" s="1473"/>
      <c r="KVO24" s="1471"/>
      <c r="KVP24" s="1472"/>
      <c r="KVQ24" s="1472"/>
      <c r="KVR24" s="1472"/>
      <c r="KVS24" s="1472"/>
      <c r="KVT24" s="1472"/>
      <c r="KVU24" s="1472"/>
      <c r="KVV24" s="1472"/>
      <c r="KVW24" s="1472"/>
      <c r="KVX24" s="1472"/>
      <c r="KVY24" s="1472"/>
      <c r="KVZ24" s="1472"/>
      <c r="KWA24" s="1472"/>
      <c r="KWB24" s="1473"/>
      <c r="KWC24" s="1471"/>
      <c r="KWD24" s="1472"/>
      <c r="KWE24" s="1472"/>
      <c r="KWF24" s="1472"/>
      <c r="KWG24" s="1472"/>
      <c r="KWH24" s="1472"/>
      <c r="KWI24" s="1472"/>
      <c r="KWJ24" s="1472"/>
      <c r="KWK24" s="1472"/>
      <c r="KWL24" s="1472"/>
      <c r="KWM24" s="1472"/>
      <c r="KWN24" s="1472"/>
      <c r="KWO24" s="1472"/>
      <c r="KWP24" s="1473"/>
      <c r="KWQ24" s="1471"/>
      <c r="KWR24" s="1472"/>
      <c r="KWS24" s="1472"/>
      <c r="KWT24" s="1472"/>
      <c r="KWU24" s="1472"/>
      <c r="KWV24" s="1472"/>
      <c r="KWW24" s="1472"/>
      <c r="KWX24" s="1472"/>
      <c r="KWY24" s="1472"/>
      <c r="KWZ24" s="1472"/>
      <c r="KXA24" s="1472"/>
      <c r="KXB24" s="1472"/>
      <c r="KXC24" s="1472"/>
      <c r="KXD24" s="1473"/>
      <c r="KXE24" s="1471"/>
      <c r="KXF24" s="1472"/>
      <c r="KXG24" s="1472"/>
      <c r="KXH24" s="1472"/>
      <c r="KXI24" s="1472"/>
      <c r="KXJ24" s="1472"/>
      <c r="KXK24" s="1472"/>
      <c r="KXL24" s="1472"/>
      <c r="KXM24" s="1472"/>
      <c r="KXN24" s="1472"/>
      <c r="KXO24" s="1472"/>
      <c r="KXP24" s="1472"/>
      <c r="KXQ24" s="1472"/>
      <c r="KXR24" s="1473"/>
      <c r="KXS24" s="1471"/>
      <c r="KXT24" s="1472"/>
      <c r="KXU24" s="1472"/>
      <c r="KXV24" s="1472"/>
      <c r="KXW24" s="1472"/>
      <c r="KXX24" s="1472"/>
      <c r="KXY24" s="1472"/>
      <c r="KXZ24" s="1472"/>
      <c r="KYA24" s="1472"/>
      <c r="KYB24" s="1472"/>
      <c r="KYC24" s="1472"/>
      <c r="KYD24" s="1472"/>
      <c r="KYE24" s="1472"/>
      <c r="KYF24" s="1473"/>
      <c r="KYG24" s="1471"/>
      <c r="KYH24" s="1472"/>
      <c r="KYI24" s="1472"/>
      <c r="KYJ24" s="1472"/>
      <c r="KYK24" s="1472"/>
      <c r="KYL24" s="1472"/>
      <c r="KYM24" s="1472"/>
      <c r="KYN24" s="1472"/>
      <c r="KYO24" s="1472"/>
      <c r="KYP24" s="1472"/>
      <c r="KYQ24" s="1472"/>
      <c r="KYR24" s="1472"/>
      <c r="KYS24" s="1472"/>
      <c r="KYT24" s="1473"/>
      <c r="KYU24" s="1471"/>
      <c r="KYV24" s="1472"/>
      <c r="KYW24" s="1472"/>
      <c r="KYX24" s="1472"/>
      <c r="KYY24" s="1472"/>
      <c r="KYZ24" s="1472"/>
      <c r="KZA24" s="1472"/>
      <c r="KZB24" s="1472"/>
      <c r="KZC24" s="1472"/>
      <c r="KZD24" s="1472"/>
      <c r="KZE24" s="1472"/>
      <c r="KZF24" s="1472"/>
      <c r="KZG24" s="1472"/>
      <c r="KZH24" s="1473"/>
      <c r="KZI24" s="1471"/>
      <c r="KZJ24" s="1472"/>
      <c r="KZK24" s="1472"/>
      <c r="KZL24" s="1472"/>
      <c r="KZM24" s="1472"/>
      <c r="KZN24" s="1472"/>
      <c r="KZO24" s="1472"/>
      <c r="KZP24" s="1472"/>
      <c r="KZQ24" s="1472"/>
      <c r="KZR24" s="1472"/>
      <c r="KZS24" s="1472"/>
      <c r="KZT24" s="1472"/>
      <c r="KZU24" s="1472"/>
      <c r="KZV24" s="1473"/>
      <c r="KZW24" s="1471"/>
      <c r="KZX24" s="1472"/>
      <c r="KZY24" s="1472"/>
      <c r="KZZ24" s="1472"/>
      <c r="LAA24" s="1472"/>
      <c r="LAB24" s="1472"/>
      <c r="LAC24" s="1472"/>
      <c r="LAD24" s="1472"/>
      <c r="LAE24" s="1472"/>
      <c r="LAF24" s="1472"/>
      <c r="LAG24" s="1472"/>
      <c r="LAH24" s="1472"/>
      <c r="LAI24" s="1472"/>
      <c r="LAJ24" s="1473"/>
      <c r="LAK24" s="1471"/>
      <c r="LAL24" s="1472"/>
      <c r="LAM24" s="1472"/>
      <c r="LAN24" s="1472"/>
      <c r="LAO24" s="1472"/>
      <c r="LAP24" s="1472"/>
      <c r="LAQ24" s="1472"/>
      <c r="LAR24" s="1472"/>
      <c r="LAS24" s="1472"/>
      <c r="LAT24" s="1472"/>
      <c r="LAU24" s="1472"/>
      <c r="LAV24" s="1472"/>
      <c r="LAW24" s="1472"/>
      <c r="LAX24" s="1473"/>
      <c r="LAY24" s="1471"/>
      <c r="LAZ24" s="1472"/>
      <c r="LBA24" s="1472"/>
      <c r="LBB24" s="1472"/>
      <c r="LBC24" s="1472"/>
      <c r="LBD24" s="1472"/>
      <c r="LBE24" s="1472"/>
      <c r="LBF24" s="1472"/>
      <c r="LBG24" s="1472"/>
      <c r="LBH24" s="1472"/>
      <c r="LBI24" s="1472"/>
      <c r="LBJ24" s="1472"/>
      <c r="LBK24" s="1472"/>
      <c r="LBL24" s="1473"/>
      <c r="LBM24" s="1471"/>
      <c r="LBN24" s="1472"/>
      <c r="LBO24" s="1472"/>
      <c r="LBP24" s="1472"/>
      <c r="LBQ24" s="1472"/>
      <c r="LBR24" s="1472"/>
      <c r="LBS24" s="1472"/>
      <c r="LBT24" s="1472"/>
      <c r="LBU24" s="1472"/>
      <c r="LBV24" s="1472"/>
      <c r="LBW24" s="1472"/>
      <c r="LBX24" s="1472"/>
      <c r="LBY24" s="1472"/>
      <c r="LBZ24" s="1473"/>
      <c r="LCA24" s="1471"/>
      <c r="LCB24" s="1472"/>
      <c r="LCC24" s="1472"/>
      <c r="LCD24" s="1472"/>
      <c r="LCE24" s="1472"/>
      <c r="LCF24" s="1472"/>
      <c r="LCG24" s="1472"/>
      <c r="LCH24" s="1472"/>
      <c r="LCI24" s="1472"/>
      <c r="LCJ24" s="1472"/>
      <c r="LCK24" s="1472"/>
      <c r="LCL24" s="1472"/>
      <c r="LCM24" s="1472"/>
      <c r="LCN24" s="1473"/>
      <c r="LCO24" s="1471"/>
      <c r="LCP24" s="1472"/>
      <c r="LCQ24" s="1472"/>
      <c r="LCR24" s="1472"/>
      <c r="LCS24" s="1472"/>
      <c r="LCT24" s="1472"/>
      <c r="LCU24" s="1472"/>
      <c r="LCV24" s="1472"/>
      <c r="LCW24" s="1472"/>
      <c r="LCX24" s="1472"/>
      <c r="LCY24" s="1472"/>
      <c r="LCZ24" s="1472"/>
      <c r="LDA24" s="1472"/>
      <c r="LDB24" s="1473"/>
      <c r="LDC24" s="1471"/>
      <c r="LDD24" s="1472"/>
      <c r="LDE24" s="1472"/>
      <c r="LDF24" s="1472"/>
      <c r="LDG24" s="1472"/>
      <c r="LDH24" s="1472"/>
      <c r="LDI24" s="1472"/>
      <c r="LDJ24" s="1472"/>
      <c r="LDK24" s="1472"/>
      <c r="LDL24" s="1472"/>
      <c r="LDM24" s="1472"/>
      <c r="LDN24" s="1472"/>
      <c r="LDO24" s="1472"/>
      <c r="LDP24" s="1473"/>
      <c r="LDQ24" s="1471"/>
      <c r="LDR24" s="1472"/>
      <c r="LDS24" s="1472"/>
      <c r="LDT24" s="1472"/>
      <c r="LDU24" s="1472"/>
      <c r="LDV24" s="1472"/>
      <c r="LDW24" s="1472"/>
      <c r="LDX24" s="1472"/>
      <c r="LDY24" s="1472"/>
      <c r="LDZ24" s="1472"/>
      <c r="LEA24" s="1472"/>
      <c r="LEB24" s="1472"/>
      <c r="LEC24" s="1472"/>
      <c r="LED24" s="1473"/>
      <c r="LEE24" s="1471"/>
      <c r="LEF24" s="1472"/>
      <c r="LEG24" s="1472"/>
      <c r="LEH24" s="1472"/>
      <c r="LEI24" s="1472"/>
      <c r="LEJ24" s="1472"/>
      <c r="LEK24" s="1472"/>
      <c r="LEL24" s="1472"/>
      <c r="LEM24" s="1472"/>
      <c r="LEN24" s="1472"/>
      <c r="LEO24" s="1472"/>
      <c r="LEP24" s="1472"/>
      <c r="LEQ24" s="1472"/>
      <c r="LER24" s="1473"/>
      <c r="LES24" s="1471"/>
      <c r="LET24" s="1472"/>
      <c r="LEU24" s="1472"/>
      <c r="LEV24" s="1472"/>
      <c r="LEW24" s="1472"/>
      <c r="LEX24" s="1472"/>
      <c r="LEY24" s="1472"/>
      <c r="LEZ24" s="1472"/>
      <c r="LFA24" s="1472"/>
      <c r="LFB24" s="1472"/>
      <c r="LFC24" s="1472"/>
      <c r="LFD24" s="1472"/>
      <c r="LFE24" s="1472"/>
      <c r="LFF24" s="1473"/>
      <c r="LFG24" s="1471"/>
      <c r="LFH24" s="1472"/>
      <c r="LFI24" s="1472"/>
      <c r="LFJ24" s="1472"/>
      <c r="LFK24" s="1472"/>
      <c r="LFL24" s="1472"/>
      <c r="LFM24" s="1472"/>
      <c r="LFN24" s="1472"/>
      <c r="LFO24" s="1472"/>
      <c r="LFP24" s="1472"/>
      <c r="LFQ24" s="1472"/>
      <c r="LFR24" s="1472"/>
      <c r="LFS24" s="1472"/>
      <c r="LFT24" s="1473"/>
      <c r="LFU24" s="1471"/>
      <c r="LFV24" s="1472"/>
      <c r="LFW24" s="1472"/>
      <c r="LFX24" s="1472"/>
      <c r="LFY24" s="1472"/>
      <c r="LFZ24" s="1472"/>
      <c r="LGA24" s="1472"/>
      <c r="LGB24" s="1472"/>
      <c r="LGC24" s="1472"/>
      <c r="LGD24" s="1472"/>
      <c r="LGE24" s="1472"/>
      <c r="LGF24" s="1472"/>
      <c r="LGG24" s="1472"/>
      <c r="LGH24" s="1473"/>
      <c r="LGI24" s="1471"/>
      <c r="LGJ24" s="1472"/>
      <c r="LGK24" s="1472"/>
      <c r="LGL24" s="1472"/>
      <c r="LGM24" s="1472"/>
      <c r="LGN24" s="1472"/>
      <c r="LGO24" s="1472"/>
      <c r="LGP24" s="1472"/>
      <c r="LGQ24" s="1472"/>
      <c r="LGR24" s="1472"/>
      <c r="LGS24" s="1472"/>
      <c r="LGT24" s="1472"/>
      <c r="LGU24" s="1472"/>
      <c r="LGV24" s="1473"/>
      <c r="LGW24" s="1471"/>
      <c r="LGX24" s="1472"/>
      <c r="LGY24" s="1472"/>
      <c r="LGZ24" s="1472"/>
      <c r="LHA24" s="1472"/>
      <c r="LHB24" s="1472"/>
      <c r="LHC24" s="1472"/>
      <c r="LHD24" s="1472"/>
      <c r="LHE24" s="1472"/>
      <c r="LHF24" s="1472"/>
      <c r="LHG24" s="1472"/>
      <c r="LHH24" s="1472"/>
      <c r="LHI24" s="1472"/>
      <c r="LHJ24" s="1473"/>
      <c r="LHK24" s="1471"/>
      <c r="LHL24" s="1472"/>
      <c r="LHM24" s="1472"/>
      <c r="LHN24" s="1472"/>
      <c r="LHO24" s="1472"/>
      <c r="LHP24" s="1472"/>
      <c r="LHQ24" s="1472"/>
      <c r="LHR24" s="1472"/>
      <c r="LHS24" s="1472"/>
      <c r="LHT24" s="1472"/>
      <c r="LHU24" s="1472"/>
      <c r="LHV24" s="1472"/>
      <c r="LHW24" s="1472"/>
      <c r="LHX24" s="1473"/>
      <c r="LHY24" s="1471"/>
      <c r="LHZ24" s="1472"/>
      <c r="LIA24" s="1472"/>
      <c r="LIB24" s="1472"/>
      <c r="LIC24" s="1472"/>
      <c r="LID24" s="1472"/>
      <c r="LIE24" s="1472"/>
      <c r="LIF24" s="1472"/>
      <c r="LIG24" s="1472"/>
      <c r="LIH24" s="1472"/>
      <c r="LII24" s="1472"/>
      <c r="LIJ24" s="1472"/>
      <c r="LIK24" s="1472"/>
      <c r="LIL24" s="1473"/>
      <c r="LIM24" s="1471"/>
      <c r="LIN24" s="1472"/>
      <c r="LIO24" s="1472"/>
      <c r="LIP24" s="1472"/>
      <c r="LIQ24" s="1472"/>
      <c r="LIR24" s="1472"/>
      <c r="LIS24" s="1472"/>
      <c r="LIT24" s="1472"/>
      <c r="LIU24" s="1472"/>
      <c r="LIV24" s="1472"/>
      <c r="LIW24" s="1472"/>
      <c r="LIX24" s="1472"/>
      <c r="LIY24" s="1472"/>
      <c r="LIZ24" s="1473"/>
      <c r="LJA24" s="1471"/>
      <c r="LJB24" s="1472"/>
      <c r="LJC24" s="1472"/>
      <c r="LJD24" s="1472"/>
      <c r="LJE24" s="1472"/>
      <c r="LJF24" s="1472"/>
      <c r="LJG24" s="1472"/>
      <c r="LJH24" s="1472"/>
      <c r="LJI24" s="1472"/>
      <c r="LJJ24" s="1472"/>
      <c r="LJK24" s="1472"/>
      <c r="LJL24" s="1472"/>
      <c r="LJM24" s="1472"/>
      <c r="LJN24" s="1473"/>
      <c r="LJO24" s="1471"/>
      <c r="LJP24" s="1472"/>
      <c r="LJQ24" s="1472"/>
      <c r="LJR24" s="1472"/>
      <c r="LJS24" s="1472"/>
      <c r="LJT24" s="1472"/>
      <c r="LJU24" s="1472"/>
      <c r="LJV24" s="1472"/>
      <c r="LJW24" s="1472"/>
      <c r="LJX24" s="1472"/>
      <c r="LJY24" s="1472"/>
      <c r="LJZ24" s="1472"/>
      <c r="LKA24" s="1472"/>
      <c r="LKB24" s="1473"/>
      <c r="LKC24" s="1471"/>
      <c r="LKD24" s="1472"/>
      <c r="LKE24" s="1472"/>
      <c r="LKF24" s="1472"/>
      <c r="LKG24" s="1472"/>
      <c r="LKH24" s="1472"/>
      <c r="LKI24" s="1472"/>
      <c r="LKJ24" s="1472"/>
      <c r="LKK24" s="1472"/>
      <c r="LKL24" s="1472"/>
      <c r="LKM24" s="1472"/>
      <c r="LKN24" s="1472"/>
      <c r="LKO24" s="1472"/>
      <c r="LKP24" s="1473"/>
      <c r="LKQ24" s="1471"/>
      <c r="LKR24" s="1472"/>
      <c r="LKS24" s="1472"/>
      <c r="LKT24" s="1472"/>
      <c r="LKU24" s="1472"/>
      <c r="LKV24" s="1472"/>
      <c r="LKW24" s="1472"/>
      <c r="LKX24" s="1472"/>
      <c r="LKY24" s="1472"/>
      <c r="LKZ24" s="1472"/>
      <c r="LLA24" s="1472"/>
      <c r="LLB24" s="1472"/>
      <c r="LLC24" s="1472"/>
      <c r="LLD24" s="1473"/>
      <c r="LLE24" s="1471"/>
      <c r="LLF24" s="1472"/>
      <c r="LLG24" s="1472"/>
      <c r="LLH24" s="1472"/>
      <c r="LLI24" s="1472"/>
      <c r="LLJ24" s="1472"/>
      <c r="LLK24" s="1472"/>
      <c r="LLL24" s="1472"/>
      <c r="LLM24" s="1472"/>
      <c r="LLN24" s="1472"/>
      <c r="LLO24" s="1472"/>
      <c r="LLP24" s="1472"/>
      <c r="LLQ24" s="1472"/>
      <c r="LLR24" s="1473"/>
      <c r="LLS24" s="1471"/>
      <c r="LLT24" s="1472"/>
      <c r="LLU24" s="1472"/>
      <c r="LLV24" s="1472"/>
      <c r="LLW24" s="1472"/>
      <c r="LLX24" s="1472"/>
      <c r="LLY24" s="1472"/>
      <c r="LLZ24" s="1472"/>
      <c r="LMA24" s="1472"/>
      <c r="LMB24" s="1472"/>
      <c r="LMC24" s="1472"/>
      <c r="LMD24" s="1472"/>
      <c r="LME24" s="1472"/>
      <c r="LMF24" s="1473"/>
      <c r="LMG24" s="1471"/>
      <c r="LMH24" s="1472"/>
      <c r="LMI24" s="1472"/>
      <c r="LMJ24" s="1472"/>
      <c r="LMK24" s="1472"/>
      <c r="LML24" s="1472"/>
      <c r="LMM24" s="1472"/>
      <c r="LMN24" s="1472"/>
      <c r="LMO24" s="1472"/>
      <c r="LMP24" s="1472"/>
      <c r="LMQ24" s="1472"/>
      <c r="LMR24" s="1472"/>
      <c r="LMS24" s="1472"/>
      <c r="LMT24" s="1473"/>
      <c r="LMU24" s="1471"/>
      <c r="LMV24" s="1472"/>
      <c r="LMW24" s="1472"/>
      <c r="LMX24" s="1472"/>
      <c r="LMY24" s="1472"/>
      <c r="LMZ24" s="1472"/>
      <c r="LNA24" s="1472"/>
      <c r="LNB24" s="1472"/>
      <c r="LNC24" s="1472"/>
      <c r="LND24" s="1472"/>
      <c r="LNE24" s="1472"/>
      <c r="LNF24" s="1472"/>
      <c r="LNG24" s="1472"/>
      <c r="LNH24" s="1473"/>
      <c r="LNI24" s="1471"/>
      <c r="LNJ24" s="1472"/>
      <c r="LNK24" s="1472"/>
      <c r="LNL24" s="1472"/>
      <c r="LNM24" s="1472"/>
      <c r="LNN24" s="1472"/>
      <c r="LNO24" s="1472"/>
      <c r="LNP24" s="1472"/>
      <c r="LNQ24" s="1472"/>
      <c r="LNR24" s="1472"/>
      <c r="LNS24" s="1472"/>
      <c r="LNT24" s="1472"/>
      <c r="LNU24" s="1472"/>
      <c r="LNV24" s="1473"/>
      <c r="LNW24" s="1471"/>
      <c r="LNX24" s="1472"/>
      <c r="LNY24" s="1472"/>
      <c r="LNZ24" s="1472"/>
      <c r="LOA24" s="1472"/>
      <c r="LOB24" s="1472"/>
      <c r="LOC24" s="1472"/>
      <c r="LOD24" s="1472"/>
      <c r="LOE24" s="1472"/>
      <c r="LOF24" s="1472"/>
      <c r="LOG24" s="1472"/>
      <c r="LOH24" s="1472"/>
      <c r="LOI24" s="1472"/>
      <c r="LOJ24" s="1473"/>
      <c r="LOK24" s="1471"/>
      <c r="LOL24" s="1472"/>
      <c r="LOM24" s="1472"/>
      <c r="LON24" s="1472"/>
      <c r="LOO24" s="1472"/>
      <c r="LOP24" s="1472"/>
      <c r="LOQ24" s="1472"/>
      <c r="LOR24" s="1472"/>
      <c r="LOS24" s="1472"/>
      <c r="LOT24" s="1472"/>
      <c r="LOU24" s="1472"/>
      <c r="LOV24" s="1472"/>
      <c r="LOW24" s="1472"/>
      <c r="LOX24" s="1473"/>
      <c r="LOY24" s="1471"/>
      <c r="LOZ24" s="1472"/>
      <c r="LPA24" s="1472"/>
      <c r="LPB24" s="1472"/>
      <c r="LPC24" s="1472"/>
      <c r="LPD24" s="1472"/>
      <c r="LPE24" s="1472"/>
      <c r="LPF24" s="1472"/>
      <c r="LPG24" s="1472"/>
      <c r="LPH24" s="1472"/>
      <c r="LPI24" s="1472"/>
      <c r="LPJ24" s="1472"/>
      <c r="LPK24" s="1472"/>
      <c r="LPL24" s="1473"/>
      <c r="LPM24" s="1471"/>
      <c r="LPN24" s="1472"/>
      <c r="LPO24" s="1472"/>
      <c r="LPP24" s="1472"/>
      <c r="LPQ24" s="1472"/>
      <c r="LPR24" s="1472"/>
      <c r="LPS24" s="1472"/>
      <c r="LPT24" s="1472"/>
      <c r="LPU24" s="1472"/>
      <c r="LPV24" s="1472"/>
      <c r="LPW24" s="1472"/>
      <c r="LPX24" s="1472"/>
      <c r="LPY24" s="1472"/>
      <c r="LPZ24" s="1473"/>
      <c r="LQA24" s="1471"/>
      <c r="LQB24" s="1472"/>
      <c r="LQC24" s="1472"/>
      <c r="LQD24" s="1472"/>
      <c r="LQE24" s="1472"/>
      <c r="LQF24" s="1472"/>
      <c r="LQG24" s="1472"/>
      <c r="LQH24" s="1472"/>
      <c r="LQI24" s="1472"/>
      <c r="LQJ24" s="1472"/>
      <c r="LQK24" s="1472"/>
      <c r="LQL24" s="1472"/>
      <c r="LQM24" s="1472"/>
      <c r="LQN24" s="1473"/>
      <c r="LQO24" s="1471"/>
      <c r="LQP24" s="1472"/>
      <c r="LQQ24" s="1472"/>
      <c r="LQR24" s="1472"/>
      <c r="LQS24" s="1472"/>
      <c r="LQT24" s="1472"/>
      <c r="LQU24" s="1472"/>
      <c r="LQV24" s="1472"/>
      <c r="LQW24" s="1472"/>
      <c r="LQX24" s="1472"/>
      <c r="LQY24" s="1472"/>
      <c r="LQZ24" s="1472"/>
      <c r="LRA24" s="1472"/>
      <c r="LRB24" s="1473"/>
      <c r="LRC24" s="1471"/>
      <c r="LRD24" s="1472"/>
      <c r="LRE24" s="1472"/>
      <c r="LRF24" s="1472"/>
      <c r="LRG24" s="1472"/>
      <c r="LRH24" s="1472"/>
      <c r="LRI24" s="1472"/>
      <c r="LRJ24" s="1472"/>
      <c r="LRK24" s="1472"/>
      <c r="LRL24" s="1472"/>
      <c r="LRM24" s="1472"/>
      <c r="LRN24" s="1472"/>
      <c r="LRO24" s="1472"/>
      <c r="LRP24" s="1473"/>
      <c r="LRQ24" s="1471"/>
      <c r="LRR24" s="1472"/>
      <c r="LRS24" s="1472"/>
      <c r="LRT24" s="1472"/>
      <c r="LRU24" s="1472"/>
      <c r="LRV24" s="1472"/>
      <c r="LRW24" s="1472"/>
      <c r="LRX24" s="1472"/>
      <c r="LRY24" s="1472"/>
      <c r="LRZ24" s="1472"/>
      <c r="LSA24" s="1472"/>
      <c r="LSB24" s="1472"/>
      <c r="LSC24" s="1472"/>
      <c r="LSD24" s="1473"/>
      <c r="LSE24" s="1471"/>
      <c r="LSF24" s="1472"/>
      <c r="LSG24" s="1472"/>
      <c r="LSH24" s="1472"/>
      <c r="LSI24" s="1472"/>
      <c r="LSJ24" s="1472"/>
      <c r="LSK24" s="1472"/>
      <c r="LSL24" s="1472"/>
      <c r="LSM24" s="1472"/>
      <c r="LSN24" s="1472"/>
      <c r="LSO24" s="1472"/>
      <c r="LSP24" s="1472"/>
      <c r="LSQ24" s="1472"/>
      <c r="LSR24" s="1473"/>
      <c r="LSS24" s="1471"/>
      <c r="LST24" s="1472"/>
      <c r="LSU24" s="1472"/>
      <c r="LSV24" s="1472"/>
      <c r="LSW24" s="1472"/>
      <c r="LSX24" s="1472"/>
      <c r="LSY24" s="1472"/>
      <c r="LSZ24" s="1472"/>
      <c r="LTA24" s="1472"/>
      <c r="LTB24" s="1472"/>
      <c r="LTC24" s="1472"/>
      <c r="LTD24" s="1472"/>
      <c r="LTE24" s="1472"/>
      <c r="LTF24" s="1473"/>
      <c r="LTG24" s="1471"/>
      <c r="LTH24" s="1472"/>
      <c r="LTI24" s="1472"/>
      <c r="LTJ24" s="1472"/>
      <c r="LTK24" s="1472"/>
      <c r="LTL24" s="1472"/>
      <c r="LTM24" s="1472"/>
      <c r="LTN24" s="1472"/>
      <c r="LTO24" s="1472"/>
      <c r="LTP24" s="1472"/>
      <c r="LTQ24" s="1472"/>
      <c r="LTR24" s="1472"/>
      <c r="LTS24" s="1472"/>
      <c r="LTT24" s="1473"/>
      <c r="LTU24" s="1471"/>
      <c r="LTV24" s="1472"/>
      <c r="LTW24" s="1472"/>
      <c r="LTX24" s="1472"/>
      <c r="LTY24" s="1472"/>
      <c r="LTZ24" s="1472"/>
      <c r="LUA24" s="1472"/>
      <c r="LUB24" s="1472"/>
      <c r="LUC24" s="1472"/>
      <c r="LUD24" s="1472"/>
      <c r="LUE24" s="1472"/>
      <c r="LUF24" s="1472"/>
      <c r="LUG24" s="1472"/>
      <c r="LUH24" s="1473"/>
      <c r="LUI24" s="1471"/>
      <c r="LUJ24" s="1472"/>
      <c r="LUK24" s="1472"/>
      <c r="LUL24" s="1472"/>
      <c r="LUM24" s="1472"/>
      <c r="LUN24" s="1472"/>
      <c r="LUO24" s="1472"/>
      <c r="LUP24" s="1472"/>
      <c r="LUQ24" s="1472"/>
      <c r="LUR24" s="1472"/>
      <c r="LUS24" s="1472"/>
      <c r="LUT24" s="1472"/>
      <c r="LUU24" s="1472"/>
      <c r="LUV24" s="1473"/>
      <c r="LUW24" s="1471"/>
      <c r="LUX24" s="1472"/>
      <c r="LUY24" s="1472"/>
      <c r="LUZ24" s="1472"/>
      <c r="LVA24" s="1472"/>
      <c r="LVB24" s="1472"/>
      <c r="LVC24" s="1472"/>
      <c r="LVD24" s="1472"/>
      <c r="LVE24" s="1472"/>
      <c r="LVF24" s="1472"/>
      <c r="LVG24" s="1472"/>
      <c r="LVH24" s="1472"/>
      <c r="LVI24" s="1472"/>
      <c r="LVJ24" s="1473"/>
      <c r="LVK24" s="1471"/>
      <c r="LVL24" s="1472"/>
      <c r="LVM24" s="1472"/>
      <c r="LVN24" s="1472"/>
      <c r="LVO24" s="1472"/>
      <c r="LVP24" s="1472"/>
      <c r="LVQ24" s="1472"/>
      <c r="LVR24" s="1472"/>
      <c r="LVS24" s="1472"/>
      <c r="LVT24" s="1472"/>
      <c r="LVU24" s="1472"/>
      <c r="LVV24" s="1472"/>
      <c r="LVW24" s="1472"/>
      <c r="LVX24" s="1473"/>
      <c r="LVY24" s="1471"/>
      <c r="LVZ24" s="1472"/>
      <c r="LWA24" s="1472"/>
      <c r="LWB24" s="1472"/>
      <c r="LWC24" s="1472"/>
      <c r="LWD24" s="1472"/>
      <c r="LWE24" s="1472"/>
      <c r="LWF24" s="1472"/>
      <c r="LWG24" s="1472"/>
      <c r="LWH24" s="1472"/>
      <c r="LWI24" s="1472"/>
      <c r="LWJ24" s="1472"/>
      <c r="LWK24" s="1472"/>
      <c r="LWL24" s="1473"/>
      <c r="LWM24" s="1471"/>
      <c r="LWN24" s="1472"/>
      <c r="LWO24" s="1472"/>
      <c r="LWP24" s="1472"/>
      <c r="LWQ24" s="1472"/>
      <c r="LWR24" s="1472"/>
      <c r="LWS24" s="1472"/>
      <c r="LWT24" s="1472"/>
      <c r="LWU24" s="1472"/>
      <c r="LWV24" s="1472"/>
      <c r="LWW24" s="1472"/>
      <c r="LWX24" s="1472"/>
      <c r="LWY24" s="1472"/>
      <c r="LWZ24" s="1473"/>
      <c r="LXA24" s="1471"/>
      <c r="LXB24" s="1472"/>
      <c r="LXC24" s="1472"/>
      <c r="LXD24" s="1472"/>
      <c r="LXE24" s="1472"/>
      <c r="LXF24" s="1472"/>
      <c r="LXG24" s="1472"/>
      <c r="LXH24" s="1472"/>
      <c r="LXI24" s="1472"/>
      <c r="LXJ24" s="1472"/>
      <c r="LXK24" s="1472"/>
      <c r="LXL24" s="1472"/>
      <c r="LXM24" s="1472"/>
      <c r="LXN24" s="1473"/>
      <c r="LXO24" s="1471"/>
      <c r="LXP24" s="1472"/>
      <c r="LXQ24" s="1472"/>
      <c r="LXR24" s="1472"/>
      <c r="LXS24" s="1472"/>
      <c r="LXT24" s="1472"/>
      <c r="LXU24" s="1472"/>
      <c r="LXV24" s="1472"/>
      <c r="LXW24" s="1472"/>
      <c r="LXX24" s="1472"/>
      <c r="LXY24" s="1472"/>
      <c r="LXZ24" s="1472"/>
      <c r="LYA24" s="1472"/>
      <c r="LYB24" s="1473"/>
      <c r="LYC24" s="1471"/>
      <c r="LYD24" s="1472"/>
      <c r="LYE24" s="1472"/>
      <c r="LYF24" s="1472"/>
      <c r="LYG24" s="1472"/>
      <c r="LYH24" s="1472"/>
      <c r="LYI24" s="1472"/>
      <c r="LYJ24" s="1472"/>
      <c r="LYK24" s="1472"/>
      <c r="LYL24" s="1472"/>
      <c r="LYM24" s="1472"/>
      <c r="LYN24" s="1472"/>
      <c r="LYO24" s="1472"/>
      <c r="LYP24" s="1473"/>
      <c r="LYQ24" s="1471"/>
      <c r="LYR24" s="1472"/>
      <c r="LYS24" s="1472"/>
      <c r="LYT24" s="1472"/>
      <c r="LYU24" s="1472"/>
      <c r="LYV24" s="1472"/>
      <c r="LYW24" s="1472"/>
      <c r="LYX24" s="1472"/>
      <c r="LYY24" s="1472"/>
      <c r="LYZ24" s="1472"/>
      <c r="LZA24" s="1472"/>
      <c r="LZB24" s="1472"/>
      <c r="LZC24" s="1472"/>
      <c r="LZD24" s="1473"/>
      <c r="LZE24" s="1471"/>
      <c r="LZF24" s="1472"/>
      <c r="LZG24" s="1472"/>
      <c r="LZH24" s="1472"/>
      <c r="LZI24" s="1472"/>
      <c r="LZJ24" s="1472"/>
      <c r="LZK24" s="1472"/>
      <c r="LZL24" s="1472"/>
      <c r="LZM24" s="1472"/>
      <c r="LZN24" s="1472"/>
      <c r="LZO24" s="1472"/>
      <c r="LZP24" s="1472"/>
      <c r="LZQ24" s="1472"/>
      <c r="LZR24" s="1473"/>
      <c r="LZS24" s="1471"/>
      <c r="LZT24" s="1472"/>
      <c r="LZU24" s="1472"/>
      <c r="LZV24" s="1472"/>
      <c r="LZW24" s="1472"/>
      <c r="LZX24" s="1472"/>
      <c r="LZY24" s="1472"/>
      <c r="LZZ24" s="1472"/>
      <c r="MAA24" s="1472"/>
      <c r="MAB24" s="1472"/>
      <c r="MAC24" s="1472"/>
      <c r="MAD24" s="1472"/>
      <c r="MAE24" s="1472"/>
      <c r="MAF24" s="1473"/>
      <c r="MAG24" s="1471"/>
      <c r="MAH24" s="1472"/>
      <c r="MAI24" s="1472"/>
      <c r="MAJ24" s="1472"/>
      <c r="MAK24" s="1472"/>
      <c r="MAL24" s="1472"/>
      <c r="MAM24" s="1472"/>
      <c r="MAN24" s="1472"/>
      <c r="MAO24" s="1472"/>
      <c r="MAP24" s="1472"/>
      <c r="MAQ24" s="1472"/>
      <c r="MAR24" s="1472"/>
      <c r="MAS24" s="1472"/>
      <c r="MAT24" s="1473"/>
      <c r="MAU24" s="1471"/>
      <c r="MAV24" s="1472"/>
      <c r="MAW24" s="1472"/>
      <c r="MAX24" s="1472"/>
      <c r="MAY24" s="1472"/>
      <c r="MAZ24" s="1472"/>
      <c r="MBA24" s="1472"/>
      <c r="MBB24" s="1472"/>
      <c r="MBC24" s="1472"/>
      <c r="MBD24" s="1472"/>
      <c r="MBE24" s="1472"/>
      <c r="MBF24" s="1472"/>
      <c r="MBG24" s="1472"/>
      <c r="MBH24" s="1473"/>
      <c r="MBI24" s="1471"/>
      <c r="MBJ24" s="1472"/>
      <c r="MBK24" s="1472"/>
      <c r="MBL24" s="1472"/>
      <c r="MBM24" s="1472"/>
      <c r="MBN24" s="1472"/>
      <c r="MBO24" s="1472"/>
      <c r="MBP24" s="1472"/>
      <c r="MBQ24" s="1472"/>
      <c r="MBR24" s="1472"/>
      <c r="MBS24" s="1472"/>
      <c r="MBT24" s="1472"/>
      <c r="MBU24" s="1472"/>
      <c r="MBV24" s="1473"/>
      <c r="MBW24" s="1471"/>
      <c r="MBX24" s="1472"/>
      <c r="MBY24" s="1472"/>
      <c r="MBZ24" s="1472"/>
      <c r="MCA24" s="1472"/>
      <c r="MCB24" s="1472"/>
      <c r="MCC24" s="1472"/>
      <c r="MCD24" s="1472"/>
      <c r="MCE24" s="1472"/>
      <c r="MCF24" s="1472"/>
      <c r="MCG24" s="1472"/>
      <c r="MCH24" s="1472"/>
      <c r="MCI24" s="1472"/>
      <c r="MCJ24" s="1473"/>
      <c r="MCK24" s="1471"/>
      <c r="MCL24" s="1472"/>
      <c r="MCM24" s="1472"/>
      <c r="MCN24" s="1472"/>
      <c r="MCO24" s="1472"/>
      <c r="MCP24" s="1472"/>
      <c r="MCQ24" s="1472"/>
      <c r="MCR24" s="1472"/>
      <c r="MCS24" s="1472"/>
      <c r="MCT24" s="1472"/>
      <c r="MCU24" s="1472"/>
      <c r="MCV24" s="1472"/>
      <c r="MCW24" s="1472"/>
      <c r="MCX24" s="1473"/>
      <c r="MCY24" s="1471"/>
      <c r="MCZ24" s="1472"/>
      <c r="MDA24" s="1472"/>
      <c r="MDB24" s="1472"/>
      <c r="MDC24" s="1472"/>
      <c r="MDD24" s="1472"/>
      <c r="MDE24" s="1472"/>
      <c r="MDF24" s="1472"/>
      <c r="MDG24" s="1472"/>
      <c r="MDH24" s="1472"/>
      <c r="MDI24" s="1472"/>
      <c r="MDJ24" s="1472"/>
      <c r="MDK24" s="1472"/>
      <c r="MDL24" s="1473"/>
      <c r="MDM24" s="1471"/>
      <c r="MDN24" s="1472"/>
      <c r="MDO24" s="1472"/>
      <c r="MDP24" s="1472"/>
      <c r="MDQ24" s="1472"/>
      <c r="MDR24" s="1472"/>
      <c r="MDS24" s="1472"/>
      <c r="MDT24" s="1472"/>
      <c r="MDU24" s="1472"/>
      <c r="MDV24" s="1472"/>
      <c r="MDW24" s="1472"/>
      <c r="MDX24" s="1472"/>
      <c r="MDY24" s="1472"/>
      <c r="MDZ24" s="1473"/>
      <c r="MEA24" s="1471"/>
      <c r="MEB24" s="1472"/>
      <c r="MEC24" s="1472"/>
      <c r="MED24" s="1472"/>
      <c r="MEE24" s="1472"/>
      <c r="MEF24" s="1472"/>
      <c r="MEG24" s="1472"/>
      <c r="MEH24" s="1472"/>
      <c r="MEI24" s="1472"/>
      <c r="MEJ24" s="1472"/>
      <c r="MEK24" s="1472"/>
      <c r="MEL24" s="1472"/>
      <c r="MEM24" s="1472"/>
      <c r="MEN24" s="1473"/>
      <c r="MEO24" s="1471"/>
      <c r="MEP24" s="1472"/>
      <c r="MEQ24" s="1472"/>
      <c r="MER24" s="1472"/>
      <c r="MES24" s="1472"/>
      <c r="MET24" s="1472"/>
      <c r="MEU24" s="1472"/>
      <c r="MEV24" s="1472"/>
      <c r="MEW24" s="1472"/>
      <c r="MEX24" s="1472"/>
      <c r="MEY24" s="1472"/>
      <c r="MEZ24" s="1472"/>
      <c r="MFA24" s="1472"/>
      <c r="MFB24" s="1473"/>
      <c r="MFC24" s="1471"/>
      <c r="MFD24" s="1472"/>
      <c r="MFE24" s="1472"/>
      <c r="MFF24" s="1472"/>
      <c r="MFG24" s="1472"/>
      <c r="MFH24" s="1472"/>
      <c r="MFI24" s="1472"/>
      <c r="MFJ24" s="1472"/>
      <c r="MFK24" s="1472"/>
      <c r="MFL24" s="1472"/>
      <c r="MFM24" s="1472"/>
      <c r="MFN24" s="1472"/>
      <c r="MFO24" s="1472"/>
      <c r="MFP24" s="1473"/>
      <c r="MFQ24" s="1471"/>
      <c r="MFR24" s="1472"/>
      <c r="MFS24" s="1472"/>
      <c r="MFT24" s="1472"/>
      <c r="MFU24" s="1472"/>
      <c r="MFV24" s="1472"/>
      <c r="MFW24" s="1472"/>
      <c r="MFX24" s="1472"/>
      <c r="MFY24" s="1472"/>
      <c r="MFZ24" s="1472"/>
      <c r="MGA24" s="1472"/>
      <c r="MGB24" s="1472"/>
      <c r="MGC24" s="1472"/>
      <c r="MGD24" s="1473"/>
      <c r="MGE24" s="1471"/>
      <c r="MGF24" s="1472"/>
      <c r="MGG24" s="1472"/>
      <c r="MGH24" s="1472"/>
      <c r="MGI24" s="1472"/>
      <c r="MGJ24" s="1472"/>
      <c r="MGK24" s="1472"/>
      <c r="MGL24" s="1472"/>
      <c r="MGM24" s="1472"/>
      <c r="MGN24" s="1472"/>
      <c r="MGO24" s="1472"/>
      <c r="MGP24" s="1472"/>
      <c r="MGQ24" s="1472"/>
      <c r="MGR24" s="1473"/>
      <c r="MGS24" s="1471"/>
      <c r="MGT24" s="1472"/>
      <c r="MGU24" s="1472"/>
      <c r="MGV24" s="1472"/>
      <c r="MGW24" s="1472"/>
      <c r="MGX24" s="1472"/>
      <c r="MGY24" s="1472"/>
      <c r="MGZ24" s="1472"/>
      <c r="MHA24" s="1472"/>
      <c r="MHB24" s="1472"/>
      <c r="MHC24" s="1472"/>
      <c r="MHD24" s="1472"/>
      <c r="MHE24" s="1472"/>
      <c r="MHF24" s="1473"/>
      <c r="MHG24" s="1471"/>
      <c r="MHH24" s="1472"/>
      <c r="MHI24" s="1472"/>
      <c r="MHJ24" s="1472"/>
      <c r="MHK24" s="1472"/>
      <c r="MHL24" s="1472"/>
      <c r="MHM24" s="1472"/>
      <c r="MHN24" s="1472"/>
      <c r="MHO24" s="1472"/>
      <c r="MHP24" s="1472"/>
      <c r="MHQ24" s="1472"/>
      <c r="MHR24" s="1472"/>
      <c r="MHS24" s="1472"/>
      <c r="MHT24" s="1473"/>
      <c r="MHU24" s="1471"/>
      <c r="MHV24" s="1472"/>
      <c r="MHW24" s="1472"/>
      <c r="MHX24" s="1472"/>
      <c r="MHY24" s="1472"/>
      <c r="MHZ24" s="1472"/>
      <c r="MIA24" s="1472"/>
      <c r="MIB24" s="1472"/>
      <c r="MIC24" s="1472"/>
      <c r="MID24" s="1472"/>
      <c r="MIE24" s="1472"/>
      <c r="MIF24" s="1472"/>
      <c r="MIG24" s="1472"/>
      <c r="MIH24" s="1473"/>
      <c r="MII24" s="1471"/>
      <c r="MIJ24" s="1472"/>
      <c r="MIK24" s="1472"/>
      <c r="MIL24" s="1472"/>
      <c r="MIM24" s="1472"/>
      <c r="MIN24" s="1472"/>
      <c r="MIO24" s="1472"/>
      <c r="MIP24" s="1472"/>
      <c r="MIQ24" s="1472"/>
      <c r="MIR24" s="1472"/>
      <c r="MIS24" s="1472"/>
      <c r="MIT24" s="1472"/>
      <c r="MIU24" s="1472"/>
      <c r="MIV24" s="1473"/>
      <c r="MIW24" s="1471"/>
      <c r="MIX24" s="1472"/>
      <c r="MIY24" s="1472"/>
      <c r="MIZ24" s="1472"/>
      <c r="MJA24" s="1472"/>
      <c r="MJB24" s="1472"/>
      <c r="MJC24" s="1472"/>
      <c r="MJD24" s="1472"/>
      <c r="MJE24" s="1472"/>
      <c r="MJF24" s="1472"/>
      <c r="MJG24" s="1472"/>
      <c r="MJH24" s="1472"/>
      <c r="MJI24" s="1472"/>
      <c r="MJJ24" s="1473"/>
      <c r="MJK24" s="1471"/>
      <c r="MJL24" s="1472"/>
      <c r="MJM24" s="1472"/>
      <c r="MJN24" s="1472"/>
      <c r="MJO24" s="1472"/>
      <c r="MJP24" s="1472"/>
      <c r="MJQ24" s="1472"/>
      <c r="MJR24" s="1472"/>
      <c r="MJS24" s="1472"/>
      <c r="MJT24" s="1472"/>
      <c r="MJU24" s="1472"/>
      <c r="MJV24" s="1472"/>
      <c r="MJW24" s="1472"/>
      <c r="MJX24" s="1473"/>
      <c r="MJY24" s="1471"/>
      <c r="MJZ24" s="1472"/>
      <c r="MKA24" s="1472"/>
      <c r="MKB24" s="1472"/>
      <c r="MKC24" s="1472"/>
      <c r="MKD24" s="1472"/>
      <c r="MKE24" s="1472"/>
      <c r="MKF24" s="1472"/>
      <c r="MKG24" s="1472"/>
      <c r="MKH24" s="1472"/>
      <c r="MKI24" s="1472"/>
      <c r="MKJ24" s="1472"/>
      <c r="MKK24" s="1472"/>
      <c r="MKL24" s="1473"/>
      <c r="MKM24" s="1471"/>
      <c r="MKN24" s="1472"/>
      <c r="MKO24" s="1472"/>
      <c r="MKP24" s="1472"/>
      <c r="MKQ24" s="1472"/>
      <c r="MKR24" s="1472"/>
      <c r="MKS24" s="1472"/>
      <c r="MKT24" s="1472"/>
      <c r="MKU24" s="1472"/>
      <c r="MKV24" s="1472"/>
      <c r="MKW24" s="1472"/>
      <c r="MKX24" s="1472"/>
      <c r="MKY24" s="1472"/>
      <c r="MKZ24" s="1473"/>
      <c r="MLA24" s="1471"/>
      <c r="MLB24" s="1472"/>
      <c r="MLC24" s="1472"/>
      <c r="MLD24" s="1472"/>
      <c r="MLE24" s="1472"/>
      <c r="MLF24" s="1472"/>
      <c r="MLG24" s="1472"/>
      <c r="MLH24" s="1472"/>
      <c r="MLI24" s="1472"/>
      <c r="MLJ24" s="1472"/>
      <c r="MLK24" s="1472"/>
      <c r="MLL24" s="1472"/>
      <c r="MLM24" s="1472"/>
      <c r="MLN24" s="1473"/>
      <c r="MLO24" s="1471"/>
      <c r="MLP24" s="1472"/>
      <c r="MLQ24" s="1472"/>
      <c r="MLR24" s="1472"/>
      <c r="MLS24" s="1472"/>
      <c r="MLT24" s="1472"/>
      <c r="MLU24" s="1472"/>
      <c r="MLV24" s="1472"/>
      <c r="MLW24" s="1472"/>
      <c r="MLX24" s="1472"/>
      <c r="MLY24" s="1472"/>
      <c r="MLZ24" s="1472"/>
      <c r="MMA24" s="1472"/>
      <c r="MMB24" s="1473"/>
      <c r="MMC24" s="1471"/>
      <c r="MMD24" s="1472"/>
      <c r="MME24" s="1472"/>
      <c r="MMF24" s="1472"/>
      <c r="MMG24" s="1472"/>
      <c r="MMH24" s="1472"/>
      <c r="MMI24" s="1472"/>
      <c r="MMJ24" s="1472"/>
      <c r="MMK24" s="1472"/>
      <c r="MML24" s="1472"/>
      <c r="MMM24" s="1472"/>
      <c r="MMN24" s="1472"/>
      <c r="MMO24" s="1472"/>
      <c r="MMP24" s="1473"/>
      <c r="MMQ24" s="1471"/>
      <c r="MMR24" s="1472"/>
      <c r="MMS24" s="1472"/>
      <c r="MMT24" s="1472"/>
      <c r="MMU24" s="1472"/>
      <c r="MMV24" s="1472"/>
      <c r="MMW24" s="1472"/>
      <c r="MMX24" s="1472"/>
      <c r="MMY24" s="1472"/>
      <c r="MMZ24" s="1472"/>
      <c r="MNA24" s="1472"/>
      <c r="MNB24" s="1472"/>
      <c r="MNC24" s="1472"/>
      <c r="MND24" s="1473"/>
      <c r="MNE24" s="1471"/>
      <c r="MNF24" s="1472"/>
      <c r="MNG24" s="1472"/>
      <c r="MNH24" s="1472"/>
      <c r="MNI24" s="1472"/>
      <c r="MNJ24" s="1472"/>
      <c r="MNK24" s="1472"/>
      <c r="MNL24" s="1472"/>
      <c r="MNM24" s="1472"/>
      <c r="MNN24" s="1472"/>
      <c r="MNO24" s="1472"/>
      <c r="MNP24" s="1472"/>
      <c r="MNQ24" s="1472"/>
      <c r="MNR24" s="1473"/>
      <c r="MNS24" s="1471"/>
      <c r="MNT24" s="1472"/>
      <c r="MNU24" s="1472"/>
      <c r="MNV24" s="1472"/>
      <c r="MNW24" s="1472"/>
      <c r="MNX24" s="1472"/>
      <c r="MNY24" s="1472"/>
      <c r="MNZ24" s="1472"/>
      <c r="MOA24" s="1472"/>
      <c r="MOB24" s="1472"/>
      <c r="MOC24" s="1472"/>
      <c r="MOD24" s="1472"/>
      <c r="MOE24" s="1472"/>
      <c r="MOF24" s="1473"/>
      <c r="MOG24" s="1471"/>
      <c r="MOH24" s="1472"/>
      <c r="MOI24" s="1472"/>
      <c r="MOJ24" s="1472"/>
      <c r="MOK24" s="1472"/>
      <c r="MOL24" s="1472"/>
      <c r="MOM24" s="1472"/>
      <c r="MON24" s="1472"/>
      <c r="MOO24" s="1472"/>
      <c r="MOP24" s="1472"/>
      <c r="MOQ24" s="1472"/>
      <c r="MOR24" s="1472"/>
      <c r="MOS24" s="1472"/>
      <c r="MOT24" s="1473"/>
      <c r="MOU24" s="1471"/>
      <c r="MOV24" s="1472"/>
      <c r="MOW24" s="1472"/>
      <c r="MOX24" s="1472"/>
      <c r="MOY24" s="1472"/>
      <c r="MOZ24" s="1472"/>
      <c r="MPA24" s="1472"/>
      <c r="MPB24" s="1472"/>
      <c r="MPC24" s="1472"/>
      <c r="MPD24" s="1472"/>
      <c r="MPE24" s="1472"/>
      <c r="MPF24" s="1472"/>
      <c r="MPG24" s="1472"/>
      <c r="MPH24" s="1473"/>
      <c r="MPI24" s="1471"/>
      <c r="MPJ24" s="1472"/>
      <c r="MPK24" s="1472"/>
      <c r="MPL24" s="1472"/>
      <c r="MPM24" s="1472"/>
      <c r="MPN24" s="1472"/>
      <c r="MPO24" s="1472"/>
      <c r="MPP24" s="1472"/>
      <c r="MPQ24" s="1472"/>
      <c r="MPR24" s="1472"/>
      <c r="MPS24" s="1472"/>
      <c r="MPT24" s="1472"/>
      <c r="MPU24" s="1472"/>
      <c r="MPV24" s="1473"/>
      <c r="MPW24" s="1471"/>
      <c r="MPX24" s="1472"/>
      <c r="MPY24" s="1472"/>
      <c r="MPZ24" s="1472"/>
      <c r="MQA24" s="1472"/>
      <c r="MQB24" s="1472"/>
      <c r="MQC24" s="1472"/>
      <c r="MQD24" s="1472"/>
      <c r="MQE24" s="1472"/>
      <c r="MQF24" s="1472"/>
      <c r="MQG24" s="1472"/>
      <c r="MQH24" s="1472"/>
      <c r="MQI24" s="1472"/>
      <c r="MQJ24" s="1473"/>
      <c r="MQK24" s="1471"/>
      <c r="MQL24" s="1472"/>
      <c r="MQM24" s="1472"/>
      <c r="MQN24" s="1472"/>
      <c r="MQO24" s="1472"/>
      <c r="MQP24" s="1472"/>
      <c r="MQQ24" s="1472"/>
      <c r="MQR24" s="1472"/>
      <c r="MQS24" s="1472"/>
      <c r="MQT24" s="1472"/>
      <c r="MQU24" s="1472"/>
      <c r="MQV24" s="1472"/>
      <c r="MQW24" s="1472"/>
      <c r="MQX24" s="1473"/>
      <c r="MQY24" s="1471"/>
      <c r="MQZ24" s="1472"/>
      <c r="MRA24" s="1472"/>
      <c r="MRB24" s="1472"/>
      <c r="MRC24" s="1472"/>
      <c r="MRD24" s="1472"/>
      <c r="MRE24" s="1472"/>
      <c r="MRF24" s="1472"/>
      <c r="MRG24" s="1472"/>
      <c r="MRH24" s="1472"/>
      <c r="MRI24" s="1472"/>
      <c r="MRJ24" s="1472"/>
      <c r="MRK24" s="1472"/>
      <c r="MRL24" s="1473"/>
      <c r="MRM24" s="1471"/>
      <c r="MRN24" s="1472"/>
      <c r="MRO24" s="1472"/>
      <c r="MRP24" s="1472"/>
      <c r="MRQ24" s="1472"/>
      <c r="MRR24" s="1472"/>
      <c r="MRS24" s="1472"/>
      <c r="MRT24" s="1472"/>
      <c r="MRU24" s="1472"/>
      <c r="MRV24" s="1472"/>
      <c r="MRW24" s="1472"/>
      <c r="MRX24" s="1472"/>
      <c r="MRY24" s="1472"/>
      <c r="MRZ24" s="1473"/>
      <c r="MSA24" s="1471"/>
      <c r="MSB24" s="1472"/>
      <c r="MSC24" s="1472"/>
      <c r="MSD24" s="1472"/>
      <c r="MSE24" s="1472"/>
      <c r="MSF24" s="1472"/>
      <c r="MSG24" s="1472"/>
      <c r="MSH24" s="1472"/>
      <c r="MSI24" s="1472"/>
      <c r="MSJ24" s="1472"/>
      <c r="MSK24" s="1472"/>
      <c r="MSL24" s="1472"/>
      <c r="MSM24" s="1472"/>
      <c r="MSN24" s="1473"/>
      <c r="MSO24" s="1471"/>
      <c r="MSP24" s="1472"/>
      <c r="MSQ24" s="1472"/>
      <c r="MSR24" s="1472"/>
      <c r="MSS24" s="1472"/>
      <c r="MST24" s="1472"/>
      <c r="MSU24" s="1472"/>
      <c r="MSV24" s="1472"/>
      <c r="MSW24" s="1472"/>
      <c r="MSX24" s="1472"/>
      <c r="MSY24" s="1472"/>
      <c r="MSZ24" s="1472"/>
      <c r="MTA24" s="1472"/>
      <c r="MTB24" s="1473"/>
      <c r="MTC24" s="1471"/>
      <c r="MTD24" s="1472"/>
      <c r="MTE24" s="1472"/>
      <c r="MTF24" s="1472"/>
      <c r="MTG24" s="1472"/>
      <c r="MTH24" s="1472"/>
      <c r="MTI24" s="1472"/>
      <c r="MTJ24" s="1472"/>
      <c r="MTK24" s="1472"/>
      <c r="MTL24" s="1472"/>
      <c r="MTM24" s="1472"/>
      <c r="MTN24" s="1472"/>
      <c r="MTO24" s="1472"/>
      <c r="MTP24" s="1473"/>
      <c r="MTQ24" s="1471"/>
      <c r="MTR24" s="1472"/>
      <c r="MTS24" s="1472"/>
      <c r="MTT24" s="1472"/>
      <c r="MTU24" s="1472"/>
      <c r="MTV24" s="1472"/>
      <c r="MTW24" s="1472"/>
      <c r="MTX24" s="1472"/>
      <c r="MTY24" s="1472"/>
      <c r="MTZ24" s="1472"/>
      <c r="MUA24" s="1472"/>
      <c r="MUB24" s="1472"/>
      <c r="MUC24" s="1472"/>
      <c r="MUD24" s="1473"/>
      <c r="MUE24" s="1471"/>
      <c r="MUF24" s="1472"/>
      <c r="MUG24" s="1472"/>
      <c r="MUH24" s="1472"/>
      <c r="MUI24" s="1472"/>
      <c r="MUJ24" s="1472"/>
      <c r="MUK24" s="1472"/>
      <c r="MUL24" s="1472"/>
      <c r="MUM24" s="1472"/>
      <c r="MUN24" s="1472"/>
      <c r="MUO24" s="1472"/>
      <c r="MUP24" s="1472"/>
      <c r="MUQ24" s="1472"/>
      <c r="MUR24" s="1473"/>
      <c r="MUS24" s="1471"/>
      <c r="MUT24" s="1472"/>
      <c r="MUU24" s="1472"/>
      <c r="MUV24" s="1472"/>
      <c r="MUW24" s="1472"/>
      <c r="MUX24" s="1472"/>
      <c r="MUY24" s="1472"/>
      <c r="MUZ24" s="1472"/>
      <c r="MVA24" s="1472"/>
      <c r="MVB24" s="1472"/>
      <c r="MVC24" s="1472"/>
      <c r="MVD24" s="1472"/>
      <c r="MVE24" s="1472"/>
      <c r="MVF24" s="1473"/>
      <c r="MVG24" s="1471"/>
      <c r="MVH24" s="1472"/>
      <c r="MVI24" s="1472"/>
      <c r="MVJ24" s="1472"/>
      <c r="MVK24" s="1472"/>
      <c r="MVL24" s="1472"/>
      <c r="MVM24" s="1472"/>
      <c r="MVN24" s="1472"/>
      <c r="MVO24" s="1472"/>
      <c r="MVP24" s="1472"/>
      <c r="MVQ24" s="1472"/>
      <c r="MVR24" s="1472"/>
      <c r="MVS24" s="1472"/>
      <c r="MVT24" s="1473"/>
      <c r="MVU24" s="1471"/>
      <c r="MVV24" s="1472"/>
      <c r="MVW24" s="1472"/>
      <c r="MVX24" s="1472"/>
      <c r="MVY24" s="1472"/>
      <c r="MVZ24" s="1472"/>
      <c r="MWA24" s="1472"/>
      <c r="MWB24" s="1472"/>
      <c r="MWC24" s="1472"/>
      <c r="MWD24" s="1472"/>
      <c r="MWE24" s="1472"/>
      <c r="MWF24" s="1472"/>
      <c r="MWG24" s="1472"/>
      <c r="MWH24" s="1473"/>
      <c r="MWI24" s="1471"/>
      <c r="MWJ24" s="1472"/>
      <c r="MWK24" s="1472"/>
      <c r="MWL24" s="1472"/>
      <c r="MWM24" s="1472"/>
      <c r="MWN24" s="1472"/>
      <c r="MWO24" s="1472"/>
      <c r="MWP24" s="1472"/>
      <c r="MWQ24" s="1472"/>
      <c r="MWR24" s="1472"/>
      <c r="MWS24" s="1472"/>
      <c r="MWT24" s="1472"/>
      <c r="MWU24" s="1472"/>
      <c r="MWV24" s="1473"/>
      <c r="MWW24" s="1471"/>
      <c r="MWX24" s="1472"/>
      <c r="MWY24" s="1472"/>
      <c r="MWZ24" s="1472"/>
      <c r="MXA24" s="1472"/>
      <c r="MXB24" s="1472"/>
      <c r="MXC24" s="1472"/>
      <c r="MXD24" s="1472"/>
      <c r="MXE24" s="1472"/>
      <c r="MXF24" s="1472"/>
      <c r="MXG24" s="1472"/>
      <c r="MXH24" s="1472"/>
      <c r="MXI24" s="1472"/>
      <c r="MXJ24" s="1473"/>
      <c r="MXK24" s="1471"/>
      <c r="MXL24" s="1472"/>
      <c r="MXM24" s="1472"/>
      <c r="MXN24" s="1472"/>
      <c r="MXO24" s="1472"/>
      <c r="MXP24" s="1472"/>
      <c r="MXQ24" s="1472"/>
      <c r="MXR24" s="1472"/>
      <c r="MXS24" s="1472"/>
      <c r="MXT24" s="1472"/>
      <c r="MXU24" s="1472"/>
      <c r="MXV24" s="1472"/>
      <c r="MXW24" s="1472"/>
      <c r="MXX24" s="1473"/>
      <c r="MXY24" s="1471"/>
      <c r="MXZ24" s="1472"/>
      <c r="MYA24" s="1472"/>
      <c r="MYB24" s="1472"/>
      <c r="MYC24" s="1472"/>
      <c r="MYD24" s="1472"/>
      <c r="MYE24" s="1472"/>
      <c r="MYF24" s="1472"/>
      <c r="MYG24" s="1472"/>
      <c r="MYH24" s="1472"/>
      <c r="MYI24" s="1472"/>
      <c r="MYJ24" s="1472"/>
      <c r="MYK24" s="1472"/>
      <c r="MYL24" s="1473"/>
      <c r="MYM24" s="1471"/>
      <c r="MYN24" s="1472"/>
      <c r="MYO24" s="1472"/>
      <c r="MYP24" s="1472"/>
      <c r="MYQ24" s="1472"/>
      <c r="MYR24" s="1472"/>
      <c r="MYS24" s="1472"/>
      <c r="MYT24" s="1472"/>
      <c r="MYU24" s="1472"/>
      <c r="MYV24" s="1472"/>
      <c r="MYW24" s="1472"/>
      <c r="MYX24" s="1472"/>
      <c r="MYY24" s="1472"/>
      <c r="MYZ24" s="1473"/>
      <c r="MZA24" s="1471"/>
      <c r="MZB24" s="1472"/>
      <c r="MZC24" s="1472"/>
      <c r="MZD24" s="1472"/>
      <c r="MZE24" s="1472"/>
      <c r="MZF24" s="1472"/>
      <c r="MZG24" s="1472"/>
      <c r="MZH24" s="1472"/>
      <c r="MZI24" s="1472"/>
      <c r="MZJ24" s="1472"/>
      <c r="MZK24" s="1472"/>
      <c r="MZL24" s="1472"/>
      <c r="MZM24" s="1472"/>
      <c r="MZN24" s="1473"/>
      <c r="MZO24" s="1471"/>
      <c r="MZP24" s="1472"/>
      <c r="MZQ24" s="1472"/>
      <c r="MZR24" s="1472"/>
      <c r="MZS24" s="1472"/>
      <c r="MZT24" s="1472"/>
      <c r="MZU24" s="1472"/>
      <c r="MZV24" s="1472"/>
      <c r="MZW24" s="1472"/>
      <c r="MZX24" s="1472"/>
      <c r="MZY24" s="1472"/>
      <c r="MZZ24" s="1472"/>
      <c r="NAA24" s="1472"/>
      <c r="NAB24" s="1473"/>
      <c r="NAC24" s="1471"/>
      <c r="NAD24" s="1472"/>
      <c r="NAE24" s="1472"/>
      <c r="NAF24" s="1472"/>
      <c r="NAG24" s="1472"/>
      <c r="NAH24" s="1472"/>
      <c r="NAI24" s="1472"/>
      <c r="NAJ24" s="1472"/>
      <c r="NAK24" s="1472"/>
      <c r="NAL24" s="1472"/>
      <c r="NAM24" s="1472"/>
      <c r="NAN24" s="1472"/>
      <c r="NAO24" s="1472"/>
      <c r="NAP24" s="1473"/>
      <c r="NAQ24" s="1471"/>
      <c r="NAR24" s="1472"/>
      <c r="NAS24" s="1472"/>
      <c r="NAT24" s="1472"/>
      <c r="NAU24" s="1472"/>
      <c r="NAV24" s="1472"/>
      <c r="NAW24" s="1472"/>
      <c r="NAX24" s="1472"/>
      <c r="NAY24" s="1472"/>
      <c r="NAZ24" s="1472"/>
      <c r="NBA24" s="1472"/>
      <c r="NBB24" s="1472"/>
      <c r="NBC24" s="1472"/>
      <c r="NBD24" s="1473"/>
      <c r="NBE24" s="1471"/>
      <c r="NBF24" s="1472"/>
      <c r="NBG24" s="1472"/>
      <c r="NBH24" s="1472"/>
      <c r="NBI24" s="1472"/>
      <c r="NBJ24" s="1472"/>
      <c r="NBK24" s="1472"/>
      <c r="NBL24" s="1472"/>
      <c r="NBM24" s="1472"/>
      <c r="NBN24" s="1472"/>
      <c r="NBO24" s="1472"/>
      <c r="NBP24" s="1472"/>
      <c r="NBQ24" s="1472"/>
      <c r="NBR24" s="1473"/>
      <c r="NBS24" s="1471"/>
      <c r="NBT24" s="1472"/>
      <c r="NBU24" s="1472"/>
      <c r="NBV24" s="1472"/>
      <c r="NBW24" s="1472"/>
      <c r="NBX24" s="1472"/>
      <c r="NBY24" s="1472"/>
      <c r="NBZ24" s="1472"/>
      <c r="NCA24" s="1472"/>
      <c r="NCB24" s="1472"/>
      <c r="NCC24" s="1472"/>
      <c r="NCD24" s="1472"/>
      <c r="NCE24" s="1472"/>
      <c r="NCF24" s="1473"/>
      <c r="NCG24" s="1471"/>
      <c r="NCH24" s="1472"/>
      <c r="NCI24" s="1472"/>
      <c r="NCJ24" s="1472"/>
      <c r="NCK24" s="1472"/>
      <c r="NCL24" s="1472"/>
      <c r="NCM24" s="1472"/>
      <c r="NCN24" s="1472"/>
      <c r="NCO24" s="1472"/>
      <c r="NCP24" s="1472"/>
      <c r="NCQ24" s="1472"/>
      <c r="NCR24" s="1472"/>
      <c r="NCS24" s="1472"/>
      <c r="NCT24" s="1473"/>
      <c r="NCU24" s="1471"/>
      <c r="NCV24" s="1472"/>
      <c r="NCW24" s="1472"/>
      <c r="NCX24" s="1472"/>
      <c r="NCY24" s="1472"/>
      <c r="NCZ24" s="1472"/>
      <c r="NDA24" s="1472"/>
      <c r="NDB24" s="1472"/>
      <c r="NDC24" s="1472"/>
      <c r="NDD24" s="1472"/>
      <c r="NDE24" s="1472"/>
      <c r="NDF24" s="1472"/>
      <c r="NDG24" s="1472"/>
      <c r="NDH24" s="1473"/>
      <c r="NDI24" s="1471"/>
      <c r="NDJ24" s="1472"/>
      <c r="NDK24" s="1472"/>
      <c r="NDL24" s="1472"/>
      <c r="NDM24" s="1472"/>
      <c r="NDN24" s="1472"/>
      <c r="NDO24" s="1472"/>
      <c r="NDP24" s="1472"/>
      <c r="NDQ24" s="1472"/>
      <c r="NDR24" s="1472"/>
      <c r="NDS24" s="1472"/>
      <c r="NDT24" s="1472"/>
      <c r="NDU24" s="1472"/>
      <c r="NDV24" s="1473"/>
      <c r="NDW24" s="1471"/>
      <c r="NDX24" s="1472"/>
      <c r="NDY24" s="1472"/>
      <c r="NDZ24" s="1472"/>
      <c r="NEA24" s="1472"/>
      <c r="NEB24" s="1472"/>
      <c r="NEC24" s="1472"/>
      <c r="NED24" s="1472"/>
      <c r="NEE24" s="1472"/>
      <c r="NEF24" s="1472"/>
      <c r="NEG24" s="1472"/>
      <c r="NEH24" s="1472"/>
      <c r="NEI24" s="1472"/>
      <c r="NEJ24" s="1473"/>
      <c r="NEK24" s="1471"/>
      <c r="NEL24" s="1472"/>
      <c r="NEM24" s="1472"/>
      <c r="NEN24" s="1472"/>
      <c r="NEO24" s="1472"/>
      <c r="NEP24" s="1472"/>
      <c r="NEQ24" s="1472"/>
      <c r="NER24" s="1472"/>
      <c r="NES24" s="1472"/>
      <c r="NET24" s="1472"/>
      <c r="NEU24" s="1472"/>
      <c r="NEV24" s="1472"/>
      <c r="NEW24" s="1472"/>
      <c r="NEX24" s="1473"/>
      <c r="NEY24" s="1471"/>
      <c r="NEZ24" s="1472"/>
      <c r="NFA24" s="1472"/>
      <c r="NFB24" s="1472"/>
      <c r="NFC24" s="1472"/>
      <c r="NFD24" s="1472"/>
      <c r="NFE24" s="1472"/>
      <c r="NFF24" s="1472"/>
      <c r="NFG24" s="1472"/>
      <c r="NFH24" s="1472"/>
      <c r="NFI24" s="1472"/>
      <c r="NFJ24" s="1472"/>
      <c r="NFK24" s="1472"/>
      <c r="NFL24" s="1473"/>
      <c r="NFM24" s="1471"/>
      <c r="NFN24" s="1472"/>
      <c r="NFO24" s="1472"/>
      <c r="NFP24" s="1472"/>
      <c r="NFQ24" s="1472"/>
      <c r="NFR24" s="1472"/>
      <c r="NFS24" s="1472"/>
      <c r="NFT24" s="1472"/>
      <c r="NFU24" s="1472"/>
      <c r="NFV24" s="1472"/>
      <c r="NFW24" s="1472"/>
      <c r="NFX24" s="1472"/>
      <c r="NFY24" s="1472"/>
      <c r="NFZ24" s="1473"/>
      <c r="NGA24" s="1471"/>
      <c r="NGB24" s="1472"/>
      <c r="NGC24" s="1472"/>
      <c r="NGD24" s="1472"/>
      <c r="NGE24" s="1472"/>
      <c r="NGF24" s="1472"/>
      <c r="NGG24" s="1472"/>
      <c r="NGH24" s="1472"/>
      <c r="NGI24" s="1472"/>
      <c r="NGJ24" s="1472"/>
      <c r="NGK24" s="1472"/>
      <c r="NGL24" s="1472"/>
      <c r="NGM24" s="1472"/>
      <c r="NGN24" s="1473"/>
      <c r="NGO24" s="1471"/>
      <c r="NGP24" s="1472"/>
      <c r="NGQ24" s="1472"/>
      <c r="NGR24" s="1472"/>
      <c r="NGS24" s="1472"/>
      <c r="NGT24" s="1472"/>
      <c r="NGU24" s="1472"/>
      <c r="NGV24" s="1472"/>
      <c r="NGW24" s="1472"/>
      <c r="NGX24" s="1472"/>
      <c r="NGY24" s="1472"/>
      <c r="NGZ24" s="1472"/>
      <c r="NHA24" s="1472"/>
      <c r="NHB24" s="1473"/>
      <c r="NHC24" s="1471"/>
      <c r="NHD24" s="1472"/>
      <c r="NHE24" s="1472"/>
      <c r="NHF24" s="1472"/>
      <c r="NHG24" s="1472"/>
      <c r="NHH24" s="1472"/>
      <c r="NHI24" s="1472"/>
      <c r="NHJ24" s="1472"/>
      <c r="NHK24" s="1472"/>
      <c r="NHL24" s="1472"/>
      <c r="NHM24" s="1472"/>
      <c r="NHN24" s="1472"/>
      <c r="NHO24" s="1472"/>
      <c r="NHP24" s="1473"/>
      <c r="NHQ24" s="1471"/>
      <c r="NHR24" s="1472"/>
      <c r="NHS24" s="1472"/>
      <c r="NHT24" s="1472"/>
      <c r="NHU24" s="1472"/>
      <c r="NHV24" s="1472"/>
      <c r="NHW24" s="1472"/>
      <c r="NHX24" s="1472"/>
      <c r="NHY24" s="1472"/>
      <c r="NHZ24" s="1472"/>
      <c r="NIA24" s="1472"/>
      <c r="NIB24" s="1472"/>
      <c r="NIC24" s="1472"/>
      <c r="NID24" s="1473"/>
      <c r="NIE24" s="1471"/>
      <c r="NIF24" s="1472"/>
      <c r="NIG24" s="1472"/>
      <c r="NIH24" s="1472"/>
      <c r="NII24" s="1472"/>
      <c r="NIJ24" s="1472"/>
      <c r="NIK24" s="1472"/>
      <c r="NIL24" s="1472"/>
      <c r="NIM24" s="1472"/>
      <c r="NIN24" s="1472"/>
      <c r="NIO24" s="1472"/>
      <c r="NIP24" s="1472"/>
      <c r="NIQ24" s="1472"/>
      <c r="NIR24" s="1473"/>
      <c r="NIS24" s="1471"/>
      <c r="NIT24" s="1472"/>
      <c r="NIU24" s="1472"/>
      <c r="NIV24" s="1472"/>
      <c r="NIW24" s="1472"/>
      <c r="NIX24" s="1472"/>
      <c r="NIY24" s="1472"/>
      <c r="NIZ24" s="1472"/>
      <c r="NJA24" s="1472"/>
      <c r="NJB24" s="1472"/>
      <c r="NJC24" s="1472"/>
      <c r="NJD24" s="1472"/>
      <c r="NJE24" s="1472"/>
      <c r="NJF24" s="1473"/>
      <c r="NJG24" s="1471"/>
      <c r="NJH24" s="1472"/>
      <c r="NJI24" s="1472"/>
      <c r="NJJ24" s="1472"/>
      <c r="NJK24" s="1472"/>
      <c r="NJL24" s="1472"/>
      <c r="NJM24" s="1472"/>
      <c r="NJN24" s="1472"/>
      <c r="NJO24" s="1472"/>
      <c r="NJP24" s="1472"/>
      <c r="NJQ24" s="1472"/>
      <c r="NJR24" s="1472"/>
      <c r="NJS24" s="1472"/>
      <c r="NJT24" s="1473"/>
      <c r="NJU24" s="1471"/>
      <c r="NJV24" s="1472"/>
      <c r="NJW24" s="1472"/>
      <c r="NJX24" s="1472"/>
      <c r="NJY24" s="1472"/>
      <c r="NJZ24" s="1472"/>
      <c r="NKA24" s="1472"/>
      <c r="NKB24" s="1472"/>
      <c r="NKC24" s="1472"/>
      <c r="NKD24" s="1472"/>
      <c r="NKE24" s="1472"/>
      <c r="NKF24" s="1472"/>
      <c r="NKG24" s="1472"/>
      <c r="NKH24" s="1473"/>
      <c r="NKI24" s="1471"/>
      <c r="NKJ24" s="1472"/>
      <c r="NKK24" s="1472"/>
      <c r="NKL24" s="1472"/>
      <c r="NKM24" s="1472"/>
      <c r="NKN24" s="1472"/>
      <c r="NKO24" s="1472"/>
      <c r="NKP24" s="1472"/>
      <c r="NKQ24" s="1472"/>
      <c r="NKR24" s="1472"/>
      <c r="NKS24" s="1472"/>
      <c r="NKT24" s="1472"/>
      <c r="NKU24" s="1472"/>
      <c r="NKV24" s="1473"/>
      <c r="NKW24" s="1471"/>
      <c r="NKX24" s="1472"/>
      <c r="NKY24" s="1472"/>
      <c r="NKZ24" s="1472"/>
      <c r="NLA24" s="1472"/>
      <c r="NLB24" s="1472"/>
      <c r="NLC24" s="1472"/>
      <c r="NLD24" s="1472"/>
      <c r="NLE24" s="1472"/>
      <c r="NLF24" s="1472"/>
      <c r="NLG24" s="1472"/>
      <c r="NLH24" s="1472"/>
      <c r="NLI24" s="1472"/>
      <c r="NLJ24" s="1473"/>
      <c r="NLK24" s="1471"/>
      <c r="NLL24" s="1472"/>
      <c r="NLM24" s="1472"/>
      <c r="NLN24" s="1472"/>
      <c r="NLO24" s="1472"/>
      <c r="NLP24" s="1472"/>
      <c r="NLQ24" s="1472"/>
      <c r="NLR24" s="1472"/>
      <c r="NLS24" s="1472"/>
      <c r="NLT24" s="1472"/>
      <c r="NLU24" s="1472"/>
      <c r="NLV24" s="1472"/>
      <c r="NLW24" s="1472"/>
      <c r="NLX24" s="1473"/>
      <c r="NLY24" s="1471"/>
      <c r="NLZ24" s="1472"/>
      <c r="NMA24" s="1472"/>
      <c r="NMB24" s="1472"/>
      <c r="NMC24" s="1472"/>
      <c r="NMD24" s="1472"/>
      <c r="NME24" s="1472"/>
      <c r="NMF24" s="1472"/>
      <c r="NMG24" s="1472"/>
      <c r="NMH24" s="1472"/>
      <c r="NMI24" s="1472"/>
      <c r="NMJ24" s="1472"/>
      <c r="NMK24" s="1472"/>
      <c r="NML24" s="1473"/>
      <c r="NMM24" s="1471"/>
      <c r="NMN24" s="1472"/>
      <c r="NMO24" s="1472"/>
      <c r="NMP24" s="1472"/>
      <c r="NMQ24" s="1472"/>
      <c r="NMR24" s="1472"/>
      <c r="NMS24" s="1472"/>
      <c r="NMT24" s="1472"/>
      <c r="NMU24" s="1472"/>
      <c r="NMV24" s="1472"/>
      <c r="NMW24" s="1472"/>
      <c r="NMX24" s="1472"/>
      <c r="NMY24" s="1472"/>
      <c r="NMZ24" s="1473"/>
      <c r="NNA24" s="1471"/>
      <c r="NNB24" s="1472"/>
      <c r="NNC24" s="1472"/>
      <c r="NND24" s="1472"/>
      <c r="NNE24" s="1472"/>
      <c r="NNF24" s="1472"/>
      <c r="NNG24" s="1472"/>
      <c r="NNH24" s="1472"/>
      <c r="NNI24" s="1472"/>
      <c r="NNJ24" s="1472"/>
      <c r="NNK24" s="1472"/>
      <c r="NNL24" s="1472"/>
      <c r="NNM24" s="1472"/>
      <c r="NNN24" s="1473"/>
      <c r="NNO24" s="1471"/>
      <c r="NNP24" s="1472"/>
      <c r="NNQ24" s="1472"/>
      <c r="NNR24" s="1472"/>
      <c r="NNS24" s="1472"/>
      <c r="NNT24" s="1472"/>
      <c r="NNU24" s="1472"/>
      <c r="NNV24" s="1472"/>
      <c r="NNW24" s="1472"/>
      <c r="NNX24" s="1472"/>
      <c r="NNY24" s="1472"/>
      <c r="NNZ24" s="1472"/>
      <c r="NOA24" s="1472"/>
      <c r="NOB24" s="1473"/>
      <c r="NOC24" s="1471"/>
      <c r="NOD24" s="1472"/>
      <c r="NOE24" s="1472"/>
      <c r="NOF24" s="1472"/>
      <c r="NOG24" s="1472"/>
      <c r="NOH24" s="1472"/>
      <c r="NOI24" s="1472"/>
      <c r="NOJ24" s="1472"/>
      <c r="NOK24" s="1472"/>
      <c r="NOL24" s="1472"/>
      <c r="NOM24" s="1472"/>
      <c r="NON24" s="1472"/>
      <c r="NOO24" s="1472"/>
      <c r="NOP24" s="1473"/>
      <c r="NOQ24" s="1471"/>
      <c r="NOR24" s="1472"/>
      <c r="NOS24" s="1472"/>
      <c r="NOT24" s="1472"/>
      <c r="NOU24" s="1472"/>
      <c r="NOV24" s="1472"/>
      <c r="NOW24" s="1472"/>
      <c r="NOX24" s="1472"/>
      <c r="NOY24" s="1472"/>
      <c r="NOZ24" s="1472"/>
      <c r="NPA24" s="1472"/>
      <c r="NPB24" s="1472"/>
      <c r="NPC24" s="1472"/>
      <c r="NPD24" s="1473"/>
      <c r="NPE24" s="1471"/>
      <c r="NPF24" s="1472"/>
      <c r="NPG24" s="1472"/>
      <c r="NPH24" s="1472"/>
      <c r="NPI24" s="1472"/>
      <c r="NPJ24" s="1472"/>
      <c r="NPK24" s="1472"/>
      <c r="NPL24" s="1472"/>
      <c r="NPM24" s="1472"/>
      <c r="NPN24" s="1472"/>
      <c r="NPO24" s="1472"/>
      <c r="NPP24" s="1472"/>
      <c r="NPQ24" s="1472"/>
      <c r="NPR24" s="1473"/>
      <c r="NPS24" s="1471"/>
      <c r="NPT24" s="1472"/>
      <c r="NPU24" s="1472"/>
      <c r="NPV24" s="1472"/>
      <c r="NPW24" s="1472"/>
      <c r="NPX24" s="1472"/>
      <c r="NPY24" s="1472"/>
      <c r="NPZ24" s="1472"/>
      <c r="NQA24" s="1472"/>
      <c r="NQB24" s="1472"/>
      <c r="NQC24" s="1472"/>
      <c r="NQD24" s="1472"/>
      <c r="NQE24" s="1472"/>
      <c r="NQF24" s="1473"/>
      <c r="NQG24" s="1471"/>
      <c r="NQH24" s="1472"/>
      <c r="NQI24" s="1472"/>
      <c r="NQJ24" s="1472"/>
      <c r="NQK24" s="1472"/>
      <c r="NQL24" s="1472"/>
      <c r="NQM24" s="1472"/>
      <c r="NQN24" s="1472"/>
      <c r="NQO24" s="1472"/>
      <c r="NQP24" s="1472"/>
      <c r="NQQ24" s="1472"/>
      <c r="NQR24" s="1472"/>
      <c r="NQS24" s="1472"/>
      <c r="NQT24" s="1473"/>
      <c r="NQU24" s="1471"/>
      <c r="NQV24" s="1472"/>
      <c r="NQW24" s="1472"/>
      <c r="NQX24" s="1472"/>
      <c r="NQY24" s="1472"/>
      <c r="NQZ24" s="1472"/>
      <c r="NRA24" s="1472"/>
      <c r="NRB24" s="1472"/>
      <c r="NRC24" s="1472"/>
      <c r="NRD24" s="1472"/>
      <c r="NRE24" s="1472"/>
      <c r="NRF24" s="1472"/>
      <c r="NRG24" s="1472"/>
      <c r="NRH24" s="1473"/>
      <c r="NRI24" s="1471"/>
      <c r="NRJ24" s="1472"/>
      <c r="NRK24" s="1472"/>
      <c r="NRL24" s="1472"/>
      <c r="NRM24" s="1472"/>
      <c r="NRN24" s="1472"/>
      <c r="NRO24" s="1472"/>
      <c r="NRP24" s="1472"/>
      <c r="NRQ24" s="1472"/>
      <c r="NRR24" s="1472"/>
      <c r="NRS24" s="1472"/>
      <c r="NRT24" s="1472"/>
      <c r="NRU24" s="1472"/>
      <c r="NRV24" s="1473"/>
      <c r="NRW24" s="1471"/>
      <c r="NRX24" s="1472"/>
      <c r="NRY24" s="1472"/>
      <c r="NRZ24" s="1472"/>
      <c r="NSA24" s="1472"/>
      <c r="NSB24" s="1472"/>
      <c r="NSC24" s="1472"/>
      <c r="NSD24" s="1472"/>
      <c r="NSE24" s="1472"/>
      <c r="NSF24" s="1472"/>
      <c r="NSG24" s="1472"/>
      <c r="NSH24" s="1472"/>
      <c r="NSI24" s="1472"/>
      <c r="NSJ24" s="1473"/>
      <c r="NSK24" s="1471"/>
      <c r="NSL24" s="1472"/>
      <c r="NSM24" s="1472"/>
      <c r="NSN24" s="1472"/>
      <c r="NSO24" s="1472"/>
      <c r="NSP24" s="1472"/>
      <c r="NSQ24" s="1472"/>
      <c r="NSR24" s="1472"/>
      <c r="NSS24" s="1472"/>
      <c r="NST24" s="1472"/>
      <c r="NSU24" s="1472"/>
      <c r="NSV24" s="1472"/>
      <c r="NSW24" s="1472"/>
      <c r="NSX24" s="1473"/>
      <c r="NSY24" s="1471"/>
      <c r="NSZ24" s="1472"/>
      <c r="NTA24" s="1472"/>
      <c r="NTB24" s="1472"/>
      <c r="NTC24" s="1472"/>
      <c r="NTD24" s="1472"/>
      <c r="NTE24" s="1472"/>
      <c r="NTF24" s="1472"/>
      <c r="NTG24" s="1472"/>
      <c r="NTH24" s="1472"/>
      <c r="NTI24" s="1472"/>
      <c r="NTJ24" s="1472"/>
      <c r="NTK24" s="1472"/>
      <c r="NTL24" s="1473"/>
      <c r="NTM24" s="1471"/>
      <c r="NTN24" s="1472"/>
      <c r="NTO24" s="1472"/>
      <c r="NTP24" s="1472"/>
      <c r="NTQ24" s="1472"/>
      <c r="NTR24" s="1472"/>
      <c r="NTS24" s="1472"/>
      <c r="NTT24" s="1472"/>
      <c r="NTU24" s="1472"/>
      <c r="NTV24" s="1472"/>
      <c r="NTW24" s="1472"/>
      <c r="NTX24" s="1472"/>
      <c r="NTY24" s="1472"/>
      <c r="NTZ24" s="1473"/>
      <c r="NUA24" s="1471"/>
      <c r="NUB24" s="1472"/>
      <c r="NUC24" s="1472"/>
      <c r="NUD24" s="1472"/>
      <c r="NUE24" s="1472"/>
      <c r="NUF24" s="1472"/>
      <c r="NUG24" s="1472"/>
      <c r="NUH24" s="1472"/>
      <c r="NUI24" s="1472"/>
      <c r="NUJ24" s="1472"/>
      <c r="NUK24" s="1472"/>
      <c r="NUL24" s="1472"/>
      <c r="NUM24" s="1472"/>
      <c r="NUN24" s="1473"/>
      <c r="NUO24" s="1471"/>
      <c r="NUP24" s="1472"/>
      <c r="NUQ24" s="1472"/>
      <c r="NUR24" s="1472"/>
      <c r="NUS24" s="1472"/>
      <c r="NUT24" s="1472"/>
      <c r="NUU24" s="1472"/>
      <c r="NUV24" s="1472"/>
      <c r="NUW24" s="1472"/>
      <c r="NUX24" s="1472"/>
      <c r="NUY24" s="1472"/>
      <c r="NUZ24" s="1472"/>
      <c r="NVA24" s="1472"/>
      <c r="NVB24" s="1473"/>
      <c r="NVC24" s="1471"/>
      <c r="NVD24" s="1472"/>
      <c r="NVE24" s="1472"/>
      <c r="NVF24" s="1472"/>
      <c r="NVG24" s="1472"/>
      <c r="NVH24" s="1472"/>
      <c r="NVI24" s="1472"/>
      <c r="NVJ24" s="1472"/>
      <c r="NVK24" s="1472"/>
      <c r="NVL24" s="1472"/>
      <c r="NVM24" s="1472"/>
      <c r="NVN24" s="1472"/>
      <c r="NVO24" s="1472"/>
      <c r="NVP24" s="1473"/>
      <c r="NVQ24" s="1471"/>
      <c r="NVR24" s="1472"/>
      <c r="NVS24" s="1472"/>
      <c r="NVT24" s="1472"/>
      <c r="NVU24" s="1472"/>
      <c r="NVV24" s="1472"/>
      <c r="NVW24" s="1472"/>
      <c r="NVX24" s="1472"/>
      <c r="NVY24" s="1472"/>
      <c r="NVZ24" s="1472"/>
      <c r="NWA24" s="1472"/>
      <c r="NWB24" s="1472"/>
      <c r="NWC24" s="1472"/>
      <c r="NWD24" s="1473"/>
      <c r="NWE24" s="1471"/>
      <c r="NWF24" s="1472"/>
      <c r="NWG24" s="1472"/>
      <c r="NWH24" s="1472"/>
      <c r="NWI24" s="1472"/>
      <c r="NWJ24" s="1472"/>
      <c r="NWK24" s="1472"/>
      <c r="NWL24" s="1472"/>
      <c r="NWM24" s="1472"/>
      <c r="NWN24" s="1472"/>
      <c r="NWO24" s="1472"/>
      <c r="NWP24" s="1472"/>
      <c r="NWQ24" s="1472"/>
      <c r="NWR24" s="1473"/>
      <c r="NWS24" s="1471"/>
      <c r="NWT24" s="1472"/>
      <c r="NWU24" s="1472"/>
      <c r="NWV24" s="1472"/>
      <c r="NWW24" s="1472"/>
      <c r="NWX24" s="1472"/>
      <c r="NWY24" s="1472"/>
      <c r="NWZ24" s="1472"/>
      <c r="NXA24" s="1472"/>
      <c r="NXB24" s="1472"/>
      <c r="NXC24" s="1472"/>
      <c r="NXD24" s="1472"/>
      <c r="NXE24" s="1472"/>
      <c r="NXF24" s="1473"/>
      <c r="NXG24" s="1471"/>
      <c r="NXH24" s="1472"/>
      <c r="NXI24" s="1472"/>
      <c r="NXJ24" s="1472"/>
      <c r="NXK24" s="1472"/>
      <c r="NXL24" s="1472"/>
      <c r="NXM24" s="1472"/>
      <c r="NXN24" s="1472"/>
      <c r="NXO24" s="1472"/>
      <c r="NXP24" s="1472"/>
      <c r="NXQ24" s="1472"/>
      <c r="NXR24" s="1472"/>
      <c r="NXS24" s="1472"/>
      <c r="NXT24" s="1473"/>
      <c r="NXU24" s="1471"/>
      <c r="NXV24" s="1472"/>
      <c r="NXW24" s="1472"/>
      <c r="NXX24" s="1472"/>
      <c r="NXY24" s="1472"/>
      <c r="NXZ24" s="1472"/>
      <c r="NYA24" s="1472"/>
      <c r="NYB24" s="1472"/>
      <c r="NYC24" s="1472"/>
      <c r="NYD24" s="1472"/>
      <c r="NYE24" s="1472"/>
      <c r="NYF24" s="1472"/>
      <c r="NYG24" s="1472"/>
      <c r="NYH24" s="1473"/>
      <c r="NYI24" s="1471"/>
      <c r="NYJ24" s="1472"/>
      <c r="NYK24" s="1472"/>
      <c r="NYL24" s="1472"/>
      <c r="NYM24" s="1472"/>
      <c r="NYN24" s="1472"/>
      <c r="NYO24" s="1472"/>
      <c r="NYP24" s="1472"/>
      <c r="NYQ24" s="1472"/>
      <c r="NYR24" s="1472"/>
      <c r="NYS24" s="1472"/>
      <c r="NYT24" s="1472"/>
      <c r="NYU24" s="1472"/>
      <c r="NYV24" s="1473"/>
      <c r="NYW24" s="1471"/>
      <c r="NYX24" s="1472"/>
      <c r="NYY24" s="1472"/>
      <c r="NYZ24" s="1472"/>
      <c r="NZA24" s="1472"/>
      <c r="NZB24" s="1472"/>
      <c r="NZC24" s="1472"/>
      <c r="NZD24" s="1472"/>
      <c r="NZE24" s="1472"/>
      <c r="NZF24" s="1472"/>
      <c r="NZG24" s="1472"/>
      <c r="NZH24" s="1472"/>
      <c r="NZI24" s="1472"/>
      <c r="NZJ24" s="1473"/>
      <c r="NZK24" s="1471"/>
      <c r="NZL24" s="1472"/>
      <c r="NZM24" s="1472"/>
      <c r="NZN24" s="1472"/>
      <c r="NZO24" s="1472"/>
      <c r="NZP24" s="1472"/>
      <c r="NZQ24" s="1472"/>
      <c r="NZR24" s="1472"/>
      <c r="NZS24" s="1472"/>
      <c r="NZT24" s="1472"/>
      <c r="NZU24" s="1472"/>
      <c r="NZV24" s="1472"/>
      <c r="NZW24" s="1472"/>
      <c r="NZX24" s="1473"/>
      <c r="NZY24" s="1471"/>
      <c r="NZZ24" s="1472"/>
      <c r="OAA24" s="1472"/>
      <c r="OAB24" s="1472"/>
      <c r="OAC24" s="1472"/>
      <c r="OAD24" s="1472"/>
      <c r="OAE24" s="1472"/>
      <c r="OAF24" s="1472"/>
      <c r="OAG24" s="1472"/>
      <c r="OAH24" s="1472"/>
      <c r="OAI24" s="1472"/>
      <c r="OAJ24" s="1472"/>
      <c r="OAK24" s="1472"/>
      <c r="OAL24" s="1473"/>
      <c r="OAM24" s="1471"/>
      <c r="OAN24" s="1472"/>
      <c r="OAO24" s="1472"/>
      <c r="OAP24" s="1472"/>
      <c r="OAQ24" s="1472"/>
      <c r="OAR24" s="1472"/>
      <c r="OAS24" s="1472"/>
      <c r="OAT24" s="1472"/>
      <c r="OAU24" s="1472"/>
      <c r="OAV24" s="1472"/>
      <c r="OAW24" s="1472"/>
      <c r="OAX24" s="1472"/>
      <c r="OAY24" s="1472"/>
      <c r="OAZ24" s="1473"/>
      <c r="OBA24" s="1471"/>
      <c r="OBB24" s="1472"/>
      <c r="OBC24" s="1472"/>
      <c r="OBD24" s="1472"/>
      <c r="OBE24" s="1472"/>
      <c r="OBF24" s="1472"/>
      <c r="OBG24" s="1472"/>
      <c r="OBH24" s="1472"/>
      <c r="OBI24" s="1472"/>
      <c r="OBJ24" s="1472"/>
      <c r="OBK24" s="1472"/>
      <c r="OBL24" s="1472"/>
      <c r="OBM24" s="1472"/>
      <c r="OBN24" s="1473"/>
      <c r="OBO24" s="1471"/>
      <c r="OBP24" s="1472"/>
      <c r="OBQ24" s="1472"/>
      <c r="OBR24" s="1472"/>
      <c r="OBS24" s="1472"/>
      <c r="OBT24" s="1472"/>
      <c r="OBU24" s="1472"/>
      <c r="OBV24" s="1472"/>
      <c r="OBW24" s="1472"/>
      <c r="OBX24" s="1472"/>
      <c r="OBY24" s="1472"/>
      <c r="OBZ24" s="1472"/>
      <c r="OCA24" s="1472"/>
      <c r="OCB24" s="1473"/>
      <c r="OCC24" s="1471"/>
      <c r="OCD24" s="1472"/>
      <c r="OCE24" s="1472"/>
      <c r="OCF24" s="1472"/>
      <c r="OCG24" s="1472"/>
      <c r="OCH24" s="1472"/>
      <c r="OCI24" s="1472"/>
      <c r="OCJ24" s="1472"/>
      <c r="OCK24" s="1472"/>
      <c r="OCL24" s="1472"/>
      <c r="OCM24" s="1472"/>
      <c r="OCN24" s="1472"/>
      <c r="OCO24" s="1472"/>
      <c r="OCP24" s="1473"/>
      <c r="OCQ24" s="1471"/>
      <c r="OCR24" s="1472"/>
      <c r="OCS24" s="1472"/>
      <c r="OCT24" s="1472"/>
      <c r="OCU24" s="1472"/>
      <c r="OCV24" s="1472"/>
      <c r="OCW24" s="1472"/>
      <c r="OCX24" s="1472"/>
      <c r="OCY24" s="1472"/>
      <c r="OCZ24" s="1472"/>
      <c r="ODA24" s="1472"/>
      <c r="ODB24" s="1472"/>
      <c r="ODC24" s="1472"/>
      <c r="ODD24" s="1473"/>
      <c r="ODE24" s="1471"/>
      <c r="ODF24" s="1472"/>
      <c r="ODG24" s="1472"/>
      <c r="ODH24" s="1472"/>
      <c r="ODI24" s="1472"/>
      <c r="ODJ24" s="1472"/>
      <c r="ODK24" s="1472"/>
      <c r="ODL24" s="1472"/>
      <c r="ODM24" s="1472"/>
      <c r="ODN24" s="1472"/>
      <c r="ODO24" s="1472"/>
      <c r="ODP24" s="1472"/>
      <c r="ODQ24" s="1472"/>
      <c r="ODR24" s="1473"/>
      <c r="ODS24" s="1471"/>
      <c r="ODT24" s="1472"/>
      <c r="ODU24" s="1472"/>
      <c r="ODV24" s="1472"/>
      <c r="ODW24" s="1472"/>
      <c r="ODX24" s="1472"/>
      <c r="ODY24" s="1472"/>
      <c r="ODZ24" s="1472"/>
      <c r="OEA24" s="1472"/>
      <c r="OEB24" s="1472"/>
      <c r="OEC24" s="1472"/>
      <c r="OED24" s="1472"/>
      <c r="OEE24" s="1472"/>
      <c r="OEF24" s="1473"/>
      <c r="OEG24" s="1471"/>
      <c r="OEH24" s="1472"/>
      <c r="OEI24" s="1472"/>
      <c r="OEJ24" s="1472"/>
      <c r="OEK24" s="1472"/>
      <c r="OEL24" s="1472"/>
      <c r="OEM24" s="1472"/>
      <c r="OEN24" s="1472"/>
      <c r="OEO24" s="1472"/>
      <c r="OEP24" s="1472"/>
      <c r="OEQ24" s="1472"/>
      <c r="OER24" s="1472"/>
      <c r="OES24" s="1472"/>
      <c r="OET24" s="1473"/>
      <c r="OEU24" s="1471"/>
      <c r="OEV24" s="1472"/>
      <c r="OEW24" s="1472"/>
      <c r="OEX24" s="1472"/>
      <c r="OEY24" s="1472"/>
      <c r="OEZ24" s="1472"/>
      <c r="OFA24" s="1472"/>
      <c r="OFB24" s="1472"/>
      <c r="OFC24" s="1472"/>
      <c r="OFD24" s="1472"/>
      <c r="OFE24" s="1472"/>
      <c r="OFF24" s="1472"/>
      <c r="OFG24" s="1472"/>
      <c r="OFH24" s="1473"/>
      <c r="OFI24" s="1471"/>
      <c r="OFJ24" s="1472"/>
      <c r="OFK24" s="1472"/>
      <c r="OFL24" s="1472"/>
      <c r="OFM24" s="1472"/>
      <c r="OFN24" s="1472"/>
      <c r="OFO24" s="1472"/>
      <c r="OFP24" s="1472"/>
      <c r="OFQ24" s="1472"/>
      <c r="OFR24" s="1472"/>
      <c r="OFS24" s="1472"/>
      <c r="OFT24" s="1472"/>
      <c r="OFU24" s="1472"/>
      <c r="OFV24" s="1473"/>
      <c r="OFW24" s="1471"/>
      <c r="OFX24" s="1472"/>
      <c r="OFY24" s="1472"/>
      <c r="OFZ24" s="1472"/>
      <c r="OGA24" s="1472"/>
      <c r="OGB24" s="1472"/>
      <c r="OGC24" s="1472"/>
      <c r="OGD24" s="1472"/>
      <c r="OGE24" s="1472"/>
      <c r="OGF24" s="1472"/>
      <c r="OGG24" s="1472"/>
      <c r="OGH24" s="1472"/>
      <c r="OGI24" s="1472"/>
      <c r="OGJ24" s="1473"/>
      <c r="OGK24" s="1471"/>
      <c r="OGL24" s="1472"/>
      <c r="OGM24" s="1472"/>
      <c r="OGN24" s="1472"/>
      <c r="OGO24" s="1472"/>
      <c r="OGP24" s="1472"/>
      <c r="OGQ24" s="1472"/>
      <c r="OGR24" s="1472"/>
      <c r="OGS24" s="1472"/>
      <c r="OGT24" s="1472"/>
      <c r="OGU24" s="1472"/>
      <c r="OGV24" s="1472"/>
      <c r="OGW24" s="1472"/>
      <c r="OGX24" s="1473"/>
      <c r="OGY24" s="1471"/>
      <c r="OGZ24" s="1472"/>
      <c r="OHA24" s="1472"/>
      <c r="OHB24" s="1472"/>
      <c r="OHC24" s="1472"/>
      <c r="OHD24" s="1472"/>
      <c r="OHE24" s="1472"/>
      <c r="OHF24" s="1472"/>
      <c r="OHG24" s="1472"/>
      <c r="OHH24" s="1472"/>
      <c r="OHI24" s="1472"/>
      <c r="OHJ24" s="1472"/>
      <c r="OHK24" s="1472"/>
      <c r="OHL24" s="1473"/>
      <c r="OHM24" s="1471"/>
      <c r="OHN24" s="1472"/>
      <c r="OHO24" s="1472"/>
      <c r="OHP24" s="1472"/>
      <c r="OHQ24" s="1472"/>
      <c r="OHR24" s="1472"/>
      <c r="OHS24" s="1472"/>
      <c r="OHT24" s="1472"/>
      <c r="OHU24" s="1472"/>
      <c r="OHV24" s="1472"/>
      <c r="OHW24" s="1472"/>
      <c r="OHX24" s="1472"/>
      <c r="OHY24" s="1472"/>
      <c r="OHZ24" s="1473"/>
      <c r="OIA24" s="1471"/>
      <c r="OIB24" s="1472"/>
      <c r="OIC24" s="1472"/>
      <c r="OID24" s="1472"/>
      <c r="OIE24" s="1472"/>
      <c r="OIF24" s="1472"/>
      <c r="OIG24" s="1472"/>
      <c r="OIH24" s="1472"/>
      <c r="OII24" s="1472"/>
      <c r="OIJ24" s="1472"/>
      <c r="OIK24" s="1472"/>
      <c r="OIL24" s="1472"/>
      <c r="OIM24" s="1472"/>
      <c r="OIN24" s="1473"/>
      <c r="OIO24" s="1471"/>
      <c r="OIP24" s="1472"/>
      <c r="OIQ24" s="1472"/>
      <c r="OIR24" s="1472"/>
      <c r="OIS24" s="1472"/>
      <c r="OIT24" s="1472"/>
      <c r="OIU24" s="1472"/>
      <c r="OIV24" s="1472"/>
      <c r="OIW24" s="1472"/>
      <c r="OIX24" s="1472"/>
      <c r="OIY24" s="1472"/>
      <c r="OIZ24" s="1472"/>
      <c r="OJA24" s="1472"/>
      <c r="OJB24" s="1473"/>
      <c r="OJC24" s="1471"/>
      <c r="OJD24" s="1472"/>
      <c r="OJE24" s="1472"/>
      <c r="OJF24" s="1472"/>
      <c r="OJG24" s="1472"/>
      <c r="OJH24" s="1472"/>
      <c r="OJI24" s="1472"/>
      <c r="OJJ24" s="1472"/>
      <c r="OJK24" s="1472"/>
      <c r="OJL24" s="1472"/>
      <c r="OJM24" s="1472"/>
      <c r="OJN24" s="1472"/>
      <c r="OJO24" s="1472"/>
      <c r="OJP24" s="1473"/>
      <c r="OJQ24" s="1471"/>
      <c r="OJR24" s="1472"/>
      <c r="OJS24" s="1472"/>
      <c r="OJT24" s="1472"/>
      <c r="OJU24" s="1472"/>
      <c r="OJV24" s="1472"/>
      <c r="OJW24" s="1472"/>
      <c r="OJX24" s="1472"/>
      <c r="OJY24" s="1472"/>
      <c r="OJZ24" s="1472"/>
      <c r="OKA24" s="1472"/>
      <c r="OKB24" s="1472"/>
      <c r="OKC24" s="1472"/>
      <c r="OKD24" s="1473"/>
      <c r="OKE24" s="1471"/>
      <c r="OKF24" s="1472"/>
      <c r="OKG24" s="1472"/>
      <c r="OKH24" s="1472"/>
      <c r="OKI24" s="1472"/>
      <c r="OKJ24" s="1472"/>
      <c r="OKK24" s="1472"/>
      <c r="OKL24" s="1472"/>
      <c r="OKM24" s="1472"/>
      <c r="OKN24" s="1472"/>
      <c r="OKO24" s="1472"/>
      <c r="OKP24" s="1472"/>
      <c r="OKQ24" s="1472"/>
      <c r="OKR24" s="1473"/>
      <c r="OKS24" s="1471"/>
      <c r="OKT24" s="1472"/>
      <c r="OKU24" s="1472"/>
      <c r="OKV24" s="1472"/>
      <c r="OKW24" s="1472"/>
      <c r="OKX24" s="1472"/>
      <c r="OKY24" s="1472"/>
      <c r="OKZ24" s="1472"/>
      <c r="OLA24" s="1472"/>
      <c r="OLB24" s="1472"/>
      <c r="OLC24" s="1472"/>
      <c r="OLD24" s="1472"/>
      <c r="OLE24" s="1472"/>
      <c r="OLF24" s="1473"/>
      <c r="OLG24" s="1471"/>
      <c r="OLH24" s="1472"/>
      <c r="OLI24" s="1472"/>
      <c r="OLJ24" s="1472"/>
      <c r="OLK24" s="1472"/>
      <c r="OLL24" s="1472"/>
      <c r="OLM24" s="1472"/>
      <c r="OLN24" s="1472"/>
      <c r="OLO24" s="1472"/>
      <c r="OLP24" s="1472"/>
      <c r="OLQ24" s="1472"/>
      <c r="OLR24" s="1472"/>
      <c r="OLS24" s="1472"/>
      <c r="OLT24" s="1473"/>
      <c r="OLU24" s="1471"/>
      <c r="OLV24" s="1472"/>
      <c r="OLW24" s="1472"/>
      <c r="OLX24" s="1472"/>
      <c r="OLY24" s="1472"/>
      <c r="OLZ24" s="1472"/>
      <c r="OMA24" s="1472"/>
      <c r="OMB24" s="1472"/>
      <c r="OMC24" s="1472"/>
      <c r="OMD24" s="1472"/>
      <c r="OME24" s="1472"/>
      <c r="OMF24" s="1472"/>
      <c r="OMG24" s="1472"/>
      <c r="OMH24" s="1473"/>
      <c r="OMI24" s="1471"/>
      <c r="OMJ24" s="1472"/>
      <c r="OMK24" s="1472"/>
      <c r="OML24" s="1472"/>
      <c r="OMM24" s="1472"/>
      <c r="OMN24" s="1472"/>
      <c r="OMO24" s="1472"/>
      <c r="OMP24" s="1472"/>
      <c r="OMQ24" s="1472"/>
      <c r="OMR24" s="1472"/>
      <c r="OMS24" s="1472"/>
      <c r="OMT24" s="1472"/>
      <c r="OMU24" s="1472"/>
      <c r="OMV24" s="1473"/>
      <c r="OMW24" s="1471"/>
      <c r="OMX24" s="1472"/>
      <c r="OMY24" s="1472"/>
      <c r="OMZ24" s="1472"/>
      <c r="ONA24" s="1472"/>
      <c r="ONB24" s="1472"/>
      <c r="ONC24" s="1472"/>
      <c r="OND24" s="1472"/>
      <c r="ONE24" s="1472"/>
      <c r="ONF24" s="1472"/>
      <c r="ONG24" s="1472"/>
      <c r="ONH24" s="1472"/>
      <c r="ONI24" s="1472"/>
      <c r="ONJ24" s="1473"/>
      <c r="ONK24" s="1471"/>
      <c r="ONL24" s="1472"/>
      <c r="ONM24" s="1472"/>
      <c r="ONN24" s="1472"/>
      <c r="ONO24" s="1472"/>
      <c r="ONP24" s="1472"/>
      <c r="ONQ24" s="1472"/>
      <c r="ONR24" s="1472"/>
      <c r="ONS24" s="1472"/>
      <c r="ONT24" s="1472"/>
      <c r="ONU24" s="1472"/>
      <c r="ONV24" s="1472"/>
      <c r="ONW24" s="1472"/>
      <c r="ONX24" s="1473"/>
      <c r="ONY24" s="1471"/>
      <c r="ONZ24" s="1472"/>
      <c r="OOA24" s="1472"/>
      <c r="OOB24" s="1472"/>
      <c r="OOC24" s="1472"/>
      <c r="OOD24" s="1472"/>
      <c r="OOE24" s="1472"/>
      <c r="OOF24" s="1472"/>
      <c r="OOG24" s="1472"/>
      <c r="OOH24" s="1472"/>
      <c r="OOI24" s="1472"/>
      <c r="OOJ24" s="1472"/>
      <c r="OOK24" s="1472"/>
      <c r="OOL24" s="1473"/>
      <c r="OOM24" s="1471"/>
      <c r="OON24" s="1472"/>
      <c r="OOO24" s="1472"/>
      <c r="OOP24" s="1472"/>
      <c r="OOQ24" s="1472"/>
      <c r="OOR24" s="1472"/>
      <c r="OOS24" s="1472"/>
      <c r="OOT24" s="1472"/>
      <c r="OOU24" s="1472"/>
      <c r="OOV24" s="1472"/>
      <c r="OOW24" s="1472"/>
      <c r="OOX24" s="1472"/>
      <c r="OOY24" s="1472"/>
      <c r="OOZ24" s="1473"/>
      <c r="OPA24" s="1471"/>
      <c r="OPB24" s="1472"/>
      <c r="OPC24" s="1472"/>
      <c r="OPD24" s="1472"/>
      <c r="OPE24" s="1472"/>
      <c r="OPF24" s="1472"/>
      <c r="OPG24" s="1472"/>
      <c r="OPH24" s="1472"/>
      <c r="OPI24" s="1472"/>
      <c r="OPJ24" s="1472"/>
      <c r="OPK24" s="1472"/>
      <c r="OPL24" s="1472"/>
      <c r="OPM24" s="1472"/>
      <c r="OPN24" s="1473"/>
      <c r="OPO24" s="1471"/>
      <c r="OPP24" s="1472"/>
      <c r="OPQ24" s="1472"/>
      <c r="OPR24" s="1472"/>
      <c r="OPS24" s="1472"/>
      <c r="OPT24" s="1472"/>
      <c r="OPU24" s="1472"/>
      <c r="OPV24" s="1472"/>
      <c r="OPW24" s="1472"/>
      <c r="OPX24" s="1472"/>
      <c r="OPY24" s="1472"/>
      <c r="OPZ24" s="1472"/>
      <c r="OQA24" s="1472"/>
      <c r="OQB24" s="1473"/>
      <c r="OQC24" s="1471"/>
      <c r="OQD24" s="1472"/>
      <c r="OQE24" s="1472"/>
      <c r="OQF24" s="1472"/>
      <c r="OQG24" s="1472"/>
      <c r="OQH24" s="1472"/>
      <c r="OQI24" s="1472"/>
      <c r="OQJ24" s="1472"/>
      <c r="OQK24" s="1472"/>
      <c r="OQL24" s="1472"/>
      <c r="OQM24" s="1472"/>
      <c r="OQN24" s="1472"/>
      <c r="OQO24" s="1472"/>
      <c r="OQP24" s="1473"/>
      <c r="OQQ24" s="1471"/>
      <c r="OQR24" s="1472"/>
      <c r="OQS24" s="1472"/>
      <c r="OQT24" s="1472"/>
      <c r="OQU24" s="1472"/>
      <c r="OQV24" s="1472"/>
      <c r="OQW24" s="1472"/>
      <c r="OQX24" s="1472"/>
      <c r="OQY24" s="1472"/>
      <c r="OQZ24" s="1472"/>
      <c r="ORA24" s="1472"/>
      <c r="ORB24" s="1472"/>
      <c r="ORC24" s="1472"/>
      <c r="ORD24" s="1473"/>
      <c r="ORE24" s="1471"/>
      <c r="ORF24" s="1472"/>
      <c r="ORG24" s="1472"/>
      <c r="ORH24" s="1472"/>
      <c r="ORI24" s="1472"/>
      <c r="ORJ24" s="1472"/>
      <c r="ORK24" s="1472"/>
      <c r="ORL24" s="1472"/>
      <c r="ORM24" s="1472"/>
      <c r="ORN24" s="1472"/>
      <c r="ORO24" s="1472"/>
      <c r="ORP24" s="1472"/>
      <c r="ORQ24" s="1472"/>
      <c r="ORR24" s="1473"/>
      <c r="ORS24" s="1471"/>
      <c r="ORT24" s="1472"/>
      <c r="ORU24" s="1472"/>
      <c r="ORV24" s="1472"/>
      <c r="ORW24" s="1472"/>
      <c r="ORX24" s="1472"/>
      <c r="ORY24" s="1472"/>
      <c r="ORZ24" s="1472"/>
      <c r="OSA24" s="1472"/>
      <c r="OSB24" s="1472"/>
      <c r="OSC24" s="1472"/>
      <c r="OSD24" s="1472"/>
      <c r="OSE24" s="1472"/>
      <c r="OSF24" s="1473"/>
      <c r="OSG24" s="1471"/>
      <c r="OSH24" s="1472"/>
      <c r="OSI24" s="1472"/>
      <c r="OSJ24" s="1472"/>
      <c r="OSK24" s="1472"/>
      <c r="OSL24" s="1472"/>
      <c r="OSM24" s="1472"/>
      <c r="OSN24" s="1472"/>
      <c r="OSO24" s="1472"/>
      <c r="OSP24" s="1472"/>
      <c r="OSQ24" s="1472"/>
      <c r="OSR24" s="1472"/>
      <c r="OSS24" s="1472"/>
      <c r="OST24" s="1473"/>
      <c r="OSU24" s="1471"/>
      <c r="OSV24" s="1472"/>
      <c r="OSW24" s="1472"/>
      <c r="OSX24" s="1472"/>
      <c r="OSY24" s="1472"/>
      <c r="OSZ24" s="1472"/>
      <c r="OTA24" s="1472"/>
      <c r="OTB24" s="1472"/>
      <c r="OTC24" s="1472"/>
      <c r="OTD24" s="1472"/>
      <c r="OTE24" s="1472"/>
      <c r="OTF24" s="1472"/>
      <c r="OTG24" s="1472"/>
      <c r="OTH24" s="1473"/>
      <c r="OTI24" s="1471"/>
      <c r="OTJ24" s="1472"/>
      <c r="OTK24" s="1472"/>
      <c r="OTL24" s="1472"/>
      <c r="OTM24" s="1472"/>
      <c r="OTN24" s="1472"/>
      <c r="OTO24" s="1472"/>
      <c r="OTP24" s="1472"/>
      <c r="OTQ24" s="1472"/>
      <c r="OTR24" s="1472"/>
      <c r="OTS24" s="1472"/>
      <c r="OTT24" s="1472"/>
      <c r="OTU24" s="1472"/>
      <c r="OTV24" s="1473"/>
      <c r="OTW24" s="1471"/>
      <c r="OTX24" s="1472"/>
      <c r="OTY24" s="1472"/>
      <c r="OTZ24" s="1472"/>
      <c r="OUA24" s="1472"/>
      <c r="OUB24" s="1472"/>
      <c r="OUC24" s="1472"/>
      <c r="OUD24" s="1472"/>
      <c r="OUE24" s="1472"/>
      <c r="OUF24" s="1472"/>
      <c r="OUG24" s="1472"/>
      <c r="OUH24" s="1472"/>
      <c r="OUI24" s="1472"/>
      <c r="OUJ24" s="1473"/>
      <c r="OUK24" s="1471"/>
      <c r="OUL24" s="1472"/>
      <c r="OUM24" s="1472"/>
      <c r="OUN24" s="1472"/>
      <c r="OUO24" s="1472"/>
      <c r="OUP24" s="1472"/>
      <c r="OUQ24" s="1472"/>
      <c r="OUR24" s="1472"/>
      <c r="OUS24" s="1472"/>
      <c r="OUT24" s="1472"/>
      <c r="OUU24" s="1472"/>
      <c r="OUV24" s="1472"/>
      <c r="OUW24" s="1472"/>
      <c r="OUX24" s="1473"/>
      <c r="OUY24" s="1471"/>
      <c r="OUZ24" s="1472"/>
      <c r="OVA24" s="1472"/>
      <c r="OVB24" s="1472"/>
      <c r="OVC24" s="1472"/>
      <c r="OVD24" s="1472"/>
      <c r="OVE24" s="1472"/>
      <c r="OVF24" s="1472"/>
      <c r="OVG24" s="1472"/>
      <c r="OVH24" s="1472"/>
      <c r="OVI24" s="1472"/>
      <c r="OVJ24" s="1472"/>
      <c r="OVK24" s="1472"/>
      <c r="OVL24" s="1473"/>
      <c r="OVM24" s="1471"/>
      <c r="OVN24" s="1472"/>
      <c r="OVO24" s="1472"/>
      <c r="OVP24" s="1472"/>
      <c r="OVQ24" s="1472"/>
      <c r="OVR24" s="1472"/>
      <c r="OVS24" s="1472"/>
      <c r="OVT24" s="1472"/>
      <c r="OVU24" s="1472"/>
      <c r="OVV24" s="1472"/>
      <c r="OVW24" s="1472"/>
      <c r="OVX24" s="1472"/>
      <c r="OVY24" s="1472"/>
      <c r="OVZ24" s="1473"/>
      <c r="OWA24" s="1471"/>
      <c r="OWB24" s="1472"/>
      <c r="OWC24" s="1472"/>
      <c r="OWD24" s="1472"/>
      <c r="OWE24" s="1472"/>
      <c r="OWF24" s="1472"/>
      <c r="OWG24" s="1472"/>
      <c r="OWH24" s="1472"/>
      <c r="OWI24" s="1472"/>
      <c r="OWJ24" s="1472"/>
      <c r="OWK24" s="1472"/>
      <c r="OWL24" s="1472"/>
      <c r="OWM24" s="1472"/>
      <c r="OWN24" s="1473"/>
      <c r="OWO24" s="1471"/>
      <c r="OWP24" s="1472"/>
      <c r="OWQ24" s="1472"/>
      <c r="OWR24" s="1472"/>
      <c r="OWS24" s="1472"/>
      <c r="OWT24" s="1472"/>
      <c r="OWU24" s="1472"/>
      <c r="OWV24" s="1472"/>
      <c r="OWW24" s="1472"/>
      <c r="OWX24" s="1472"/>
      <c r="OWY24" s="1472"/>
      <c r="OWZ24" s="1472"/>
      <c r="OXA24" s="1472"/>
      <c r="OXB24" s="1473"/>
      <c r="OXC24" s="1471"/>
      <c r="OXD24" s="1472"/>
      <c r="OXE24" s="1472"/>
      <c r="OXF24" s="1472"/>
      <c r="OXG24" s="1472"/>
      <c r="OXH24" s="1472"/>
      <c r="OXI24" s="1472"/>
      <c r="OXJ24" s="1472"/>
      <c r="OXK24" s="1472"/>
      <c r="OXL24" s="1472"/>
      <c r="OXM24" s="1472"/>
      <c r="OXN24" s="1472"/>
      <c r="OXO24" s="1472"/>
      <c r="OXP24" s="1473"/>
      <c r="OXQ24" s="1471"/>
      <c r="OXR24" s="1472"/>
      <c r="OXS24" s="1472"/>
      <c r="OXT24" s="1472"/>
      <c r="OXU24" s="1472"/>
      <c r="OXV24" s="1472"/>
      <c r="OXW24" s="1472"/>
      <c r="OXX24" s="1472"/>
      <c r="OXY24" s="1472"/>
      <c r="OXZ24" s="1472"/>
      <c r="OYA24" s="1472"/>
      <c r="OYB24" s="1472"/>
      <c r="OYC24" s="1472"/>
      <c r="OYD24" s="1473"/>
      <c r="OYE24" s="1471"/>
      <c r="OYF24" s="1472"/>
      <c r="OYG24" s="1472"/>
      <c r="OYH24" s="1472"/>
      <c r="OYI24" s="1472"/>
      <c r="OYJ24" s="1472"/>
      <c r="OYK24" s="1472"/>
      <c r="OYL24" s="1472"/>
      <c r="OYM24" s="1472"/>
      <c r="OYN24" s="1472"/>
      <c r="OYO24" s="1472"/>
      <c r="OYP24" s="1472"/>
      <c r="OYQ24" s="1472"/>
      <c r="OYR24" s="1473"/>
      <c r="OYS24" s="1471"/>
      <c r="OYT24" s="1472"/>
      <c r="OYU24" s="1472"/>
      <c r="OYV24" s="1472"/>
      <c r="OYW24" s="1472"/>
      <c r="OYX24" s="1472"/>
      <c r="OYY24" s="1472"/>
      <c r="OYZ24" s="1472"/>
      <c r="OZA24" s="1472"/>
      <c r="OZB24" s="1472"/>
      <c r="OZC24" s="1472"/>
      <c r="OZD24" s="1472"/>
      <c r="OZE24" s="1472"/>
      <c r="OZF24" s="1473"/>
      <c r="OZG24" s="1471"/>
      <c r="OZH24" s="1472"/>
      <c r="OZI24" s="1472"/>
      <c r="OZJ24" s="1472"/>
      <c r="OZK24" s="1472"/>
      <c r="OZL24" s="1472"/>
      <c r="OZM24" s="1472"/>
      <c r="OZN24" s="1472"/>
      <c r="OZO24" s="1472"/>
      <c r="OZP24" s="1472"/>
      <c r="OZQ24" s="1472"/>
      <c r="OZR24" s="1472"/>
      <c r="OZS24" s="1472"/>
      <c r="OZT24" s="1473"/>
      <c r="OZU24" s="1471"/>
      <c r="OZV24" s="1472"/>
      <c r="OZW24" s="1472"/>
      <c r="OZX24" s="1472"/>
      <c r="OZY24" s="1472"/>
      <c r="OZZ24" s="1472"/>
      <c r="PAA24" s="1472"/>
      <c r="PAB24" s="1472"/>
      <c r="PAC24" s="1472"/>
      <c r="PAD24" s="1472"/>
      <c r="PAE24" s="1472"/>
      <c r="PAF24" s="1472"/>
      <c r="PAG24" s="1472"/>
      <c r="PAH24" s="1473"/>
      <c r="PAI24" s="1471"/>
      <c r="PAJ24" s="1472"/>
      <c r="PAK24" s="1472"/>
      <c r="PAL24" s="1472"/>
      <c r="PAM24" s="1472"/>
      <c r="PAN24" s="1472"/>
      <c r="PAO24" s="1472"/>
      <c r="PAP24" s="1472"/>
      <c r="PAQ24" s="1472"/>
      <c r="PAR24" s="1472"/>
      <c r="PAS24" s="1472"/>
      <c r="PAT24" s="1472"/>
      <c r="PAU24" s="1472"/>
      <c r="PAV24" s="1473"/>
      <c r="PAW24" s="1471"/>
      <c r="PAX24" s="1472"/>
      <c r="PAY24" s="1472"/>
      <c r="PAZ24" s="1472"/>
      <c r="PBA24" s="1472"/>
      <c r="PBB24" s="1472"/>
      <c r="PBC24" s="1472"/>
      <c r="PBD24" s="1472"/>
      <c r="PBE24" s="1472"/>
      <c r="PBF24" s="1472"/>
      <c r="PBG24" s="1472"/>
      <c r="PBH24" s="1472"/>
      <c r="PBI24" s="1472"/>
      <c r="PBJ24" s="1473"/>
      <c r="PBK24" s="1471"/>
      <c r="PBL24" s="1472"/>
      <c r="PBM24" s="1472"/>
      <c r="PBN24" s="1472"/>
      <c r="PBO24" s="1472"/>
      <c r="PBP24" s="1472"/>
      <c r="PBQ24" s="1472"/>
      <c r="PBR24" s="1472"/>
      <c r="PBS24" s="1472"/>
      <c r="PBT24" s="1472"/>
      <c r="PBU24" s="1472"/>
      <c r="PBV24" s="1472"/>
      <c r="PBW24" s="1472"/>
      <c r="PBX24" s="1473"/>
      <c r="PBY24" s="1471"/>
      <c r="PBZ24" s="1472"/>
      <c r="PCA24" s="1472"/>
      <c r="PCB24" s="1472"/>
      <c r="PCC24" s="1472"/>
      <c r="PCD24" s="1472"/>
      <c r="PCE24" s="1472"/>
      <c r="PCF24" s="1472"/>
      <c r="PCG24" s="1472"/>
      <c r="PCH24" s="1472"/>
      <c r="PCI24" s="1472"/>
      <c r="PCJ24" s="1472"/>
      <c r="PCK24" s="1472"/>
      <c r="PCL24" s="1473"/>
      <c r="PCM24" s="1471"/>
      <c r="PCN24" s="1472"/>
      <c r="PCO24" s="1472"/>
      <c r="PCP24" s="1472"/>
      <c r="PCQ24" s="1472"/>
      <c r="PCR24" s="1472"/>
      <c r="PCS24" s="1472"/>
      <c r="PCT24" s="1472"/>
      <c r="PCU24" s="1472"/>
      <c r="PCV24" s="1472"/>
      <c r="PCW24" s="1472"/>
      <c r="PCX24" s="1472"/>
      <c r="PCY24" s="1472"/>
      <c r="PCZ24" s="1473"/>
      <c r="PDA24" s="1471"/>
      <c r="PDB24" s="1472"/>
      <c r="PDC24" s="1472"/>
      <c r="PDD24" s="1472"/>
      <c r="PDE24" s="1472"/>
      <c r="PDF24" s="1472"/>
      <c r="PDG24" s="1472"/>
      <c r="PDH24" s="1472"/>
      <c r="PDI24" s="1472"/>
      <c r="PDJ24" s="1472"/>
      <c r="PDK24" s="1472"/>
      <c r="PDL24" s="1472"/>
      <c r="PDM24" s="1472"/>
      <c r="PDN24" s="1473"/>
      <c r="PDO24" s="1471"/>
      <c r="PDP24" s="1472"/>
      <c r="PDQ24" s="1472"/>
      <c r="PDR24" s="1472"/>
      <c r="PDS24" s="1472"/>
      <c r="PDT24" s="1472"/>
      <c r="PDU24" s="1472"/>
      <c r="PDV24" s="1472"/>
      <c r="PDW24" s="1472"/>
      <c r="PDX24" s="1472"/>
      <c r="PDY24" s="1472"/>
      <c r="PDZ24" s="1472"/>
      <c r="PEA24" s="1472"/>
      <c r="PEB24" s="1473"/>
      <c r="PEC24" s="1471"/>
      <c r="PED24" s="1472"/>
      <c r="PEE24" s="1472"/>
      <c r="PEF24" s="1472"/>
      <c r="PEG24" s="1472"/>
      <c r="PEH24" s="1472"/>
      <c r="PEI24" s="1472"/>
      <c r="PEJ24" s="1472"/>
      <c r="PEK24" s="1472"/>
      <c r="PEL24" s="1472"/>
      <c r="PEM24" s="1472"/>
      <c r="PEN24" s="1472"/>
      <c r="PEO24" s="1472"/>
      <c r="PEP24" s="1473"/>
      <c r="PEQ24" s="1471"/>
      <c r="PER24" s="1472"/>
      <c r="PES24" s="1472"/>
      <c r="PET24" s="1472"/>
      <c r="PEU24" s="1472"/>
      <c r="PEV24" s="1472"/>
      <c r="PEW24" s="1472"/>
      <c r="PEX24" s="1472"/>
      <c r="PEY24" s="1472"/>
      <c r="PEZ24" s="1472"/>
      <c r="PFA24" s="1472"/>
      <c r="PFB24" s="1472"/>
      <c r="PFC24" s="1472"/>
      <c r="PFD24" s="1473"/>
      <c r="PFE24" s="1471"/>
      <c r="PFF24" s="1472"/>
      <c r="PFG24" s="1472"/>
      <c r="PFH24" s="1472"/>
      <c r="PFI24" s="1472"/>
      <c r="PFJ24" s="1472"/>
      <c r="PFK24" s="1472"/>
      <c r="PFL24" s="1472"/>
      <c r="PFM24" s="1472"/>
      <c r="PFN24" s="1472"/>
      <c r="PFO24" s="1472"/>
      <c r="PFP24" s="1472"/>
      <c r="PFQ24" s="1472"/>
      <c r="PFR24" s="1473"/>
      <c r="PFS24" s="1471"/>
      <c r="PFT24" s="1472"/>
      <c r="PFU24" s="1472"/>
      <c r="PFV24" s="1472"/>
      <c r="PFW24" s="1472"/>
      <c r="PFX24" s="1472"/>
      <c r="PFY24" s="1472"/>
      <c r="PFZ24" s="1472"/>
      <c r="PGA24" s="1472"/>
      <c r="PGB24" s="1472"/>
      <c r="PGC24" s="1472"/>
      <c r="PGD24" s="1472"/>
      <c r="PGE24" s="1472"/>
      <c r="PGF24" s="1473"/>
      <c r="PGG24" s="1471"/>
      <c r="PGH24" s="1472"/>
      <c r="PGI24" s="1472"/>
      <c r="PGJ24" s="1472"/>
      <c r="PGK24" s="1472"/>
      <c r="PGL24" s="1472"/>
      <c r="PGM24" s="1472"/>
      <c r="PGN24" s="1472"/>
      <c r="PGO24" s="1472"/>
      <c r="PGP24" s="1472"/>
      <c r="PGQ24" s="1472"/>
      <c r="PGR24" s="1472"/>
      <c r="PGS24" s="1472"/>
      <c r="PGT24" s="1473"/>
      <c r="PGU24" s="1471"/>
      <c r="PGV24" s="1472"/>
      <c r="PGW24" s="1472"/>
      <c r="PGX24" s="1472"/>
      <c r="PGY24" s="1472"/>
      <c r="PGZ24" s="1472"/>
      <c r="PHA24" s="1472"/>
      <c r="PHB24" s="1472"/>
      <c r="PHC24" s="1472"/>
      <c r="PHD24" s="1472"/>
      <c r="PHE24" s="1472"/>
      <c r="PHF24" s="1472"/>
      <c r="PHG24" s="1472"/>
      <c r="PHH24" s="1473"/>
      <c r="PHI24" s="1471"/>
      <c r="PHJ24" s="1472"/>
      <c r="PHK24" s="1472"/>
      <c r="PHL24" s="1472"/>
      <c r="PHM24" s="1472"/>
      <c r="PHN24" s="1472"/>
      <c r="PHO24" s="1472"/>
      <c r="PHP24" s="1472"/>
      <c r="PHQ24" s="1472"/>
      <c r="PHR24" s="1472"/>
      <c r="PHS24" s="1472"/>
      <c r="PHT24" s="1472"/>
      <c r="PHU24" s="1472"/>
      <c r="PHV24" s="1473"/>
      <c r="PHW24" s="1471"/>
      <c r="PHX24" s="1472"/>
      <c r="PHY24" s="1472"/>
      <c r="PHZ24" s="1472"/>
      <c r="PIA24" s="1472"/>
      <c r="PIB24" s="1472"/>
      <c r="PIC24" s="1472"/>
      <c r="PID24" s="1472"/>
      <c r="PIE24" s="1472"/>
      <c r="PIF24" s="1472"/>
      <c r="PIG24" s="1472"/>
      <c r="PIH24" s="1472"/>
      <c r="PII24" s="1472"/>
      <c r="PIJ24" s="1473"/>
      <c r="PIK24" s="1471"/>
      <c r="PIL24" s="1472"/>
      <c r="PIM24" s="1472"/>
      <c r="PIN24" s="1472"/>
      <c r="PIO24" s="1472"/>
      <c r="PIP24" s="1472"/>
      <c r="PIQ24" s="1472"/>
      <c r="PIR24" s="1472"/>
      <c r="PIS24" s="1472"/>
      <c r="PIT24" s="1472"/>
      <c r="PIU24" s="1472"/>
      <c r="PIV24" s="1472"/>
      <c r="PIW24" s="1472"/>
      <c r="PIX24" s="1473"/>
      <c r="PIY24" s="1471"/>
      <c r="PIZ24" s="1472"/>
      <c r="PJA24" s="1472"/>
      <c r="PJB24" s="1472"/>
      <c r="PJC24" s="1472"/>
      <c r="PJD24" s="1472"/>
      <c r="PJE24" s="1472"/>
      <c r="PJF24" s="1472"/>
      <c r="PJG24" s="1472"/>
      <c r="PJH24" s="1472"/>
      <c r="PJI24" s="1472"/>
      <c r="PJJ24" s="1472"/>
      <c r="PJK24" s="1472"/>
      <c r="PJL24" s="1473"/>
      <c r="PJM24" s="1471"/>
      <c r="PJN24" s="1472"/>
      <c r="PJO24" s="1472"/>
      <c r="PJP24" s="1472"/>
      <c r="PJQ24" s="1472"/>
      <c r="PJR24" s="1472"/>
      <c r="PJS24" s="1472"/>
      <c r="PJT24" s="1472"/>
      <c r="PJU24" s="1472"/>
      <c r="PJV24" s="1472"/>
      <c r="PJW24" s="1472"/>
      <c r="PJX24" s="1472"/>
      <c r="PJY24" s="1472"/>
      <c r="PJZ24" s="1473"/>
      <c r="PKA24" s="1471"/>
      <c r="PKB24" s="1472"/>
      <c r="PKC24" s="1472"/>
      <c r="PKD24" s="1472"/>
      <c r="PKE24" s="1472"/>
      <c r="PKF24" s="1472"/>
      <c r="PKG24" s="1472"/>
      <c r="PKH24" s="1472"/>
      <c r="PKI24" s="1472"/>
      <c r="PKJ24" s="1472"/>
      <c r="PKK24" s="1472"/>
      <c r="PKL24" s="1472"/>
      <c r="PKM24" s="1472"/>
      <c r="PKN24" s="1473"/>
      <c r="PKO24" s="1471"/>
      <c r="PKP24" s="1472"/>
      <c r="PKQ24" s="1472"/>
      <c r="PKR24" s="1472"/>
      <c r="PKS24" s="1472"/>
      <c r="PKT24" s="1472"/>
      <c r="PKU24" s="1472"/>
      <c r="PKV24" s="1472"/>
      <c r="PKW24" s="1472"/>
      <c r="PKX24" s="1472"/>
      <c r="PKY24" s="1472"/>
      <c r="PKZ24" s="1472"/>
      <c r="PLA24" s="1472"/>
      <c r="PLB24" s="1473"/>
      <c r="PLC24" s="1471"/>
      <c r="PLD24" s="1472"/>
      <c r="PLE24" s="1472"/>
      <c r="PLF24" s="1472"/>
      <c r="PLG24" s="1472"/>
      <c r="PLH24" s="1472"/>
      <c r="PLI24" s="1472"/>
      <c r="PLJ24" s="1472"/>
      <c r="PLK24" s="1472"/>
      <c r="PLL24" s="1472"/>
      <c r="PLM24" s="1472"/>
      <c r="PLN24" s="1472"/>
      <c r="PLO24" s="1472"/>
      <c r="PLP24" s="1473"/>
      <c r="PLQ24" s="1471"/>
      <c r="PLR24" s="1472"/>
      <c r="PLS24" s="1472"/>
      <c r="PLT24" s="1472"/>
      <c r="PLU24" s="1472"/>
      <c r="PLV24" s="1472"/>
      <c r="PLW24" s="1472"/>
      <c r="PLX24" s="1472"/>
      <c r="PLY24" s="1472"/>
      <c r="PLZ24" s="1472"/>
      <c r="PMA24" s="1472"/>
      <c r="PMB24" s="1472"/>
      <c r="PMC24" s="1472"/>
      <c r="PMD24" s="1473"/>
      <c r="PME24" s="1471"/>
      <c r="PMF24" s="1472"/>
      <c r="PMG24" s="1472"/>
      <c r="PMH24" s="1472"/>
      <c r="PMI24" s="1472"/>
      <c r="PMJ24" s="1472"/>
      <c r="PMK24" s="1472"/>
      <c r="PML24" s="1472"/>
      <c r="PMM24" s="1472"/>
      <c r="PMN24" s="1472"/>
      <c r="PMO24" s="1472"/>
      <c r="PMP24" s="1472"/>
      <c r="PMQ24" s="1472"/>
      <c r="PMR24" s="1473"/>
      <c r="PMS24" s="1471"/>
      <c r="PMT24" s="1472"/>
      <c r="PMU24" s="1472"/>
      <c r="PMV24" s="1472"/>
      <c r="PMW24" s="1472"/>
      <c r="PMX24" s="1472"/>
      <c r="PMY24" s="1472"/>
      <c r="PMZ24" s="1472"/>
      <c r="PNA24" s="1472"/>
      <c r="PNB24" s="1472"/>
      <c r="PNC24" s="1472"/>
      <c r="PND24" s="1472"/>
      <c r="PNE24" s="1472"/>
      <c r="PNF24" s="1473"/>
      <c r="PNG24" s="1471"/>
      <c r="PNH24" s="1472"/>
      <c r="PNI24" s="1472"/>
      <c r="PNJ24" s="1472"/>
      <c r="PNK24" s="1472"/>
      <c r="PNL24" s="1472"/>
      <c r="PNM24" s="1472"/>
      <c r="PNN24" s="1472"/>
      <c r="PNO24" s="1472"/>
      <c r="PNP24" s="1472"/>
      <c r="PNQ24" s="1472"/>
      <c r="PNR24" s="1472"/>
      <c r="PNS24" s="1472"/>
      <c r="PNT24" s="1473"/>
      <c r="PNU24" s="1471"/>
      <c r="PNV24" s="1472"/>
      <c r="PNW24" s="1472"/>
      <c r="PNX24" s="1472"/>
      <c r="PNY24" s="1472"/>
      <c r="PNZ24" s="1472"/>
      <c r="POA24" s="1472"/>
      <c r="POB24" s="1472"/>
      <c r="POC24" s="1472"/>
      <c r="POD24" s="1472"/>
      <c r="POE24" s="1472"/>
      <c r="POF24" s="1472"/>
      <c r="POG24" s="1472"/>
      <c r="POH24" s="1473"/>
      <c r="POI24" s="1471"/>
      <c r="POJ24" s="1472"/>
      <c r="POK24" s="1472"/>
      <c r="POL24" s="1472"/>
      <c r="POM24" s="1472"/>
      <c r="PON24" s="1472"/>
      <c r="POO24" s="1472"/>
      <c r="POP24" s="1472"/>
      <c r="POQ24" s="1472"/>
      <c r="POR24" s="1472"/>
      <c r="POS24" s="1472"/>
      <c r="POT24" s="1472"/>
      <c r="POU24" s="1472"/>
      <c r="POV24" s="1473"/>
      <c r="POW24" s="1471"/>
      <c r="POX24" s="1472"/>
      <c r="POY24" s="1472"/>
      <c r="POZ24" s="1472"/>
      <c r="PPA24" s="1472"/>
      <c r="PPB24" s="1472"/>
      <c r="PPC24" s="1472"/>
      <c r="PPD24" s="1472"/>
      <c r="PPE24" s="1472"/>
      <c r="PPF24" s="1472"/>
      <c r="PPG24" s="1472"/>
      <c r="PPH24" s="1472"/>
      <c r="PPI24" s="1472"/>
      <c r="PPJ24" s="1473"/>
      <c r="PPK24" s="1471"/>
      <c r="PPL24" s="1472"/>
      <c r="PPM24" s="1472"/>
      <c r="PPN24" s="1472"/>
      <c r="PPO24" s="1472"/>
      <c r="PPP24" s="1472"/>
      <c r="PPQ24" s="1472"/>
      <c r="PPR24" s="1472"/>
      <c r="PPS24" s="1472"/>
      <c r="PPT24" s="1472"/>
      <c r="PPU24" s="1472"/>
      <c r="PPV24" s="1472"/>
      <c r="PPW24" s="1472"/>
      <c r="PPX24" s="1473"/>
      <c r="PPY24" s="1471"/>
      <c r="PPZ24" s="1472"/>
      <c r="PQA24" s="1472"/>
      <c r="PQB24" s="1472"/>
      <c r="PQC24" s="1472"/>
      <c r="PQD24" s="1472"/>
      <c r="PQE24" s="1472"/>
      <c r="PQF24" s="1472"/>
      <c r="PQG24" s="1472"/>
      <c r="PQH24" s="1472"/>
      <c r="PQI24" s="1472"/>
      <c r="PQJ24" s="1472"/>
      <c r="PQK24" s="1472"/>
      <c r="PQL24" s="1473"/>
      <c r="PQM24" s="1471"/>
      <c r="PQN24" s="1472"/>
      <c r="PQO24" s="1472"/>
      <c r="PQP24" s="1472"/>
      <c r="PQQ24" s="1472"/>
      <c r="PQR24" s="1472"/>
      <c r="PQS24" s="1472"/>
      <c r="PQT24" s="1472"/>
      <c r="PQU24" s="1472"/>
      <c r="PQV24" s="1472"/>
      <c r="PQW24" s="1472"/>
      <c r="PQX24" s="1472"/>
      <c r="PQY24" s="1472"/>
      <c r="PQZ24" s="1473"/>
      <c r="PRA24" s="1471"/>
      <c r="PRB24" s="1472"/>
      <c r="PRC24" s="1472"/>
      <c r="PRD24" s="1472"/>
      <c r="PRE24" s="1472"/>
      <c r="PRF24" s="1472"/>
      <c r="PRG24" s="1472"/>
      <c r="PRH24" s="1472"/>
      <c r="PRI24" s="1472"/>
      <c r="PRJ24" s="1472"/>
      <c r="PRK24" s="1472"/>
      <c r="PRL24" s="1472"/>
      <c r="PRM24" s="1472"/>
      <c r="PRN24" s="1473"/>
      <c r="PRO24" s="1471"/>
      <c r="PRP24" s="1472"/>
      <c r="PRQ24" s="1472"/>
      <c r="PRR24" s="1472"/>
      <c r="PRS24" s="1472"/>
      <c r="PRT24" s="1472"/>
      <c r="PRU24" s="1472"/>
      <c r="PRV24" s="1472"/>
      <c r="PRW24" s="1472"/>
      <c r="PRX24" s="1472"/>
      <c r="PRY24" s="1472"/>
      <c r="PRZ24" s="1472"/>
      <c r="PSA24" s="1472"/>
      <c r="PSB24" s="1473"/>
      <c r="PSC24" s="1471"/>
      <c r="PSD24" s="1472"/>
      <c r="PSE24" s="1472"/>
      <c r="PSF24" s="1472"/>
      <c r="PSG24" s="1472"/>
      <c r="PSH24" s="1472"/>
      <c r="PSI24" s="1472"/>
      <c r="PSJ24" s="1472"/>
      <c r="PSK24" s="1472"/>
      <c r="PSL24" s="1472"/>
      <c r="PSM24" s="1472"/>
      <c r="PSN24" s="1472"/>
      <c r="PSO24" s="1472"/>
      <c r="PSP24" s="1473"/>
      <c r="PSQ24" s="1471"/>
      <c r="PSR24" s="1472"/>
      <c r="PSS24" s="1472"/>
      <c r="PST24" s="1472"/>
      <c r="PSU24" s="1472"/>
      <c r="PSV24" s="1472"/>
      <c r="PSW24" s="1472"/>
      <c r="PSX24" s="1472"/>
      <c r="PSY24" s="1472"/>
      <c r="PSZ24" s="1472"/>
      <c r="PTA24" s="1472"/>
      <c r="PTB24" s="1472"/>
      <c r="PTC24" s="1472"/>
      <c r="PTD24" s="1473"/>
      <c r="PTE24" s="1471"/>
      <c r="PTF24" s="1472"/>
      <c r="PTG24" s="1472"/>
      <c r="PTH24" s="1472"/>
      <c r="PTI24" s="1472"/>
      <c r="PTJ24" s="1472"/>
      <c r="PTK24" s="1472"/>
      <c r="PTL24" s="1472"/>
      <c r="PTM24" s="1472"/>
      <c r="PTN24" s="1472"/>
      <c r="PTO24" s="1472"/>
      <c r="PTP24" s="1472"/>
      <c r="PTQ24" s="1472"/>
      <c r="PTR24" s="1473"/>
      <c r="PTS24" s="1471"/>
      <c r="PTT24" s="1472"/>
      <c r="PTU24" s="1472"/>
      <c r="PTV24" s="1472"/>
      <c r="PTW24" s="1472"/>
      <c r="PTX24" s="1472"/>
      <c r="PTY24" s="1472"/>
      <c r="PTZ24" s="1472"/>
      <c r="PUA24" s="1472"/>
      <c r="PUB24" s="1472"/>
      <c r="PUC24" s="1472"/>
      <c r="PUD24" s="1472"/>
      <c r="PUE24" s="1472"/>
      <c r="PUF24" s="1473"/>
      <c r="PUG24" s="1471"/>
      <c r="PUH24" s="1472"/>
      <c r="PUI24" s="1472"/>
      <c r="PUJ24" s="1472"/>
      <c r="PUK24" s="1472"/>
      <c r="PUL24" s="1472"/>
      <c r="PUM24" s="1472"/>
      <c r="PUN24" s="1472"/>
      <c r="PUO24" s="1472"/>
      <c r="PUP24" s="1472"/>
      <c r="PUQ24" s="1472"/>
      <c r="PUR24" s="1472"/>
      <c r="PUS24" s="1472"/>
      <c r="PUT24" s="1473"/>
      <c r="PUU24" s="1471"/>
      <c r="PUV24" s="1472"/>
      <c r="PUW24" s="1472"/>
      <c r="PUX24" s="1472"/>
      <c r="PUY24" s="1472"/>
      <c r="PUZ24" s="1472"/>
      <c r="PVA24" s="1472"/>
      <c r="PVB24" s="1472"/>
      <c r="PVC24" s="1472"/>
      <c r="PVD24" s="1472"/>
      <c r="PVE24" s="1472"/>
      <c r="PVF24" s="1472"/>
      <c r="PVG24" s="1472"/>
      <c r="PVH24" s="1473"/>
      <c r="PVI24" s="1471"/>
      <c r="PVJ24" s="1472"/>
      <c r="PVK24" s="1472"/>
      <c r="PVL24" s="1472"/>
      <c r="PVM24" s="1472"/>
      <c r="PVN24" s="1472"/>
      <c r="PVO24" s="1472"/>
      <c r="PVP24" s="1472"/>
      <c r="PVQ24" s="1472"/>
      <c r="PVR24" s="1472"/>
      <c r="PVS24" s="1472"/>
      <c r="PVT24" s="1472"/>
      <c r="PVU24" s="1472"/>
      <c r="PVV24" s="1473"/>
      <c r="PVW24" s="1471"/>
      <c r="PVX24" s="1472"/>
      <c r="PVY24" s="1472"/>
      <c r="PVZ24" s="1472"/>
      <c r="PWA24" s="1472"/>
      <c r="PWB24" s="1472"/>
      <c r="PWC24" s="1472"/>
      <c r="PWD24" s="1472"/>
      <c r="PWE24" s="1472"/>
      <c r="PWF24" s="1472"/>
      <c r="PWG24" s="1472"/>
      <c r="PWH24" s="1472"/>
      <c r="PWI24" s="1472"/>
      <c r="PWJ24" s="1473"/>
      <c r="PWK24" s="1471"/>
      <c r="PWL24" s="1472"/>
      <c r="PWM24" s="1472"/>
      <c r="PWN24" s="1472"/>
      <c r="PWO24" s="1472"/>
      <c r="PWP24" s="1472"/>
      <c r="PWQ24" s="1472"/>
      <c r="PWR24" s="1472"/>
      <c r="PWS24" s="1472"/>
      <c r="PWT24" s="1472"/>
      <c r="PWU24" s="1472"/>
      <c r="PWV24" s="1472"/>
      <c r="PWW24" s="1472"/>
      <c r="PWX24" s="1473"/>
      <c r="PWY24" s="1471"/>
      <c r="PWZ24" s="1472"/>
      <c r="PXA24" s="1472"/>
      <c r="PXB24" s="1472"/>
      <c r="PXC24" s="1472"/>
      <c r="PXD24" s="1472"/>
      <c r="PXE24" s="1472"/>
      <c r="PXF24" s="1472"/>
      <c r="PXG24" s="1472"/>
      <c r="PXH24" s="1472"/>
      <c r="PXI24" s="1472"/>
      <c r="PXJ24" s="1472"/>
      <c r="PXK24" s="1472"/>
      <c r="PXL24" s="1473"/>
      <c r="PXM24" s="1471"/>
      <c r="PXN24" s="1472"/>
      <c r="PXO24" s="1472"/>
      <c r="PXP24" s="1472"/>
      <c r="PXQ24" s="1472"/>
      <c r="PXR24" s="1472"/>
      <c r="PXS24" s="1472"/>
      <c r="PXT24" s="1472"/>
      <c r="PXU24" s="1472"/>
      <c r="PXV24" s="1472"/>
      <c r="PXW24" s="1472"/>
      <c r="PXX24" s="1472"/>
      <c r="PXY24" s="1472"/>
      <c r="PXZ24" s="1473"/>
      <c r="PYA24" s="1471"/>
      <c r="PYB24" s="1472"/>
      <c r="PYC24" s="1472"/>
      <c r="PYD24" s="1472"/>
      <c r="PYE24" s="1472"/>
      <c r="PYF24" s="1472"/>
      <c r="PYG24" s="1472"/>
      <c r="PYH24" s="1472"/>
      <c r="PYI24" s="1472"/>
      <c r="PYJ24" s="1472"/>
      <c r="PYK24" s="1472"/>
      <c r="PYL24" s="1472"/>
      <c r="PYM24" s="1472"/>
      <c r="PYN24" s="1473"/>
      <c r="PYO24" s="1471"/>
      <c r="PYP24" s="1472"/>
      <c r="PYQ24" s="1472"/>
      <c r="PYR24" s="1472"/>
      <c r="PYS24" s="1472"/>
      <c r="PYT24" s="1472"/>
      <c r="PYU24" s="1472"/>
      <c r="PYV24" s="1472"/>
      <c r="PYW24" s="1472"/>
      <c r="PYX24" s="1472"/>
      <c r="PYY24" s="1472"/>
      <c r="PYZ24" s="1472"/>
      <c r="PZA24" s="1472"/>
      <c r="PZB24" s="1473"/>
      <c r="PZC24" s="1471"/>
      <c r="PZD24" s="1472"/>
      <c r="PZE24" s="1472"/>
      <c r="PZF24" s="1472"/>
      <c r="PZG24" s="1472"/>
      <c r="PZH24" s="1472"/>
      <c r="PZI24" s="1472"/>
      <c r="PZJ24" s="1472"/>
      <c r="PZK24" s="1472"/>
      <c r="PZL24" s="1472"/>
      <c r="PZM24" s="1472"/>
      <c r="PZN24" s="1472"/>
      <c r="PZO24" s="1472"/>
      <c r="PZP24" s="1473"/>
      <c r="PZQ24" s="1471"/>
      <c r="PZR24" s="1472"/>
      <c r="PZS24" s="1472"/>
      <c r="PZT24" s="1472"/>
      <c r="PZU24" s="1472"/>
      <c r="PZV24" s="1472"/>
      <c r="PZW24" s="1472"/>
      <c r="PZX24" s="1472"/>
      <c r="PZY24" s="1472"/>
      <c r="PZZ24" s="1472"/>
      <c r="QAA24" s="1472"/>
      <c r="QAB24" s="1472"/>
      <c r="QAC24" s="1472"/>
      <c r="QAD24" s="1473"/>
      <c r="QAE24" s="1471"/>
      <c r="QAF24" s="1472"/>
      <c r="QAG24" s="1472"/>
      <c r="QAH24" s="1472"/>
      <c r="QAI24" s="1472"/>
      <c r="QAJ24" s="1472"/>
      <c r="QAK24" s="1472"/>
      <c r="QAL24" s="1472"/>
      <c r="QAM24" s="1472"/>
      <c r="QAN24" s="1472"/>
      <c r="QAO24" s="1472"/>
      <c r="QAP24" s="1472"/>
      <c r="QAQ24" s="1472"/>
      <c r="QAR24" s="1473"/>
      <c r="QAS24" s="1471"/>
      <c r="QAT24" s="1472"/>
      <c r="QAU24" s="1472"/>
      <c r="QAV24" s="1472"/>
      <c r="QAW24" s="1472"/>
      <c r="QAX24" s="1472"/>
      <c r="QAY24" s="1472"/>
      <c r="QAZ24" s="1472"/>
      <c r="QBA24" s="1472"/>
      <c r="QBB24" s="1472"/>
      <c r="QBC24" s="1472"/>
      <c r="QBD24" s="1472"/>
      <c r="QBE24" s="1472"/>
      <c r="QBF24" s="1473"/>
      <c r="QBG24" s="1471"/>
      <c r="QBH24" s="1472"/>
      <c r="QBI24" s="1472"/>
      <c r="QBJ24" s="1472"/>
      <c r="QBK24" s="1472"/>
      <c r="QBL24" s="1472"/>
      <c r="QBM24" s="1472"/>
      <c r="QBN24" s="1472"/>
      <c r="QBO24" s="1472"/>
      <c r="QBP24" s="1472"/>
      <c r="QBQ24" s="1472"/>
      <c r="QBR24" s="1472"/>
      <c r="QBS24" s="1472"/>
      <c r="QBT24" s="1473"/>
      <c r="QBU24" s="1471"/>
      <c r="QBV24" s="1472"/>
      <c r="QBW24" s="1472"/>
      <c r="QBX24" s="1472"/>
      <c r="QBY24" s="1472"/>
      <c r="QBZ24" s="1472"/>
      <c r="QCA24" s="1472"/>
      <c r="QCB24" s="1472"/>
      <c r="QCC24" s="1472"/>
      <c r="QCD24" s="1472"/>
      <c r="QCE24" s="1472"/>
      <c r="QCF24" s="1472"/>
      <c r="QCG24" s="1472"/>
      <c r="QCH24" s="1473"/>
      <c r="QCI24" s="1471"/>
      <c r="QCJ24" s="1472"/>
      <c r="QCK24" s="1472"/>
      <c r="QCL24" s="1472"/>
      <c r="QCM24" s="1472"/>
      <c r="QCN24" s="1472"/>
      <c r="QCO24" s="1472"/>
      <c r="QCP24" s="1472"/>
      <c r="QCQ24" s="1472"/>
      <c r="QCR24" s="1472"/>
      <c r="QCS24" s="1472"/>
      <c r="QCT24" s="1472"/>
      <c r="QCU24" s="1472"/>
      <c r="QCV24" s="1473"/>
      <c r="QCW24" s="1471"/>
      <c r="QCX24" s="1472"/>
      <c r="QCY24" s="1472"/>
      <c r="QCZ24" s="1472"/>
      <c r="QDA24" s="1472"/>
      <c r="QDB24" s="1472"/>
      <c r="QDC24" s="1472"/>
      <c r="QDD24" s="1472"/>
      <c r="QDE24" s="1472"/>
      <c r="QDF24" s="1472"/>
      <c r="QDG24" s="1472"/>
      <c r="QDH24" s="1472"/>
      <c r="QDI24" s="1472"/>
      <c r="QDJ24" s="1473"/>
      <c r="QDK24" s="1471"/>
      <c r="QDL24" s="1472"/>
      <c r="QDM24" s="1472"/>
      <c r="QDN24" s="1472"/>
      <c r="QDO24" s="1472"/>
      <c r="QDP24" s="1472"/>
      <c r="QDQ24" s="1472"/>
      <c r="QDR24" s="1472"/>
      <c r="QDS24" s="1472"/>
      <c r="QDT24" s="1472"/>
      <c r="QDU24" s="1472"/>
      <c r="QDV24" s="1472"/>
      <c r="QDW24" s="1472"/>
      <c r="QDX24" s="1473"/>
      <c r="QDY24" s="1471"/>
      <c r="QDZ24" s="1472"/>
      <c r="QEA24" s="1472"/>
      <c r="QEB24" s="1472"/>
      <c r="QEC24" s="1472"/>
      <c r="QED24" s="1472"/>
      <c r="QEE24" s="1472"/>
      <c r="QEF24" s="1472"/>
      <c r="QEG24" s="1472"/>
      <c r="QEH24" s="1472"/>
      <c r="QEI24" s="1472"/>
      <c r="QEJ24" s="1472"/>
      <c r="QEK24" s="1472"/>
      <c r="QEL24" s="1473"/>
      <c r="QEM24" s="1471"/>
      <c r="QEN24" s="1472"/>
      <c r="QEO24" s="1472"/>
      <c r="QEP24" s="1472"/>
      <c r="QEQ24" s="1472"/>
      <c r="QER24" s="1472"/>
      <c r="QES24" s="1472"/>
      <c r="QET24" s="1472"/>
      <c r="QEU24" s="1472"/>
      <c r="QEV24" s="1472"/>
      <c r="QEW24" s="1472"/>
      <c r="QEX24" s="1472"/>
      <c r="QEY24" s="1472"/>
      <c r="QEZ24" s="1473"/>
      <c r="QFA24" s="1471"/>
      <c r="QFB24" s="1472"/>
      <c r="QFC24" s="1472"/>
      <c r="QFD24" s="1472"/>
      <c r="QFE24" s="1472"/>
      <c r="QFF24" s="1472"/>
      <c r="QFG24" s="1472"/>
      <c r="QFH24" s="1472"/>
      <c r="QFI24" s="1472"/>
      <c r="QFJ24" s="1472"/>
      <c r="QFK24" s="1472"/>
      <c r="QFL24" s="1472"/>
      <c r="QFM24" s="1472"/>
      <c r="QFN24" s="1473"/>
      <c r="QFO24" s="1471"/>
      <c r="QFP24" s="1472"/>
      <c r="QFQ24" s="1472"/>
      <c r="QFR24" s="1472"/>
      <c r="QFS24" s="1472"/>
      <c r="QFT24" s="1472"/>
      <c r="QFU24" s="1472"/>
      <c r="QFV24" s="1472"/>
      <c r="QFW24" s="1472"/>
      <c r="QFX24" s="1472"/>
      <c r="QFY24" s="1472"/>
      <c r="QFZ24" s="1472"/>
      <c r="QGA24" s="1472"/>
      <c r="QGB24" s="1473"/>
      <c r="QGC24" s="1471"/>
      <c r="QGD24" s="1472"/>
      <c r="QGE24" s="1472"/>
      <c r="QGF24" s="1472"/>
      <c r="QGG24" s="1472"/>
      <c r="QGH24" s="1472"/>
      <c r="QGI24" s="1472"/>
      <c r="QGJ24" s="1472"/>
      <c r="QGK24" s="1472"/>
      <c r="QGL24" s="1472"/>
      <c r="QGM24" s="1472"/>
      <c r="QGN24" s="1472"/>
      <c r="QGO24" s="1472"/>
      <c r="QGP24" s="1473"/>
      <c r="QGQ24" s="1471"/>
      <c r="QGR24" s="1472"/>
      <c r="QGS24" s="1472"/>
      <c r="QGT24" s="1472"/>
      <c r="QGU24" s="1472"/>
      <c r="QGV24" s="1472"/>
      <c r="QGW24" s="1472"/>
      <c r="QGX24" s="1472"/>
      <c r="QGY24" s="1472"/>
      <c r="QGZ24" s="1472"/>
      <c r="QHA24" s="1472"/>
      <c r="QHB24" s="1472"/>
      <c r="QHC24" s="1472"/>
      <c r="QHD24" s="1473"/>
      <c r="QHE24" s="1471"/>
      <c r="QHF24" s="1472"/>
      <c r="QHG24" s="1472"/>
      <c r="QHH24" s="1472"/>
      <c r="QHI24" s="1472"/>
      <c r="QHJ24" s="1472"/>
      <c r="QHK24" s="1472"/>
      <c r="QHL24" s="1472"/>
      <c r="QHM24" s="1472"/>
      <c r="QHN24" s="1472"/>
      <c r="QHO24" s="1472"/>
      <c r="QHP24" s="1472"/>
      <c r="QHQ24" s="1472"/>
      <c r="QHR24" s="1473"/>
      <c r="QHS24" s="1471"/>
      <c r="QHT24" s="1472"/>
      <c r="QHU24" s="1472"/>
      <c r="QHV24" s="1472"/>
      <c r="QHW24" s="1472"/>
      <c r="QHX24" s="1472"/>
      <c r="QHY24" s="1472"/>
      <c r="QHZ24" s="1472"/>
      <c r="QIA24" s="1472"/>
      <c r="QIB24" s="1472"/>
      <c r="QIC24" s="1472"/>
      <c r="QID24" s="1472"/>
      <c r="QIE24" s="1472"/>
      <c r="QIF24" s="1473"/>
      <c r="QIG24" s="1471"/>
      <c r="QIH24" s="1472"/>
      <c r="QII24" s="1472"/>
      <c r="QIJ24" s="1472"/>
      <c r="QIK24" s="1472"/>
      <c r="QIL24" s="1472"/>
      <c r="QIM24" s="1472"/>
      <c r="QIN24" s="1472"/>
      <c r="QIO24" s="1472"/>
      <c r="QIP24" s="1472"/>
      <c r="QIQ24" s="1472"/>
      <c r="QIR24" s="1472"/>
      <c r="QIS24" s="1472"/>
      <c r="QIT24" s="1473"/>
      <c r="QIU24" s="1471"/>
      <c r="QIV24" s="1472"/>
      <c r="QIW24" s="1472"/>
      <c r="QIX24" s="1472"/>
      <c r="QIY24" s="1472"/>
      <c r="QIZ24" s="1472"/>
      <c r="QJA24" s="1472"/>
      <c r="QJB24" s="1472"/>
      <c r="QJC24" s="1472"/>
      <c r="QJD24" s="1472"/>
      <c r="QJE24" s="1472"/>
      <c r="QJF24" s="1472"/>
      <c r="QJG24" s="1472"/>
      <c r="QJH24" s="1473"/>
      <c r="QJI24" s="1471"/>
      <c r="QJJ24" s="1472"/>
      <c r="QJK24" s="1472"/>
      <c r="QJL24" s="1472"/>
      <c r="QJM24" s="1472"/>
      <c r="QJN24" s="1472"/>
      <c r="QJO24" s="1472"/>
      <c r="QJP24" s="1472"/>
      <c r="QJQ24" s="1472"/>
      <c r="QJR24" s="1472"/>
      <c r="QJS24" s="1472"/>
      <c r="QJT24" s="1472"/>
      <c r="QJU24" s="1472"/>
      <c r="QJV24" s="1473"/>
      <c r="QJW24" s="1471"/>
      <c r="QJX24" s="1472"/>
      <c r="QJY24" s="1472"/>
      <c r="QJZ24" s="1472"/>
      <c r="QKA24" s="1472"/>
      <c r="QKB24" s="1472"/>
      <c r="QKC24" s="1472"/>
      <c r="QKD24" s="1472"/>
      <c r="QKE24" s="1472"/>
      <c r="QKF24" s="1472"/>
      <c r="QKG24" s="1472"/>
      <c r="QKH24" s="1472"/>
      <c r="QKI24" s="1472"/>
      <c r="QKJ24" s="1473"/>
      <c r="QKK24" s="1471"/>
      <c r="QKL24" s="1472"/>
      <c r="QKM24" s="1472"/>
      <c r="QKN24" s="1472"/>
      <c r="QKO24" s="1472"/>
      <c r="QKP24" s="1472"/>
      <c r="QKQ24" s="1472"/>
      <c r="QKR24" s="1472"/>
      <c r="QKS24" s="1472"/>
      <c r="QKT24" s="1472"/>
      <c r="QKU24" s="1472"/>
      <c r="QKV24" s="1472"/>
      <c r="QKW24" s="1472"/>
      <c r="QKX24" s="1473"/>
      <c r="QKY24" s="1471"/>
      <c r="QKZ24" s="1472"/>
      <c r="QLA24" s="1472"/>
      <c r="QLB24" s="1472"/>
      <c r="QLC24" s="1472"/>
      <c r="QLD24" s="1472"/>
      <c r="QLE24" s="1472"/>
      <c r="QLF24" s="1472"/>
      <c r="QLG24" s="1472"/>
      <c r="QLH24" s="1472"/>
      <c r="QLI24" s="1472"/>
      <c r="QLJ24" s="1472"/>
      <c r="QLK24" s="1472"/>
      <c r="QLL24" s="1473"/>
      <c r="QLM24" s="1471"/>
      <c r="QLN24" s="1472"/>
      <c r="QLO24" s="1472"/>
      <c r="QLP24" s="1472"/>
      <c r="QLQ24" s="1472"/>
      <c r="QLR24" s="1472"/>
      <c r="QLS24" s="1472"/>
      <c r="QLT24" s="1472"/>
      <c r="QLU24" s="1472"/>
      <c r="QLV24" s="1472"/>
      <c r="QLW24" s="1472"/>
      <c r="QLX24" s="1472"/>
      <c r="QLY24" s="1472"/>
      <c r="QLZ24" s="1473"/>
      <c r="QMA24" s="1471"/>
      <c r="QMB24" s="1472"/>
      <c r="QMC24" s="1472"/>
      <c r="QMD24" s="1472"/>
      <c r="QME24" s="1472"/>
      <c r="QMF24" s="1472"/>
      <c r="QMG24" s="1472"/>
      <c r="QMH24" s="1472"/>
      <c r="QMI24" s="1472"/>
      <c r="QMJ24" s="1472"/>
      <c r="QMK24" s="1472"/>
      <c r="QML24" s="1472"/>
      <c r="QMM24" s="1472"/>
      <c r="QMN24" s="1473"/>
      <c r="QMO24" s="1471"/>
      <c r="QMP24" s="1472"/>
      <c r="QMQ24" s="1472"/>
      <c r="QMR24" s="1472"/>
      <c r="QMS24" s="1472"/>
      <c r="QMT24" s="1472"/>
      <c r="QMU24" s="1472"/>
      <c r="QMV24" s="1472"/>
      <c r="QMW24" s="1472"/>
      <c r="QMX24" s="1472"/>
      <c r="QMY24" s="1472"/>
      <c r="QMZ24" s="1472"/>
      <c r="QNA24" s="1472"/>
      <c r="QNB24" s="1473"/>
      <c r="QNC24" s="1471"/>
      <c r="QND24" s="1472"/>
      <c r="QNE24" s="1472"/>
      <c r="QNF24" s="1472"/>
      <c r="QNG24" s="1472"/>
      <c r="QNH24" s="1472"/>
      <c r="QNI24" s="1472"/>
      <c r="QNJ24" s="1472"/>
      <c r="QNK24" s="1472"/>
      <c r="QNL24" s="1472"/>
      <c r="QNM24" s="1472"/>
      <c r="QNN24" s="1472"/>
      <c r="QNO24" s="1472"/>
      <c r="QNP24" s="1473"/>
      <c r="QNQ24" s="1471"/>
      <c r="QNR24" s="1472"/>
      <c r="QNS24" s="1472"/>
      <c r="QNT24" s="1472"/>
      <c r="QNU24" s="1472"/>
      <c r="QNV24" s="1472"/>
      <c r="QNW24" s="1472"/>
      <c r="QNX24" s="1472"/>
      <c r="QNY24" s="1472"/>
      <c r="QNZ24" s="1472"/>
      <c r="QOA24" s="1472"/>
      <c r="QOB24" s="1472"/>
      <c r="QOC24" s="1472"/>
      <c r="QOD24" s="1473"/>
      <c r="QOE24" s="1471"/>
      <c r="QOF24" s="1472"/>
      <c r="QOG24" s="1472"/>
      <c r="QOH24" s="1472"/>
      <c r="QOI24" s="1472"/>
      <c r="QOJ24" s="1472"/>
      <c r="QOK24" s="1472"/>
      <c r="QOL24" s="1472"/>
      <c r="QOM24" s="1472"/>
      <c r="QON24" s="1472"/>
      <c r="QOO24" s="1472"/>
      <c r="QOP24" s="1472"/>
      <c r="QOQ24" s="1472"/>
      <c r="QOR24" s="1473"/>
      <c r="QOS24" s="1471"/>
      <c r="QOT24" s="1472"/>
      <c r="QOU24" s="1472"/>
      <c r="QOV24" s="1472"/>
      <c r="QOW24" s="1472"/>
      <c r="QOX24" s="1472"/>
      <c r="QOY24" s="1472"/>
      <c r="QOZ24" s="1472"/>
      <c r="QPA24" s="1472"/>
      <c r="QPB24" s="1472"/>
      <c r="QPC24" s="1472"/>
      <c r="QPD24" s="1472"/>
      <c r="QPE24" s="1472"/>
      <c r="QPF24" s="1473"/>
      <c r="QPG24" s="1471"/>
      <c r="QPH24" s="1472"/>
      <c r="QPI24" s="1472"/>
      <c r="QPJ24" s="1472"/>
      <c r="QPK24" s="1472"/>
      <c r="QPL24" s="1472"/>
      <c r="QPM24" s="1472"/>
      <c r="QPN24" s="1472"/>
      <c r="QPO24" s="1472"/>
      <c r="QPP24" s="1472"/>
      <c r="QPQ24" s="1472"/>
      <c r="QPR24" s="1472"/>
      <c r="QPS24" s="1472"/>
      <c r="QPT24" s="1473"/>
      <c r="QPU24" s="1471"/>
      <c r="QPV24" s="1472"/>
      <c r="QPW24" s="1472"/>
      <c r="QPX24" s="1472"/>
      <c r="QPY24" s="1472"/>
      <c r="QPZ24" s="1472"/>
      <c r="QQA24" s="1472"/>
      <c r="QQB24" s="1472"/>
      <c r="QQC24" s="1472"/>
      <c r="QQD24" s="1472"/>
      <c r="QQE24" s="1472"/>
      <c r="QQF24" s="1472"/>
      <c r="QQG24" s="1472"/>
      <c r="QQH24" s="1473"/>
      <c r="QQI24" s="1471"/>
      <c r="QQJ24" s="1472"/>
      <c r="QQK24" s="1472"/>
      <c r="QQL24" s="1472"/>
      <c r="QQM24" s="1472"/>
      <c r="QQN24" s="1472"/>
      <c r="QQO24" s="1472"/>
      <c r="QQP24" s="1472"/>
      <c r="QQQ24" s="1472"/>
      <c r="QQR24" s="1472"/>
      <c r="QQS24" s="1472"/>
      <c r="QQT24" s="1472"/>
      <c r="QQU24" s="1472"/>
      <c r="QQV24" s="1473"/>
      <c r="QQW24" s="1471"/>
      <c r="QQX24" s="1472"/>
      <c r="QQY24" s="1472"/>
      <c r="QQZ24" s="1472"/>
      <c r="QRA24" s="1472"/>
      <c r="QRB24" s="1472"/>
      <c r="QRC24" s="1472"/>
      <c r="QRD24" s="1472"/>
      <c r="QRE24" s="1472"/>
      <c r="QRF24" s="1472"/>
      <c r="QRG24" s="1472"/>
      <c r="QRH24" s="1472"/>
      <c r="QRI24" s="1472"/>
      <c r="QRJ24" s="1473"/>
      <c r="QRK24" s="1471"/>
      <c r="QRL24" s="1472"/>
      <c r="QRM24" s="1472"/>
      <c r="QRN24" s="1472"/>
      <c r="QRO24" s="1472"/>
      <c r="QRP24" s="1472"/>
      <c r="QRQ24" s="1472"/>
      <c r="QRR24" s="1472"/>
      <c r="QRS24" s="1472"/>
      <c r="QRT24" s="1472"/>
      <c r="QRU24" s="1472"/>
      <c r="QRV24" s="1472"/>
      <c r="QRW24" s="1472"/>
      <c r="QRX24" s="1473"/>
      <c r="QRY24" s="1471"/>
      <c r="QRZ24" s="1472"/>
      <c r="QSA24" s="1472"/>
      <c r="QSB24" s="1472"/>
      <c r="QSC24" s="1472"/>
      <c r="QSD24" s="1472"/>
      <c r="QSE24" s="1472"/>
      <c r="QSF24" s="1472"/>
      <c r="QSG24" s="1472"/>
      <c r="QSH24" s="1472"/>
      <c r="QSI24" s="1472"/>
      <c r="QSJ24" s="1472"/>
      <c r="QSK24" s="1472"/>
      <c r="QSL24" s="1473"/>
      <c r="QSM24" s="1471"/>
      <c r="QSN24" s="1472"/>
      <c r="QSO24" s="1472"/>
      <c r="QSP24" s="1472"/>
      <c r="QSQ24" s="1472"/>
      <c r="QSR24" s="1472"/>
      <c r="QSS24" s="1472"/>
      <c r="QST24" s="1472"/>
      <c r="QSU24" s="1472"/>
      <c r="QSV24" s="1472"/>
      <c r="QSW24" s="1472"/>
      <c r="QSX24" s="1472"/>
      <c r="QSY24" s="1472"/>
      <c r="QSZ24" s="1473"/>
      <c r="QTA24" s="1471"/>
      <c r="QTB24" s="1472"/>
      <c r="QTC24" s="1472"/>
      <c r="QTD24" s="1472"/>
      <c r="QTE24" s="1472"/>
      <c r="QTF24" s="1472"/>
      <c r="QTG24" s="1472"/>
      <c r="QTH24" s="1472"/>
      <c r="QTI24" s="1472"/>
      <c r="QTJ24" s="1472"/>
      <c r="QTK24" s="1472"/>
      <c r="QTL24" s="1472"/>
      <c r="QTM24" s="1472"/>
      <c r="QTN24" s="1473"/>
      <c r="QTO24" s="1471"/>
      <c r="QTP24" s="1472"/>
      <c r="QTQ24" s="1472"/>
      <c r="QTR24" s="1472"/>
      <c r="QTS24" s="1472"/>
      <c r="QTT24" s="1472"/>
      <c r="QTU24" s="1472"/>
      <c r="QTV24" s="1472"/>
      <c r="QTW24" s="1472"/>
      <c r="QTX24" s="1472"/>
      <c r="QTY24" s="1472"/>
      <c r="QTZ24" s="1472"/>
      <c r="QUA24" s="1472"/>
      <c r="QUB24" s="1473"/>
      <c r="QUC24" s="1471"/>
      <c r="QUD24" s="1472"/>
      <c r="QUE24" s="1472"/>
      <c r="QUF24" s="1472"/>
      <c r="QUG24" s="1472"/>
      <c r="QUH24" s="1472"/>
      <c r="QUI24" s="1472"/>
      <c r="QUJ24" s="1472"/>
      <c r="QUK24" s="1472"/>
      <c r="QUL24" s="1472"/>
      <c r="QUM24" s="1472"/>
      <c r="QUN24" s="1472"/>
      <c r="QUO24" s="1472"/>
      <c r="QUP24" s="1473"/>
      <c r="QUQ24" s="1471"/>
      <c r="QUR24" s="1472"/>
      <c r="QUS24" s="1472"/>
      <c r="QUT24" s="1472"/>
      <c r="QUU24" s="1472"/>
      <c r="QUV24" s="1472"/>
      <c r="QUW24" s="1472"/>
      <c r="QUX24" s="1472"/>
      <c r="QUY24" s="1472"/>
      <c r="QUZ24" s="1472"/>
      <c r="QVA24" s="1472"/>
      <c r="QVB24" s="1472"/>
      <c r="QVC24" s="1472"/>
      <c r="QVD24" s="1473"/>
      <c r="QVE24" s="1471"/>
      <c r="QVF24" s="1472"/>
      <c r="QVG24" s="1472"/>
      <c r="QVH24" s="1472"/>
      <c r="QVI24" s="1472"/>
      <c r="QVJ24" s="1472"/>
      <c r="QVK24" s="1472"/>
      <c r="QVL24" s="1472"/>
      <c r="QVM24" s="1472"/>
      <c r="QVN24" s="1472"/>
      <c r="QVO24" s="1472"/>
      <c r="QVP24" s="1472"/>
      <c r="QVQ24" s="1472"/>
      <c r="QVR24" s="1473"/>
      <c r="QVS24" s="1471"/>
      <c r="QVT24" s="1472"/>
      <c r="QVU24" s="1472"/>
      <c r="QVV24" s="1472"/>
      <c r="QVW24" s="1472"/>
      <c r="QVX24" s="1472"/>
      <c r="QVY24" s="1472"/>
      <c r="QVZ24" s="1472"/>
      <c r="QWA24" s="1472"/>
      <c r="QWB24" s="1472"/>
      <c r="QWC24" s="1472"/>
      <c r="QWD24" s="1472"/>
      <c r="QWE24" s="1472"/>
      <c r="QWF24" s="1473"/>
      <c r="QWG24" s="1471"/>
      <c r="QWH24" s="1472"/>
      <c r="QWI24" s="1472"/>
      <c r="QWJ24" s="1472"/>
      <c r="QWK24" s="1472"/>
      <c r="QWL24" s="1472"/>
      <c r="QWM24" s="1472"/>
      <c r="QWN24" s="1472"/>
      <c r="QWO24" s="1472"/>
      <c r="QWP24" s="1472"/>
      <c r="QWQ24" s="1472"/>
      <c r="QWR24" s="1472"/>
      <c r="QWS24" s="1472"/>
      <c r="QWT24" s="1473"/>
      <c r="QWU24" s="1471"/>
      <c r="QWV24" s="1472"/>
      <c r="QWW24" s="1472"/>
      <c r="QWX24" s="1472"/>
      <c r="QWY24" s="1472"/>
      <c r="QWZ24" s="1472"/>
      <c r="QXA24" s="1472"/>
      <c r="QXB24" s="1472"/>
      <c r="QXC24" s="1472"/>
      <c r="QXD24" s="1472"/>
      <c r="QXE24" s="1472"/>
      <c r="QXF24" s="1472"/>
      <c r="QXG24" s="1472"/>
      <c r="QXH24" s="1473"/>
      <c r="QXI24" s="1471"/>
      <c r="QXJ24" s="1472"/>
      <c r="QXK24" s="1472"/>
      <c r="QXL24" s="1472"/>
      <c r="QXM24" s="1472"/>
      <c r="QXN24" s="1472"/>
      <c r="QXO24" s="1472"/>
      <c r="QXP24" s="1472"/>
      <c r="QXQ24" s="1472"/>
      <c r="QXR24" s="1472"/>
      <c r="QXS24" s="1472"/>
      <c r="QXT24" s="1472"/>
      <c r="QXU24" s="1472"/>
      <c r="QXV24" s="1473"/>
      <c r="QXW24" s="1471"/>
      <c r="QXX24" s="1472"/>
      <c r="QXY24" s="1472"/>
      <c r="QXZ24" s="1472"/>
      <c r="QYA24" s="1472"/>
      <c r="QYB24" s="1472"/>
      <c r="QYC24" s="1472"/>
      <c r="QYD24" s="1472"/>
      <c r="QYE24" s="1472"/>
      <c r="QYF24" s="1472"/>
      <c r="QYG24" s="1472"/>
      <c r="QYH24" s="1472"/>
      <c r="QYI24" s="1472"/>
      <c r="QYJ24" s="1473"/>
      <c r="QYK24" s="1471"/>
      <c r="QYL24" s="1472"/>
      <c r="QYM24" s="1472"/>
      <c r="QYN24" s="1472"/>
      <c r="QYO24" s="1472"/>
      <c r="QYP24" s="1472"/>
      <c r="QYQ24" s="1472"/>
      <c r="QYR24" s="1472"/>
      <c r="QYS24" s="1472"/>
      <c r="QYT24" s="1472"/>
      <c r="QYU24" s="1472"/>
      <c r="QYV24" s="1472"/>
      <c r="QYW24" s="1472"/>
      <c r="QYX24" s="1473"/>
      <c r="QYY24" s="1471"/>
      <c r="QYZ24" s="1472"/>
      <c r="QZA24" s="1472"/>
      <c r="QZB24" s="1472"/>
      <c r="QZC24" s="1472"/>
      <c r="QZD24" s="1472"/>
      <c r="QZE24" s="1472"/>
      <c r="QZF24" s="1472"/>
      <c r="QZG24" s="1472"/>
      <c r="QZH24" s="1472"/>
      <c r="QZI24" s="1472"/>
      <c r="QZJ24" s="1472"/>
      <c r="QZK24" s="1472"/>
      <c r="QZL24" s="1473"/>
      <c r="QZM24" s="1471"/>
      <c r="QZN24" s="1472"/>
      <c r="QZO24" s="1472"/>
      <c r="QZP24" s="1472"/>
      <c r="QZQ24" s="1472"/>
      <c r="QZR24" s="1472"/>
      <c r="QZS24" s="1472"/>
      <c r="QZT24" s="1472"/>
      <c r="QZU24" s="1472"/>
      <c r="QZV24" s="1472"/>
      <c r="QZW24" s="1472"/>
      <c r="QZX24" s="1472"/>
      <c r="QZY24" s="1472"/>
      <c r="QZZ24" s="1473"/>
      <c r="RAA24" s="1471"/>
      <c r="RAB24" s="1472"/>
      <c r="RAC24" s="1472"/>
      <c r="RAD24" s="1472"/>
      <c r="RAE24" s="1472"/>
      <c r="RAF24" s="1472"/>
      <c r="RAG24" s="1472"/>
      <c r="RAH24" s="1472"/>
      <c r="RAI24" s="1472"/>
      <c r="RAJ24" s="1472"/>
      <c r="RAK24" s="1472"/>
      <c r="RAL24" s="1472"/>
      <c r="RAM24" s="1472"/>
      <c r="RAN24" s="1473"/>
      <c r="RAO24" s="1471"/>
      <c r="RAP24" s="1472"/>
      <c r="RAQ24" s="1472"/>
      <c r="RAR24" s="1472"/>
      <c r="RAS24" s="1472"/>
      <c r="RAT24" s="1472"/>
      <c r="RAU24" s="1472"/>
      <c r="RAV24" s="1472"/>
      <c r="RAW24" s="1472"/>
      <c r="RAX24" s="1472"/>
      <c r="RAY24" s="1472"/>
      <c r="RAZ24" s="1472"/>
      <c r="RBA24" s="1472"/>
      <c r="RBB24" s="1473"/>
      <c r="RBC24" s="1471"/>
      <c r="RBD24" s="1472"/>
      <c r="RBE24" s="1472"/>
      <c r="RBF24" s="1472"/>
      <c r="RBG24" s="1472"/>
      <c r="RBH24" s="1472"/>
      <c r="RBI24" s="1472"/>
      <c r="RBJ24" s="1472"/>
      <c r="RBK24" s="1472"/>
      <c r="RBL24" s="1472"/>
      <c r="RBM24" s="1472"/>
      <c r="RBN24" s="1472"/>
      <c r="RBO24" s="1472"/>
      <c r="RBP24" s="1473"/>
      <c r="RBQ24" s="1471"/>
      <c r="RBR24" s="1472"/>
      <c r="RBS24" s="1472"/>
      <c r="RBT24" s="1472"/>
      <c r="RBU24" s="1472"/>
      <c r="RBV24" s="1472"/>
      <c r="RBW24" s="1472"/>
      <c r="RBX24" s="1472"/>
      <c r="RBY24" s="1472"/>
      <c r="RBZ24" s="1472"/>
      <c r="RCA24" s="1472"/>
      <c r="RCB24" s="1472"/>
      <c r="RCC24" s="1472"/>
      <c r="RCD24" s="1473"/>
      <c r="RCE24" s="1471"/>
      <c r="RCF24" s="1472"/>
      <c r="RCG24" s="1472"/>
      <c r="RCH24" s="1472"/>
      <c r="RCI24" s="1472"/>
      <c r="RCJ24" s="1472"/>
      <c r="RCK24" s="1472"/>
      <c r="RCL24" s="1472"/>
      <c r="RCM24" s="1472"/>
      <c r="RCN24" s="1472"/>
      <c r="RCO24" s="1472"/>
      <c r="RCP24" s="1472"/>
      <c r="RCQ24" s="1472"/>
      <c r="RCR24" s="1473"/>
      <c r="RCS24" s="1471"/>
      <c r="RCT24" s="1472"/>
      <c r="RCU24" s="1472"/>
      <c r="RCV24" s="1472"/>
      <c r="RCW24" s="1472"/>
      <c r="RCX24" s="1472"/>
      <c r="RCY24" s="1472"/>
      <c r="RCZ24" s="1472"/>
      <c r="RDA24" s="1472"/>
      <c r="RDB24" s="1472"/>
      <c r="RDC24" s="1472"/>
      <c r="RDD24" s="1472"/>
      <c r="RDE24" s="1472"/>
      <c r="RDF24" s="1473"/>
      <c r="RDG24" s="1471"/>
      <c r="RDH24" s="1472"/>
      <c r="RDI24" s="1472"/>
      <c r="RDJ24" s="1472"/>
      <c r="RDK24" s="1472"/>
      <c r="RDL24" s="1472"/>
      <c r="RDM24" s="1472"/>
      <c r="RDN24" s="1472"/>
      <c r="RDO24" s="1472"/>
      <c r="RDP24" s="1472"/>
      <c r="RDQ24" s="1472"/>
      <c r="RDR24" s="1472"/>
      <c r="RDS24" s="1472"/>
      <c r="RDT24" s="1473"/>
      <c r="RDU24" s="1471"/>
      <c r="RDV24" s="1472"/>
      <c r="RDW24" s="1472"/>
      <c r="RDX24" s="1472"/>
      <c r="RDY24" s="1472"/>
      <c r="RDZ24" s="1472"/>
      <c r="REA24" s="1472"/>
      <c r="REB24" s="1472"/>
      <c r="REC24" s="1472"/>
      <c r="RED24" s="1472"/>
      <c r="REE24" s="1472"/>
      <c r="REF24" s="1472"/>
      <c r="REG24" s="1472"/>
      <c r="REH24" s="1473"/>
      <c r="REI24" s="1471"/>
      <c r="REJ24" s="1472"/>
      <c r="REK24" s="1472"/>
      <c r="REL24" s="1472"/>
      <c r="REM24" s="1472"/>
      <c r="REN24" s="1472"/>
      <c r="REO24" s="1472"/>
      <c r="REP24" s="1472"/>
      <c r="REQ24" s="1472"/>
      <c r="RER24" s="1472"/>
      <c r="RES24" s="1472"/>
      <c r="RET24" s="1472"/>
      <c r="REU24" s="1472"/>
      <c r="REV24" s="1473"/>
      <c r="REW24" s="1471"/>
      <c r="REX24" s="1472"/>
      <c r="REY24" s="1472"/>
      <c r="REZ24" s="1472"/>
      <c r="RFA24" s="1472"/>
      <c r="RFB24" s="1472"/>
      <c r="RFC24" s="1472"/>
      <c r="RFD24" s="1472"/>
      <c r="RFE24" s="1472"/>
      <c r="RFF24" s="1472"/>
      <c r="RFG24" s="1472"/>
      <c r="RFH24" s="1472"/>
      <c r="RFI24" s="1472"/>
      <c r="RFJ24" s="1473"/>
      <c r="RFK24" s="1471"/>
      <c r="RFL24" s="1472"/>
      <c r="RFM24" s="1472"/>
      <c r="RFN24" s="1472"/>
      <c r="RFO24" s="1472"/>
      <c r="RFP24" s="1472"/>
      <c r="RFQ24" s="1472"/>
      <c r="RFR24" s="1472"/>
      <c r="RFS24" s="1472"/>
      <c r="RFT24" s="1472"/>
      <c r="RFU24" s="1472"/>
      <c r="RFV24" s="1472"/>
      <c r="RFW24" s="1472"/>
      <c r="RFX24" s="1473"/>
      <c r="RFY24" s="1471"/>
      <c r="RFZ24" s="1472"/>
      <c r="RGA24" s="1472"/>
      <c r="RGB24" s="1472"/>
      <c r="RGC24" s="1472"/>
      <c r="RGD24" s="1472"/>
      <c r="RGE24" s="1472"/>
      <c r="RGF24" s="1472"/>
      <c r="RGG24" s="1472"/>
      <c r="RGH24" s="1472"/>
      <c r="RGI24" s="1472"/>
      <c r="RGJ24" s="1472"/>
      <c r="RGK24" s="1472"/>
      <c r="RGL24" s="1473"/>
      <c r="RGM24" s="1471"/>
      <c r="RGN24" s="1472"/>
      <c r="RGO24" s="1472"/>
      <c r="RGP24" s="1472"/>
      <c r="RGQ24" s="1472"/>
      <c r="RGR24" s="1472"/>
      <c r="RGS24" s="1472"/>
      <c r="RGT24" s="1472"/>
      <c r="RGU24" s="1472"/>
      <c r="RGV24" s="1472"/>
      <c r="RGW24" s="1472"/>
      <c r="RGX24" s="1472"/>
      <c r="RGY24" s="1472"/>
      <c r="RGZ24" s="1473"/>
      <c r="RHA24" s="1471"/>
      <c r="RHB24" s="1472"/>
      <c r="RHC24" s="1472"/>
      <c r="RHD24" s="1472"/>
      <c r="RHE24" s="1472"/>
      <c r="RHF24" s="1472"/>
      <c r="RHG24" s="1472"/>
      <c r="RHH24" s="1472"/>
      <c r="RHI24" s="1472"/>
      <c r="RHJ24" s="1472"/>
      <c r="RHK24" s="1472"/>
      <c r="RHL24" s="1472"/>
      <c r="RHM24" s="1472"/>
      <c r="RHN24" s="1473"/>
      <c r="RHO24" s="1471"/>
      <c r="RHP24" s="1472"/>
      <c r="RHQ24" s="1472"/>
      <c r="RHR24" s="1472"/>
      <c r="RHS24" s="1472"/>
      <c r="RHT24" s="1472"/>
      <c r="RHU24" s="1472"/>
      <c r="RHV24" s="1472"/>
      <c r="RHW24" s="1472"/>
      <c r="RHX24" s="1472"/>
      <c r="RHY24" s="1472"/>
      <c r="RHZ24" s="1472"/>
      <c r="RIA24" s="1472"/>
      <c r="RIB24" s="1473"/>
      <c r="RIC24" s="1471"/>
      <c r="RID24" s="1472"/>
      <c r="RIE24" s="1472"/>
      <c r="RIF24" s="1472"/>
      <c r="RIG24" s="1472"/>
      <c r="RIH24" s="1472"/>
      <c r="RII24" s="1472"/>
      <c r="RIJ24" s="1472"/>
      <c r="RIK24" s="1472"/>
      <c r="RIL24" s="1472"/>
      <c r="RIM24" s="1472"/>
      <c r="RIN24" s="1472"/>
      <c r="RIO24" s="1472"/>
      <c r="RIP24" s="1473"/>
      <c r="RIQ24" s="1471"/>
      <c r="RIR24" s="1472"/>
      <c r="RIS24" s="1472"/>
      <c r="RIT24" s="1472"/>
      <c r="RIU24" s="1472"/>
      <c r="RIV24" s="1472"/>
      <c r="RIW24" s="1472"/>
      <c r="RIX24" s="1472"/>
      <c r="RIY24" s="1472"/>
      <c r="RIZ24" s="1472"/>
      <c r="RJA24" s="1472"/>
      <c r="RJB24" s="1472"/>
      <c r="RJC24" s="1472"/>
      <c r="RJD24" s="1473"/>
      <c r="RJE24" s="1471"/>
      <c r="RJF24" s="1472"/>
      <c r="RJG24" s="1472"/>
      <c r="RJH24" s="1472"/>
      <c r="RJI24" s="1472"/>
      <c r="RJJ24" s="1472"/>
      <c r="RJK24" s="1472"/>
      <c r="RJL24" s="1472"/>
      <c r="RJM24" s="1472"/>
      <c r="RJN24" s="1472"/>
      <c r="RJO24" s="1472"/>
      <c r="RJP24" s="1472"/>
      <c r="RJQ24" s="1472"/>
      <c r="RJR24" s="1473"/>
      <c r="RJS24" s="1471"/>
      <c r="RJT24" s="1472"/>
      <c r="RJU24" s="1472"/>
      <c r="RJV24" s="1472"/>
      <c r="RJW24" s="1472"/>
      <c r="RJX24" s="1472"/>
      <c r="RJY24" s="1472"/>
      <c r="RJZ24" s="1472"/>
      <c r="RKA24" s="1472"/>
      <c r="RKB24" s="1472"/>
      <c r="RKC24" s="1472"/>
      <c r="RKD24" s="1472"/>
      <c r="RKE24" s="1472"/>
      <c r="RKF24" s="1473"/>
      <c r="RKG24" s="1471"/>
      <c r="RKH24" s="1472"/>
      <c r="RKI24" s="1472"/>
      <c r="RKJ24" s="1472"/>
      <c r="RKK24" s="1472"/>
      <c r="RKL24" s="1472"/>
      <c r="RKM24" s="1472"/>
      <c r="RKN24" s="1472"/>
      <c r="RKO24" s="1472"/>
      <c r="RKP24" s="1472"/>
      <c r="RKQ24" s="1472"/>
      <c r="RKR24" s="1472"/>
      <c r="RKS24" s="1472"/>
      <c r="RKT24" s="1473"/>
      <c r="RKU24" s="1471"/>
      <c r="RKV24" s="1472"/>
      <c r="RKW24" s="1472"/>
      <c r="RKX24" s="1472"/>
      <c r="RKY24" s="1472"/>
      <c r="RKZ24" s="1472"/>
      <c r="RLA24" s="1472"/>
      <c r="RLB24" s="1472"/>
      <c r="RLC24" s="1472"/>
      <c r="RLD24" s="1472"/>
      <c r="RLE24" s="1472"/>
      <c r="RLF24" s="1472"/>
      <c r="RLG24" s="1472"/>
      <c r="RLH24" s="1473"/>
      <c r="RLI24" s="1471"/>
      <c r="RLJ24" s="1472"/>
      <c r="RLK24" s="1472"/>
      <c r="RLL24" s="1472"/>
      <c r="RLM24" s="1472"/>
      <c r="RLN24" s="1472"/>
      <c r="RLO24" s="1472"/>
      <c r="RLP24" s="1472"/>
      <c r="RLQ24" s="1472"/>
      <c r="RLR24" s="1472"/>
      <c r="RLS24" s="1472"/>
      <c r="RLT24" s="1472"/>
      <c r="RLU24" s="1472"/>
      <c r="RLV24" s="1473"/>
      <c r="RLW24" s="1471"/>
      <c r="RLX24" s="1472"/>
      <c r="RLY24" s="1472"/>
      <c r="RLZ24" s="1472"/>
      <c r="RMA24" s="1472"/>
      <c r="RMB24" s="1472"/>
      <c r="RMC24" s="1472"/>
      <c r="RMD24" s="1472"/>
      <c r="RME24" s="1472"/>
      <c r="RMF24" s="1472"/>
      <c r="RMG24" s="1472"/>
      <c r="RMH24" s="1472"/>
      <c r="RMI24" s="1472"/>
      <c r="RMJ24" s="1473"/>
      <c r="RMK24" s="1471"/>
      <c r="RML24" s="1472"/>
      <c r="RMM24" s="1472"/>
      <c r="RMN24" s="1472"/>
      <c r="RMO24" s="1472"/>
      <c r="RMP24" s="1472"/>
      <c r="RMQ24" s="1472"/>
      <c r="RMR24" s="1472"/>
      <c r="RMS24" s="1472"/>
      <c r="RMT24" s="1472"/>
      <c r="RMU24" s="1472"/>
      <c r="RMV24" s="1472"/>
      <c r="RMW24" s="1472"/>
      <c r="RMX24" s="1473"/>
      <c r="RMY24" s="1471"/>
      <c r="RMZ24" s="1472"/>
      <c r="RNA24" s="1472"/>
      <c r="RNB24" s="1472"/>
      <c r="RNC24" s="1472"/>
      <c r="RND24" s="1472"/>
      <c r="RNE24" s="1472"/>
      <c r="RNF24" s="1472"/>
      <c r="RNG24" s="1472"/>
      <c r="RNH24" s="1472"/>
      <c r="RNI24" s="1472"/>
      <c r="RNJ24" s="1472"/>
      <c r="RNK24" s="1472"/>
      <c r="RNL24" s="1473"/>
      <c r="RNM24" s="1471"/>
      <c r="RNN24" s="1472"/>
      <c r="RNO24" s="1472"/>
      <c r="RNP24" s="1472"/>
      <c r="RNQ24" s="1472"/>
      <c r="RNR24" s="1472"/>
      <c r="RNS24" s="1472"/>
      <c r="RNT24" s="1472"/>
      <c r="RNU24" s="1472"/>
      <c r="RNV24" s="1472"/>
      <c r="RNW24" s="1472"/>
      <c r="RNX24" s="1472"/>
      <c r="RNY24" s="1472"/>
      <c r="RNZ24" s="1473"/>
      <c r="ROA24" s="1471"/>
      <c r="ROB24" s="1472"/>
      <c r="ROC24" s="1472"/>
      <c r="ROD24" s="1472"/>
      <c r="ROE24" s="1472"/>
      <c r="ROF24" s="1472"/>
      <c r="ROG24" s="1472"/>
      <c r="ROH24" s="1472"/>
      <c r="ROI24" s="1472"/>
      <c r="ROJ24" s="1472"/>
      <c r="ROK24" s="1472"/>
      <c r="ROL24" s="1472"/>
      <c r="ROM24" s="1472"/>
      <c r="RON24" s="1473"/>
      <c r="ROO24" s="1471"/>
      <c r="ROP24" s="1472"/>
      <c r="ROQ24" s="1472"/>
      <c r="ROR24" s="1472"/>
      <c r="ROS24" s="1472"/>
      <c r="ROT24" s="1472"/>
      <c r="ROU24" s="1472"/>
      <c r="ROV24" s="1472"/>
      <c r="ROW24" s="1472"/>
      <c r="ROX24" s="1472"/>
      <c r="ROY24" s="1472"/>
      <c r="ROZ24" s="1472"/>
      <c r="RPA24" s="1472"/>
      <c r="RPB24" s="1473"/>
      <c r="RPC24" s="1471"/>
      <c r="RPD24" s="1472"/>
      <c r="RPE24" s="1472"/>
      <c r="RPF24" s="1472"/>
      <c r="RPG24" s="1472"/>
      <c r="RPH24" s="1472"/>
      <c r="RPI24" s="1472"/>
      <c r="RPJ24" s="1472"/>
      <c r="RPK24" s="1472"/>
      <c r="RPL24" s="1472"/>
      <c r="RPM24" s="1472"/>
      <c r="RPN24" s="1472"/>
      <c r="RPO24" s="1472"/>
      <c r="RPP24" s="1473"/>
      <c r="RPQ24" s="1471"/>
      <c r="RPR24" s="1472"/>
      <c r="RPS24" s="1472"/>
      <c r="RPT24" s="1472"/>
      <c r="RPU24" s="1472"/>
      <c r="RPV24" s="1472"/>
      <c r="RPW24" s="1472"/>
      <c r="RPX24" s="1472"/>
      <c r="RPY24" s="1472"/>
      <c r="RPZ24" s="1472"/>
      <c r="RQA24" s="1472"/>
      <c r="RQB24" s="1472"/>
      <c r="RQC24" s="1472"/>
      <c r="RQD24" s="1473"/>
      <c r="RQE24" s="1471"/>
      <c r="RQF24" s="1472"/>
      <c r="RQG24" s="1472"/>
      <c r="RQH24" s="1472"/>
      <c r="RQI24" s="1472"/>
      <c r="RQJ24" s="1472"/>
      <c r="RQK24" s="1472"/>
      <c r="RQL24" s="1472"/>
      <c r="RQM24" s="1472"/>
      <c r="RQN24" s="1472"/>
      <c r="RQO24" s="1472"/>
      <c r="RQP24" s="1472"/>
      <c r="RQQ24" s="1472"/>
      <c r="RQR24" s="1473"/>
      <c r="RQS24" s="1471"/>
      <c r="RQT24" s="1472"/>
      <c r="RQU24" s="1472"/>
      <c r="RQV24" s="1472"/>
      <c r="RQW24" s="1472"/>
      <c r="RQX24" s="1472"/>
      <c r="RQY24" s="1472"/>
      <c r="RQZ24" s="1472"/>
      <c r="RRA24" s="1472"/>
      <c r="RRB24" s="1472"/>
      <c r="RRC24" s="1472"/>
      <c r="RRD24" s="1472"/>
      <c r="RRE24" s="1472"/>
      <c r="RRF24" s="1473"/>
      <c r="RRG24" s="1471"/>
      <c r="RRH24" s="1472"/>
      <c r="RRI24" s="1472"/>
      <c r="RRJ24" s="1472"/>
      <c r="RRK24" s="1472"/>
      <c r="RRL24" s="1472"/>
      <c r="RRM24" s="1472"/>
      <c r="RRN24" s="1472"/>
      <c r="RRO24" s="1472"/>
      <c r="RRP24" s="1472"/>
      <c r="RRQ24" s="1472"/>
      <c r="RRR24" s="1472"/>
      <c r="RRS24" s="1472"/>
      <c r="RRT24" s="1473"/>
      <c r="RRU24" s="1471"/>
      <c r="RRV24" s="1472"/>
      <c r="RRW24" s="1472"/>
      <c r="RRX24" s="1472"/>
      <c r="RRY24" s="1472"/>
      <c r="RRZ24" s="1472"/>
      <c r="RSA24" s="1472"/>
      <c r="RSB24" s="1472"/>
      <c r="RSC24" s="1472"/>
      <c r="RSD24" s="1472"/>
      <c r="RSE24" s="1472"/>
      <c r="RSF24" s="1472"/>
      <c r="RSG24" s="1472"/>
      <c r="RSH24" s="1473"/>
      <c r="RSI24" s="1471"/>
      <c r="RSJ24" s="1472"/>
      <c r="RSK24" s="1472"/>
      <c r="RSL24" s="1472"/>
      <c r="RSM24" s="1472"/>
      <c r="RSN24" s="1472"/>
      <c r="RSO24" s="1472"/>
      <c r="RSP24" s="1472"/>
      <c r="RSQ24" s="1472"/>
      <c r="RSR24" s="1472"/>
      <c r="RSS24" s="1472"/>
      <c r="RST24" s="1472"/>
      <c r="RSU24" s="1472"/>
      <c r="RSV24" s="1473"/>
      <c r="RSW24" s="1471"/>
      <c r="RSX24" s="1472"/>
      <c r="RSY24" s="1472"/>
      <c r="RSZ24" s="1472"/>
      <c r="RTA24" s="1472"/>
      <c r="RTB24" s="1472"/>
      <c r="RTC24" s="1472"/>
      <c r="RTD24" s="1472"/>
      <c r="RTE24" s="1472"/>
      <c r="RTF24" s="1472"/>
      <c r="RTG24" s="1472"/>
      <c r="RTH24" s="1472"/>
      <c r="RTI24" s="1472"/>
      <c r="RTJ24" s="1473"/>
      <c r="RTK24" s="1471"/>
      <c r="RTL24" s="1472"/>
      <c r="RTM24" s="1472"/>
      <c r="RTN24" s="1472"/>
      <c r="RTO24" s="1472"/>
      <c r="RTP24" s="1472"/>
      <c r="RTQ24" s="1472"/>
      <c r="RTR24" s="1472"/>
      <c r="RTS24" s="1472"/>
      <c r="RTT24" s="1472"/>
      <c r="RTU24" s="1472"/>
      <c r="RTV24" s="1472"/>
      <c r="RTW24" s="1472"/>
      <c r="RTX24" s="1473"/>
      <c r="RTY24" s="1471"/>
      <c r="RTZ24" s="1472"/>
      <c r="RUA24" s="1472"/>
      <c r="RUB24" s="1472"/>
      <c r="RUC24" s="1472"/>
      <c r="RUD24" s="1472"/>
      <c r="RUE24" s="1472"/>
      <c r="RUF24" s="1472"/>
      <c r="RUG24" s="1472"/>
      <c r="RUH24" s="1472"/>
      <c r="RUI24" s="1472"/>
      <c r="RUJ24" s="1472"/>
      <c r="RUK24" s="1472"/>
      <c r="RUL24" s="1473"/>
      <c r="RUM24" s="1471"/>
      <c r="RUN24" s="1472"/>
      <c r="RUO24" s="1472"/>
      <c r="RUP24" s="1472"/>
      <c r="RUQ24" s="1472"/>
      <c r="RUR24" s="1472"/>
      <c r="RUS24" s="1472"/>
      <c r="RUT24" s="1472"/>
      <c r="RUU24" s="1472"/>
      <c r="RUV24" s="1472"/>
      <c r="RUW24" s="1472"/>
      <c r="RUX24" s="1472"/>
      <c r="RUY24" s="1472"/>
      <c r="RUZ24" s="1473"/>
      <c r="RVA24" s="1471"/>
      <c r="RVB24" s="1472"/>
      <c r="RVC24" s="1472"/>
      <c r="RVD24" s="1472"/>
      <c r="RVE24" s="1472"/>
      <c r="RVF24" s="1472"/>
      <c r="RVG24" s="1472"/>
      <c r="RVH24" s="1472"/>
      <c r="RVI24" s="1472"/>
      <c r="RVJ24" s="1472"/>
      <c r="RVK24" s="1472"/>
      <c r="RVL24" s="1472"/>
      <c r="RVM24" s="1472"/>
      <c r="RVN24" s="1473"/>
      <c r="RVO24" s="1471"/>
      <c r="RVP24" s="1472"/>
      <c r="RVQ24" s="1472"/>
      <c r="RVR24" s="1472"/>
      <c r="RVS24" s="1472"/>
      <c r="RVT24" s="1472"/>
      <c r="RVU24" s="1472"/>
      <c r="RVV24" s="1472"/>
      <c r="RVW24" s="1472"/>
      <c r="RVX24" s="1472"/>
      <c r="RVY24" s="1472"/>
      <c r="RVZ24" s="1472"/>
      <c r="RWA24" s="1472"/>
      <c r="RWB24" s="1473"/>
      <c r="RWC24" s="1471"/>
      <c r="RWD24" s="1472"/>
      <c r="RWE24" s="1472"/>
      <c r="RWF24" s="1472"/>
      <c r="RWG24" s="1472"/>
      <c r="RWH24" s="1472"/>
      <c r="RWI24" s="1472"/>
      <c r="RWJ24" s="1472"/>
      <c r="RWK24" s="1472"/>
      <c r="RWL24" s="1472"/>
      <c r="RWM24" s="1472"/>
      <c r="RWN24" s="1472"/>
      <c r="RWO24" s="1472"/>
      <c r="RWP24" s="1473"/>
      <c r="RWQ24" s="1471"/>
      <c r="RWR24" s="1472"/>
      <c r="RWS24" s="1472"/>
      <c r="RWT24" s="1472"/>
      <c r="RWU24" s="1472"/>
      <c r="RWV24" s="1472"/>
      <c r="RWW24" s="1472"/>
      <c r="RWX24" s="1472"/>
      <c r="RWY24" s="1472"/>
      <c r="RWZ24" s="1472"/>
      <c r="RXA24" s="1472"/>
      <c r="RXB24" s="1472"/>
      <c r="RXC24" s="1472"/>
      <c r="RXD24" s="1473"/>
      <c r="RXE24" s="1471"/>
      <c r="RXF24" s="1472"/>
      <c r="RXG24" s="1472"/>
      <c r="RXH24" s="1472"/>
      <c r="RXI24" s="1472"/>
      <c r="RXJ24" s="1472"/>
      <c r="RXK24" s="1472"/>
      <c r="RXL24" s="1472"/>
      <c r="RXM24" s="1472"/>
      <c r="RXN24" s="1472"/>
      <c r="RXO24" s="1472"/>
      <c r="RXP24" s="1472"/>
      <c r="RXQ24" s="1472"/>
      <c r="RXR24" s="1473"/>
      <c r="RXS24" s="1471"/>
      <c r="RXT24" s="1472"/>
      <c r="RXU24" s="1472"/>
      <c r="RXV24" s="1472"/>
      <c r="RXW24" s="1472"/>
      <c r="RXX24" s="1472"/>
      <c r="RXY24" s="1472"/>
      <c r="RXZ24" s="1472"/>
      <c r="RYA24" s="1472"/>
      <c r="RYB24" s="1472"/>
      <c r="RYC24" s="1472"/>
      <c r="RYD24" s="1472"/>
      <c r="RYE24" s="1472"/>
      <c r="RYF24" s="1473"/>
      <c r="RYG24" s="1471"/>
      <c r="RYH24" s="1472"/>
      <c r="RYI24" s="1472"/>
      <c r="RYJ24" s="1472"/>
      <c r="RYK24" s="1472"/>
      <c r="RYL24" s="1472"/>
      <c r="RYM24" s="1472"/>
      <c r="RYN24" s="1472"/>
      <c r="RYO24" s="1472"/>
      <c r="RYP24" s="1472"/>
      <c r="RYQ24" s="1472"/>
      <c r="RYR24" s="1472"/>
      <c r="RYS24" s="1472"/>
      <c r="RYT24" s="1473"/>
      <c r="RYU24" s="1471"/>
      <c r="RYV24" s="1472"/>
      <c r="RYW24" s="1472"/>
      <c r="RYX24" s="1472"/>
      <c r="RYY24" s="1472"/>
      <c r="RYZ24" s="1472"/>
      <c r="RZA24" s="1472"/>
      <c r="RZB24" s="1472"/>
      <c r="RZC24" s="1472"/>
      <c r="RZD24" s="1472"/>
      <c r="RZE24" s="1472"/>
      <c r="RZF24" s="1472"/>
      <c r="RZG24" s="1472"/>
      <c r="RZH24" s="1473"/>
      <c r="RZI24" s="1471"/>
      <c r="RZJ24" s="1472"/>
      <c r="RZK24" s="1472"/>
      <c r="RZL24" s="1472"/>
      <c r="RZM24" s="1472"/>
      <c r="RZN24" s="1472"/>
      <c r="RZO24" s="1472"/>
      <c r="RZP24" s="1472"/>
      <c r="RZQ24" s="1472"/>
      <c r="RZR24" s="1472"/>
      <c r="RZS24" s="1472"/>
      <c r="RZT24" s="1472"/>
      <c r="RZU24" s="1472"/>
      <c r="RZV24" s="1473"/>
      <c r="RZW24" s="1471"/>
      <c r="RZX24" s="1472"/>
      <c r="RZY24" s="1472"/>
      <c r="RZZ24" s="1472"/>
      <c r="SAA24" s="1472"/>
      <c r="SAB24" s="1472"/>
      <c r="SAC24" s="1472"/>
      <c r="SAD24" s="1472"/>
      <c r="SAE24" s="1472"/>
      <c r="SAF24" s="1472"/>
      <c r="SAG24" s="1472"/>
      <c r="SAH24" s="1472"/>
      <c r="SAI24" s="1472"/>
      <c r="SAJ24" s="1473"/>
      <c r="SAK24" s="1471"/>
      <c r="SAL24" s="1472"/>
      <c r="SAM24" s="1472"/>
      <c r="SAN24" s="1472"/>
      <c r="SAO24" s="1472"/>
      <c r="SAP24" s="1472"/>
      <c r="SAQ24" s="1472"/>
      <c r="SAR24" s="1472"/>
      <c r="SAS24" s="1472"/>
      <c r="SAT24" s="1472"/>
      <c r="SAU24" s="1472"/>
      <c r="SAV24" s="1472"/>
      <c r="SAW24" s="1472"/>
      <c r="SAX24" s="1473"/>
      <c r="SAY24" s="1471"/>
      <c r="SAZ24" s="1472"/>
      <c r="SBA24" s="1472"/>
      <c r="SBB24" s="1472"/>
      <c r="SBC24" s="1472"/>
      <c r="SBD24" s="1472"/>
      <c r="SBE24" s="1472"/>
      <c r="SBF24" s="1472"/>
      <c r="SBG24" s="1472"/>
      <c r="SBH24" s="1472"/>
      <c r="SBI24" s="1472"/>
      <c r="SBJ24" s="1472"/>
      <c r="SBK24" s="1472"/>
      <c r="SBL24" s="1473"/>
      <c r="SBM24" s="1471"/>
      <c r="SBN24" s="1472"/>
      <c r="SBO24" s="1472"/>
      <c r="SBP24" s="1472"/>
      <c r="SBQ24" s="1472"/>
      <c r="SBR24" s="1472"/>
      <c r="SBS24" s="1472"/>
      <c r="SBT24" s="1472"/>
      <c r="SBU24" s="1472"/>
      <c r="SBV24" s="1472"/>
      <c r="SBW24" s="1472"/>
      <c r="SBX24" s="1472"/>
      <c r="SBY24" s="1472"/>
      <c r="SBZ24" s="1473"/>
      <c r="SCA24" s="1471"/>
      <c r="SCB24" s="1472"/>
      <c r="SCC24" s="1472"/>
      <c r="SCD24" s="1472"/>
      <c r="SCE24" s="1472"/>
      <c r="SCF24" s="1472"/>
      <c r="SCG24" s="1472"/>
      <c r="SCH24" s="1472"/>
      <c r="SCI24" s="1472"/>
      <c r="SCJ24" s="1472"/>
      <c r="SCK24" s="1472"/>
      <c r="SCL24" s="1472"/>
      <c r="SCM24" s="1472"/>
      <c r="SCN24" s="1473"/>
      <c r="SCO24" s="1471"/>
      <c r="SCP24" s="1472"/>
      <c r="SCQ24" s="1472"/>
      <c r="SCR24" s="1472"/>
      <c r="SCS24" s="1472"/>
      <c r="SCT24" s="1472"/>
      <c r="SCU24" s="1472"/>
      <c r="SCV24" s="1472"/>
      <c r="SCW24" s="1472"/>
      <c r="SCX24" s="1472"/>
      <c r="SCY24" s="1472"/>
      <c r="SCZ24" s="1472"/>
      <c r="SDA24" s="1472"/>
      <c r="SDB24" s="1473"/>
      <c r="SDC24" s="1471"/>
      <c r="SDD24" s="1472"/>
      <c r="SDE24" s="1472"/>
      <c r="SDF24" s="1472"/>
      <c r="SDG24" s="1472"/>
      <c r="SDH24" s="1472"/>
      <c r="SDI24" s="1472"/>
      <c r="SDJ24" s="1472"/>
      <c r="SDK24" s="1472"/>
      <c r="SDL24" s="1472"/>
      <c r="SDM24" s="1472"/>
      <c r="SDN24" s="1472"/>
      <c r="SDO24" s="1472"/>
      <c r="SDP24" s="1473"/>
      <c r="SDQ24" s="1471"/>
      <c r="SDR24" s="1472"/>
      <c r="SDS24" s="1472"/>
      <c r="SDT24" s="1472"/>
      <c r="SDU24" s="1472"/>
      <c r="SDV24" s="1472"/>
      <c r="SDW24" s="1472"/>
      <c r="SDX24" s="1472"/>
      <c r="SDY24" s="1472"/>
      <c r="SDZ24" s="1472"/>
      <c r="SEA24" s="1472"/>
      <c r="SEB24" s="1472"/>
      <c r="SEC24" s="1472"/>
      <c r="SED24" s="1473"/>
      <c r="SEE24" s="1471"/>
      <c r="SEF24" s="1472"/>
      <c r="SEG24" s="1472"/>
      <c r="SEH24" s="1472"/>
      <c r="SEI24" s="1472"/>
      <c r="SEJ24" s="1472"/>
      <c r="SEK24" s="1472"/>
      <c r="SEL24" s="1472"/>
      <c r="SEM24" s="1472"/>
      <c r="SEN24" s="1472"/>
      <c r="SEO24" s="1472"/>
      <c r="SEP24" s="1472"/>
      <c r="SEQ24" s="1472"/>
      <c r="SER24" s="1473"/>
      <c r="SES24" s="1471"/>
      <c r="SET24" s="1472"/>
      <c r="SEU24" s="1472"/>
      <c r="SEV24" s="1472"/>
      <c r="SEW24" s="1472"/>
      <c r="SEX24" s="1472"/>
      <c r="SEY24" s="1472"/>
      <c r="SEZ24" s="1472"/>
      <c r="SFA24" s="1472"/>
      <c r="SFB24" s="1472"/>
      <c r="SFC24" s="1472"/>
      <c r="SFD24" s="1472"/>
      <c r="SFE24" s="1472"/>
      <c r="SFF24" s="1473"/>
      <c r="SFG24" s="1471"/>
      <c r="SFH24" s="1472"/>
      <c r="SFI24" s="1472"/>
      <c r="SFJ24" s="1472"/>
      <c r="SFK24" s="1472"/>
      <c r="SFL24" s="1472"/>
      <c r="SFM24" s="1472"/>
      <c r="SFN24" s="1472"/>
      <c r="SFO24" s="1472"/>
      <c r="SFP24" s="1472"/>
      <c r="SFQ24" s="1472"/>
      <c r="SFR24" s="1472"/>
      <c r="SFS24" s="1472"/>
      <c r="SFT24" s="1473"/>
      <c r="SFU24" s="1471"/>
      <c r="SFV24" s="1472"/>
      <c r="SFW24" s="1472"/>
      <c r="SFX24" s="1472"/>
      <c r="SFY24" s="1472"/>
      <c r="SFZ24" s="1472"/>
      <c r="SGA24" s="1472"/>
      <c r="SGB24" s="1472"/>
      <c r="SGC24" s="1472"/>
      <c r="SGD24" s="1472"/>
      <c r="SGE24" s="1472"/>
      <c r="SGF24" s="1472"/>
      <c r="SGG24" s="1472"/>
      <c r="SGH24" s="1473"/>
      <c r="SGI24" s="1471"/>
      <c r="SGJ24" s="1472"/>
      <c r="SGK24" s="1472"/>
      <c r="SGL24" s="1472"/>
      <c r="SGM24" s="1472"/>
      <c r="SGN24" s="1472"/>
      <c r="SGO24" s="1472"/>
      <c r="SGP24" s="1472"/>
      <c r="SGQ24" s="1472"/>
      <c r="SGR24" s="1472"/>
      <c r="SGS24" s="1472"/>
      <c r="SGT24" s="1472"/>
      <c r="SGU24" s="1472"/>
      <c r="SGV24" s="1473"/>
      <c r="SGW24" s="1471"/>
      <c r="SGX24" s="1472"/>
      <c r="SGY24" s="1472"/>
      <c r="SGZ24" s="1472"/>
      <c r="SHA24" s="1472"/>
      <c r="SHB24" s="1472"/>
      <c r="SHC24" s="1472"/>
      <c r="SHD24" s="1472"/>
      <c r="SHE24" s="1472"/>
      <c r="SHF24" s="1472"/>
      <c r="SHG24" s="1472"/>
      <c r="SHH24" s="1472"/>
      <c r="SHI24" s="1472"/>
      <c r="SHJ24" s="1473"/>
      <c r="SHK24" s="1471"/>
      <c r="SHL24" s="1472"/>
      <c r="SHM24" s="1472"/>
      <c r="SHN24" s="1472"/>
      <c r="SHO24" s="1472"/>
      <c r="SHP24" s="1472"/>
      <c r="SHQ24" s="1472"/>
      <c r="SHR24" s="1472"/>
      <c r="SHS24" s="1472"/>
      <c r="SHT24" s="1472"/>
      <c r="SHU24" s="1472"/>
      <c r="SHV24" s="1472"/>
      <c r="SHW24" s="1472"/>
      <c r="SHX24" s="1473"/>
      <c r="SHY24" s="1471"/>
      <c r="SHZ24" s="1472"/>
      <c r="SIA24" s="1472"/>
      <c r="SIB24" s="1472"/>
      <c r="SIC24" s="1472"/>
      <c r="SID24" s="1472"/>
      <c r="SIE24" s="1472"/>
      <c r="SIF24" s="1472"/>
      <c r="SIG24" s="1472"/>
      <c r="SIH24" s="1472"/>
      <c r="SII24" s="1472"/>
      <c r="SIJ24" s="1472"/>
      <c r="SIK24" s="1472"/>
      <c r="SIL24" s="1473"/>
      <c r="SIM24" s="1471"/>
      <c r="SIN24" s="1472"/>
      <c r="SIO24" s="1472"/>
      <c r="SIP24" s="1472"/>
      <c r="SIQ24" s="1472"/>
      <c r="SIR24" s="1472"/>
      <c r="SIS24" s="1472"/>
      <c r="SIT24" s="1472"/>
      <c r="SIU24" s="1472"/>
      <c r="SIV24" s="1472"/>
      <c r="SIW24" s="1472"/>
      <c r="SIX24" s="1472"/>
      <c r="SIY24" s="1472"/>
      <c r="SIZ24" s="1473"/>
      <c r="SJA24" s="1471"/>
      <c r="SJB24" s="1472"/>
      <c r="SJC24" s="1472"/>
      <c r="SJD24" s="1472"/>
      <c r="SJE24" s="1472"/>
      <c r="SJF24" s="1472"/>
      <c r="SJG24" s="1472"/>
      <c r="SJH24" s="1472"/>
      <c r="SJI24" s="1472"/>
      <c r="SJJ24" s="1472"/>
      <c r="SJK24" s="1472"/>
      <c r="SJL24" s="1472"/>
      <c r="SJM24" s="1472"/>
      <c r="SJN24" s="1473"/>
      <c r="SJO24" s="1471"/>
      <c r="SJP24" s="1472"/>
      <c r="SJQ24" s="1472"/>
      <c r="SJR24" s="1472"/>
      <c r="SJS24" s="1472"/>
      <c r="SJT24" s="1472"/>
      <c r="SJU24" s="1472"/>
      <c r="SJV24" s="1472"/>
      <c r="SJW24" s="1472"/>
      <c r="SJX24" s="1472"/>
      <c r="SJY24" s="1472"/>
      <c r="SJZ24" s="1472"/>
      <c r="SKA24" s="1472"/>
      <c r="SKB24" s="1473"/>
      <c r="SKC24" s="1471"/>
      <c r="SKD24" s="1472"/>
      <c r="SKE24" s="1472"/>
      <c r="SKF24" s="1472"/>
      <c r="SKG24" s="1472"/>
      <c r="SKH24" s="1472"/>
      <c r="SKI24" s="1472"/>
      <c r="SKJ24" s="1472"/>
      <c r="SKK24" s="1472"/>
      <c r="SKL24" s="1472"/>
      <c r="SKM24" s="1472"/>
      <c r="SKN24" s="1472"/>
      <c r="SKO24" s="1472"/>
      <c r="SKP24" s="1473"/>
      <c r="SKQ24" s="1471"/>
      <c r="SKR24" s="1472"/>
      <c r="SKS24" s="1472"/>
      <c r="SKT24" s="1472"/>
      <c r="SKU24" s="1472"/>
      <c r="SKV24" s="1472"/>
      <c r="SKW24" s="1472"/>
      <c r="SKX24" s="1472"/>
      <c r="SKY24" s="1472"/>
      <c r="SKZ24" s="1472"/>
      <c r="SLA24" s="1472"/>
      <c r="SLB24" s="1472"/>
      <c r="SLC24" s="1472"/>
      <c r="SLD24" s="1473"/>
      <c r="SLE24" s="1471"/>
      <c r="SLF24" s="1472"/>
      <c r="SLG24" s="1472"/>
      <c r="SLH24" s="1472"/>
      <c r="SLI24" s="1472"/>
      <c r="SLJ24" s="1472"/>
      <c r="SLK24" s="1472"/>
      <c r="SLL24" s="1472"/>
      <c r="SLM24" s="1472"/>
      <c r="SLN24" s="1472"/>
      <c r="SLO24" s="1472"/>
      <c r="SLP24" s="1472"/>
      <c r="SLQ24" s="1472"/>
      <c r="SLR24" s="1473"/>
      <c r="SLS24" s="1471"/>
      <c r="SLT24" s="1472"/>
      <c r="SLU24" s="1472"/>
      <c r="SLV24" s="1472"/>
      <c r="SLW24" s="1472"/>
      <c r="SLX24" s="1472"/>
      <c r="SLY24" s="1472"/>
      <c r="SLZ24" s="1472"/>
      <c r="SMA24" s="1472"/>
      <c r="SMB24" s="1472"/>
      <c r="SMC24" s="1472"/>
      <c r="SMD24" s="1472"/>
      <c r="SME24" s="1472"/>
      <c r="SMF24" s="1473"/>
      <c r="SMG24" s="1471"/>
      <c r="SMH24" s="1472"/>
      <c r="SMI24" s="1472"/>
      <c r="SMJ24" s="1472"/>
      <c r="SMK24" s="1472"/>
      <c r="SML24" s="1472"/>
      <c r="SMM24" s="1472"/>
      <c r="SMN24" s="1472"/>
      <c r="SMO24" s="1472"/>
      <c r="SMP24" s="1472"/>
      <c r="SMQ24" s="1472"/>
      <c r="SMR24" s="1472"/>
      <c r="SMS24" s="1472"/>
      <c r="SMT24" s="1473"/>
      <c r="SMU24" s="1471"/>
      <c r="SMV24" s="1472"/>
      <c r="SMW24" s="1472"/>
      <c r="SMX24" s="1472"/>
      <c r="SMY24" s="1472"/>
      <c r="SMZ24" s="1472"/>
      <c r="SNA24" s="1472"/>
      <c r="SNB24" s="1472"/>
      <c r="SNC24" s="1472"/>
      <c r="SND24" s="1472"/>
      <c r="SNE24" s="1472"/>
      <c r="SNF24" s="1472"/>
      <c r="SNG24" s="1472"/>
      <c r="SNH24" s="1473"/>
      <c r="SNI24" s="1471"/>
      <c r="SNJ24" s="1472"/>
      <c r="SNK24" s="1472"/>
      <c r="SNL24" s="1472"/>
      <c r="SNM24" s="1472"/>
      <c r="SNN24" s="1472"/>
      <c r="SNO24" s="1472"/>
      <c r="SNP24" s="1472"/>
      <c r="SNQ24" s="1472"/>
      <c r="SNR24" s="1472"/>
      <c r="SNS24" s="1472"/>
      <c r="SNT24" s="1472"/>
      <c r="SNU24" s="1472"/>
      <c r="SNV24" s="1473"/>
      <c r="SNW24" s="1471"/>
      <c r="SNX24" s="1472"/>
      <c r="SNY24" s="1472"/>
      <c r="SNZ24" s="1472"/>
      <c r="SOA24" s="1472"/>
      <c r="SOB24" s="1472"/>
      <c r="SOC24" s="1472"/>
      <c r="SOD24" s="1472"/>
      <c r="SOE24" s="1472"/>
      <c r="SOF24" s="1472"/>
      <c r="SOG24" s="1472"/>
      <c r="SOH24" s="1472"/>
      <c r="SOI24" s="1472"/>
      <c r="SOJ24" s="1473"/>
      <c r="SOK24" s="1471"/>
      <c r="SOL24" s="1472"/>
      <c r="SOM24" s="1472"/>
      <c r="SON24" s="1472"/>
      <c r="SOO24" s="1472"/>
      <c r="SOP24" s="1472"/>
      <c r="SOQ24" s="1472"/>
      <c r="SOR24" s="1472"/>
      <c r="SOS24" s="1472"/>
      <c r="SOT24" s="1472"/>
      <c r="SOU24" s="1472"/>
      <c r="SOV24" s="1472"/>
      <c r="SOW24" s="1472"/>
      <c r="SOX24" s="1473"/>
      <c r="SOY24" s="1471"/>
      <c r="SOZ24" s="1472"/>
      <c r="SPA24" s="1472"/>
      <c r="SPB24" s="1472"/>
      <c r="SPC24" s="1472"/>
      <c r="SPD24" s="1472"/>
      <c r="SPE24" s="1472"/>
      <c r="SPF24" s="1472"/>
      <c r="SPG24" s="1472"/>
      <c r="SPH24" s="1472"/>
      <c r="SPI24" s="1472"/>
      <c r="SPJ24" s="1472"/>
      <c r="SPK24" s="1472"/>
      <c r="SPL24" s="1473"/>
      <c r="SPM24" s="1471"/>
      <c r="SPN24" s="1472"/>
      <c r="SPO24" s="1472"/>
      <c r="SPP24" s="1472"/>
      <c r="SPQ24" s="1472"/>
      <c r="SPR24" s="1472"/>
      <c r="SPS24" s="1472"/>
      <c r="SPT24" s="1472"/>
      <c r="SPU24" s="1472"/>
      <c r="SPV24" s="1472"/>
      <c r="SPW24" s="1472"/>
      <c r="SPX24" s="1472"/>
      <c r="SPY24" s="1472"/>
      <c r="SPZ24" s="1473"/>
      <c r="SQA24" s="1471"/>
      <c r="SQB24" s="1472"/>
      <c r="SQC24" s="1472"/>
      <c r="SQD24" s="1472"/>
      <c r="SQE24" s="1472"/>
      <c r="SQF24" s="1472"/>
      <c r="SQG24" s="1472"/>
      <c r="SQH24" s="1472"/>
      <c r="SQI24" s="1472"/>
      <c r="SQJ24" s="1472"/>
      <c r="SQK24" s="1472"/>
      <c r="SQL24" s="1472"/>
      <c r="SQM24" s="1472"/>
      <c r="SQN24" s="1473"/>
      <c r="SQO24" s="1471"/>
      <c r="SQP24" s="1472"/>
      <c r="SQQ24" s="1472"/>
      <c r="SQR24" s="1472"/>
      <c r="SQS24" s="1472"/>
      <c r="SQT24" s="1472"/>
      <c r="SQU24" s="1472"/>
      <c r="SQV24" s="1472"/>
      <c r="SQW24" s="1472"/>
      <c r="SQX24" s="1472"/>
      <c r="SQY24" s="1472"/>
      <c r="SQZ24" s="1472"/>
      <c r="SRA24" s="1472"/>
      <c r="SRB24" s="1473"/>
      <c r="SRC24" s="1471"/>
      <c r="SRD24" s="1472"/>
      <c r="SRE24" s="1472"/>
      <c r="SRF24" s="1472"/>
      <c r="SRG24" s="1472"/>
      <c r="SRH24" s="1472"/>
      <c r="SRI24" s="1472"/>
      <c r="SRJ24" s="1472"/>
      <c r="SRK24" s="1472"/>
      <c r="SRL24" s="1472"/>
      <c r="SRM24" s="1472"/>
      <c r="SRN24" s="1472"/>
      <c r="SRO24" s="1472"/>
      <c r="SRP24" s="1473"/>
      <c r="SRQ24" s="1471"/>
      <c r="SRR24" s="1472"/>
      <c r="SRS24" s="1472"/>
      <c r="SRT24" s="1472"/>
      <c r="SRU24" s="1472"/>
      <c r="SRV24" s="1472"/>
      <c r="SRW24" s="1472"/>
      <c r="SRX24" s="1472"/>
      <c r="SRY24" s="1472"/>
      <c r="SRZ24" s="1472"/>
      <c r="SSA24" s="1472"/>
      <c r="SSB24" s="1472"/>
      <c r="SSC24" s="1472"/>
      <c r="SSD24" s="1473"/>
      <c r="SSE24" s="1471"/>
      <c r="SSF24" s="1472"/>
      <c r="SSG24" s="1472"/>
      <c r="SSH24" s="1472"/>
      <c r="SSI24" s="1472"/>
      <c r="SSJ24" s="1472"/>
      <c r="SSK24" s="1472"/>
      <c r="SSL24" s="1472"/>
      <c r="SSM24" s="1472"/>
      <c r="SSN24" s="1472"/>
      <c r="SSO24" s="1472"/>
      <c r="SSP24" s="1472"/>
      <c r="SSQ24" s="1472"/>
      <c r="SSR24" s="1473"/>
      <c r="SSS24" s="1471"/>
      <c r="SST24" s="1472"/>
      <c r="SSU24" s="1472"/>
      <c r="SSV24" s="1472"/>
      <c r="SSW24" s="1472"/>
      <c r="SSX24" s="1472"/>
      <c r="SSY24" s="1472"/>
      <c r="SSZ24" s="1472"/>
      <c r="STA24" s="1472"/>
      <c r="STB24" s="1472"/>
      <c r="STC24" s="1472"/>
      <c r="STD24" s="1472"/>
      <c r="STE24" s="1472"/>
      <c r="STF24" s="1473"/>
      <c r="STG24" s="1471"/>
      <c r="STH24" s="1472"/>
      <c r="STI24" s="1472"/>
      <c r="STJ24" s="1472"/>
      <c r="STK24" s="1472"/>
      <c r="STL24" s="1472"/>
      <c r="STM24" s="1472"/>
      <c r="STN24" s="1472"/>
      <c r="STO24" s="1472"/>
      <c r="STP24" s="1472"/>
      <c r="STQ24" s="1472"/>
      <c r="STR24" s="1472"/>
      <c r="STS24" s="1472"/>
      <c r="STT24" s="1473"/>
      <c r="STU24" s="1471"/>
      <c r="STV24" s="1472"/>
      <c r="STW24" s="1472"/>
      <c r="STX24" s="1472"/>
      <c r="STY24" s="1472"/>
      <c r="STZ24" s="1472"/>
      <c r="SUA24" s="1472"/>
      <c r="SUB24" s="1472"/>
      <c r="SUC24" s="1472"/>
      <c r="SUD24" s="1472"/>
      <c r="SUE24" s="1472"/>
      <c r="SUF24" s="1472"/>
      <c r="SUG24" s="1472"/>
      <c r="SUH24" s="1473"/>
      <c r="SUI24" s="1471"/>
      <c r="SUJ24" s="1472"/>
      <c r="SUK24" s="1472"/>
      <c r="SUL24" s="1472"/>
      <c r="SUM24" s="1472"/>
      <c r="SUN24" s="1472"/>
      <c r="SUO24" s="1472"/>
      <c r="SUP24" s="1472"/>
      <c r="SUQ24" s="1472"/>
      <c r="SUR24" s="1472"/>
      <c r="SUS24" s="1472"/>
      <c r="SUT24" s="1472"/>
      <c r="SUU24" s="1472"/>
      <c r="SUV24" s="1473"/>
      <c r="SUW24" s="1471"/>
      <c r="SUX24" s="1472"/>
      <c r="SUY24" s="1472"/>
      <c r="SUZ24" s="1472"/>
      <c r="SVA24" s="1472"/>
      <c r="SVB24" s="1472"/>
      <c r="SVC24" s="1472"/>
      <c r="SVD24" s="1472"/>
      <c r="SVE24" s="1472"/>
      <c r="SVF24" s="1472"/>
      <c r="SVG24" s="1472"/>
      <c r="SVH24" s="1472"/>
      <c r="SVI24" s="1472"/>
      <c r="SVJ24" s="1473"/>
      <c r="SVK24" s="1471"/>
      <c r="SVL24" s="1472"/>
      <c r="SVM24" s="1472"/>
      <c r="SVN24" s="1472"/>
      <c r="SVO24" s="1472"/>
      <c r="SVP24" s="1472"/>
      <c r="SVQ24" s="1472"/>
      <c r="SVR24" s="1472"/>
      <c r="SVS24" s="1472"/>
      <c r="SVT24" s="1472"/>
      <c r="SVU24" s="1472"/>
      <c r="SVV24" s="1472"/>
      <c r="SVW24" s="1472"/>
      <c r="SVX24" s="1473"/>
      <c r="SVY24" s="1471"/>
      <c r="SVZ24" s="1472"/>
      <c r="SWA24" s="1472"/>
      <c r="SWB24" s="1472"/>
      <c r="SWC24" s="1472"/>
      <c r="SWD24" s="1472"/>
      <c r="SWE24" s="1472"/>
      <c r="SWF24" s="1472"/>
      <c r="SWG24" s="1472"/>
      <c r="SWH24" s="1472"/>
      <c r="SWI24" s="1472"/>
      <c r="SWJ24" s="1472"/>
      <c r="SWK24" s="1472"/>
      <c r="SWL24" s="1473"/>
      <c r="SWM24" s="1471"/>
      <c r="SWN24" s="1472"/>
      <c r="SWO24" s="1472"/>
      <c r="SWP24" s="1472"/>
      <c r="SWQ24" s="1472"/>
      <c r="SWR24" s="1472"/>
      <c r="SWS24" s="1472"/>
      <c r="SWT24" s="1472"/>
      <c r="SWU24" s="1472"/>
      <c r="SWV24" s="1472"/>
      <c r="SWW24" s="1472"/>
      <c r="SWX24" s="1472"/>
      <c r="SWY24" s="1472"/>
      <c r="SWZ24" s="1473"/>
      <c r="SXA24" s="1471"/>
      <c r="SXB24" s="1472"/>
      <c r="SXC24" s="1472"/>
      <c r="SXD24" s="1472"/>
      <c r="SXE24" s="1472"/>
      <c r="SXF24" s="1472"/>
      <c r="SXG24" s="1472"/>
      <c r="SXH24" s="1472"/>
      <c r="SXI24" s="1472"/>
      <c r="SXJ24" s="1472"/>
      <c r="SXK24" s="1472"/>
      <c r="SXL24" s="1472"/>
      <c r="SXM24" s="1472"/>
      <c r="SXN24" s="1473"/>
      <c r="SXO24" s="1471"/>
      <c r="SXP24" s="1472"/>
      <c r="SXQ24" s="1472"/>
      <c r="SXR24" s="1472"/>
      <c r="SXS24" s="1472"/>
      <c r="SXT24" s="1472"/>
      <c r="SXU24" s="1472"/>
      <c r="SXV24" s="1472"/>
      <c r="SXW24" s="1472"/>
      <c r="SXX24" s="1472"/>
      <c r="SXY24" s="1472"/>
      <c r="SXZ24" s="1472"/>
      <c r="SYA24" s="1472"/>
      <c r="SYB24" s="1473"/>
      <c r="SYC24" s="1471"/>
      <c r="SYD24" s="1472"/>
      <c r="SYE24" s="1472"/>
      <c r="SYF24" s="1472"/>
      <c r="SYG24" s="1472"/>
      <c r="SYH24" s="1472"/>
      <c r="SYI24" s="1472"/>
      <c r="SYJ24" s="1472"/>
      <c r="SYK24" s="1472"/>
      <c r="SYL24" s="1472"/>
      <c r="SYM24" s="1472"/>
      <c r="SYN24" s="1472"/>
      <c r="SYO24" s="1472"/>
      <c r="SYP24" s="1473"/>
      <c r="SYQ24" s="1471"/>
      <c r="SYR24" s="1472"/>
      <c r="SYS24" s="1472"/>
      <c r="SYT24" s="1472"/>
      <c r="SYU24" s="1472"/>
      <c r="SYV24" s="1472"/>
      <c r="SYW24" s="1472"/>
      <c r="SYX24" s="1472"/>
      <c r="SYY24" s="1472"/>
      <c r="SYZ24" s="1472"/>
      <c r="SZA24" s="1472"/>
      <c r="SZB24" s="1472"/>
      <c r="SZC24" s="1472"/>
      <c r="SZD24" s="1473"/>
      <c r="SZE24" s="1471"/>
      <c r="SZF24" s="1472"/>
      <c r="SZG24" s="1472"/>
      <c r="SZH24" s="1472"/>
      <c r="SZI24" s="1472"/>
      <c r="SZJ24" s="1472"/>
      <c r="SZK24" s="1472"/>
      <c r="SZL24" s="1472"/>
      <c r="SZM24" s="1472"/>
      <c r="SZN24" s="1472"/>
      <c r="SZO24" s="1472"/>
      <c r="SZP24" s="1472"/>
      <c r="SZQ24" s="1472"/>
      <c r="SZR24" s="1473"/>
      <c r="SZS24" s="1471"/>
      <c r="SZT24" s="1472"/>
      <c r="SZU24" s="1472"/>
      <c r="SZV24" s="1472"/>
      <c r="SZW24" s="1472"/>
      <c r="SZX24" s="1472"/>
      <c r="SZY24" s="1472"/>
      <c r="SZZ24" s="1472"/>
      <c r="TAA24" s="1472"/>
      <c r="TAB24" s="1472"/>
      <c r="TAC24" s="1472"/>
      <c r="TAD24" s="1472"/>
      <c r="TAE24" s="1472"/>
      <c r="TAF24" s="1473"/>
      <c r="TAG24" s="1471"/>
      <c r="TAH24" s="1472"/>
      <c r="TAI24" s="1472"/>
      <c r="TAJ24" s="1472"/>
      <c r="TAK24" s="1472"/>
      <c r="TAL24" s="1472"/>
      <c r="TAM24" s="1472"/>
      <c r="TAN24" s="1472"/>
      <c r="TAO24" s="1472"/>
      <c r="TAP24" s="1472"/>
      <c r="TAQ24" s="1472"/>
      <c r="TAR24" s="1472"/>
      <c r="TAS24" s="1472"/>
      <c r="TAT24" s="1473"/>
      <c r="TAU24" s="1471"/>
      <c r="TAV24" s="1472"/>
      <c r="TAW24" s="1472"/>
      <c r="TAX24" s="1472"/>
      <c r="TAY24" s="1472"/>
      <c r="TAZ24" s="1472"/>
      <c r="TBA24" s="1472"/>
      <c r="TBB24" s="1472"/>
      <c r="TBC24" s="1472"/>
      <c r="TBD24" s="1472"/>
      <c r="TBE24" s="1472"/>
      <c r="TBF24" s="1472"/>
      <c r="TBG24" s="1472"/>
      <c r="TBH24" s="1473"/>
      <c r="TBI24" s="1471"/>
      <c r="TBJ24" s="1472"/>
      <c r="TBK24" s="1472"/>
      <c r="TBL24" s="1472"/>
      <c r="TBM24" s="1472"/>
      <c r="TBN24" s="1472"/>
      <c r="TBO24" s="1472"/>
      <c r="TBP24" s="1472"/>
      <c r="TBQ24" s="1472"/>
      <c r="TBR24" s="1472"/>
      <c r="TBS24" s="1472"/>
      <c r="TBT24" s="1472"/>
      <c r="TBU24" s="1472"/>
      <c r="TBV24" s="1473"/>
      <c r="TBW24" s="1471"/>
      <c r="TBX24" s="1472"/>
      <c r="TBY24" s="1472"/>
      <c r="TBZ24" s="1472"/>
      <c r="TCA24" s="1472"/>
      <c r="TCB24" s="1472"/>
      <c r="TCC24" s="1472"/>
      <c r="TCD24" s="1472"/>
      <c r="TCE24" s="1472"/>
      <c r="TCF24" s="1472"/>
      <c r="TCG24" s="1472"/>
      <c r="TCH24" s="1472"/>
      <c r="TCI24" s="1472"/>
      <c r="TCJ24" s="1473"/>
      <c r="TCK24" s="1471"/>
      <c r="TCL24" s="1472"/>
      <c r="TCM24" s="1472"/>
      <c r="TCN24" s="1472"/>
      <c r="TCO24" s="1472"/>
      <c r="TCP24" s="1472"/>
      <c r="TCQ24" s="1472"/>
      <c r="TCR24" s="1472"/>
      <c r="TCS24" s="1472"/>
      <c r="TCT24" s="1472"/>
      <c r="TCU24" s="1472"/>
      <c r="TCV24" s="1472"/>
      <c r="TCW24" s="1472"/>
      <c r="TCX24" s="1473"/>
      <c r="TCY24" s="1471"/>
      <c r="TCZ24" s="1472"/>
      <c r="TDA24" s="1472"/>
      <c r="TDB24" s="1472"/>
      <c r="TDC24" s="1472"/>
      <c r="TDD24" s="1472"/>
      <c r="TDE24" s="1472"/>
      <c r="TDF24" s="1472"/>
      <c r="TDG24" s="1472"/>
      <c r="TDH24" s="1472"/>
      <c r="TDI24" s="1472"/>
      <c r="TDJ24" s="1472"/>
      <c r="TDK24" s="1472"/>
      <c r="TDL24" s="1473"/>
      <c r="TDM24" s="1471"/>
      <c r="TDN24" s="1472"/>
      <c r="TDO24" s="1472"/>
      <c r="TDP24" s="1472"/>
      <c r="TDQ24" s="1472"/>
      <c r="TDR24" s="1472"/>
      <c r="TDS24" s="1472"/>
      <c r="TDT24" s="1472"/>
      <c r="TDU24" s="1472"/>
      <c r="TDV24" s="1472"/>
      <c r="TDW24" s="1472"/>
      <c r="TDX24" s="1472"/>
      <c r="TDY24" s="1472"/>
      <c r="TDZ24" s="1473"/>
      <c r="TEA24" s="1471"/>
      <c r="TEB24" s="1472"/>
      <c r="TEC24" s="1472"/>
      <c r="TED24" s="1472"/>
      <c r="TEE24" s="1472"/>
      <c r="TEF24" s="1472"/>
      <c r="TEG24" s="1472"/>
      <c r="TEH24" s="1472"/>
      <c r="TEI24" s="1472"/>
      <c r="TEJ24" s="1472"/>
      <c r="TEK24" s="1472"/>
      <c r="TEL24" s="1472"/>
      <c r="TEM24" s="1472"/>
      <c r="TEN24" s="1473"/>
      <c r="TEO24" s="1471"/>
      <c r="TEP24" s="1472"/>
      <c r="TEQ24" s="1472"/>
      <c r="TER24" s="1472"/>
      <c r="TES24" s="1472"/>
      <c r="TET24" s="1472"/>
      <c r="TEU24" s="1472"/>
      <c r="TEV24" s="1472"/>
      <c r="TEW24" s="1472"/>
      <c r="TEX24" s="1472"/>
      <c r="TEY24" s="1472"/>
      <c r="TEZ24" s="1472"/>
      <c r="TFA24" s="1472"/>
      <c r="TFB24" s="1473"/>
      <c r="TFC24" s="1471"/>
      <c r="TFD24" s="1472"/>
      <c r="TFE24" s="1472"/>
      <c r="TFF24" s="1472"/>
      <c r="TFG24" s="1472"/>
      <c r="TFH24" s="1472"/>
      <c r="TFI24" s="1472"/>
      <c r="TFJ24" s="1472"/>
      <c r="TFK24" s="1472"/>
      <c r="TFL24" s="1472"/>
      <c r="TFM24" s="1472"/>
      <c r="TFN24" s="1472"/>
      <c r="TFO24" s="1472"/>
      <c r="TFP24" s="1473"/>
      <c r="TFQ24" s="1471"/>
      <c r="TFR24" s="1472"/>
      <c r="TFS24" s="1472"/>
      <c r="TFT24" s="1472"/>
      <c r="TFU24" s="1472"/>
      <c r="TFV24" s="1472"/>
      <c r="TFW24" s="1472"/>
      <c r="TFX24" s="1472"/>
      <c r="TFY24" s="1472"/>
      <c r="TFZ24" s="1472"/>
      <c r="TGA24" s="1472"/>
      <c r="TGB24" s="1472"/>
      <c r="TGC24" s="1472"/>
      <c r="TGD24" s="1473"/>
      <c r="TGE24" s="1471"/>
      <c r="TGF24" s="1472"/>
      <c r="TGG24" s="1472"/>
      <c r="TGH24" s="1472"/>
      <c r="TGI24" s="1472"/>
      <c r="TGJ24" s="1472"/>
      <c r="TGK24" s="1472"/>
      <c r="TGL24" s="1472"/>
      <c r="TGM24" s="1472"/>
      <c r="TGN24" s="1472"/>
      <c r="TGO24" s="1472"/>
      <c r="TGP24" s="1472"/>
      <c r="TGQ24" s="1472"/>
      <c r="TGR24" s="1473"/>
      <c r="TGS24" s="1471"/>
      <c r="TGT24" s="1472"/>
      <c r="TGU24" s="1472"/>
      <c r="TGV24" s="1472"/>
      <c r="TGW24" s="1472"/>
      <c r="TGX24" s="1472"/>
      <c r="TGY24" s="1472"/>
      <c r="TGZ24" s="1472"/>
      <c r="THA24" s="1472"/>
      <c r="THB24" s="1472"/>
      <c r="THC24" s="1472"/>
      <c r="THD24" s="1472"/>
      <c r="THE24" s="1472"/>
      <c r="THF24" s="1473"/>
      <c r="THG24" s="1471"/>
      <c r="THH24" s="1472"/>
      <c r="THI24" s="1472"/>
      <c r="THJ24" s="1472"/>
      <c r="THK24" s="1472"/>
      <c r="THL24" s="1472"/>
      <c r="THM24" s="1472"/>
      <c r="THN24" s="1472"/>
      <c r="THO24" s="1472"/>
      <c r="THP24" s="1472"/>
      <c r="THQ24" s="1472"/>
      <c r="THR24" s="1472"/>
      <c r="THS24" s="1472"/>
      <c r="THT24" s="1473"/>
      <c r="THU24" s="1471"/>
      <c r="THV24" s="1472"/>
      <c r="THW24" s="1472"/>
      <c r="THX24" s="1472"/>
      <c r="THY24" s="1472"/>
      <c r="THZ24" s="1472"/>
      <c r="TIA24" s="1472"/>
      <c r="TIB24" s="1472"/>
      <c r="TIC24" s="1472"/>
      <c r="TID24" s="1472"/>
      <c r="TIE24" s="1472"/>
      <c r="TIF24" s="1472"/>
      <c r="TIG24" s="1472"/>
      <c r="TIH24" s="1473"/>
      <c r="TII24" s="1471"/>
      <c r="TIJ24" s="1472"/>
      <c r="TIK24" s="1472"/>
      <c r="TIL24" s="1472"/>
      <c r="TIM24" s="1472"/>
      <c r="TIN24" s="1472"/>
      <c r="TIO24" s="1472"/>
      <c r="TIP24" s="1472"/>
      <c r="TIQ24" s="1472"/>
      <c r="TIR24" s="1472"/>
      <c r="TIS24" s="1472"/>
      <c r="TIT24" s="1472"/>
      <c r="TIU24" s="1472"/>
      <c r="TIV24" s="1473"/>
      <c r="TIW24" s="1471"/>
      <c r="TIX24" s="1472"/>
      <c r="TIY24" s="1472"/>
      <c r="TIZ24" s="1472"/>
      <c r="TJA24" s="1472"/>
      <c r="TJB24" s="1472"/>
      <c r="TJC24" s="1472"/>
      <c r="TJD24" s="1472"/>
      <c r="TJE24" s="1472"/>
      <c r="TJF24" s="1472"/>
      <c r="TJG24" s="1472"/>
      <c r="TJH24" s="1472"/>
      <c r="TJI24" s="1472"/>
      <c r="TJJ24" s="1473"/>
      <c r="TJK24" s="1471"/>
      <c r="TJL24" s="1472"/>
      <c r="TJM24" s="1472"/>
      <c r="TJN24" s="1472"/>
      <c r="TJO24" s="1472"/>
      <c r="TJP24" s="1472"/>
      <c r="TJQ24" s="1472"/>
      <c r="TJR24" s="1472"/>
      <c r="TJS24" s="1472"/>
      <c r="TJT24" s="1472"/>
      <c r="TJU24" s="1472"/>
      <c r="TJV24" s="1472"/>
      <c r="TJW24" s="1472"/>
      <c r="TJX24" s="1473"/>
      <c r="TJY24" s="1471"/>
      <c r="TJZ24" s="1472"/>
      <c r="TKA24" s="1472"/>
      <c r="TKB24" s="1472"/>
      <c r="TKC24" s="1472"/>
      <c r="TKD24" s="1472"/>
      <c r="TKE24" s="1472"/>
      <c r="TKF24" s="1472"/>
      <c r="TKG24" s="1472"/>
      <c r="TKH24" s="1472"/>
      <c r="TKI24" s="1472"/>
      <c r="TKJ24" s="1472"/>
      <c r="TKK24" s="1472"/>
      <c r="TKL24" s="1473"/>
      <c r="TKM24" s="1471"/>
      <c r="TKN24" s="1472"/>
      <c r="TKO24" s="1472"/>
      <c r="TKP24" s="1472"/>
      <c r="TKQ24" s="1472"/>
      <c r="TKR24" s="1472"/>
      <c r="TKS24" s="1472"/>
      <c r="TKT24" s="1472"/>
      <c r="TKU24" s="1472"/>
      <c r="TKV24" s="1472"/>
      <c r="TKW24" s="1472"/>
      <c r="TKX24" s="1472"/>
      <c r="TKY24" s="1472"/>
      <c r="TKZ24" s="1473"/>
      <c r="TLA24" s="1471"/>
      <c r="TLB24" s="1472"/>
      <c r="TLC24" s="1472"/>
      <c r="TLD24" s="1472"/>
      <c r="TLE24" s="1472"/>
      <c r="TLF24" s="1472"/>
      <c r="TLG24" s="1472"/>
      <c r="TLH24" s="1472"/>
      <c r="TLI24" s="1472"/>
      <c r="TLJ24" s="1472"/>
      <c r="TLK24" s="1472"/>
      <c r="TLL24" s="1472"/>
      <c r="TLM24" s="1472"/>
      <c r="TLN24" s="1473"/>
      <c r="TLO24" s="1471"/>
      <c r="TLP24" s="1472"/>
      <c r="TLQ24" s="1472"/>
      <c r="TLR24" s="1472"/>
      <c r="TLS24" s="1472"/>
      <c r="TLT24" s="1472"/>
      <c r="TLU24" s="1472"/>
      <c r="TLV24" s="1472"/>
      <c r="TLW24" s="1472"/>
      <c r="TLX24" s="1472"/>
      <c r="TLY24" s="1472"/>
      <c r="TLZ24" s="1472"/>
      <c r="TMA24" s="1472"/>
      <c r="TMB24" s="1473"/>
      <c r="TMC24" s="1471"/>
      <c r="TMD24" s="1472"/>
      <c r="TME24" s="1472"/>
      <c r="TMF24" s="1472"/>
      <c r="TMG24" s="1472"/>
      <c r="TMH24" s="1472"/>
      <c r="TMI24" s="1472"/>
      <c r="TMJ24" s="1472"/>
      <c r="TMK24" s="1472"/>
      <c r="TML24" s="1472"/>
      <c r="TMM24" s="1472"/>
      <c r="TMN24" s="1472"/>
      <c r="TMO24" s="1472"/>
      <c r="TMP24" s="1473"/>
      <c r="TMQ24" s="1471"/>
      <c r="TMR24" s="1472"/>
      <c r="TMS24" s="1472"/>
      <c r="TMT24" s="1472"/>
      <c r="TMU24" s="1472"/>
      <c r="TMV24" s="1472"/>
      <c r="TMW24" s="1472"/>
      <c r="TMX24" s="1472"/>
      <c r="TMY24" s="1472"/>
      <c r="TMZ24" s="1472"/>
      <c r="TNA24" s="1472"/>
      <c r="TNB24" s="1472"/>
      <c r="TNC24" s="1472"/>
      <c r="TND24" s="1473"/>
      <c r="TNE24" s="1471"/>
      <c r="TNF24" s="1472"/>
      <c r="TNG24" s="1472"/>
      <c r="TNH24" s="1472"/>
      <c r="TNI24" s="1472"/>
      <c r="TNJ24" s="1472"/>
      <c r="TNK24" s="1472"/>
      <c r="TNL24" s="1472"/>
      <c r="TNM24" s="1472"/>
      <c r="TNN24" s="1472"/>
      <c r="TNO24" s="1472"/>
      <c r="TNP24" s="1472"/>
      <c r="TNQ24" s="1472"/>
      <c r="TNR24" s="1473"/>
      <c r="TNS24" s="1471"/>
      <c r="TNT24" s="1472"/>
      <c r="TNU24" s="1472"/>
      <c r="TNV24" s="1472"/>
      <c r="TNW24" s="1472"/>
      <c r="TNX24" s="1472"/>
      <c r="TNY24" s="1472"/>
      <c r="TNZ24" s="1472"/>
      <c r="TOA24" s="1472"/>
      <c r="TOB24" s="1472"/>
      <c r="TOC24" s="1472"/>
      <c r="TOD24" s="1472"/>
      <c r="TOE24" s="1472"/>
      <c r="TOF24" s="1473"/>
      <c r="TOG24" s="1471"/>
      <c r="TOH24" s="1472"/>
      <c r="TOI24" s="1472"/>
      <c r="TOJ24" s="1472"/>
      <c r="TOK24" s="1472"/>
      <c r="TOL24" s="1472"/>
      <c r="TOM24" s="1472"/>
      <c r="TON24" s="1472"/>
      <c r="TOO24" s="1472"/>
      <c r="TOP24" s="1472"/>
      <c r="TOQ24" s="1472"/>
      <c r="TOR24" s="1472"/>
      <c r="TOS24" s="1472"/>
      <c r="TOT24" s="1473"/>
      <c r="TOU24" s="1471"/>
      <c r="TOV24" s="1472"/>
      <c r="TOW24" s="1472"/>
      <c r="TOX24" s="1472"/>
      <c r="TOY24" s="1472"/>
      <c r="TOZ24" s="1472"/>
      <c r="TPA24" s="1472"/>
      <c r="TPB24" s="1472"/>
      <c r="TPC24" s="1472"/>
      <c r="TPD24" s="1472"/>
      <c r="TPE24" s="1472"/>
      <c r="TPF24" s="1472"/>
      <c r="TPG24" s="1472"/>
      <c r="TPH24" s="1473"/>
      <c r="TPI24" s="1471"/>
      <c r="TPJ24" s="1472"/>
      <c r="TPK24" s="1472"/>
      <c r="TPL24" s="1472"/>
      <c r="TPM24" s="1472"/>
      <c r="TPN24" s="1472"/>
      <c r="TPO24" s="1472"/>
      <c r="TPP24" s="1472"/>
      <c r="TPQ24" s="1472"/>
      <c r="TPR24" s="1472"/>
      <c r="TPS24" s="1472"/>
      <c r="TPT24" s="1472"/>
      <c r="TPU24" s="1472"/>
      <c r="TPV24" s="1473"/>
      <c r="TPW24" s="1471"/>
      <c r="TPX24" s="1472"/>
      <c r="TPY24" s="1472"/>
      <c r="TPZ24" s="1472"/>
      <c r="TQA24" s="1472"/>
      <c r="TQB24" s="1472"/>
      <c r="TQC24" s="1472"/>
      <c r="TQD24" s="1472"/>
      <c r="TQE24" s="1472"/>
      <c r="TQF24" s="1472"/>
      <c r="TQG24" s="1472"/>
      <c r="TQH24" s="1472"/>
      <c r="TQI24" s="1472"/>
      <c r="TQJ24" s="1473"/>
      <c r="TQK24" s="1471"/>
      <c r="TQL24" s="1472"/>
      <c r="TQM24" s="1472"/>
      <c r="TQN24" s="1472"/>
      <c r="TQO24" s="1472"/>
      <c r="TQP24" s="1472"/>
      <c r="TQQ24" s="1472"/>
      <c r="TQR24" s="1472"/>
      <c r="TQS24" s="1472"/>
      <c r="TQT24" s="1472"/>
      <c r="TQU24" s="1472"/>
      <c r="TQV24" s="1472"/>
      <c r="TQW24" s="1472"/>
      <c r="TQX24" s="1473"/>
      <c r="TQY24" s="1471"/>
      <c r="TQZ24" s="1472"/>
      <c r="TRA24" s="1472"/>
      <c r="TRB24" s="1472"/>
      <c r="TRC24" s="1472"/>
      <c r="TRD24" s="1472"/>
      <c r="TRE24" s="1472"/>
      <c r="TRF24" s="1472"/>
      <c r="TRG24" s="1472"/>
      <c r="TRH24" s="1472"/>
      <c r="TRI24" s="1472"/>
      <c r="TRJ24" s="1472"/>
      <c r="TRK24" s="1472"/>
      <c r="TRL24" s="1473"/>
      <c r="TRM24" s="1471"/>
      <c r="TRN24" s="1472"/>
      <c r="TRO24" s="1472"/>
      <c r="TRP24" s="1472"/>
      <c r="TRQ24" s="1472"/>
      <c r="TRR24" s="1472"/>
      <c r="TRS24" s="1472"/>
      <c r="TRT24" s="1472"/>
      <c r="TRU24" s="1472"/>
      <c r="TRV24" s="1472"/>
      <c r="TRW24" s="1472"/>
      <c r="TRX24" s="1472"/>
      <c r="TRY24" s="1472"/>
      <c r="TRZ24" s="1473"/>
      <c r="TSA24" s="1471"/>
      <c r="TSB24" s="1472"/>
      <c r="TSC24" s="1472"/>
      <c r="TSD24" s="1472"/>
      <c r="TSE24" s="1472"/>
      <c r="TSF24" s="1472"/>
      <c r="TSG24" s="1472"/>
      <c r="TSH24" s="1472"/>
      <c r="TSI24" s="1472"/>
      <c r="TSJ24" s="1472"/>
      <c r="TSK24" s="1472"/>
      <c r="TSL24" s="1472"/>
      <c r="TSM24" s="1472"/>
      <c r="TSN24" s="1473"/>
      <c r="TSO24" s="1471"/>
      <c r="TSP24" s="1472"/>
      <c r="TSQ24" s="1472"/>
      <c r="TSR24" s="1472"/>
      <c r="TSS24" s="1472"/>
      <c r="TST24" s="1472"/>
      <c r="TSU24" s="1472"/>
      <c r="TSV24" s="1472"/>
      <c r="TSW24" s="1472"/>
      <c r="TSX24" s="1472"/>
      <c r="TSY24" s="1472"/>
      <c r="TSZ24" s="1472"/>
      <c r="TTA24" s="1472"/>
      <c r="TTB24" s="1473"/>
      <c r="TTC24" s="1471"/>
      <c r="TTD24" s="1472"/>
      <c r="TTE24" s="1472"/>
      <c r="TTF24" s="1472"/>
      <c r="TTG24" s="1472"/>
      <c r="TTH24" s="1472"/>
      <c r="TTI24" s="1472"/>
      <c r="TTJ24" s="1472"/>
      <c r="TTK24" s="1472"/>
      <c r="TTL24" s="1472"/>
      <c r="TTM24" s="1472"/>
      <c r="TTN24" s="1472"/>
      <c r="TTO24" s="1472"/>
      <c r="TTP24" s="1473"/>
      <c r="TTQ24" s="1471"/>
      <c r="TTR24" s="1472"/>
      <c r="TTS24" s="1472"/>
      <c r="TTT24" s="1472"/>
      <c r="TTU24" s="1472"/>
      <c r="TTV24" s="1472"/>
      <c r="TTW24" s="1472"/>
      <c r="TTX24" s="1472"/>
      <c r="TTY24" s="1472"/>
      <c r="TTZ24" s="1472"/>
      <c r="TUA24" s="1472"/>
      <c r="TUB24" s="1472"/>
      <c r="TUC24" s="1472"/>
      <c r="TUD24" s="1473"/>
      <c r="TUE24" s="1471"/>
      <c r="TUF24" s="1472"/>
      <c r="TUG24" s="1472"/>
      <c r="TUH24" s="1472"/>
      <c r="TUI24" s="1472"/>
      <c r="TUJ24" s="1472"/>
      <c r="TUK24" s="1472"/>
      <c r="TUL24" s="1472"/>
      <c r="TUM24" s="1472"/>
      <c r="TUN24" s="1472"/>
      <c r="TUO24" s="1472"/>
      <c r="TUP24" s="1472"/>
      <c r="TUQ24" s="1472"/>
      <c r="TUR24" s="1473"/>
      <c r="TUS24" s="1471"/>
      <c r="TUT24" s="1472"/>
      <c r="TUU24" s="1472"/>
      <c r="TUV24" s="1472"/>
      <c r="TUW24" s="1472"/>
      <c r="TUX24" s="1472"/>
      <c r="TUY24" s="1472"/>
      <c r="TUZ24" s="1472"/>
      <c r="TVA24" s="1472"/>
      <c r="TVB24" s="1472"/>
      <c r="TVC24" s="1472"/>
      <c r="TVD24" s="1472"/>
      <c r="TVE24" s="1472"/>
      <c r="TVF24" s="1473"/>
      <c r="TVG24" s="1471"/>
      <c r="TVH24" s="1472"/>
      <c r="TVI24" s="1472"/>
      <c r="TVJ24" s="1472"/>
      <c r="TVK24" s="1472"/>
      <c r="TVL24" s="1472"/>
      <c r="TVM24" s="1472"/>
      <c r="TVN24" s="1472"/>
      <c r="TVO24" s="1472"/>
      <c r="TVP24" s="1472"/>
      <c r="TVQ24" s="1472"/>
      <c r="TVR24" s="1472"/>
      <c r="TVS24" s="1472"/>
      <c r="TVT24" s="1473"/>
      <c r="TVU24" s="1471"/>
      <c r="TVV24" s="1472"/>
      <c r="TVW24" s="1472"/>
      <c r="TVX24" s="1472"/>
      <c r="TVY24" s="1472"/>
      <c r="TVZ24" s="1472"/>
      <c r="TWA24" s="1472"/>
      <c r="TWB24" s="1472"/>
      <c r="TWC24" s="1472"/>
      <c r="TWD24" s="1472"/>
      <c r="TWE24" s="1472"/>
      <c r="TWF24" s="1472"/>
      <c r="TWG24" s="1472"/>
      <c r="TWH24" s="1473"/>
      <c r="TWI24" s="1471"/>
      <c r="TWJ24" s="1472"/>
      <c r="TWK24" s="1472"/>
      <c r="TWL24" s="1472"/>
      <c r="TWM24" s="1472"/>
      <c r="TWN24" s="1472"/>
      <c r="TWO24" s="1472"/>
      <c r="TWP24" s="1472"/>
      <c r="TWQ24" s="1472"/>
      <c r="TWR24" s="1472"/>
      <c r="TWS24" s="1472"/>
      <c r="TWT24" s="1472"/>
      <c r="TWU24" s="1472"/>
      <c r="TWV24" s="1473"/>
      <c r="TWW24" s="1471"/>
      <c r="TWX24" s="1472"/>
      <c r="TWY24" s="1472"/>
      <c r="TWZ24" s="1472"/>
      <c r="TXA24" s="1472"/>
      <c r="TXB24" s="1472"/>
      <c r="TXC24" s="1472"/>
      <c r="TXD24" s="1472"/>
      <c r="TXE24" s="1472"/>
      <c r="TXF24" s="1472"/>
      <c r="TXG24" s="1472"/>
      <c r="TXH24" s="1472"/>
      <c r="TXI24" s="1472"/>
      <c r="TXJ24" s="1473"/>
      <c r="TXK24" s="1471"/>
      <c r="TXL24" s="1472"/>
      <c r="TXM24" s="1472"/>
      <c r="TXN24" s="1472"/>
      <c r="TXO24" s="1472"/>
      <c r="TXP24" s="1472"/>
      <c r="TXQ24" s="1472"/>
      <c r="TXR24" s="1472"/>
      <c r="TXS24" s="1472"/>
      <c r="TXT24" s="1472"/>
      <c r="TXU24" s="1472"/>
      <c r="TXV24" s="1472"/>
      <c r="TXW24" s="1472"/>
      <c r="TXX24" s="1473"/>
      <c r="TXY24" s="1471"/>
      <c r="TXZ24" s="1472"/>
      <c r="TYA24" s="1472"/>
      <c r="TYB24" s="1472"/>
      <c r="TYC24" s="1472"/>
      <c r="TYD24" s="1472"/>
      <c r="TYE24" s="1472"/>
      <c r="TYF24" s="1472"/>
      <c r="TYG24" s="1472"/>
      <c r="TYH24" s="1472"/>
      <c r="TYI24" s="1472"/>
      <c r="TYJ24" s="1472"/>
      <c r="TYK24" s="1472"/>
      <c r="TYL24" s="1473"/>
      <c r="TYM24" s="1471"/>
      <c r="TYN24" s="1472"/>
      <c r="TYO24" s="1472"/>
      <c r="TYP24" s="1472"/>
      <c r="TYQ24" s="1472"/>
      <c r="TYR24" s="1472"/>
      <c r="TYS24" s="1472"/>
      <c r="TYT24" s="1472"/>
      <c r="TYU24" s="1472"/>
      <c r="TYV24" s="1472"/>
      <c r="TYW24" s="1472"/>
      <c r="TYX24" s="1472"/>
      <c r="TYY24" s="1472"/>
      <c r="TYZ24" s="1473"/>
      <c r="TZA24" s="1471"/>
      <c r="TZB24" s="1472"/>
      <c r="TZC24" s="1472"/>
      <c r="TZD24" s="1472"/>
      <c r="TZE24" s="1472"/>
      <c r="TZF24" s="1472"/>
      <c r="TZG24" s="1472"/>
      <c r="TZH24" s="1472"/>
      <c r="TZI24" s="1472"/>
      <c r="TZJ24" s="1472"/>
      <c r="TZK24" s="1472"/>
      <c r="TZL24" s="1472"/>
      <c r="TZM24" s="1472"/>
      <c r="TZN24" s="1473"/>
      <c r="TZO24" s="1471"/>
      <c r="TZP24" s="1472"/>
      <c r="TZQ24" s="1472"/>
      <c r="TZR24" s="1472"/>
      <c r="TZS24" s="1472"/>
      <c r="TZT24" s="1472"/>
      <c r="TZU24" s="1472"/>
      <c r="TZV24" s="1472"/>
      <c r="TZW24" s="1472"/>
      <c r="TZX24" s="1472"/>
      <c r="TZY24" s="1472"/>
      <c r="TZZ24" s="1472"/>
      <c r="UAA24" s="1472"/>
      <c r="UAB24" s="1473"/>
      <c r="UAC24" s="1471"/>
      <c r="UAD24" s="1472"/>
      <c r="UAE24" s="1472"/>
      <c r="UAF24" s="1472"/>
      <c r="UAG24" s="1472"/>
      <c r="UAH24" s="1472"/>
      <c r="UAI24" s="1472"/>
      <c r="UAJ24" s="1472"/>
      <c r="UAK24" s="1472"/>
      <c r="UAL24" s="1472"/>
      <c r="UAM24" s="1472"/>
      <c r="UAN24" s="1472"/>
      <c r="UAO24" s="1472"/>
      <c r="UAP24" s="1473"/>
      <c r="UAQ24" s="1471"/>
      <c r="UAR24" s="1472"/>
      <c r="UAS24" s="1472"/>
      <c r="UAT24" s="1472"/>
      <c r="UAU24" s="1472"/>
      <c r="UAV24" s="1472"/>
      <c r="UAW24" s="1472"/>
      <c r="UAX24" s="1472"/>
      <c r="UAY24" s="1472"/>
      <c r="UAZ24" s="1472"/>
      <c r="UBA24" s="1472"/>
      <c r="UBB24" s="1472"/>
      <c r="UBC24" s="1472"/>
      <c r="UBD24" s="1473"/>
      <c r="UBE24" s="1471"/>
      <c r="UBF24" s="1472"/>
      <c r="UBG24" s="1472"/>
      <c r="UBH24" s="1472"/>
      <c r="UBI24" s="1472"/>
      <c r="UBJ24" s="1472"/>
      <c r="UBK24" s="1472"/>
      <c r="UBL24" s="1472"/>
      <c r="UBM24" s="1472"/>
      <c r="UBN24" s="1472"/>
      <c r="UBO24" s="1472"/>
      <c r="UBP24" s="1472"/>
      <c r="UBQ24" s="1472"/>
      <c r="UBR24" s="1473"/>
      <c r="UBS24" s="1471"/>
      <c r="UBT24" s="1472"/>
      <c r="UBU24" s="1472"/>
      <c r="UBV24" s="1472"/>
      <c r="UBW24" s="1472"/>
      <c r="UBX24" s="1472"/>
      <c r="UBY24" s="1472"/>
      <c r="UBZ24" s="1472"/>
      <c r="UCA24" s="1472"/>
      <c r="UCB24" s="1472"/>
      <c r="UCC24" s="1472"/>
      <c r="UCD24" s="1472"/>
      <c r="UCE24" s="1472"/>
      <c r="UCF24" s="1473"/>
      <c r="UCG24" s="1471"/>
      <c r="UCH24" s="1472"/>
      <c r="UCI24" s="1472"/>
      <c r="UCJ24" s="1472"/>
      <c r="UCK24" s="1472"/>
      <c r="UCL24" s="1472"/>
      <c r="UCM24" s="1472"/>
      <c r="UCN24" s="1472"/>
      <c r="UCO24" s="1472"/>
      <c r="UCP24" s="1472"/>
      <c r="UCQ24" s="1472"/>
      <c r="UCR24" s="1472"/>
      <c r="UCS24" s="1472"/>
      <c r="UCT24" s="1473"/>
      <c r="UCU24" s="1471"/>
      <c r="UCV24" s="1472"/>
      <c r="UCW24" s="1472"/>
      <c r="UCX24" s="1472"/>
      <c r="UCY24" s="1472"/>
      <c r="UCZ24" s="1472"/>
      <c r="UDA24" s="1472"/>
      <c r="UDB24" s="1472"/>
      <c r="UDC24" s="1472"/>
      <c r="UDD24" s="1472"/>
      <c r="UDE24" s="1472"/>
      <c r="UDF24" s="1472"/>
      <c r="UDG24" s="1472"/>
      <c r="UDH24" s="1473"/>
      <c r="UDI24" s="1471"/>
      <c r="UDJ24" s="1472"/>
      <c r="UDK24" s="1472"/>
      <c r="UDL24" s="1472"/>
      <c r="UDM24" s="1472"/>
      <c r="UDN24" s="1472"/>
      <c r="UDO24" s="1472"/>
      <c r="UDP24" s="1472"/>
      <c r="UDQ24" s="1472"/>
      <c r="UDR24" s="1472"/>
      <c r="UDS24" s="1472"/>
      <c r="UDT24" s="1472"/>
      <c r="UDU24" s="1472"/>
      <c r="UDV24" s="1473"/>
      <c r="UDW24" s="1471"/>
      <c r="UDX24" s="1472"/>
      <c r="UDY24" s="1472"/>
      <c r="UDZ24" s="1472"/>
      <c r="UEA24" s="1472"/>
      <c r="UEB24" s="1472"/>
      <c r="UEC24" s="1472"/>
      <c r="UED24" s="1472"/>
      <c r="UEE24" s="1472"/>
      <c r="UEF24" s="1472"/>
      <c r="UEG24" s="1472"/>
      <c r="UEH24" s="1472"/>
      <c r="UEI24" s="1472"/>
      <c r="UEJ24" s="1473"/>
      <c r="UEK24" s="1471"/>
      <c r="UEL24" s="1472"/>
      <c r="UEM24" s="1472"/>
      <c r="UEN24" s="1472"/>
      <c r="UEO24" s="1472"/>
      <c r="UEP24" s="1472"/>
      <c r="UEQ24" s="1472"/>
      <c r="UER24" s="1472"/>
      <c r="UES24" s="1472"/>
      <c r="UET24" s="1472"/>
      <c r="UEU24" s="1472"/>
      <c r="UEV24" s="1472"/>
      <c r="UEW24" s="1472"/>
      <c r="UEX24" s="1473"/>
      <c r="UEY24" s="1471"/>
      <c r="UEZ24" s="1472"/>
      <c r="UFA24" s="1472"/>
      <c r="UFB24" s="1472"/>
      <c r="UFC24" s="1472"/>
      <c r="UFD24" s="1472"/>
      <c r="UFE24" s="1472"/>
      <c r="UFF24" s="1472"/>
      <c r="UFG24" s="1472"/>
      <c r="UFH24" s="1472"/>
      <c r="UFI24" s="1472"/>
      <c r="UFJ24" s="1472"/>
      <c r="UFK24" s="1472"/>
      <c r="UFL24" s="1473"/>
      <c r="UFM24" s="1471"/>
      <c r="UFN24" s="1472"/>
      <c r="UFO24" s="1472"/>
      <c r="UFP24" s="1472"/>
      <c r="UFQ24" s="1472"/>
      <c r="UFR24" s="1472"/>
      <c r="UFS24" s="1472"/>
      <c r="UFT24" s="1472"/>
      <c r="UFU24" s="1472"/>
      <c r="UFV24" s="1472"/>
      <c r="UFW24" s="1472"/>
      <c r="UFX24" s="1472"/>
      <c r="UFY24" s="1472"/>
      <c r="UFZ24" s="1473"/>
      <c r="UGA24" s="1471"/>
      <c r="UGB24" s="1472"/>
      <c r="UGC24" s="1472"/>
      <c r="UGD24" s="1472"/>
      <c r="UGE24" s="1472"/>
      <c r="UGF24" s="1472"/>
      <c r="UGG24" s="1472"/>
      <c r="UGH24" s="1472"/>
      <c r="UGI24" s="1472"/>
      <c r="UGJ24" s="1472"/>
      <c r="UGK24" s="1472"/>
      <c r="UGL24" s="1472"/>
      <c r="UGM24" s="1472"/>
      <c r="UGN24" s="1473"/>
      <c r="UGO24" s="1471"/>
      <c r="UGP24" s="1472"/>
      <c r="UGQ24" s="1472"/>
      <c r="UGR24" s="1472"/>
      <c r="UGS24" s="1472"/>
      <c r="UGT24" s="1472"/>
      <c r="UGU24" s="1472"/>
      <c r="UGV24" s="1472"/>
      <c r="UGW24" s="1472"/>
      <c r="UGX24" s="1472"/>
      <c r="UGY24" s="1472"/>
      <c r="UGZ24" s="1472"/>
      <c r="UHA24" s="1472"/>
      <c r="UHB24" s="1473"/>
      <c r="UHC24" s="1471"/>
      <c r="UHD24" s="1472"/>
      <c r="UHE24" s="1472"/>
      <c r="UHF24" s="1472"/>
      <c r="UHG24" s="1472"/>
      <c r="UHH24" s="1472"/>
      <c r="UHI24" s="1472"/>
      <c r="UHJ24" s="1472"/>
      <c r="UHK24" s="1472"/>
      <c r="UHL24" s="1472"/>
      <c r="UHM24" s="1472"/>
      <c r="UHN24" s="1472"/>
      <c r="UHO24" s="1472"/>
      <c r="UHP24" s="1473"/>
      <c r="UHQ24" s="1471"/>
      <c r="UHR24" s="1472"/>
      <c r="UHS24" s="1472"/>
      <c r="UHT24" s="1472"/>
      <c r="UHU24" s="1472"/>
      <c r="UHV24" s="1472"/>
      <c r="UHW24" s="1472"/>
      <c r="UHX24" s="1472"/>
      <c r="UHY24" s="1472"/>
      <c r="UHZ24" s="1472"/>
      <c r="UIA24" s="1472"/>
      <c r="UIB24" s="1472"/>
      <c r="UIC24" s="1472"/>
      <c r="UID24" s="1473"/>
      <c r="UIE24" s="1471"/>
      <c r="UIF24" s="1472"/>
      <c r="UIG24" s="1472"/>
      <c r="UIH24" s="1472"/>
      <c r="UII24" s="1472"/>
      <c r="UIJ24" s="1472"/>
      <c r="UIK24" s="1472"/>
      <c r="UIL24" s="1472"/>
      <c r="UIM24" s="1472"/>
      <c r="UIN24" s="1472"/>
      <c r="UIO24" s="1472"/>
      <c r="UIP24" s="1472"/>
      <c r="UIQ24" s="1472"/>
      <c r="UIR24" s="1473"/>
      <c r="UIS24" s="1471"/>
      <c r="UIT24" s="1472"/>
      <c r="UIU24" s="1472"/>
      <c r="UIV24" s="1472"/>
      <c r="UIW24" s="1472"/>
      <c r="UIX24" s="1472"/>
      <c r="UIY24" s="1472"/>
      <c r="UIZ24" s="1472"/>
      <c r="UJA24" s="1472"/>
      <c r="UJB24" s="1472"/>
      <c r="UJC24" s="1472"/>
      <c r="UJD24" s="1472"/>
      <c r="UJE24" s="1472"/>
      <c r="UJF24" s="1473"/>
      <c r="UJG24" s="1471"/>
      <c r="UJH24" s="1472"/>
      <c r="UJI24" s="1472"/>
      <c r="UJJ24" s="1472"/>
      <c r="UJK24" s="1472"/>
      <c r="UJL24" s="1472"/>
      <c r="UJM24" s="1472"/>
      <c r="UJN24" s="1472"/>
      <c r="UJO24" s="1472"/>
      <c r="UJP24" s="1472"/>
      <c r="UJQ24" s="1472"/>
      <c r="UJR24" s="1472"/>
      <c r="UJS24" s="1472"/>
      <c r="UJT24" s="1473"/>
      <c r="UJU24" s="1471"/>
      <c r="UJV24" s="1472"/>
      <c r="UJW24" s="1472"/>
      <c r="UJX24" s="1472"/>
      <c r="UJY24" s="1472"/>
      <c r="UJZ24" s="1472"/>
      <c r="UKA24" s="1472"/>
      <c r="UKB24" s="1472"/>
      <c r="UKC24" s="1472"/>
      <c r="UKD24" s="1472"/>
      <c r="UKE24" s="1472"/>
      <c r="UKF24" s="1472"/>
      <c r="UKG24" s="1472"/>
      <c r="UKH24" s="1473"/>
      <c r="UKI24" s="1471"/>
      <c r="UKJ24" s="1472"/>
      <c r="UKK24" s="1472"/>
      <c r="UKL24" s="1472"/>
      <c r="UKM24" s="1472"/>
      <c r="UKN24" s="1472"/>
      <c r="UKO24" s="1472"/>
      <c r="UKP24" s="1472"/>
      <c r="UKQ24" s="1472"/>
      <c r="UKR24" s="1472"/>
      <c r="UKS24" s="1472"/>
      <c r="UKT24" s="1472"/>
      <c r="UKU24" s="1472"/>
      <c r="UKV24" s="1473"/>
      <c r="UKW24" s="1471"/>
      <c r="UKX24" s="1472"/>
      <c r="UKY24" s="1472"/>
      <c r="UKZ24" s="1472"/>
      <c r="ULA24" s="1472"/>
      <c r="ULB24" s="1472"/>
      <c r="ULC24" s="1472"/>
      <c r="ULD24" s="1472"/>
      <c r="ULE24" s="1472"/>
      <c r="ULF24" s="1472"/>
      <c r="ULG24" s="1472"/>
      <c r="ULH24" s="1472"/>
      <c r="ULI24" s="1472"/>
      <c r="ULJ24" s="1473"/>
      <c r="ULK24" s="1471"/>
      <c r="ULL24" s="1472"/>
      <c r="ULM24" s="1472"/>
      <c r="ULN24" s="1472"/>
      <c r="ULO24" s="1472"/>
      <c r="ULP24" s="1472"/>
      <c r="ULQ24" s="1472"/>
      <c r="ULR24" s="1472"/>
      <c r="ULS24" s="1472"/>
      <c r="ULT24" s="1472"/>
      <c r="ULU24" s="1472"/>
      <c r="ULV24" s="1472"/>
      <c r="ULW24" s="1472"/>
      <c r="ULX24" s="1473"/>
      <c r="ULY24" s="1471"/>
      <c r="ULZ24" s="1472"/>
      <c r="UMA24" s="1472"/>
      <c r="UMB24" s="1472"/>
      <c r="UMC24" s="1472"/>
      <c r="UMD24" s="1472"/>
      <c r="UME24" s="1472"/>
      <c r="UMF24" s="1472"/>
      <c r="UMG24" s="1472"/>
      <c r="UMH24" s="1472"/>
      <c r="UMI24" s="1472"/>
      <c r="UMJ24" s="1472"/>
      <c r="UMK24" s="1472"/>
      <c r="UML24" s="1473"/>
      <c r="UMM24" s="1471"/>
      <c r="UMN24" s="1472"/>
      <c r="UMO24" s="1472"/>
      <c r="UMP24" s="1472"/>
      <c r="UMQ24" s="1472"/>
      <c r="UMR24" s="1472"/>
      <c r="UMS24" s="1472"/>
      <c r="UMT24" s="1472"/>
      <c r="UMU24" s="1472"/>
      <c r="UMV24" s="1472"/>
      <c r="UMW24" s="1472"/>
      <c r="UMX24" s="1472"/>
      <c r="UMY24" s="1472"/>
      <c r="UMZ24" s="1473"/>
      <c r="UNA24" s="1471"/>
      <c r="UNB24" s="1472"/>
      <c r="UNC24" s="1472"/>
      <c r="UND24" s="1472"/>
      <c r="UNE24" s="1472"/>
      <c r="UNF24" s="1472"/>
      <c r="UNG24" s="1472"/>
      <c r="UNH24" s="1472"/>
      <c r="UNI24" s="1472"/>
      <c r="UNJ24" s="1472"/>
      <c r="UNK24" s="1472"/>
      <c r="UNL24" s="1472"/>
      <c r="UNM24" s="1472"/>
      <c r="UNN24" s="1473"/>
      <c r="UNO24" s="1471"/>
      <c r="UNP24" s="1472"/>
      <c r="UNQ24" s="1472"/>
      <c r="UNR24" s="1472"/>
      <c r="UNS24" s="1472"/>
      <c r="UNT24" s="1472"/>
      <c r="UNU24" s="1472"/>
      <c r="UNV24" s="1472"/>
      <c r="UNW24" s="1472"/>
      <c r="UNX24" s="1472"/>
      <c r="UNY24" s="1472"/>
      <c r="UNZ24" s="1472"/>
      <c r="UOA24" s="1472"/>
      <c r="UOB24" s="1473"/>
      <c r="UOC24" s="1471"/>
      <c r="UOD24" s="1472"/>
      <c r="UOE24" s="1472"/>
      <c r="UOF24" s="1472"/>
      <c r="UOG24" s="1472"/>
      <c r="UOH24" s="1472"/>
      <c r="UOI24" s="1472"/>
      <c r="UOJ24" s="1472"/>
      <c r="UOK24" s="1472"/>
      <c r="UOL24" s="1472"/>
      <c r="UOM24" s="1472"/>
      <c r="UON24" s="1472"/>
      <c r="UOO24" s="1472"/>
      <c r="UOP24" s="1473"/>
      <c r="UOQ24" s="1471"/>
      <c r="UOR24" s="1472"/>
      <c r="UOS24" s="1472"/>
      <c r="UOT24" s="1472"/>
      <c r="UOU24" s="1472"/>
      <c r="UOV24" s="1472"/>
      <c r="UOW24" s="1472"/>
      <c r="UOX24" s="1472"/>
      <c r="UOY24" s="1472"/>
      <c r="UOZ24" s="1472"/>
      <c r="UPA24" s="1472"/>
      <c r="UPB24" s="1472"/>
      <c r="UPC24" s="1472"/>
      <c r="UPD24" s="1473"/>
      <c r="UPE24" s="1471"/>
      <c r="UPF24" s="1472"/>
      <c r="UPG24" s="1472"/>
      <c r="UPH24" s="1472"/>
      <c r="UPI24" s="1472"/>
      <c r="UPJ24" s="1472"/>
      <c r="UPK24" s="1472"/>
      <c r="UPL24" s="1472"/>
      <c r="UPM24" s="1472"/>
      <c r="UPN24" s="1472"/>
      <c r="UPO24" s="1472"/>
      <c r="UPP24" s="1472"/>
      <c r="UPQ24" s="1472"/>
      <c r="UPR24" s="1473"/>
      <c r="UPS24" s="1471"/>
      <c r="UPT24" s="1472"/>
      <c r="UPU24" s="1472"/>
      <c r="UPV24" s="1472"/>
      <c r="UPW24" s="1472"/>
      <c r="UPX24" s="1472"/>
      <c r="UPY24" s="1472"/>
      <c r="UPZ24" s="1472"/>
      <c r="UQA24" s="1472"/>
      <c r="UQB24" s="1472"/>
      <c r="UQC24" s="1472"/>
      <c r="UQD24" s="1472"/>
      <c r="UQE24" s="1472"/>
      <c r="UQF24" s="1473"/>
      <c r="UQG24" s="1471"/>
      <c r="UQH24" s="1472"/>
      <c r="UQI24" s="1472"/>
      <c r="UQJ24" s="1472"/>
      <c r="UQK24" s="1472"/>
      <c r="UQL24" s="1472"/>
      <c r="UQM24" s="1472"/>
      <c r="UQN24" s="1472"/>
      <c r="UQO24" s="1472"/>
      <c r="UQP24" s="1472"/>
      <c r="UQQ24" s="1472"/>
      <c r="UQR24" s="1472"/>
      <c r="UQS24" s="1472"/>
      <c r="UQT24" s="1473"/>
      <c r="UQU24" s="1471"/>
      <c r="UQV24" s="1472"/>
      <c r="UQW24" s="1472"/>
      <c r="UQX24" s="1472"/>
      <c r="UQY24" s="1472"/>
      <c r="UQZ24" s="1472"/>
      <c r="URA24" s="1472"/>
      <c r="URB24" s="1472"/>
      <c r="URC24" s="1472"/>
      <c r="URD24" s="1472"/>
      <c r="URE24" s="1472"/>
      <c r="URF24" s="1472"/>
      <c r="URG24" s="1472"/>
      <c r="URH24" s="1473"/>
      <c r="URI24" s="1471"/>
      <c r="URJ24" s="1472"/>
      <c r="URK24" s="1472"/>
      <c r="URL24" s="1472"/>
      <c r="URM24" s="1472"/>
      <c r="URN24" s="1472"/>
      <c r="URO24" s="1472"/>
      <c r="URP24" s="1472"/>
      <c r="URQ24" s="1472"/>
      <c r="URR24" s="1472"/>
      <c r="URS24" s="1472"/>
      <c r="URT24" s="1472"/>
      <c r="URU24" s="1472"/>
      <c r="URV24" s="1473"/>
      <c r="URW24" s="1471"/>
      <c r="URX24" s="1472"/>
      <c r="URY24" s="1472"/>
      <c r="URZ24" s="1472"/>
      <c r="USA24" s="1472"/>
      <c r="USB24" s="1472"/>
      <c r="USC24" s="1472"/>
      <c r="USD24" s="1472"/>
      <c r="USE24" s="1472"/>
      <c r="USF24" s="1472"/>
      <c r="USG24" s="1472"/>
      <c r="USH24" s="1472"/>
      <c r="USI24" s="1472"/>
      <c r="USJ24" s="1473"/>
      <c r="USK24" s="1471"/>
      <c r="USL24" s="1472"/>
      <c r="USM24" s="1472"/>
      <c r="USN24" s="1472"/>
      <c r="USO24" s="1472"/>
      <c r="USP24" s="1472"/>
      <c r="USQ24" s="1472"/>
      <c r="USR24" s="1472"/>
      <c r="USS24" s="1472"/>
      <c r="UST24" s="1472"/>
      <c r="USU24" s="1472"/>
      <c r="USV24" s="1472"/>
      <c r="USW24" s="1472"/>
      <c r="USX24" s="1473"/>
      <c r="USY24" s="1471"/>
      <c r="USZ24" s="1472"/>
      <c r="UTA24" s="1472"/>
      <c r="UTB24" s="1472"/>
      <c r="UTC24" s="1472"/>
      <c r="UTD24" s="1472"/>
      <c r="UTE24" s="1472"/>
      <c r="UTF24" s="1472"/>
      <c r="UTG24" s="1472"/>
      <c r="UTH24" s="1472"/>
      <c r="UTI24" s="1472"/>
      <c r="UTJ24" s="1472"/>
      <c r="UTK24" s="1472"/>
      <c r="UTL24" s="1473"/>
      <c r="UTM24" s="1471"/>
      <c r="UTN24" s="1472"/>
      <c r="UTO24" s="1472"/>
      <c r="UTP24" s="1472"/>
      <c r="UTQ24" s="1472"/>
      <c r="UTR24" s="1472"/>
      <c r="UTS24" s="1472"/>
      <c r="UTT24" s="1472"/>
      <c r="UTU24" s="1472"/>
      <c r="UTV24" s="1472"/>
      <c r="UTW24" s="1472"/>
      <c r="UTX24" s="1472"/>
      <c r="UTY24" s="1472"/>
      <c r="UTZ24" s="1473"/>
      <c r="UUA24" s="1471"/>
      <c r="UUB24" s="1472"/>
      <c r="UUC24" s="1472"/>
      <c r="UUD24" s="1472"/>
      <c r="UUE24" s="1472"/>
      <c r="UUF24" s="1472"/>
      <c r="UUG24" s="1472"/>
      <c r="UUH24" s="1472"/>
      <c r="UUI24" s="1472"/>
      <c r="UUJ24" s="1472"/>
      <c r="UUK24" s="1472"/>
      <c r="UUL24" s="1472"/>
      <c r="UUM24" s="1472"/>
      <c r="UUN24" s="1473"/>
      <c r="UUO24" s="1471"/>
      <c r="UUP24" s="1472"/>
      <c r="UUQ24" s="1472"/>
      <c r="UUR24" s="1472"/>
      <c r="UUS24" s="1472"/>
      <c r="UUT24" s="1472"/>
      <c r="UUU24" s="1472"/>
      <c r="UUV24" s="1472"/>
      <c r="UUW24" s="1472"/>
      <c r="UUX24" s="1472"/>
      <c r="UUY24" s="1472"/>
      <c r="UUZ24" s="1472"/>
      <c r="UVA24" s="1472"/>
      <c r="UVB24" s="1473"/>
      <c r="UVC24" s="1471"/>
      <c r="UVD24" s="1472"/>
      <c r="UVE24" s="1472"/>
      <c r="UVF24" s="1472"/>
      <c r="UVG24" s="1472"/>
      <c r="UVH24" s="1472"/>
      <c r="UVI24" s="1472"/>
      <c r="UVJ24" s="1472"/>
      <c r="UVK24" s="1472"/>
      <c r="UVL24" s="1472"/>
      <c r="UVM24" s="1472"/>
      <c r="UVN24" s="1472"/>
      <c r="UVO24" s="1472"/>
      <c r="UVP24" s="1473"/>
      <c r="UVQ24" s="1471"/>
      <c r="UVR24" s="1472"/>
      <c r="UVS24" s="1472"/>
      <c r="UVT24" s="1472"/>
      <c r="UVU24" s="1472"/>
      <c r="UVV24" s="1472"/>
      <c r="UVW24" s="1472"/>
      <c r="UVX24" s="1472"/>
      <c r="UVY24" s="1472"/>
      <c r="UVZ24" s="1472"/>
      <c r="UWA24" s="1472"/>
      <c r="UWB24" s="1472"/>
      <c r="UWC24" s="1472"/>
      <c r="UWD24" s="1473"/>
      <c r="UWE24" s="1471"/>
      <c r="UWF24" s="1472"/>
      <c r="UWG24" s="1472"/>
      <c r="UWH24" s="1472"/>
      <c r="UWI24" s="1472"/>
      <c r="UWJ24" s="1472"/>
      <c r="UWK24" s="1472"/>
      <c r="UWL24" s="1472"/>
      <c r="UWM24" s="1472"/>
      <c r="UWN24" s="1472"/>
      <c r="UWO24" s="1472"/>
      <c r="UWP24" s="1472"/>
      <c r="UWQ24" s="1472"/>
      <c r="UWR24" s="1473"/>
      <c r="UWS24" s="1471"/>
      <c r="UWT24" s="1472"/>
      <c r="UWU24" s="1472"/>
      <c r="UWV24" s="1472"/>
      <c r="UWW24" s="1472"/>
      <c r="UWX24" s="1472"/>
      <c r="UWY24" s="1472"/>
      <c r="UWZ24" s="1472"/>
      <c r="UXA24" s="1472"/>
      <c r="UXB24" s="1472"/>
      <c r="UXC24" s="1472"/>
      <c r="UXD24" s="1472"/>
      <c r="UXE24" s="1472"/>
      <c r="UXF24" s="1473"/>
      <c r="UXG24" s="1471"/>
      <c r="UXH24" s="1472"/>
      <c r="UXI24" s="1472"/>
      <c r="UXJ24" s="1472"/>
      <c r="UXK24" s="1472"/>
      <c r="UXL24" s="1472"/>
      <c r="UXM24" s="1472"/>
      <c r="UXN24" s="1472"/>
      <c r="UXO24" s="1472"/>
      <c r="UXP24" s="1472"/>
      <c r="UXQ24" s="1472"/>
      <c r="UXR24" s="1472"/>
      <c r="UXS24" s="1472"/>
      <c r="UXT24" s="1473"/>
      <c r="UXU24" s="1471"/>
      <c r="UXV24" s="1472"/>
      <c r="UXW24" s="1472"/>
      <c r="UXX24" s="1472"/>
      <c r="UXY24" s="1472"/>
      <c r="UXZ24" s="1472"/>
      <c r="UYA24" s="1472"/>
      <c r="UYB24" s="1472"/>
      <c r="UYC24" s="1472"/>
      <c r="UYD24" s="1472"/>
      <c r="UYE24" s="1472"/>
      <c r="UYF24" s="1472"/>
      <c r="UYG24" s="1472"/>
      <c r="UYH24" s="1473"/>
      <c r="UYI24" s="1471"/>
      <c r="UYJ24" s="1472"/>
      <c r="UYK24" s="1472"/>
      <c r="UYL24" s="1472"/>
      <c r="UYM24" s="1472"/>
      <c r="UYN24" s="1472"/>
      <c r="UYO24" s="1472"/>
      <c r="UYP24" s="1472"/>
      <c r="UYQ24" s="1472"/>
      <c r="UYR24" s="1472"/>
      <c r="UYS24" s="1472"/>
      <c r="UYT24" s="1472"/>
      <c r="UYU24" s="1472"/>
      <c r="UYV24" s="1473"/>
      <c r="UYW24" s="1471"/>
      <c r="UYX24" s="1472"/>
      <c r="UYY24" s="1472"/>
      <c r="UYZ24" s="1472"/>
      <c r="UZA24" s="1472"/>
      <c r="UZB24" s="1472"/>
      <c r="UZC24" s="1472"/>
      <c r="UZD24" s="1472"/>
      <c r="UZE24" s="1472"/>
      <c r="UZF24" s="1472"/>
      <c r="UZG24" s="1472"/>
      <c r="UZH24" s="1472"/>
      <c r="UZI24" s="1472"/>
      <c r="UZJ24" s="1473"/>
      <c r="UZK24" s="1471"/>
      <c r="UZL24" s="1472"/>
      <c r="UZM24" s="1472"/>
      <c r="UZN24" s="1472"/>
      <c r="UZO24" s="1472"/>
      <c r="UZP24" s="1472"/>
      <c r="UZQ24" s="1472"/>
      <c r="UZR24" s="1472"/>
      <c r="UZS24" s="1472"/>
      <c r="UZT24" s="1472"/>
      <c r="UZU24" s="1472"/>
      <c r="UZV24" s="1472"/>
      <c r="UZW24" s="1472"/>
      <c r="UZX24" s="1473"/>
      <c r="UZY24" s="1471"/>
      <c r="UZZ24" s="1472"/>
      <c r="VAA24" s="1472"/>
      <c r="VAB24" s="1472"/>
      <c r="VAC24" s="1472"/>
      <c r="VAD24" s="1472"/>
      <c r="VAE24" s="1472"/>
      <c r="VAF24" s="1472"/>
      <c r="VAG24" s="1472"/>
      <c r="VAH24" s="1472"/>
      <c r="VAI24" s="1472"/>
      <c r="VAJ24" s="1472"/>
      <c r="VAK24" s="1472"/>
      <c r="VAL24" s="1473"/>
      <c r="VAM24" s="1471"/>
      <c r="VAN24" s="1472"/>
      <c r="VAO24" s="1472"/>
      <c r="VAP24" s="1472"/>
      <c r="VAQ24" s="1472"/>
      <c r="VAR24" s="1472"/>
      <c r="VAS24" s="1472"/>
      <c r="VAT24" s="1472"/>
      <c r="VAU24" s="1472"/>
      <c r="VAV24" s="1472"/>
      <c r="VAW24" s="1472"/>
      <c r="VAX24" s="1472"/>
      <c r="VAY24" s="1472"/>
      <c r="VAZ24" s="1473"/>
      <c r="VBA24" s="1471"/>
      <c r="VBB24" s="1472"/>
      <c r="VBC24" s="1472"/>
      <c r="VBD24" s="1472"/>
      <c r="VBE24" s="1472"/>
      <c r="VBF24" s="1472"/>
      <c r="VBG24" s="1472"/>
      <c r="VBH24" s="1472"/>
      <c r="VBI24" s="1472"/>
      <c r="VBJ24" s="1472"/>
      <c r="VBK24" s="1472"/>
      <c r="VBL24" s="1472"/>
      <c r="VBM24" s="1472"/>
      <c r="VBN24" s="1473"/>
      <c r="VBO24" s="1471"/>
      <c r="VBP24" s="1472"/>
      <c r="VBQ24" s="1472"/>
      <c r="VBR24" s="1472"/>
      <c r="VBS24" s="1472"/>
      <c r="VBT24" s="1472"/>
      <c r="VBU24" s="1472"/>
      <c r="VBV24" s="1472"/>
      <c r="VBW24" s="1472"/>
      <c r="VBX24" s="1472"/>
      <c r="VBY24" s="1472"/>
      <c r="VBZ24" s="1472"/>
      <c r="VCA24" s="1472"/>
      <c r="VCB24" s="1473"/>
      <c r="VCC24" s="1471"/>
      <c r="VCD24" s="1472"/>
      <c r="VCE24" s="1472"/>
      <c r="VCF24" s="1472"/>
      <c r="VCG24" s="1472"/>
      <c r="VCH24" s="1472"/>
      <c r="VCI24" s="1472"/>
      <c r="VCJ24" s="1472"/>
      <c r="VCK24" s="1472"/>
      <c r="VCL24" s="1472"/>
      <c r="VCM24" s="1472"/>
      <c r="VCN24" s="1472"/>
      <c r="VCO24" s="1472"/>
      <c r="VCP24" s="1473"/>
      <c r="VCQ24" s="1471"/>
      <c r="VCR24" s="1472"/>
      <c r="VCS24" s="1472"/>
      <c r="VCT24" s="1472"/>
      <c r="VCU24" s="1472"/>
      <c r="VCV24" s="1472"/>
      <c r="VCW24" s="1472"/>
      <c r="VCX24" s="1472"/>
      <c r="VCY24" s="1472"/>
      <c r="VCZ24" s="1472"/>
      <c r="VDA24" s="1472"/>
      <c r="VDB24" s="1472"/>
      <c r="VDC24" s="1472"/>
      <c r="VDD24" s="1473"/>
      <c r="VDE24" s="1471"/>
      <c r="VDF24" s="1472"/>
      <c r="VDG24" s="1472"/>
      <c r="VDH24" s="1472"/>
      <c r="VDI24" s="1472"/>
      <c r="VDJ24" s="1472"/>
      <c r="VDK24" s="1472"/>
      <c r="VDL24" s="1472"/>
      <c r="VDM24" s="1472"/>
      <c r="VDN24" s="1472"/>
      <c r="VDO24" s="1472"/>
      <c r="VDP24" s="1472"/>
      <c r="VDQ24" s="1472"/>
      <c r="VDR24" s="1473"/>
      <c r="VDS24" s="1471"/>
      <c r="VDT24" s="1472"/>
      <c r="VDU24" s="1472"/>
      <c r="VDV24" s="1472"/>
      <c r="VDW24" s="1472"/>
      <c r="VDX24" s="1472"/>
      <c r="VDY24" s="1472"/>
      <c r="VDZ24" s="1472"/>
      <c r="VEA24" s="1472"/>
      <c r="VEB24" s="1472"/>
      <c r="VEC24" s="1472"/>
      <c r="VED24" s="1472"/>
      <c r="VEE24" s="1472"/>
      <c r="VEF24" s="1473"/>
      <c r="VEG24" s="1471"/>
      <c r="VEH24" s="1472"/>
      <c r="VEI24" s="1472"/>
      <c r="VEJ24" s="1472"/>
      <c r="VEK24" s="1472"/>
      <c r="VEL24" s="1472"/>
      <c r="VEM24" s="1472"/>
      <c r="VEN24" s="1472"/>
      <c r="VEO24" s="1472"/>
      <c r="VEP24" s="1472"/>
      <c r="VEQ24" s="1472"/>
      <c r="VER24" s="1472"/>
      <c r="VES24" s="1472"/>
      <c r="VET24" s="1473"/>
      <c r="VEU24" s="1471"/>
      <c r="VEV24" s="1472"/>
      <c r="VEW24" s="1472"/>
      <c r="VEX24" s="1472"/>
      <c r="VEY24" s="1472"/>
      <c r="VEZ24" s="1472"/>
      <c r="VFA24" s="1472"/>
      <c r="VFB24" s="1472"/>
      <c r="VFC24" s="1472"/>
      <c r="VFD24" s="1472"/>
      <c r="VFE24" s="1472"/>
      <c r="VFF24" s="1472"/>
      <c r="VFG24" s="1472"/>
      <c r="VFH24" s="1473"/>
      <c r="VFI24" s="1471"/>
      <c r="VFJ24" s="1472"/>
      <c r="VFK24" s="1472"/>
      <c r="VFL24" s="1472"/>
      <c r="VFM24" s="1472"/>
      <c r="VFN24" s="1472"/>
      <c r="VFO24" s="1472"/>
      <c r="VFP24" s="1472"/>
      <c r="VFQ24" s="1472"/>
      <c r="VFR24" s="1472"/>
      <c r="VFS24" s="1472"/>
      <c r="VFT24" s="1472"/>
      <c r="VFU24" s="1472"/>
      <c r="VFV24" s="1473"/>
      <c r="VFW24" s="1471"/>
      <c r="VFX24" s="1472"/>
      <c r="VFY24" s="1472"/>
      <c r="VFZ24" s="1472"/>
      <c r="VGA24" s="1472"/>
      <c r="VGB24" s="1472"/>
      <c r="VGC24" s="1472"/>
      <c r="VGD24" s="1472"/>
      <c r="VGE24" s="1472"/>
      <c r="VGF24" s="1472"/>
      <c r="VGG24" s="1472"/>
      <c r="VGH24" s="1472"/>
      <c r="VGI24" s="1472"/>
      <c r="VGJ24" s="1473"/>
      <c r="VGK24" s="1471"/>
      <c r="VGL24" s="1472"/>
      <c r="VGM24" s="1472"/>
      <c r="VGN24" s="1472"/>
      <c r="VGO24" s="1472"/>
      <c r="VGP24" s="1472"/>
      <c r="VGQ24" s="1472"/>
      <c r="VGR24" s="1472"/>
      <c r="VGS24" s="1472"/>
      <c r="VGT24" s="1472"/>
      <c r="VGU24" s="1472"/>
      <c r="VGV24" s="1472"/>
      <c r="VGW24" s="1472"/>
      <c r="VGX24" s="1473"/>
      <c r="VGY24" s="1471"/>
      <c r="VGZ24" s="1472"/>
      <c r="VHA24" s="1472"/>
      <c r="VHB24" s="1472"/>
      <c r="VHC24" s="1472"/>
      <c r="VHD24" s="1472"/>
      <c r="VHE24" s="1472"/>
      <c r="VHF24" s="1472"/>
      <c r="VHG24" s="1472"/>
      <c r="VHH24" s="1472"/>
      <c r="VHI24" s="1472"/>
      <c r="VHJ24" s="1472"/>
      <c r="VHK24" s="1472"/>
      <c r="VHL24" s="1473"/>
      <c r="VHM24" s="1471"/>
      <c r="VHN24" s="1472"/>
      <c r="VHO24" s="1472"/>
      <c r="VHP24" s="1472"/>
      <c r="VHQ24" s="1472"/>
      <c r="VHR24" s="1472"/>
      <c r="VHS24" s="1472"/>
      <c r="VHT24" s="1472"/>
      <c r="VHU24" s="1472"/>
      <c r="VHV24" s="1472"/>
      <c r="VHW24" s="1472"/>
      <c r="VHX24" s="1472"/>
      <c r="VHY24" s="1472"/>
      <c r="VHZ24" s="1473"/>
      <c r="VIA24" s="1471"/>
      <c r="VIB24" s="1472"/>
      <c r="VIC24" s="1472"/>
      <c r="VID24" s="1472"/>
      <c r="VIE24" s="1472"/>
      <c r="VIF24" s="1472"/>
      <c r="VIG24" s="1472"/>
      <c r="VIH24" s="1472"/>
      <c r="VII24" s="1472"/>
      <c r="VIJ24" s="1472"/>
      <c r="VIK24" s="1472"/>
      <c r="VIL24" s="1472"/>
      <c r="VIM24" s="1472"/>
      <c r="VIN24" s="1473"/>
      <c r="VIO24" s="1471"/>
      <c r="VIP24" s="1472"/>
      <c r="VIQ24" s="1472"/>
      <c r="VIR24" s="1472"/>
      <c r="VIS24" s="1472"/>
      <c r="VIT24" s="1472"/>
      <c r="VIU24" s="1472"/>
      <c r="VIV24" s="1472"/>
      <c r="VIW24" s="1472"/>
      <c r="VIX24" s="1472"/>
      <c r="VIY24" s="1472"/>
      <c r="VIZ24" s="1472"/>
      <c r="VJA24" s="1472"/>
      <c r="VJB24" s="1473"/>
      <c r="VJC24" s="1471"/>
      <c r="VJD24" s="1472"/>
      <c r="VJE24" s="1472"/>
      <c r="VJF24" s="1472"/>
      <c r="VJG24" s="1472"/>
      <c r="VJH24" s="1472"/>
      <c r="VJI24" s="1472"/>
      <c r="VJJ24" s="1472"/>
      <c r="VJK24" s="1472"/>
      <c r="VJL24" s="1472"/>
      <c r="VJM24" s="1472"/>
      <c r="VJN24" s="1472"/>
      <c r="VJO24" s="1472"/>
      <c r="VJP24" s="1473"/>
      <c r="VJQ24" s="1471"/>
      <c r="VJR24" s="1472"/>
      <c r="VJS24" s="1472"/>
      <c r="VJT24" s="1472"/>
      <c r="VJU24" s="1472"/>
      <c r="VJV24" s="1472"/>
      <c r="VJW24" s="1472"/>
      <c r="VJX24" s="1472"/>
      <c r="VJY24" s="1472"/>
      <c r="VJZ24" s="1472"/>
      <c r="VKA24" s="1472"/>
      <c r="VKB24" s="1472"/>
      <c r="VKC24" s="1472"/>
      <c r="VKD24" s="1473"/>
      <c r="VKE24" s="1471"/>
      <c r="VKF24" s="1472"/>
      <c r="VKG24" s="1472"/>
      <c r="VKH24" s="1472"/>
      <c r="VKI24" s="1472"/>
      <c r="VKJ24" s="1472"/>
      <c r="VKK24" s="1472"/>
      <c r="VKL24" s="1472"/>
      <c r="VKM24" s="1472"/>
      <c r="VKN24" s="1472"/>
      <c r="VKO24" s="1472"/>
      <c r="VKP24" s="1472"/>
      <c r="VKQ24" s="1472"/>
      <c r="VKR24" s="1473"/>
      <c r="VKS24" s="1471"/>
      <c r="VKT24" s="1472"/>
      <c r="VKU24" s="1472"/>
      <c r="VKV24" s="1472"/>
      <c r="VKW24" s="1472"/>
      <c r="VKX24" s="1472"/>
      <c r="VKY24" s="1472"/>
      <c r="VKZ24" s="1472"/>
      <c r="VLA24" s="1472"/>
      <c r="VLB24" s="1472"/>
      <c r="VLC24" s="1472"/>
      <c r="VLD24" s="1472"/>
      <c r="VLE24" s="1472"/>
      <c r="VLF24" s="1473"/>
      <c r="VLG24" s="1471"/>
      <c r="VLH24" s="1472"/>
      <c r="VLI24" s="1472"/>
      <c r="VLJ24" s="1472"/>
      <c r="VLK24" s="1472"/>
      <c r="VLL24" s="1472"/>
      <c r="VLM24" s="1472"/>
      <c r="VLN24" s="1472"/>
      <c r="VLO24" s="1472"/>
      <c r="VLP24" s="1472"/>
      <c r="VLQ24" s="1472"/>
      <c r="VLR24" s="1472"/>
      <c r="VLS24" s="1472"/>
      <c r="VLT24" s="1473"/>
      <c r="VLU24" s="1471"/>
      <c r="VLV24" s="1472"/>
      <c r="VLW24" s="1472"/>
      <c r="VLX24" s="1472"/>
      <c r="VLY24" s="1472"/>
      <c r="VLZ24" s="1472"/>
      <c r="VMA24" s="1472"/>
      <c r="VMB24" s="1472"/>
      <c r="VMC24" s="1472"/>
      <c r="VMD24" s="1472"/>
      <c r="VME24" s="1472"/>
      <c r="VMF24" s="1472"/>
      <c r="VMG24" s="1472"/>
      <c r="VMH24" s="1473"/>
      <c r="VMI24" s="1471"/>
      <c r="VMJ24" s="1472"/>
      <c r="VMK24" s="1472"/>
      <c r="VML24" s="1472"/>
      <c r="VMM24" s="1472"/>
      <c r="VMN24" s="1472"/>
      <c r="VMO24" s="1472"/>
      <c r="VMP24" s="1472"/>
      <c r="VMQ24" s="1472"/>
      <c r="VMR24" s="1472"/>
      <c r="VMS24" s="1472"/>
      <c r="VMT24" s="1472"/>
      <c r="VMU24" s="1472"/>
      <c r="VMV24" s="1473"/>
      <c r="VMW24" s="1471"/>
      <c r="VMX24" s="1472"/>
      <c r="VMY24" s="1472"/>
      <c r="VMZ24" s="1472"/>
      <c r="VNA24" s="1472"/>
      <c r="VNB24" s="1472"/>
      <c r="VNC24" s="1472"/>
      <c r="VND24" s="1472"/>
      <c r="VNE24" s="1472"/>
      <c r="VNF24" s="1472"/>
      <c r="VNG24" s="1472"/>
      <c r="VNH24" s="1472"/>
      <c r="VNI24" s="1472"/>
      <c r="VNJ24" s="1473"/>
      <c r="VNK24" s="1471"/>
      <c r="VNL24" s="1472"/>
      <c r="VNM24" s="1472"/>
      <c r="VNN24" s="1472"/>
      <c r="VNO24" s="1472"/>
      <c r="VNP24" s="1472"/>
      <c r="VNQ24" s="1472"/>
      <c r="VNR24" s="1472"/>
      <c r="VNS24" s="1472"/>
      <c r="VNT24" s="1472"/>
      <c r="VNU24" s="1472"/>
      <c r="VNV24" s="1472"/>
      <c r="VNW24" s="1472"/>
      <c r="VNX24" s="1473"/>
      <c r="VNY24" s="1471"/>
      <c r="VNZ24" s="1472"/>
      <c r="VOA24" s="1472"/>
      <c r="VOB24" s="1472"/>
      <c r="VOC24" s="1472"/>
      <c r="VOD24" s="1472"/>
      <c r="VOE24" s="1472"/>
      <c r="VOF24" s="1472"/>
      <c r="VOG24" s="1472"/>
      <c r="VOH24" s="1472"/>
      <c r="VOI24" s="1472"/>
      <c r="VOJ24" s="1472"/>
      <c r="VOK24" s="1472"/>
      <c r="VOL24" s="1473"/>
      <c r="VOM24" s="1471"/>
      <c r="VON24" s="1472"/>
      <c r="VOO24" s="1472"/>
      <c r="VOP24" s="1472"/>
      <c r="VOQ24" s="1472"/>
      <c r="VOR24" s="1472"/>
      <c r="VOS24" s="1472"/>
      <c r="VOT24" s="1472"/>
      <c r="VOU24" s="1472"/>
      <c r="VOV24" s="1472"/>
      <c r="VOW24" s="1472"/>
      <c r="VOX24" s="1472"/>
      <c r="VOY24" s="1472"/>
      <c r="VOZ24" s="1473"/>
      <c r="VPA24" s="1471"/>
      <c r="VPB24" s="1472"/>
      <c r="VPC24" s="1472"/>
      <c r="VPD24" s="1472"/>
      <c r="VPE24" s="1472"/>
      <c r="VPF24" s="1472"/>
      <c r="VPG24" s="1472"/>
      <c r="VPH24" s="1472"/>
      <c r="VPI24" s="1472"/>
      <c r="VPJ24" s="1472"/>
      <c r="VPK24" s="1472"/>
      <c r="VPL24" s="1472"/>
      <c r="VPM24" s="1472"/>
      <c r="VPN24" s="1473"/>
      <c r="VPO24" s="1471"/>
      <c r="VPP24" s="1472"/>
      <c r="VPQ24" s="1472"/>
      <c r="VPR24" s="1472"/>
      <c r="VPS24" s="1472"/>
      <c r="VPT24" s="1472"/>
      <c r="VPU24" s="1472"/>
      <c r="VPV24" s="1472"/>
      <c r="VPW24" s="1472"/>
      <c r="VPX24" s="1472"/>
      <c r="VPY24" s="1472"/>
      <c r="VPZ24" s="1472"/>
      <c r="VQA24" s="1472"/>
      <c r="VQB24" s="1473"/>
      <c r="VQC24" s="1471"/>
      <c r="VQD24" s="1472"/>
      <c r="VQE24" s="1472"/>
      <c r="VQF24" s="1472"/>
      <c r="VQG24" s="1472"/>
      <c r="VQH24" s="1472"/>
      <c r="VQI24" s="1472"/>
      <c r="VQJ24" s="1472"/>
      <c r="VQK24" s="1472"/>
      <c r="VQL24" s="1472"/>
      <c r="VQM24" s="1472"/>
      <c r="VQN24" s="1472"/>
      <c r="VQO24" s="1472"/>
      <c r="VQP24" s="1473"/>
      <c r="VQQ24" s="1471"/>
      <c r="VQR24" s="1472"/>
      <c r="VQS24" s="1472"/>
      <c r="VQT24" s="1472"/>
      <c r="VQU24" s="1472"/>
      <c r="VQV24" s="1472"/>
      <c r="VQW24" s="1472"/>
      <c r="VQX24" s="1472"/>
      <c r="VQY24" s="1472"/>
      <c r="VQZ24" s="1472"/>
      <c r="VRA24" s="1472"/>
      <c r="VRB24" s="1472"/>
      <c r="VRC24" s="1472"/>
      <c r="VRD24" s="1473"/>
      <c r="VRE24" s="1471"/>
      <c r="VRF24" s="1472"/>
      <c r="VRG24" s="1472"/>
      <c r="VRH24" s="1472"/>
      <c r="VRI24" s="1472"/>
      <c r="VRJ24" s="1472"/>
      <c r="VRK24" s="1472"/>
      <c r="VRL24" s="1472"/>
      <c r="VRM24" s="1472"/>
      <c r="VRN24" s="1472"/>
      <c r="VRO24" s="1472"/>
      <c r="VRP24" s="1472"/>
      <c r="VRQ24" s="1472"/>
      <c r="VRR24" s="1473"/>
      <c r="VRS24" s="1471"/>
      <c r="VRT24" s="1472"/>
      <c r="VRU24" s="1472"/>
      <c r="VRV24" s="1472"/>
      <c r="VRW24" s="1472"/>
      <c r="VRX24" s="1472"/>
      <c r="VRY24" s="1472"/>
      <c r="VRZ24" s="1472"/>
      <c r="VSA24" s="1472"/>
      <c r="VSB24" s="1472"/>
      <c r="VSC24" s="1472"/>
      <c r="VSD24" s="1472"/>
      <c r="VSE24" s="1472"/>
      <c r="VSF24" s="1473"/>
      <c r="VSG24" s="1471"/>
      <c r="VSH24" s="1472"/>
      <c r="VSI24" s="1472"/>
      <c r="VSJ24" s="1472"/>
      <c r="VSK24" s="1472"/>
      <c r="VSL24" s="1472"/>
      <c r="VSM24" s="1472"/>
      <c r="VSN24" s="1472"/>
      <c r="VSO24" s="1472"/>
      <c r="VSP24" s="1472"/>
      <c r="VSQ24" s="1472"/>
      <c r="VSR24" s="1472"/>
      <c r="VSS24" s="1472"/>
      <c r="VST24" s="1473"/>
      <c r="VSU24" s="1471"/>
      <c r="VSV24" s="1472"/>
      <c r="VSW24" s="1472"/>
      <c r="VSX24" s="1472"/>
      <c r="VSY24" s="1472"/>
      <c r="VSZ24" s="1472"/>
      <c r="VTA24" s="1472"/>
      <c r="VTB24" s="1472"/>
      <c r="VTC24" s="1472"/>
      <c r="VTD24" s="1472"/>
      <c r="VTE24" s="1472"/>
      <c r="VTF24" s="1472"/>
      <c r="VTG24" s="1472"/>
      <c r="VTH24" s="1473"/>
      <c r="VTI24" s="1471"/>
      <c r="VTJ24" s="1472"/>
      <c r="VTK24" s="1472"/>
      <c r="VTL24" s="1472"/>
      <c r="VTM24" s="1472"/>
      <c r="VTN24" s="1472"/>
      <c r="VTO24" s="1472"/>
      <c r="VTP24" s="1472"/>
      <c r="VTQ24" s="1472"/>
      <c r="VTR24" s="1472"/>
      <c r="VTS24" s="1472"/>
      <c r="VTT24" s="1472"/>
      <c r="VTU24" s="1472"/>
      <c r="VTV24" s="1473"/>
      <c r="VTW24" s="1471"/>
      <c r="VTX24" s="1472"/>
      <c r="VTY24" s="1472"/>
      <c r="VTZ24" s="1472"/>
      <c r="VUA24" s="1472"/>
      <c r="VUB24" s="1472"/>
      <c r="VUC24" s="1472"/>
      <c r="VUD24" s="1472"/>
      <c r="VUE24" s="1472"/>
      <c r="VUF24" s="1472"/>
      <c r="VUG24" s="1472"/>
      <c r="VUH24" s="1472"/>
      <c r="VUI24" s="1472"/>
      <c r="VUJ24" s="1473"/>
      <c r="VUK24" s="1471"/>
      <c r="VUL24" s="1472"/>
      <c r="VUM24" s="1472"/>
      <c r="VUN24" s="1472"/>
      <c r="VUO24" s="1472"/>
      <c r="VUP24" s="1472"/>
      <c r="VUQ24" s="1472"/>
      <c r="VUR24" s="1472"/>
      <c r="VUS24" s="1472"/>
      <c r="VUT24" s="1472"/>
      <c r="VUU24" s="1472"/>
      <c r="VUV24" s="1472"/>
      <c r="VUW24" s="1472"/>
      <c r="VUX24" s="1473"/>
      <c r="VUY24" s="1471"/>
      <c r="VUZ24" s="1472"/>
      <c r="VVA24" s="1472"/>
      <c r="VVB24" s="1472"/>
      <c r="VVC24" s="1472"/>
      <c r="VVD24" s="1472"/>
      <c r="VVE24" s="1472"/>
      <c r="VVF24" s="1472"/>
      <c r="VVG24" s="1472"/>
      <c r="VVH24" s="1472"/>
      <c r="VVI24" s="1472"/>
      <c r="VVJ24" s="1472"/>
      <c r="VVK24" s="1472"/>
      <c r="VVL24" s="1473"/>
      <c r="VVM24" s="1471"/>
      <c r="VVN24" s="1472"/>
      <c r="VVO24" s="1472"/>
      <c r="VVP24" s="1472"/>
      <c r="VVQ24" s="1472"/>
      <c r="VVR24" s="1472"/>
      <c r="VVS24" s="1472"/>
      <c r="VVT24" s="1472"/>
      <c r="VVU24" s="1472"/>
      <c r="VVV24" s="1472"/>
      <c r="VVW24" s="1472"/>
      <c r="VVX24" s="1472"/>
      <c r="VVY24" s="1472"/>
      <c r="VVZ24" s="1473"/>
      <c r="VWA24" s="1471"/>
      <c r="VWB24" s="1472"/>
      <c r="VWC24" s="1472"/>
      <c r="VWD24" s="1472"/>
      <c r="VWE24" s="1472"/>
      <c r="VWF24" s="1472"/>
      <c r="VWG24" s="1472"/>
      <c r="VWH24" s="1472"/>
      <c r="VWI24" s="1472"/>
      <c r="VWJ24" s="1472"/>
      <c r="VWK24" s="1472"/>
      <c r="VWL24" s="1472"/>
      <c r="VWM24" s="1472"/>
      <c r="VWN24" s="1473"/>
      <c r="VWO24" s="1471"/>
      <c r="VWP24" s="1472"/>
      <c r="VWQ24" s="1472"/>
      <c r="VWR24" s="1472"/>
      <c r="VWS24" s="1472"/>
      <c r="VWT24" s="1472"/>
      <c r="VWU24" s="1472"/>
      <c r="VWV24" s="1472"/>
      <c r="VWW24" s="1472"/>
      <c r="VWX24" s="1472"/>
      <c r="VWY24" s="1472"/>
      <c r="VWZ24" s="1472"/>
      <c r="VXA24" s="1472"/>
      <c r="VXB24" s="1473"/>
      <c r="VXC24" s="1471"/>
      <c r="VXD24" s="1472"/>
      <c r="VXE24" s="1472"/>
      <c r="VXF24" s="1472"/>
      <c r="VXG24" s="1472"/>
      <c r="VXH24" s="1472"/>
      <c r="VXI24" s="1472"/>
      <c r="VXJ24" s="1472"/>
      <c r="VXK24" s="1472"/>
      <c r="VXL24" s="1472"/>
      <c r="VXM24" s="1472"/>
      <c r="VXN24" s="1472"/>
      <c r="VXO24" s="1472"/>
      <c r="VXP24" s="1473"/>
      <c r="VXQ24" s="1471"/>
      <c r="VXR24" s="1472"/>
      <c r="VXS24" s="1472"/>
      <c r="VXT24" s="1472"/>
      <c r="VXU24" s="1472"/>
      <c r="VXV24" s="1472"/>
      <c r="VXW24" s="1472"/>
      <c r="VXX24" s="1472"/>
      <c r="VXY24" s="1472"/>
      <c r="VXZ24" s="1472"/>
      <c r="VYA24" s="1472"/>
      <c r="VYB24" s="1472"/>
      <c r="VYC24" s="1472"/>
      <c r="VYD24" s="1473"/>
      <c r="VYE24" s="1471"/>
      <c r="VYF24" s="1472"/>
      <c r="VYG24" s="1472"/>
      <c r="VYH24" s="1472"/>
      <c r="VYI24" s="1472"/>
      <c r="VYJ24" s="1472"/>
      <c r="VYK24" s="1472"/>
      <c r="VYL24" s="1472"/>
      <c r="VYM24" s="1472"/>
      <c r="VYN24" s="1472"/>
      <c r="VYO24" s="1472"/>
      <c r="VYP24" s="1472"/>
      <c r="VYQ24" s="1472"/>
      <c r="VYR24" s="1473"/>
      <c r="VYS24" s="1471"/>
      <c r="VYT24" s="1472"/>
      <c r="VYU24" s="1472"/>
      <c r="VYV24" s="1472"/>
      <c r="VYW24" s="1472"/>
      <c r="VYX24" s="1472"/>
      <c r="VYY24" s="1472"/>
      <c r="VYZ24" s="1472"/>
      <c r="VZA24" s="1472"/>
      <c r="VZB24" s="1472"/>
      <c r="VZC24" s="1472"/>
      <c r="VZD24" s="1472"/>
      <c r="VZE24" s="1472"/>
      <c r="VZF24" s="1473"/>
      <c r="VZG24" s="1471"/>
      <c r="VZH24" s="1472"/>
      <c r="VZI24" s="1472"/>
      <c r="VZJ24" s="1472"/>
      <c r="VZK24" s="1472"/>
      <c r="VZL24" s="1472"/>
      <c r="VZM24" s="1472"/>
      <c r="VZN24" s="1472"/>
      <c r="VZO24" s="1472"/>
      <c r="VZP24" s="1472"/>
      <c r="VZQ24" s="1472"/>
      <c r="VZR24" s="1472"/>
      <c r="VZS24" s="1472"/>
      <c r="VZT24" s="1473"/>
      <c r="VZU24" s="1471"/>
      <c r="VZV24" s="1472"/>
      <c r="VZW24" s="1472"/>
      <c r="VZX24" s="1472"/>
      <c r="VZY24" s="1472"/>
      <c r="VZZ24" s="1472"/>
      <c r="WAA24" s="1472"/>
      <c r="WAB24" s="1472"/>
      <c r="WAC24" s="1472"/>
      <c r="WAD24" s="1472"/>
      <c r="WAE24" s="1472"/>
      <c r="WAF24" s="1472"/>
      <c r="WAG24" s="1472"/>
      <c r="WAH24" s="1473"/>
      <c r="WAI24" s="1471"/>
      <c r="WAJ24" s="1472"/>
      <c r="WAK24" s="1472"/>
      <c r="WAL24" s="1472"/>
      <c r="WAM24" s="1472"/>
      <c r="WAN24" s="1472"/>
      <c r="WAO24" s="1472"/>
      <c r="WAP24" s="1472"/>
      <c r="WAQ24" s="1472"/>
      <c r="WAR24" s="1472"/>
      <c r="WAS24" s="1472"/>
      <c r="WAT24" s="1472"/>
      <c r="WAU24" s="1472"/>
      <c r="WAV24" s="1473"/>
      <c r="WAW24" s="1471"/>
      <c r="WAX24" s="1472"/>
      <c r="WAY24" s="1472"/>
      <c r="WAZ24" s="1472"/>
      <c r="WBA24" s="1472"/>
      <c r="WBB24" s="1472"/>
      <c r="WBC24" s="1472"/>
      <c r="WBD24" s="1472"/>
      <c r="WBE24" s="1472"/>
      <c r="WBF24" s="1472"/>
      <c r="WBG24" s="1472"/>
      <c r="WBH24" s="1472"/>
      <c r="WBI24" s="1472"/>
      <c r="WBJ24" s="1473"/>
      <c r="WBK24" s="1471"/>
      <c r="WBL24" s="1472"/>
      <c r="WBM24" s="1472"/>
      <c r="WBN24" s="1472"/>
      <c r="WBO24" s="1472"/>
      <c r="WBP24" s="1472"/>
      <c r="WBQ24" s="1472"/>
      <c r="WBR24" s="1472"/>
      <c r="WBS24" s="1472"/>
      <c r="WBT24" s="1472"/>
      <c r="WBU24" s="1472"/>
      <c r="WBV24" s="1472"/>
      <c r="WBW24" s="1472"/>
      <c r="WBX24" s="1473"/>
      <c r="WBY24" s="1471"/>
      <c r="WBZ24" s="1472"/>
      <c r="WCA24" s="1472"/>
      <c r="WCB24" s="1472"/>
      <c r="WCC24" s="1472"/>
      <c r="WCD24" s="1472"/>
      <c r="WCE24" s="1472"/>
      <c r="WCF24" s="1472"/>
      <c r="WCG24" s="1472"/>
      <c r="WCH24" s="1472"/>
      <c r="WCI24" s="1472"/>
      <c r="WCJ24" s="1472"/>
      <c r="WCK24" s="1472"/>
      <c r="WCL24" s="1473"/>
      <c r="WCM24" s="1471"/>
      <c r="WCN24" s="1472"/>
      <c r="WCO24" s="1472"/>
      <c r="WCP24" s="1472"/>
      <c r="WCQ24" s="1472"/>
      <c r="WCR24" s="1472"/>
      <c r="WCS24" s="1472"/>
      <c r="WCT24" s="1472"/>
      <c r="WCU24" s="1472"/>
      <c r="WCV24" s="1472"/>
      <c r="WCW24" s="1472"/>
      <c r="WCX24" s="1472"/>
      <c r="WCY24" s="1472"/>
      <c r="WCZ24" s="1473"/>
      <c r="WDA24" s="1471"/>
      <c r="WDB24" s="1472"/>
      <c r="WDC24" s="1472"/>
      <c r="WDD24" s="1472"/>
      <c r="WDE24" s="1472"/>
      <c r="WDF24" s="1472"/>
      <c r="WDG24" s="1472"/>
      <c r="WDH24" s="1472"/>
      <c r="WDI24" s="1472"/>
      <c r="WDJ24" s="1472"/>
      <c r="WDK24" s="1472"/>
      <c r="WDL24" s="1472"/>
      <c r="WDM24" s="1472"/>
      <c r="WDN24" s="1473"/>
      <c r="WDO24" s="1471"/>
      <c r="WDP24" s="1472"/>
      <c r="WDQ24" s="1472"/>
      <c r="WDR24" s="1472"/>
      <c r="WDS24" s="1472"/>
      <c r="WDT24" s="1472"/>
      <c r="WDU24" s="1472"/>
      <c r="WDV24" s="1472"/>
      <c r="WDW24" s="1472"/>
      <c r="WDX24" s="1472"/>
      <c r="WDY24" s="1472"/>
      <c r="WDZ24" s="1472"/>
      <c r="WEA24" s="1472"/>
      <c r="WEB24" s="1473"/>
      <c r="WEC24" s="1471"/>
      <c r="WED24" s="1472"/>
      <c r="WEE24" s="1472"/>
      <c r="WEF24" s="1472"/>
      <c r="WEG24" s="1472"/>
      <c r="WEH24" s="1472"/>
      <c r="WEI24" s="1472"/>
      <c r="WEJ24" s="1472"/>
      <c r="WEK24" s="1472"/>
      <c r="WEL24" s="1472"/>
      <c r="WEM24" s="1472"/>
      <c r="WEN24" s="1472"/>
      <c r="WEO24" s="1472"/>
      <c r="WEP24" s="1473"/>
      <c r="WEQ24" s="1471"/>
      <c r="WER24" s="1472"/>
      <c r="WES24" s="1472"/>
      <c r="WET24" s="1472"/>
      <c r="WEU24" s="1472"/>
      <c r="WEV24" s="1472"/>
      <c r="WEW24" s="1472"/>
      <c r="WEX24" s="1472"/>
      <c r="WEY24" s="1472"/>
      <c r="WEZ24" s="1472"/>
      <c r="WFA24" s="1472"/>
      <c r="WFB24" s="1472"/>
      <c r="WFC24" s="1472"/>
      <c r="WFD24" s="1473"/>
      <c r="WFE24" s="1471"/>
      <c r="WFF24" s="1472"/>
      <c r="WFG24" s="1472"/>
      <c r="WFH24" s="1472"/>
      <c r="WFI24" s="1472"/>
      <c r="WFJ24" s="1472"/>
      <c r="WFK24" s="1472"/>
      <c r="WFL24" s="1472"/>
      <c r="WFM24" s="1472"/>
      <c r="WFN24" s="1472"/>
      <c r="WFO24" s="1472"/>
      <c r="WFP24" s="1472"/>
      <c r="WFQ24" s="1472"/>
      <c r="WFR24" s="1473"/>
      <c r="WFS24" s="1471"/>
      <c r="WFT24" s="1472"/>
      <c r="WFU24" s="1472"/>
      <c r="WFV24" s="1472"/>
      <c r="WFW24" s="1472"/>
      <c r="WFX24" s="1472"/>
      <c r="WFY24" s="1472"/>
      <c r="WFZ24" s="1472"/>
      <c r="WGA24" s="1472"/>
      <c r="WGB24" s="1472"/>
      <c r="WGC24" s="1472"/>
      <c r="WGD24" s="1472"/>
      <c r="WGE24" s="1472"/>
      <c r="WGF24" s="1473"/>
      <c r="WGG24" s="1471"/>
      <c r="WGH24" s="1472"/>
      <c r="WGI24" s="1472"/>
      <c r="WGJ24" s="1472"/>
      <c r="WGK24" s="1472"/>
      <c r="WGL24" s="1472"/>
      <c r="WGM24" s="1472"/>
      <c r="WGN24" s="1472"/>
      <c r="WGO24" s="1472"/>
      <c r="WGP24" s="1472"/>
      <c r="WGQ24" s="1472"/>
      <c r="WGR24" s="1472"/>
      <c r="WGS24" s="1472"/>
      <c r="WGT24" s="1473"/>
      <c r="WGU24" s="1471"/>
      <c r="WGV24" s="1472"/>
      <c r="WGW24" s="1472"/>
      <c r="WGX24" s="1472"/>
      <c r="WGY24" s="1472"/>
      <c r="WGZ24" s="1472"/>
      <c r="WHA24" s="1472"/>
      <c r="WHB24" s="1472"/>
      <c r="WHC24" s="1472"/>
      <c r="WHD24" s="1472"/>
      <c r="WHE24" s="1472"/>
      <c r="WHF24" s="1472"/>
      <c r="WHG24" s="1472"/>
      <c r="WHH24" s="1473"/>
      <c r="WHI24" s="1471"/>
      <c r="WHJ24" s="1472"/>
      <c r="WHK24" s="1472"/>
      <c r="WHL24" s="1472"/>
      <c r="WHM24" s="1472"/>
      <c r="WHN24" s="1472"/>
      <c r="WHO24" s="1472"/>
      <c r="WHP24" s="1472"/>
      <c r="WHQ24" s="1472"/>
      <c r="WHR24" s="1472"/>
      <c r="WHS24" s="1472"/>
      <c r="WHT24" s="1472"/>
      <c r="WHU24" s="1472"/>
      <c r="WHV24" s="1473"/>
      <c r="WHW24" s="1471"/>
      <c r="WHX24" s="1472"/>
      <c r="WHY24" s="1472"/>
      <c r="WHZ24" s="1472"/>
      <c r="WIA24" s="1472"/>
      <c r="WIB24" s="1472"/>
      <c r="WIC24" s="1472"/>
      <c r="WID24" s="1472"/>
      <c r="WIE24" s="1472"/>
      <c r="WIF24" s="1472"/>
      <c r="WIG24" s="1472"/>
      <c r="WIH24" s="1472"/>
      <c r="WII24" s="1472"/>
      <c r="WIJ24" s="1473"/>
      <c r="WIK24" s="1471"/>
      <c r="WIL24" s="1472"/>
      <c r="WIM24" s="1472"/>
      <c r="WIN24" s="1472"/>
      <c r="WIO24" s="1472"/>
      <c r="WIP24" s="1472"/>
      <c r="WIQ24" s="1472"/>
      <c r="WIR24" s="1472"/>
      <c r="WIS24" s="1472"/>
      <c r="WIT24" s="1472"/>
      <c r="WIU24" s="1472"/>
      <c r="WIV24" s="1472"/>
      <c r="WIW24" s="1472"/>
      <c r="WIX24" s="1473"/>
      <c r="WIY24" s="1471"/>
      <c r="WIZ24" s="1472"/>
      <c r="WJA24" s="1472"/>
      <c r="WJB24" s="1472"/>
      <c r="WJC24" s="1472"/>
      <c r="WJD24" s="1472"/>
      <c r="WJE24" s="1472"/>
      <c r="WJF24" s="1472"/>
      <c r="WJG24" s="1472"/>
      <c r="WJH24" s="1472"/>
      <c r="WJI24" s="1472"/>
      <c r="WJJ24" s="1472"/>
      <c r="WJK24" s="1472"/>
      <c r="WJL24" s="1473"/>
      <c r="WJM24" s="1471"/>
      <c r="WJN24" s="1472"/>
      <c r="WJO24" s="1472"/>
      <c r="WJP24" s="1472"/>
      <c r="WJQ24" s="1472"/>
      <c r="WJR24" s="1472"/>
      <c r="WJS24" s="1472"/>
      <c r="WJT24" s="1472"/>
      <c r="WJU24" s="1472"/>
      <c r="WJV24" s="1472"/>
      <c r="WJW24" s="1472"/>
      <c r="WJX24" s="1472"/>
      <c r="WJY24" s="1472"/>
      <c r="WJZ24" s="1473"/>
      <c r="WKA24" s="1471"/>
      <c r="WKB24" s="1472"/>
      <c r="WKC24" s="1472"/>
      <c r="WKD24" s="1472"/>
      <c r="WKE24" s="1472"/>
      <c r="WKF24" s="1472"/>
      <c r="WKG24" s="1472"/>
      <c r="WKH24" s="1472"/>
      <c r="WKI24" s="1472"/>
      <c r="WKJ24" s="1472"/>
      <c r="WKK24" s="1472"/>
      <c r="WKL24" s="1472"/>
      <c r="WKM24" s="1472"/>
      <c r="WKN24" s="1473"/>
      <c r="WKO24" s="1471"/>
      <c r="WKP24" s="1472"/>
      <c r="WKQ24" s="1472"/>
      <c r="WKR24" s="1472"/>
      <c r="WKS24" s="1472"/>
      <c r="WKT24" s="1472"/>
      <c r="WKU24" s="1472"/>
      <c r="WKV24" s="1472"/>
      <c r="WKW24" s="1472"/>
      <c r="WKX24" s="1472"/>
      <c r="WKY24" s="1472"/>
      <c r="WKZ24" s="1472"/>
      <c r="WLA24" s="1472"/>
      <c r="WLB24" s="1473"/>
      <c r="WLC24" s="1471"/>
      <c r="WLD24" s="1472"/>
      <c r="WLE24" s="1472"/>
      <c r="WLF24" s="1472"/>
      <c r="WLG24" s="1472"/>
      <c r="WLH24" s="1472"/>
      <c r="WLI24" s="1472"/>
      <c r="WLJ24" s="1472"/>
      <c r="WLK24" s="1472"/>
      <c r="WLL24" s="1472"/>
      <c r="WLM24" s="1472"/>
      <c r="WLN24" s="1472"/>
      <c r="WLO24" s="1472"/>
      <c r="WLP24" s="1473"/>
      <c r="WLQ24" s="1471"/>
      <c r="WLR24" s="1472"/>
      <c r="WLS24" s="1472"/>
      <c r="WLT24" s="1472"/>
      <c r="WLU24" s="1472"/>
      <c r="WLV24" s="1472"/>
      <c r="WLW24" s="1472"/>
      <c r="WLX24" s="1472"/>
      <c r="WLY24" s="1472"/>
      <c r="WLZ24" s="1472"/>
      <c r="WMA24" s="1472"/>
      <c r="WMB24" s="1472"/>
      <c r="WMC24" s="1472"/>
      <c r="WMD24" s="1473"/>
      <c r="WME24" s="1471"/>
      <c r="WMF24" s="1472"/>
      <c r="WMG24" s="1472"/>
      <c r="WMH24" s="1472"/>
      <c r="WMI24" s="1472"/>
      <c r="WMJ24" s="1472"/>
      <c r="WMK24" s="1472"/>
      <c r="WML24" s="1472"/>
      <c r="WMM24" s="1472"/>
      <c r="WMN24" s="1472"/>
      <c r="WMO24" s="1472"/>
      <c r="WMP24" s="1472"/>
      <c r="WMQ24" s="1472"/>
      <c r="WMR24" s="1473"/>
      <c r="WMS24" s="1471"/>
      <c r="WMT24" s="1472"/>
      <c r="WMU24" s="1472"/>
      <c r="WMV24" s="1472"/>
      <c r="WMW24" s="1472"/>
      <c r="WMX24" s="1472"/>
      <c r="WMY24" s="1472"/>
      <c r="WMZ24" s="1472"/>
      <c r="WNA24" s="1472"/>
      <c r="WNB24" s="1472"/>
      <c r="WNC24" s="1472"/>
      <c r="WND24" s="1472"/>
      <c r="WNE24" s="1472"/>
      <c r="WNF24" s="1473"/>
      <c r="WNG24" s="1471"/>
      <c r="WNH24" s="1472"/>
      <c r="WNI24" s="1472"/>
      <c r="WNJ24" s="1472"/>
      <c r="WNK24" s="1472"/>
      <c r="WNL24" s="1472"/>
      <c r="WNM24" s="1472"/>
      <c r="WNN24" s="1472"/>
      <c r="WNO24" s="1472"/>
      <c r="WNP24" s="1472"/>
      <c r="WNQ24" s="1472"/>
      <c r="WNR24" s="1472"/>
      <c r="WNS24" s="1472"/>
      <c r="WNT24" s="1473"/>
      <c r="WNU24" s="1471"/>
      <c r="WNV24" s="1472"/>
      <c r="WNW24" s="1472"/>
      <c r="WNX24" s="1472"/>
      <c r="WNY24" s="1472"/>
      <c r="WNZ24" s="1472"/>
      <c r="WOA24" s="1472"/>
      <c r="WOB24" s="1472"/>
      <c r="WOC24" s="1472"/>
      <c r="WOD24" s="1472"/>
      <c r="WOE24" s="1472"/>
      <c r="WOF24" s="1472"/>
      <c r="WOG24" s="1472"/>
      <c r="WOH24" s="1473"/>
      <c r="WOI24" s="1471"/>
      <c r="WOJ24" s="1472"/>
      <c r="WOK24" s="1472"/>
      <c r="WOL24" s="1472"/>
      <c r="WOM24" s="1472"/>
      <c r="WON24" s="1472"/>
      <c r="WOO24" s="1472"/>
      <c r="WOP24" s="1472"/>
      <c r="WOQ24" s="1472"/>
      <c r="WOR24" s="1472"/>
      <c r="WOS24" s="1472"/>
      <c r="WOT24" s="1472"/>
      <c r="WOU24" s="1472"/>
      <c r="WOV24" s="1473"/>
      <c r="WOW24" s="1471"/>
      <c r="WOX24" s="1472"/>
      <c r="WOY24" s="1472"/>
      <c r="WOZ24" s="1472"/>
      <c r="WPA24" s="1472"/>
      <c r="WPB24" s="1472"/>
      <c r="WPC24" s="1472"/>
      <c r="WPD24" s="1472"/>
      <c r="WPE24" s="1472"/>
      <c r="WPF24" s="1472"/>
      <c r="WPG24" s="1472"/>
      <c r="WPH24" s="1472"/>
      <c r="WPI24" s="1472"/>
      <c r="WPJ24" s="1473"/>
      <c r="WPK24" s="1471"/>
      <c r="WPL24" s="1472"/>
      <c r="WPM24" s="1472"/>
      <c r="WPN24" s="1472"/>
      <c r="WPO24" s="1472"/>
      <c r="WPP24" s="1472"/>
      <c r="WPQ24" s="1472"/>
      <c r="WPR24" s="1472"/>
      <c r="WPS24" s="1472"/>
      <c r="WPT24" s="1472"/>
      <c r="WPU24" s="1472"/>
      <c r="WPV24" s="1472"/>
      <c r="WPW24" s="1472"/>
      <c r="WPX24" s="1473"/>
      <c r="WPY24" s="1471"/>
      <c r="WPZ24" s="1472"/>
      <c r="WQA24" s="1472"/>
      <c r="WQB24" s="1472"/>
      <c r="WQC24" s="1472"/>
      <c r="WQD24" s="1472"/>
      <c r="WQE24" s="1472"/>
      <c r="WQF24" s="1472"/>
      <c r="WQG24" s="1472"/>
      <c r="WQH24" s="1472"/>
      <c r="WQI24" s="1472"/>
      <c r="WQJ24" s="1472"/>
      <c r="WQK24" s="1472"/>
      <c r="WQL24" s="1473"/>
      <c r="WQM24" s="1471"/>
      <c r="WQN24" s="1472"/>
      <c r="WQO24" s="1472"/>
      <c r="WQP24" s="1472"/>
      <c r="WQQ24" s="1472"/>
      <c r="WQR24" s="1472"/>
      <c r="WQS24" s="1472"/>
      <c r="WQT24" s="1472"/>
      <c r="WQU24" s="1472"/>
      <c r="WQV24" s="1472"/>
      <c r="WQW24" s="1472"/>
      <c r="WQX24" s="1472"/>
      <c r="WQY24" s="1472"/>
      <c r="WQZ24" s="1473"/>
      <c r="WRA24" s="1471"/>
      <c r="WRB24" s="1472"/>
      <c r="WRC24" s="1472"/>
      <c r="WRD24" s="1472"/>
      <c r="WRE24" s="1472"/>
      <c r="WRF24" s="1472"/>
      <c r="WRG24" s="1472"/>
      <c r="WRH24" s="1472"/>
      <c r="WRI24" s="1472"/>
      <c r="WRJ24" s="1472"/>
      <c r="WRK24" s="1472"/>
      <c r="WRL24" s="1472"/>
      <c r="WRM24" s="1472"/>
      <c r="WRN24" s="1473"/>
      <c r="WRO24" s="1471"/>
      <c r="WRP24" s="1472"/>
      <c r="WRQ24" s="1472"/>
      <c r="WRR24" s="1472"/>
      <c r="WRS24" s="1472"/>
      <c r="WRT24" s="1472"/>
      <c r="WRU24" s="1472"/>
      <c r="WRV24" s="1472"/>
      <c r="WRW24" s="1472"/>
      <c r="WRX24" s="1472"/>
      <c r="WRY24" s="1472"/>
      <c r="WRZ24" s="1472"/>
      <c r="WSA24" s="1472"/>
      <c r="WSB24" s="1473"/>
      <c r="WSC24" s="1471"/>
      <c r="WSD24" s="1472"/>
      <c r="WSE24" s="1472"/>
      <c r="WSF24" s="1472"/>
      <c r="WSG24" s="1472"/>
      <c r="WSH24" s="1472"/>
      <c r="WSI24" s="1472"/>
      <c r="WSJ24" s="1472"/>
      <c r="WSK24" s="1472"/>
      <c r="WSL24" s="1472"/>
      <c r="WSM24" s="1472"/>
      <c r="WSN24" s="1472"/>
      <c r="WSO24" s="1472"/>
      <c r="WSP24" s="1473"/>
      <c r="WSQ24" s="1471"/>
      <c r="WSR24" s="1472"/>
      <c r="WSS24" s="1472"/>
      <c r="WST24" s="1472"/>
      <c r="WSU24" s="1472"/>
      <c r="WSV24" s="1472"/>
      <c r="WSW24" s="1472"/>
      <c r="WSX24" s="1472"/>
      <c r="WSY24" s="1472"/>
      <c r="WSZ24" s="1472"/>
      <c r="WTA24" s="1472"/>
      <c r="WTB24" s="1472"/>
      <c r="WTC24" s="1472"/>
      <c r="WTD24" s="1473"/>
      <c r="WTE24" s="1471"/>
      <c r="WTF24" s="1472"/>
      <c r="WTG24" s="1472"/>
      <c r="WTH24" s="1472"/>
      <c r="WTI24" s="1472"/>
      <c r="WTJ24" s="1472"/>
      <c r="WTK24" s="1472"/>
      <c r="WTL24" s="1472"/>
      <c r="WTM24" s="1472"/>
      <c r="WTN24" s="1472"/>
      <c r="WTO24" s="1472"/>
      <c r="WTP24" s="1472"/>
      <c r="WTQ24" s="1472"/>
      <c r="WTR24" s="1473"/>
      <c r="WTS24" s="1471"/>
      <c r="WTT24" s="1472"/>
      <c r="WTU24" s="1472"/>
      <c r="WTV24" s="1472"/>
      <c r="WTW24" s="1472"/>
      <c r="WTX24" s="1472"/>
      <c r="WTY24" s="1472"/>
      <c r="WTZ24" s="1472"/>
      <c r="WUA24" s="1472"/>
      <c r="WUB24" s="1472"/>
      <c r="WUC24" s="1472"/>
      <c r="WUD24" s="1472"/>
      <c r="WUE24" s="1472"/>
      <c r="WUF24" s="1473"/>
      <c r="WUG24" s="1471"/>
      <c r="WUH24" s="1472"/>
      <c r="WUI24" s="1472"/>
      <c r="WUJ24" s="1472"/>
      <c r="WUK24" s="1472"/>
      <c r="WUL24" s="1472"/>
      <c r="WUM24" s="1472"/>
      <c r="WUN24" s="1472"/>
      <c r="WUO24" s="1472"/>
      <c r="WUP24" s="1472"/>
      <c r="WUQ24" s="1472"/>
      <c r="WUR24" s="1472"/>
      <c r="WUS24" s="1472"/>
      <c r="WUT24" s="1473"/>
      <c r="WUU24" s="1471"/>
      <c r="WUV24" s="1472"/>
      <c r="WUW24" s="1472"/>
      <c r="WUX24" s="1472"/>
      <c r="WUY24" s="1472"/>
      <c r="WUZ24" s="1472"/>
      <c r="WVA24" s="1472"/>
      <c r="WVB24" s="1472"/>
      <c r="WVC24" s="1472"/>
      <c r="WVD24" s="1472"/>
      <c r="WVE24" s="1472"/>
      <c r="WVF24" s="1472"/>
      <c r="WVG24" s="1472"/>
      <c r="WVH24" s="1473"/>
      <c r="WVI24" s="1471"/>
      <c r="WVJ24" s="1472"/>
      <c r="WVK24" s="1472"/>
      <c r="WVL24" s="1472"/>
      <c r="WVM24" s="1472"/>
      <c r="WVN24" s="1472"/>
      <c r="WVO24" s="1472"/>
      <c r="WVP24" s="1472"/>
      <c r="WVQ24" s="1472"/>
      <c r="WVR24" s="1472"/>
      <c r="WVS24" s="1472"/>
      <c r="WVT24" s="1472"/>
      <c r="WVU24" s="1472"/>
      <c r="WVV24" s="1473"/>
      <c r="WVW24" s="1471"/>
      <c r="WVX24" s="1472"/>
      <c r="WVY24" s="1472"/>
      <c r="WVZ24" s="1472"/>
      <c r="WWA24" s="1472"/>
      <c r="WWB24" s="1472"/>
      <c r="WWC24" s="1472"/>
      <c r="WWD24" s="1472"/>
      <c r="WWE24" s="1472"/>
      <c r="WWF24" s="1472"/>
      <c r="WWG24" s="1472"/>
      <c r="WWH24" s="1472"/>
      <c r="WWI24" s="1472"/>
      <c r="WWJ24" s="1473"/>
      <c r="WWK24" s="1471"/>
      <c r="WWL24" s="1472"/>
      <c r="WWM24" s="1472"/>
      <c r="WWN24" s="1472"/>
      <c r="WWO24" s="1472"/>
      <c r="WWP24" s="1472"/>
      <c r="WWQ24" s="1472"/>
      <c r="WWR24" s="1472"/>
      <c r="WWS24" s="1472"/>
      <c r="WWT24" s="1472"/>
      <c r="WWU24" s="1472"/>
      <c r="WWV24" s="1472"/>
      <c r="WWW24" s="1472"/>
      <c r="WWX24" s="1473"/>
      <c r="WWY24" s="1471"/>
      <c r="WWZ24" s="1472"/>
      <c r="WXA24" s="1472"/>
      <c r="WXB24" s="1472"/>
      <c r="WXC24" s="1472"/>
      <c r="WXD24" s="1472"/>
      <c r="WXE24" s="1472"/>
      <c r="WXF24" s="1472"/>
      <c r="WXG24" s="1472"/>
      <c r="WXH24" s="1472"/>
      <c r="WXI24" s="1472"/>
      <c r="WXJ24" s="1472"/>
      <c r="WXK24" s="1472"/>
      <c r="WXL24" s="1473"/>
      <c r="WXM24" s="1471"/>
      <c r="WXN24" s="1472"/>
      <c r="WXO24" s="1472"/>
      <c r="WXP24" s="1472"/>
      <c r="WXQ24" s="1472"/>
      <c r="WXR24" s="1472"/>
      <c r="WXS24" s="1472"/>
      <c r="WXT24" s="1472"/>
      <c r="WXU24" s="1472"/>
      <c r="WXV24" s="1472"/>
      <c r="WXW24" s="1472"/>
      <c r="WXX24" s="1472"/>
      <c r="WXY24" s="1472"/>
      <c r="WXZ24" s="1473"/>
      <c r="WYA24" s="1471"/>
      <c r="WYB24" s="1472"/>
      <c r="WYC24" s="1472"/>
      <c r="WYD24" s="1472"/>
      <c r="WYE24" s="1472"/>
      <c r="WYF24" s="1472"/>
      <c r="WYG24" s="1472"/>
      <c r="WYH24" s="1472"/>
      <c r="WYI24" s="1472"/>
      <c r="WYJ24" s="1472"/>
      <c r="WYK24" s="1472"/>
      <c r="WYL24" s="1472"/>
      <c r="WYM24" s="1472"/>
      <c r="WYN24" s="1473"/>
      <c r="WYO24" s="1471"/>
      <c r="WYP24" s="1472"/>
      <c r="WYQ24" s="1472"/>
      <c r="WYR24" s="1472"/>
      <c r="WYS24" s="1472"/>
      <c r="WYT24" s="1472"/>
      <c r="WYU24" s="1472"/>
      <c r="WYV24" s="1472"/>
      <c r="WYW24" s="1472"/>
      <c r="WYX24" s="1472"/>
      <c r="WYY24" s="1472"/>
      <c r="WYZ24" s="1472"/>
      <c r="WZA24" s="1472"/>
      <c r="WZB24" s="1473"/>
      <c r="WZC24" s="1471"/>
      <c r="WZD24" s="1472"/>
      <c r="WZE24" s="1472"/>
      <c r="WZF24" s="1472"/>
      <c r="WZG24" s="1472"/>
      <c r="WZH24" s="1472"/>
      <c r="WZI24" s="1472"/>
      <c r="WZJ24" s="1472"/>
      <c r="WZK24" s="1472"/>
      <c r="WZL24" s="1472"/>
      <c r="WZM24" s="1472"/>
      <c r="WZN24" s="1472"/>
      <c r="WZO24" s="1472"/>
      <c r="WZP24" s="1473"/>
      <c r="WZQ24" s="1471"/>
      <c r="WZR24" s="1472"/>
      <c r="WZS24" s="1472"/>
      <c r="WZT24" s="1472"/>
      <c r="WZU24" s="1472"/>
      <c r="WZV24" s="1472"/>
      <c r="WZW24" s="1472"/>
      <c r="WZX24" s="1472"/>
      <c r="WZY24" s="1472"/>
      <c r="WZZ24" s="1472"/>
      <c r="XAA24" s="1472"/>
      <c r="XAB24" s="1472"/>
      <c r="XAC24" s="1472"/>
      <c r="XAD24" s="1473"/>
      <c r="XAE24" s="1471"/>
      <c r="XAF24" s="1472"/>
      <c r="XAG24" s="1472"/>
      <c r="XAH24" s="1472"/>
      <c r="XAI24" s="1472"/>
      <c r="XAJ24" s="1472"/>
      <c r="XAK24" s="1472"/>
      <c r="XAL24" s="1472"/>
      <c r="XAM24" s="1472"/>
      <c r="XAN24" s="1472"/>
      <c r="XAO24" s="1472"/>
      <c r="XAP24" s="1472"/>
      <c r="XAQ24" s="1472"/>
      <c r="XAR24" s="1473"/>
      <c r="XAS24" s="1471"/>
      <c r="XAT24" s="1472"/>
      <c r="XAU24" s="1472"/>
      <c r="XAV24" s="1472"/>
      <c r="XAW24" s="1472"/>
      <c r="XAX24" s="1472"/>
      <c r="XAY24" s="1472"/>
      <c r="XAZ24" s="1472"/>
      <c r="XBA24" s="1472"/>
      <c r="XBB24" s="1472"/>
      <c r="XBC24" s="1472"/>
      <c r="XBD24" s="1472"/>
      <c r="XBE24" s="1472"/>
      <c r="XBF24" s="1473"/>
      <c r="XBG24" s="1471"/>
      <c r="XBH24" s="1472"/>
      <c r="XBI24" s="1472"/>
      <c r="XBJ24" s="1472"/>
      <c r="XBK24" s="1472"/>
      <c r="XBL24" s="1472"/>
      <c r="XBM24" s="1472"/>
      <c r="XBN24" s="1472"/>
      <c r="XBO24" s="1472"/>
      <c r="XBP24" s="1472"/>
      <c r="XBQ24" s="1472"/>
      <c r="XBR24" s="1472"/>
      <c r="XBS24" s="1472"/>
      <c r="XBT24" s="1473"/>
      <c r="XBU24" s="1471"/>
      <c r="XBV24" s="1472"/>
      <c r="XBW24" s="1472"/>
      <c r="XBX24" s="1472"/>
      <c r="XBY24" s="1472"/>
      <c r="XBZ24" s="1472"/>
      <c r="XCA24" s="1472"/>
      <c r="XCB24" s="1472"/>
      <c r="XCC24" s="1472"/>
      <c r="XCD24" s="1472"/>
      <c r="XCE24" s="1472"/>
      <c r="XCF24" s="1472"/>
      <c r="XCG24" s="1472"/>
      <c r="XCH24" s="1473"/>
      <c r="XCI24" s="1471"/>
      <c r="XCJ24" s="1472"/>
      <c r="XCK24" s="1472"/>
      <c r="XCL24" s="1472"/>
      <c r="XCM24" s="1472"/>
      <c r="XCN24" s="1472"/>
      <c r="XCO24" s="1472"/>
      <c r="XCP24" s="1472"/>
      <c r="XCQ24" s="1472"/>
      <c r="XCR24" s="1472"/>
      <c r="XCS24" s="1472"/>
      <c r="XCT24" s="1472"/>
      <c r="XCU24" s="1472"/>
      <c r="XCV24" s="1473"/>
      <c r="XCW24" s="1471"/>
      <c r="XCX24" s="1472"/>
      <c r="XCY24" s="1472"/>
      <c r="XCZ24" s="1472"/>
      <c r="XDA24" s="1472"/>
      <c r="XDB24" s="1472"/>
      <c r="XDC24" s="1472"/>
      <c r="XDD24" s="1472"/>
      <c r="XDE24" s="1472"/>
      <c r="XDF24" s="1472"/>
      <c r="XDG24" s="1472"/>
      <c r="XDH24" s="1472"/>
      <c r="XDI24" s="1472"/>
      <c r="XDJ24" s="1473"/>
      <c r="XDK24" s="1471"/>
      <c r="XDL24" s="1472"/>
      <c r="XDM24" s="1472"/>
      <c r="XDN24" s="1472"/>
      <c r="XDO24" s="1472"/>
      <c r="XDP24" s="1472"/>
      <c r="XDQ24" s="1472"/>
      <c r="XDR24" s="1472"/>
      <c r="XDS24" s="1472"/>
      <c r="XDT24" s="1472"/>
      <c r="XDU24" s="1472"/>
      <c r="XDV24" s="1472"/>
      <c r="XDW24" s="1472"/>
      <c r="XDX24" s="1473"/>
      <c r="XDY24" s="1471"/>
      <c r="XDZ24" s="1472"/>
      <c r="XEA24" s="1472"/>
      <c r="XEB24" s="1472"/>
      <c r="XEC24" s="1472"/>
      <c r="XED24" s="1472"/>
      <c r="XEE24" s="1472"/>
      <c r="XEF24" s="1472"/>
      <c r="XEG24" s="1472"/>
      <c r="XEH24" s="1472"/>
      <c r="XEI24" s="1472"/>
      <c r="XEJ24" s="1472"/>
      <c r="XEK24" s="1472"/>
      <c r="XEL24" s="1473"/>
      <c r="XEM24" s="1471"/>
      <c r="XEN24" s="1472"/>
      <c r="XEO24" s="1472"/>
      <c r="XEP24" s="1472"/>
      <c r="XEQ24" s="1472"/>
      <c r="XER24" s="1472"/>
      <c r="XES24" s="1472"/>
      <c r="XET24" s="1472"/>
      <c r="XEU24" s="1472"/>
      <c r="XEV24" s="1472"/>
      <c r="XEW24" s="1472"/>
      <c r="XEX24" s="1472"/>
      <c r="XEY24" s="1472"/>
      <c r="XEZ24" s="1473"/>
      <c r="XFA24" s="1471"/>
      <c r="XFB24" s="1472"/>
      <c r="XFC24" s="1472"/>
      <c r="XFD24" s="1472"/>
    </row>
    <row r="25" spans="1:16384" ht="24.9" customHeight="1">
      <c r="A25" s="802"/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4"/>
    </row>
    <row r="26" spans="1:16384" ht="22.8">
      <c r="A26" s="813"/>
      <c r="B26" s="1486" t="str">
        <f>+Datos!C22</f>
        <v>CERTIFICADO DE PAGO Nº 6</v>
      </c>
      <c r="C26" s="1486"/>
      <c r="D26" s="1486"/>
      <c r="E26" s="1486"/>
      <c r="F26" s="1486"/>
      <c r="G26" s="1486"/>
      <c r="H26" s="1486"/>
      <c r="I26" s="1486"/>
      <c r="J26" s="1486"/>
      <c r="K26" s="1486"/>
      <c r="L26" s="1486"/>
      <c r="M26" s="1486"/>
      <c r="N26" s="804"/>
    </row>
    <row r="27" spans="1:16384" ht="22.8">
      <c r="A27" s="813"/>
      <c r="B27" s="803"/>
      <c r="C27" s="826"/>
      <c r="D27" s="826"/>
      <c r="E27" s="826"/>
      <c r="F27" s="826"/>
      <c r="G27" s="826"/>
      <c r="H27" s="826"/>
      <c r="I27" s="826"/>
      <c r="J27" s="826"/>
      <c r="K27" s="826"/>
      <c r="L27" s="814"/>
      <c r="M27" s="814"/>
      <c r="N27" s="804"/>
    </row>
    <row r="28" spans="1:16384" ht="20.25" customHeight="1">
      <c r="A28" s="820"/>
      <c r="B28" s="821"/>
      <c r="G28" s="1331" t="s">
        <v>635</v>
      </c>
      <c r="H28" s="1339" t="str">
        <f>+Datos!C24</f>
        <v>ABRIL 2021</v>
      </c>
      <c r="I28" s="1329"/>
      <c r="J28" s="1329"/>
      <c r="K28" s="1329"/>
      <c r="L28" s="1329"/>
      <c r="M28" s="1329"/>
      <c r="N28" s="1330"/>
    </row>
    <row r="29" spans="1:16384" ht="18" customHeight="1">
      <c r="A29" s="802"/>
      <c r="B29" s="816"/>
      <c r="G29" s="1329"/>
      <c r="J29" s="1213"/>
      <c r="K29" s="1213"/>
      <c r="L29" s="1213"/>
      <c r="M29" s="1213"/>
      <c r="N29" s="817"/>
    </row>
    <row r="30" spans="1:16384" ht="15.75" customHeight="1">
      <c r="A30" s="815"/>
      <c r="B30" s="816"/>
      <c r="C30" s="816"/>
      <c r="D30" s="816"/>
      <c r="E30" s="816"/>
      <c r="F30" s="816"/>
      <c r="G30" s="1180"/>
      <c r="H30" s="1180"/>
      <c r="I30" s="1180"/>
      <c r="J30" s="1180"/>
      <c r="K30" s="1180"/>
      <c r="L30" s="1180"/>
      <c r="M30" s="1180"/>
      <c r="N30" s="817"/>
    </row>
    <row r="31" spans="1:16384" ht="15.75" customHeight="1">
      <c r="A31" s="815"/>
      <c r="B31" s="816"/>
      <c r="C31" s="803"/>
      <c r="D31" s="803"/>
      <c r="E31" s="816"/>
      <c r="F31" s="803"/>
      <c r="G31" s="816"/>
      <c r="H31" s="816"/>
      <c r="I31" s="816"/>
      <c r="J31" s="816"/>
      <c r="K31" s="816"/>
      <c r="L31" s="816"/>
      <c r="M31" s="816"/>
      <c r="N31" s="817"/>
    </row>
    <row r="32" spans="1:16384" ht="13.2">
      <c r="A32" s="802"/>
      <c r="B32" s="803"/>
      <c r="C32" s="1393"/>
      <c r="D32" s="1394"/>
      <c r="E32" s="1395" t="s">
        <v>462</v>
      </c>
      <c r="F32" s="1214" t="s">
        <v>653</v>
      </c>
      <c r="G32" s="1394"/>
      <c r="H32" s="1214"/>
      <c r="I32" s="1393"/>
      <c r="J32" s="1393"/>
      <c r="K32" s="1393"/>
      <c r="L32" s="1393"/>
      <c r="M32" s="1393"/>
      <c r="N32" s="1396"/>
    </row>
    <row r="33" spans="1:14" ht="13.2">
      <c r="A33" s="802"/>
      <c r="B33" s="803"/>
      <c r="C33" s="1393"/>
      <c r="D33" s="1393"/>
      <c r="E33" s="1394"/>
      <c r="F33" s="1487" t="s">
        <v>686</v>
      </c>
      <c r="G33" s="1487"/>
      <c r="H33" s="1487"/>
      <c r="I33" s="1487"/>
      <c r="J33" s="1487"/>
      <c r="K33" s="1487"/>
      <c r="L33" s="1393"/>
      <c r="M33" s="1393"/>
      <c r="N33" s="1396"/>
    </row>
    <row r="34" spans="1:14" ht="13.2">
      <c r="A34" s="802"/>
      <c r="B34" s="803"/>
      <c r="C34" s="1393"/>
      <c r="D34" s="1393"/>
      <c r="E34" s="1394"/>
      <c r="F34" s="1487"/>
      <c r="G34" s="1487"/>
      <c r="H34" s="1487"/>
      <c r="I34" s="1487"/>
      <c r="J34" s="1487"/>
      <c r="K34" s="1487"/>
      <c r="L34" s="1393"/>
      <c r="M34" s="1393"/>
      <c r="N34" s="1396"/>
    </row>
    <row r="35" spans="1:14" ht="13.2">
      <c r="A35" s="802"/>
      <c r="B35" s="803"/>
      <c r="C35" s="1393"/>
      <c r="D35" s="1393"/>
      <c r="E35" s="918"/>
      <c r="F35" s="1393"/>
      <c r="G35" s="1393"/>
      <c r="H35" s="918"/>
      <c r="I35" s="1393"/>
      <c r="J35" s="1393"/>
      <c r="K35" s="1393"/>
      <c r="L35" s="1393"/>
      <c r="M35" s="1393"/>
      <c r="N35" s="1396"/>
    </row>
    <row r="36" spans="1:14" ht="13.2">
      <c r="A36" s="802"/>
      <c r="B36" s="803"/>
      <c r="C36" s="1393"/>
      <c r="D36" s="1393"/>
      <c r="E36" s="1393"/>
      <c r="F36" s="1393"/>
      <c r="G36" s="1393"/>
      <c r="H36" s="1393"/>
      <c r="I36" s="1393"/>
      <c r="J36" s="1393"/>
      <c r="K36" s="1393"/>
      <c r="L36" s="1393"/>
      <c r="M36" s="1393"/>
      <c r="N36" s="1396"/>
    </row>
    <row r="37" spans="1:14" ht="13.2">
      <c r="A37" s="802"/>
      <c r="B37" s="803"/>
      <c r="C37" s="1397"/>
      <c r="D37" s="1397"/>
      <c r="E37" s="1398" t="s">
        <v>157</v>
      </c>
      <c r="F37" s="1393" t="str">
        <f>+Datos!B7</f>
        <v>Ing. Herlan Rene Ramos Estrada</v>
      </c>
      <c r="G37" s="1393"/>
      <c r="H37" s="1393"/>
      <c r="I37" s="1393"/>
      <c r="J37" s="1393"/>
      <c r="K37" s="1393"/>
      <c r="L37" s="1393"/>
      <c r="M37" s="1393"/>
      <c r="N37" s="1396"/>
    </row>
    <row r="38" spans="1:14" ht="24" customHeight="1">
      <c r="A38" s="802"/>
      <c r="B38" s="803"/>
      <c r="C38" s="1397"/>
      <c r="D38" s="1397"/>
      <c r="E38" s="1399" t="s">
        <v>162</v>
      </c>
      <c r="F38" s="1481" t="str">
        <f>+Datos!B17</f>
        <v>EMPRESA ESTRATÉGICA BOLIVIANA DE CONSTRUCCIÓN
Y CONSERVACIÓN DE INFRAESTRUCTURA CIVIL (EBC)</v>
      </c>
      <c r="G38" s="1481"/>
      <c r="H38" s="1481"/>
      <c r="I38" s="1481"/>
      <c r="J38" s="1481"/>
      <c r="K38" s="1481"/>
      <c r="L38" s="1481"/>
      <c r="M38" s="1481"/>
      <c r="N38" s="1482"/>
    </row>
    <row r="39" spans="1:14" ht="13.2">
      <c r="A39" s="802"/>
      <c r="B39" s="803"/>
      <c r="C39" s="1397"/>
      <c r="D39" s="1397"/>
      <c r="E39" s="1398" t="s">
        <v>463</v>
      </c>
      <c r="F39" s="1393" t="str">
        <f>+Datos!B10</f>
        <v>Ing. Franz Reynaldo Salazar Martinez</v>
      </c>
      <c r="G39" s="1393"/>
      <c r="H39" s="1393"/>
      <c r="I39" s="1393"/>
      <c r="J39" s="1393"/>
      <c r="K39" s="1393"/>
      <c r="L39" s="1393"/>
      <c r="M39" s="1393"/>
      <c r="N39" s="1396"/>
    </row>
    <row r="40" spans="1:14" ht="13.2">
      <c r="A40" s="802"/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4"/>
    </row>
    <row r="41" spans="1:14" ht="13.2">
      <c r="A41" s="802"/>
      <c r="B41" s="803"/>
      <c r="C41" s="803"/>
      <c r="D41" s="803"/>
      <c r="E41" s="803"/>
      <c r="F41" s="803"/>
      <c r="G41" s="803"/>
      <c r="H41" s="803"/>
      <c r="I41" s="803"/>
      <c r="J41" s="803"/>
      <c r="K41" s="803"/>
      <c r="L41" s="803"/>
      <c r="M41" s="803"/>
      <c r="N41" s="804"/>
    </row>
    <row r="42" spans="1:14" ht="13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4"/>
    </row>
    <row r="43" spans="1:14" ht="13.2">
      <c r="A43" s="802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4"/>
    </row>
    <row r="44" spans="1:14" ht="13.2">
      <c r="A44" s="802"/>
      <c r="B44" s="1480" t="s">
        <v>510</v>
      </c>
      <c r="C44" s="1480"/>
      <c r="D44" s="1480"/>
      <c r="E44" s="1480"/>
      <c r="F44" s="1480"/>
      <c r="G44" s="1480"/>
      <c r="H44" s="1480"/>
      <c r="I44" s="1480"/>
      <c r="J44" s="1480"/>
      <c r="K44" s="1480"/>
      <c r="L44" s="1480"/>
      <c r="M44" s="803"/>
      <c r="N44" s="804"/>
    </row>
    <row r="45" spans="1:14" ht="16.2" thickBot="1">
      <c r="A45" s="805"/>
      <c r="B45" s="818"/>
      <c r="C45" s="818"/>
      <c r="D45" s="818"/>
      <c r="E45" s="818"/>
      <c r="F45" s="806"/>
      <c r="G45" s="806"/>
      <c r="H45" s="806"/>
      <c r="I45" s="806"/>
      <c r="J45" s="806"/>
      <c r="K45" s="819"/>
      <c r="L45" s="806"/>
      <c r="M45" s="806"/>
      <c r="N45" s="807"/>
    </row>
  </sheetData>
  <mergeCells count="1180">
    <mergeCell ref="XCW24:XDJ24"/>
    <mergeCell ref="XDK24:XDX24"/>
    <mergeCell ref="XDY24:XEL24"/>
    <mergeCell ref="XEM24:XEZ24"/>
    <mergeCell ref="XFA24:XFD24"/>
    <mergeCell ref="XAE24:XAR24"/>
    <mergeCell ref="XAS24:XBF24"/>
    <mergeCell ref="XBG24:XBT24"/>
    <mergeCell ref="XBU24:XCH24"/>
    <mergeCell ref="XCI24:XCV24"/>
    <mergeCell ref="WXM24:WXZ24"/>
    <mergeCell ref="WYA24:WYN24"/>
    <mergeCell ref="WYO24:WZB24"/>
    <mergeCell ref="WZC24:WZP24"/>
    <mergeCell ref="WZQ24:XAD24"/>
    <mergeCell ref="WUU24:WVH24"/>
    <mergeCell ref="WVI24:WVV24"/>
    <mergeCell ref="WVW24:WWJ24"/>
    <mergeCell ref="WWK24:WWX24"/>
    <mergeCell ref="WWY24:WXL24"/>
    <mergeCell ref="WSC24:WSP24"/>
    <mergeCell ref="WSQ24:WTD24"/>
    <mergeCell ref="WTE24:WTR24"/>
    <mergeCell ref="WTS24:WUF24"/>
    <mergeCell ref="WUG24:WUT24"/>
    <mergeCell ref="WPK24:WPX24"/>
    <mergeCell ref="WPY24:WQL24"/>
    <mergeCell ref="WQM24:WQZ24"/>
    <mergeCell ref="WRA24:WRN24"/>
    <mergeCell ref="WRO24:WSB24"/>
    <mergeCell ref="WMS24:WNF24"/>
    <mergeCell ref="WNG24:WNT24"/>
    <mergeCell ref="WNU24:WOH24"/>
    <mergeCell ref="WOI24:WOV24"/>
    <mergeCell ref="WOW24:WPJ24"/>
    <mergeCell ref="WKA24:WKN24"/>
    <mergeCell ref="WKO24:WLB24"/>
    <mergeCell ref="WLC24:WLP24"/>
    <mergeCell ref="WLQ24:WMD24"/>
    <mergeCell ref="WME24:WMR24"/>
    <mergeCell ref="WHI24:WHV24"/>
    <mergeCell ref="WHW24:WIJ24"/>
    <mergeCell ref="WIK24:WIX24"/>
    <mergeCell ref="WIY24:WJL24"/>
    <mergeCell ref="WJM24:WJZ24"/>
    <mergeCell ref="WEQ24:WFD24"/>
    <mergeCell ref="WFE24:WFR24"/>
    <mergeCell ref="WFS24:WGF24"/>
    <mergeCell ref="WGG24:WGT24"/>
    <mergeCell ref="WGU24:WHH24"/>
    <mergeCell ref="WBY24:WCL24"/>
    <mergeCell ref="WCM24:WCZ24"/>
    <mergeCell ref="WDA24:WDN24"/>
    <mergeCell ref="WDO24:WEB24"/>
    <mergeCell ref="WEC24:WEP24"/>
    <mergeCell ref="VZG24:VZT24"/>
    <mergeCell ref="VZU24:WAH24"/>
    <mergeCell ref="WAI24:WAV24"/>
    <mergeCell ref="WAW24:WBJ24"/>
    <mergeCell ref="WBK24:WBX24"/>
    <mergeCell ref="VWO24:VXB24"/>
    <mergeCell ref="VXC24:VXP24"/>
    <mergeCell ref="VXQ24:VYD24"/>
    <mergeCell ref="VYE24:VYR24"/>
    <mergeCell ref="VYS24:VZF24"/>
    <mergeCell ref="VTW24:VUJ24"/>
    <mergeCell ref="VUK24:VUX24"/>
    <mergeCell ref="VUY24:VVL24"/>
    <mergeCell ref="VVM24:VVZ24"/>
    <mergeCell ref="VWA24:VWN24"/>
    <mergeCell ref="VRE24:VRR24"/>
    <mergeCell ref="VRS24:VSF24"/>
    <mergeCell ref="VSG24:VST24"/>
    <mergeCell ref="VSU24:VTH24"/>
    <mergeCell ref="VTI24:VTV24"/>
    <mergeCell ref="VOM24:VOZ24"/>
    <mergeCell ref="VPA24:VPN24"/>
    <mergeCell ref="VPO24:VQB24"/>
    <mergeCell ref="VQC24:VQP24"/>
    <mergeCell ref="VQQ24:VRD24"/>
    <mergeCell ref="VLU24:VMH24"/>
    <mergeCell ref="VMI24:VMV24"/>
    <mergeCell ref="VMW24:VNJ24"/>
    <mergeCell ref="VNK24:VNX24"/>
    <mergeCell ref="VNY24:VOL24"/>
    <mergeCell ref="VJC24:VJP24"/>
    <mergeCell ref="VJQ24:VKD24"/>
    <mergeCell ref="VKE24:VKR24"/>
    <mergeCell ref="VKS24:VLF24"/>
    <mergeCell ref="VLG24:VLT24"/>
    <mergeCell ref="VGK24:VGX24"/>
    <mergeCell ref="VGY24:VHL24"/>
    <mergeCell ref="VHM24:VHZ24"/>
    <mergeCell ref="VIA24:VIN24"/>
    <mergeCell ref="VIO24:VJB24"/>
    <mergeCell ref="VDS24:VEF24"/>
    <mergeCell ref="VEG24:VET24"/>
    <mergeCell ref="VEU24:VFH24"/>
    <mergeCell ref="VFI24:VFV24"/>
    <mergeCell ref="VFW24:VGJ24"/>
    <mergeCell ref="VBA24:VBN24"/>
    <mergeCell ref="VBO24:VCB24"/>
    <mergeCell ref="VCC24:VCP24"/>
    <mergeCell ref="VCQ24:VDD24"/>
    <mergeCell ref="VDE24:VDR24"/>
    <mergeCell ref="UYI24:UYV24"/>
    <mergeCell ref="UYW24:UZJ24"/>
    <mergeCell ref="UZK24:UZX24"/>
    <mergeCell ref="UZY24:VAL24"/>
    <mergeCell ref="VAM24:VAZ24"/>
    <mergeCell ref="UVQ24:UWD24"/>
    <mergeCell ref="UWE24:UWR24"/>
    <mergeCell ref="UWS24:UXF24"/>
    <mergeCell ref="UXG24:UXT24"/>
    <mergeCell ref="UXU24:UYH24"/>
    <mergeCell ref="USY24:UTL24"/>
    <mergeCell ref="UTM24:UTZ24"/>
    <mergeCell ref="UUA24:UUN24"/>
    <mergeCell ref="UUO24:UVB24"/>
    <mergeCell ref="UVC24:UVP24"/>
    <mergeCell ref="UQG24:UQT24"/>
    <mergeCell ref="UQU24:URH24"/>
    <mergeCell ref="URI24:URV24"/>
    <mergeCell ref="URW24:USJ24"/>
    <mergeCell ref="USK24:USX24"/>
    <mergeCell ref="UNO24:UOB24"/>
    <mergeCell ref="UOC24:UOP24"/>
    <mergeCell ref="UOQ24:UPD24"/>
    <mergeCell ref="UPE24:UPR24"/>
    <mergeCell ref="UPS24:UQF24"/>
    <mergeCell ref="UKW24:ULJ24"/>
    <mergeCell ref="ULK24:ULX24"/>
    <mergeCell ref="ULY24:UML24"/>
    <mergeCell ref="UMM24:UMZ24"/>
    <mergeCell ref="UNA24:UNN24"/>
    <mergeCell ref="UIE24:UIR24"/>
    <mergeCell ref="UIS24:UJF24"/>
    <mergeCell ref="UJG24:UJT24"/>
    <mergeCell ref="UJU24:UKH24"/>
    <mergeCell ref="UKI24:UKV24"/>
    <mergeCell ref="UFM24:UFZ24"/>
    <mergeCell ref="UGA24:UGN24"/>
    <mergeCell ref="UGO24:UHB24"/>
    <mergeCell ref="UHC24:UHP24"/>
    <mergeCell ref="UHQ24:UID24"/>
    <mergeCell ref="UCU24:UDH24"/>
    <mergeCell ref="UDI24:UDV24"/>
    <mergeCell ref="UDW24:UEJ24"/>
    <mergeCell ref="UEK24:UEX24"/>
    <mergeCell ref="UEY24:UFL24"/>
    <mergeCell ref="UAC24:UAP24"/>
    <mergeCell ref="UAQ24:UBD24"/>
    <mergeCell ref="UBE24:UBR24"/>
    <mergeCell ref="UBS24:UCF24"/>
    <mergeCell ref="UCG24:UCT24"/>
    <mergeCell ref="TXK24:TXX24"/>
    <mergeCell ref="TXY24:TYL24"/>
    <mergeCell ref="TYM24:TYZ24"/>
    <mergeCell ref="TZA24:TZN24"/>
    <mergeCell ref="TZO24:UAB24"/>
    <mergeCell ref="TUS24:TVF24"/>
    <mergeCell ref="TVG24:TVT24"/>
    <mergeCell ref="TVU24:TWH24"/>
    <mergeCell ref="TWI24:TWV24"/>
    <mergeCell ref="TWW24:TXJ24"/>
    <mergeCell ref="TSA24:TSN24"/>
    <mergeCell ref="TSO24:TTB24"/>
    <mergeCell ref="TTC24:TTP24"/>
    <mergeCell ref="TTQ24:TUD24"/>
    <mergeCell ref="TUE24:TUR24"/>
    <mergeCell ref="TPI24:TPV24"/>
    <mergeCell ref="TPW24:TQJ24"/>
    <mergeCell ref="TQK24:TQX24"/>
    <mergeCell ref="TQY24:TRL24"/>
    <mergeCell ref="TRM24:TRZ24"/>
    <mergeCell ref="TMQ24:TND24"/>
    <mergeCell ref="TNE24:TNR24"/>
    <mergeCell ref="TNS24:TOF24"/>
    <mergeCell ref="TOG24:TOT24"/>
    <mergeCell ref="TOU24:TPH24"/>
    <mergeCell ref="TJY24:TKL24"/>
    <mergeCell ref="TKM24:TKZ24"/>
    <mergeCell ref="TLA24:TLN24"/>
    <mergeCell ref="TLO24:TMB24"/>
    <mergeCell ref="TMC24:TMP24"/>
    <mergeCell ref="THG24:THT24"/>
    <mergeCell ref="THU24:TIH24"/>
    <mergeCell ref="TII24:TIV24"/>
    <mergeCell ref="TIW24:TJJ24"/>
    <mergeCell ref="TJK24:TJX24"/>
    <mergeCell ref="TEO24:TFB24"/>
    <mergeCell ref="TFC24:TFP24"/>
    <mergeCell ref="TFQ24:TGD24"/>
    <mergeCell ref="TGE24:TGR24"/>
    <mergeCell ref="TGS24:THF24"/>
    <mergeCell ref="TBW24:TCJ24"/>
    <mergeCell ref="TCK24:TCX24"/>
    <mergeCell ref="TCY24:TDL24"/>
    <mergeCell ref="TDM24:TDZ24"/>
    <mergeCell ref="TEA24:TEN24"/>
    <mergeCell ref="SZE24:SZR24"/>
    <mergeCell ref="SZS24:TAF24"/>
    <mergeCell ref="TAG24:TAT24"/>
    <mergeCell ref="TAU24:TBH24"/>
    <mergeCell ref="TBI24:TBV24"/>
    <mergeCell ref="SWM24:SWZ24"/>
    <mergeCell ref="SXA24:SXN24"/>
    <mergeCell ref="SXO24:SYB24"/>
    <mergeCell ref="SYC24:SYP24"/>
    <mergeCell ref="SYQ24:SZD24"/>
    <mergeCell ref="STU24:SUH24"/>
    <mergeCell ref="SUI24:SUV24"/>
    <mergeCell ref="SUW24:SVJ24"/>
    <mergeCell ref="SVK24:SVX24"/>
    <mergeCell ref="SVY24:SWL24"/>
    <mergeCell ref="SRC24:SRP24"/>
    <mergeCell ref="SRQ24:SSD24"/>
    <mergeCell ref="SSE24:SSR24"/>
    <mergeCell ref="SSS24:STF24"/>
    <mergeCell ref="STG24:STT24"/>
    <mergeCell ref="SOK24:SOX24"/>
    <mergeCell ref="SOY24:SPL24"/>
    <mergeCell ref="SPM24:SPZ24"/>
    <mergeCell ref="SQA24:SQN24"/>
    <mergeCell ref="SQO24:SRB24"/>
    <mergeCell ref="SLS24:SMF24"/>
    <mergeCell ref="SMG24:SMT24"/>
    <mergeCell ref="SMU24:SNH24"/>
    <mergeCell ref="SNI24:SNV24"/>
    <mergeCell ref="SNW24:SOJ24"/>
    <mergeCell ref="SJA24:SJN24"/>
    <mergeCell ref="SJO24:SKB24"/>
    <mergeCell ref="SKC24:SKP24"/>
    <mergeCell ref="SKQ24:SLD24"/>
    <mergeCell ref="SLE24:SLR24"/>
    <mergeCell ref="SGI24:SGV24"/>
    <mergeCell ref="SGW24:SHJ24"/>
    <mergeCell ref="SHK24:SHX24"/>
    <mergeCell ref="SHY24:SIL24"/>
    <mergeCell ref="SIM24:SIZ24"/>
    <mergeCell ref="SDQ24:SED24"/>
    <mergeCell ref="SEE24:SER24"/>
    <mergeCell ref="SES24:SFF24"/>
    <mergeCell ref="SFG24:SFT24"/>
    <mergeCell ref="SFU24:SGH24"/>
    <mergeCell ref="SAY24:SBL24"/>
    <mergeCell ref="SBM24:SBZ24"/>
    <mergeCell ref="SCA24:SCN24"/>
    <mergeCell ref="SCO24:SDB24"/>
    <mergeCell ref="SDC24:SDP24"/>
    <mergeCell ref="RYG24:RYT24"/>
    <mergeCell ref="RYU24:RZH24"/>
    <mergeCell ref="RZI24:RZV24"/>
    <mergeCell ref="RZW24:SAJ24"/>
    <mergeCell ref="SAK24:SAX24"/>
    <mergeCell ref="RVO24:RWB24"/>
    <mergeCell ref="RWC24:RWP24"/>
    <mergeCell ref="RWQ24:RXD24"/>
    <mergeCell ref="RXE24:RXR24"/>
    <mergeCell ref="RXS24:RYF24"/>
    <mergeCell ref="RSW24:RTJ24"/>
    <mergeCell ref="RTK24:RTX24"/>
    <mergeCell ref="RTY24:RUL24"/>
    <mergeCell ref="RUM24:RUZ24"/>
    <mergeCell ref="RVA24:RVN24"/>
    <mergeCell ref="RQE24:RQR24"/>
    <mergeCell ref="RQS24:RRF24"/>
    <mergeCell ref="RRG24:RRT24"/>
    <mergeCell ref="RRU24:RSH24"/>
    <mergeCell ref="RSI24:RSV24"/>
    <mergeCell ref="RNM24:RNZ24"/>
    <mergeCell ref="ROA24:RON24"/>
    <mergeCell ref="ROO24:RPB24"/>
    <mergeCell ref="RPC24:RPP24"/>
    <mergeCell ref="RPQ24:RQD24"/>
    <mergeCell ref="RKU24:RLH24"/>
    <mergeCell ref="RLI24:RLV24"/>
    <mergeCell ref="RLW24:RMJ24"/>
    <mergeCell ref="RMK24:RMX24"/>
    <mergeCell ref="RMY24:RNL24"/>
    <mergeCell ref="RIC24:RIP24"/>
    <mergeCell ref="RIQ24:RJD24"/>
    <mergeCell ref="RJE24:RJR24"/>
    <mergeCell ref="RJS24:RKF24"/>
    <mergeCell ref="RKG24:RKT24"/>
    <mergeCell ref="RFK24:RFX24"/>
    <mergeCell ref="RFY24:RGL24"/>
    <mergeCell ref="RGM24:RGZ24"/>
    <mergeCell ref="RHA24:RHN24"/>
    <mergeCell ref="RHO24:RIB24"/>
    <mergeCell ref="RCS24:RDF24"/>
    <mergeCell ref="RDG24:RDT24"/>
    <mergeCell ref="RDU24:REH24"/>
    <mergeCell ref="REI24:REV24"/>
    <mergeCell ref="REW24:RFJ24"/>
    <mergeCell ref="RAA24:RAN24"/>
    <mergeCell ref="RAO24:RBB24"/>
    <mergeCell ref="RBC24:RBP24"/>
    <mergeCell ref="RBQ24:RCD24"/>
    <mergeCell ref="RCE24:RCR24"/>
    <mergeCell ref="QXI24:QXV24"/>
    <mergeCell ref="QXW24:QYJ24"/>
    <mergeCell ref="QYK24:QYX24"/>
    <mergeCell ref="QYY24:QZL24"/>
    <mergeCell ref="QZM24:QZZ24"/>
    <mergeCell ref="QUQ24:QVD24"/>
    <mergeCell ref="QVE24:QVR24"/>
    <mergeCell ref="QVS24:QWF24"/>
    <mergeCell ref="QWG24:QWT24"/>
    <mergeCell ref="QWU24:QXH24"/>
    <mergeCell ref="QRY24:QSL24"/>
    <mergeCell ref="QSM24:QSZ24"/>
    <mergeCell ref="QTA24:QTN24"/>
    <mergeCell ref="QTO24:QUB24"/>
    <mergeCell ref="QUC24:QUP24"/>
    <mergeCell ref="QPG24:QPT24"/>
    <mergeCell ref="QPU24:QQH24"/>
    <mergeCell ref="QQI24:QQV24"/>
    <mergeCell ref="QQW24:QRJ24"/>
    <mergeCell ref="QRK24:QRX24"/>
    <mergeCell ref="QMO24:QNB24"/>
    <mergeCell ref="QNC24:QNP24"/>
    <mergeCell ref="QNQ24:QOD24"/>
    <mergeCell ref="QOE24:QOR24"/>
    <mergeCell ref="QOS24:QPF24"/>
    <mergeCell ref="QJW24:QKJ24"/>
    <mergeCell ref="QKK24:QKX24"/>
    <mergeCell ref="QKY24:QLL24"/>
    <mergeCell ref="QLM24:QLZ24"/>
    <mergeCell ref="QMA24:QMN24"/>
    <mergeCell ref="QHE24:QHR24"/>
    <mergeCell ref="QHS24:QIF24"/>
    <mergeCell ref="QIG24:QIT24"/>
    <mergeCell ref="QIU24:QJH24"/>
    <mergeCell ref="QJI24:QJV24"/>
    <mergeCell ref="QEM24:QEZ24"/>
    <mergeCell ref="QFA24:QFN24"/>
    <mergeCell ref="QFO24:QGB24"/>
    <mergeCell ref="QGC24:QGP24"/>
    <mergeCell ref="QGQ24:QHD24"/>
    <mergeCell ref="QBU24:QCH24"/>
    <mergeCell ref="QCI24:QCV24"/>
    <mergeCell ref="QCW24:QDJ24"/>
    <mergeCell ref="QDK24:QDX24"/>
    <mergeCell ref="QDY24:QEL24"/>
    <mergeCell ref="PZC24:PZP24"/>
    <mergeCell ref="PZQ24:QAD24"/>
    <mergeCell ref="QAE24:QAR24"/>
    <mergeCell ref="QAS24:QBF24"/>
    <mergeCell ref="QBG24:QBT24"/>
    <mergeCell ref="PWK24:PWX24"/>
    <mergeCell ref="PWY24:PXL24"/>
    <mergeCell ref="PXM24:PXZ24"/>
    <mergeCell ref="PYA24:PYN24"/>
    <mergeCell ref="PYO24:PZB24"/>
    <mergeCell ref="PTS24:PUF24"/>
    <mergeCell ref="PUG24:PUT24"/>
    <mergeCell ref="PUU24:PVH24"/>
    <mergeCell ref="PVI24:PVV24"/>
    <mergeCell ref="PVW24:PWJ24"/>
    <mergeCell ref="PRA24:PRN24"/>
    <mergeCell ref="PRO24:PSB24"/>
    <mergeCell ref="PSC24:PSP24"/>
    <mergeCell ref="PSQ24:PTD24"/>
    <mergeCell ref="PTE24:PTR24"/>
    <mergeCell ref="POI24:POV24"/>
    <mergeCell ref="POW24:PPJ24"/>
    <mergeCell ref="PPK24:PPX24"/>
    <mergeCell ref="PPY24:PQL24"/>
    <mergeCell ref="PQM24:PQZ24"/>
    <mergeCell ref="PLQ24:PMD24"/>
    <mergeCell ref="PME24:PMR24"/>
    <mergeCell ref="PMS24:PNF24"/>
    <mergeCell ref="PNG24:PNT24"/>
    <mergeCell ref="PNU24:POH24"/>
    <mergeCell ref="PIY24:PJL24"/>
    <mergeCell ref="PJM24:PJZ24"/>
    <mergeCell ref="PKA24:PKN24"/>
    <mergeCell ref="PKO24:PLB24"/>
    <mergeCell ref="PLC24:PLP24"/>
    <mergeCell ref="PGG24:PGT24"/>
    <mergeCell ref="PGU24:PHH24"/>
    <mergeCell ref="PHI24:PHV24"/>
    <mergeCell ref="PHW24:PIJ24"/>
    <mergeCell ref="PIK24:PIX24"/>
    <mergeCell ref="PDO24:PEB24"/>
    <mergeCell ref="PEC24:PEP24"/>
    <mergeCell ref="PEQ24:PFD24"/>
    <mergeCell ref="PFE24:PFR24"/>
    <mergeCell ref="PFS24:PGF24"/>
    <mergeCell ref="PAW24:PBJ24"/>
    <mergeCell ref="PBK24:PBX24"/>
    <mergeCell ref="PBY24:PCL24"/>
    <mergeCell ref="PCM24:PCZ24"/>
    <mergeCell ref="PDA24:PDN24"/>
    <mergeCell ref="OYE24:OYR24"/>
    <mergeCell ref="OYS24:OZF24"/>
    <mergeCell ref="OZG24:OZT24"/>
    <mergeCell ref="OZU24:PAH24"/>
    <mergeCell ref="PAI24:PAV24"/>
    <mergeCell ref="OVM24:OVZ24"/>
    <mergeCell ref="OWA24:OWN24"/>
    <mergeCell ref="OWO24:OXB24"/>
    <mergeCell ref="OXC24:OXP24"/>
    <mergeCell ref="OXQ24:OYD24"/>
    <mergeCell ref="OSU24:OTH24"/>
    <mergeCell ref="OTI24:OTV24"/>
    <mergeCell ref="OTW24:OUJ24"/>
    <mergeCell ref="OUK24:OUX24"/>
    <mergeCell ref="OUY24:OVL24"/>
    <mergeCell ref="OQC24:OQP24"/>
    <mergeCell ref="OQQ24:ORD24"/>
    <mergeCell ref="ORE24:ORR24"/>
    <mergeCell ref="ORS24:OSF24"/>
    <mergeCell ref="OSG24:OST24"/>
    <mergeCell ref="ONK24:ONX24"/>
    <mergeCell ref="ONY24:OOL24"/>
    <mergeCell ref="OOM24:OOZ24"/>
    <mergeCell ref="OPA24:OPN24"/>
    <mergeCell ref="OPO24:OQB24"/>
    <mergeCell ref="OKS24:OLF24"/>
    <mergeCell ref="OLG24:OLT24"/>
    <mergeCell ref="OLU24:OMH24"/>
    <mergeCell ref="OMI24:OMV24"/>
    <mergeCell ref="OMW24:ONJ24"/>
    <mergeCell ref="OIA24:OIN24"/>
    <mergeCell ref="OIO24:OJB24"/>
    <mergeCell ref="OJC24:OJP24"/>
    <mergeCell ref="OJQ24:OKD24"/>
    <mergeCell ref="OKE24:OKR24"/>
    <mergeCell ref="OFI24:OFV24"/>
    <mergeCell ref="OFW24:OGJ24"/>
    <mergeCell ref="OGK24:OGX24"/>
    <mergeCell ref="OGY24:OHL24"/>
    <mergeCell ref="OHM24:OHZ24"/>
    <mergeCell ref="OCQ24:ODD24"/>
    <mergeCell ref="ODE24:ODR24"/>
    <mergeCell ref="ODS24:OEF24"/>
    <mergeCell ref="OEG24:OET24"/>
    <mergeCell ref="OEU24:OFH24"/>
    <mergeCell ref="NZY24:OAL24"/>
    <mergeCell ref="OAM24:OAZ24"/>
    <mergeCell ref="OBA24:OBN24"/>
    <mergeCell ref="OBO24:OCB24"/>
    <mergeCell ref="OCC24:OCP24"/>
    <mergeCell ref="NXG24:NXT24"/>
    <mergeCell ref="NXU24:NYH24"/>
    <mergeCell ref="NYI24:NYV24"/>
    <mergeCell ref="NYW24:NZJ24"/>
    <mergeCell ref="NZK24:NZX24"/>
    <mergeCell ref="NUO24:NVB24"/>
    <mergeCell ref="NVC24:NVP24"/>
    <mergeCell ref="NVQ24:NWD24"/>
    <mergeCell ref="NWE24:NWR24"/>
    <mergeCell ref="NWS24:NXF24"/>
    <mergeCell ref="NRW24:NSJ24"/>
    <mergeCell ref="NSK24:NSX24"/>
    <mergeCell ref="NSY24:NTL24"/>
    <mergeCell ref="NTM24:NTZ24"/>
    <mergeCell ref="NUA24:NUN24"/>
    <mergeCell ref="NPE24:NPR24"/>
    <mergeCell ref="NPS24:NQF24"/>
    <mergeCell ref="NQG24:NQT24"/>
    <mergeCell ref="NQU24:NRH24"/>
    <mergeCell ref="NRI24:NRV24"/>
    <mergeCell ref="NMM24:NMZ24"/>
    <mergeCell ref="NNA24:NNN24"/>
    <mergeCell ref="NNO24:NOB24"/>
    <mergeCell ref="NOC24:NOP24"/>
    <mergeCell ref="NOQ24:NPD24"/>
    <mergeCell ref="NJU24:NKH24"/>
    <mergeCell ref="NKI24:NKV24"/>
    <mergeCell ref="NKW24:NLJ24"/>
    <mergeCell ref="NLK24:NLX24"/>
    <mergeCell ref="NLY24:NML24"/>
    <mergeCell ref="NHC24:NHP24"/>
    <mergeCell ref="NHQ24:NID24"/>
    <mergeCell ref="NIE24:NIR24"/>
    <mergeCell ref="NIS24:NJF24"/>
    <mergeCell ref="NJG24:NJT24"/>
    <mergeCell ref="NEK24:NEX24"/>
    <mergeCell ref="NEY24:NFL24"/>
    <mergeCell ref="NFM24:NFZ24"/>
    <mergeCell ref="NGA24:NGN24"/>
    <mergeCell ref="NGO24:NHB24"/>
    <mergeCell ref="NBS24:NCF24"/>
    <mergeCell ref="NCG24:NCT24"/>
    <mergeCell ref="NCU24:NDH24"/>
    <mergeCell ref="NDI24:NDV24"/>
    <mergeCell ref="NDW24:NEJ24"/>
    <mergeCell ref="MZA24:MZN24"/>
    <mergeCell ref="MZO24:NAB24"/>
    <mergeCell ref="NAC24:NAP24"/>
    <mergeCell ref="NAQ24:NBD24"/>
    <mergeCell ref="NBE24:NBR24"/>
    <mergeCell ref="MWI24:MWV24"/>
    <mergeCell ref="MWW24:MXJ24"/>
    <mergeCell ref="MXK24:MXX24"/>
    <mergeCell ref="MXY24:MYL24"/>
    <mergeCell ref="MYM24:MYZ24"/>
    <mergeCell ref="MTQ24:MUD24"/>
    <mergeCell ref="MUE24:MUR24"/>
    <mergeCell ref="MUS24:MVF24"/>
    <mergeCell ref="MVG24:MVT24"/>
    <mergeCell ref="MVU24:MWH24"/>
    <mergeCell ref="MQY24:MRL24"/>
    <mergeCell ref="MRM24:MRZ24"/>
    <mergeCell ref="MSA24:MSN24"/>
    <mergeCell ref="MSO24:MTB24"/>
    <mergeCell ref="MTC24:MTP24"/>
    <mergeCell ref="MOG24:MOT24"/>
    <mergeCell ref="MOU24:MPH24"/>
    <mergeCell ref="MPI24:MPV24"/>
    <mergeCell ref="MPW24:MQJ24"/>
    <mergeCell ref="MQK24:MQX24"/>
    <mergeCell ref="MLO24:MMB24"/>
    <mergeCell ref="MMC24:MMP24"/>
    <mergeCell ref="MMQ24:MND24"/>
    <mergeCell ref="MNE24:MNR24"/>
    <mergeCell ref="MNS24:MOF24"/>
    <mergeCell ref="MIW24:MJJ24"/>
    <mergeCell ref="MJK24:MJX24"/>
    <mergeCell ref="MJY24:MKL24"/>
    <mergeCell ref="MKM24:MKZ24"/>
    <mergeCell ref="MLA24:MLN24"/>
    <mergeCell ref="MGE24:MGR24"/>
    <mergeCell ref="MGS24:MHF24"/>
    <mergeCell ref="MHG24:MHT24"/>
    <mergeCell ref="MHU24:MIH24"/>
    <mergeCell ref="MII24:MIV24"/>
    <mergeCell ref="MDM24:MDZ24"/>
    <mergeCell ref="MEA24:MEN24"/>
    <mergeCell ref="MEO24:MFB24"/>
    <mergeCell ref="MFC24:MFP24"/>
    <mergeCell ref="MFQ24:MGD24"/>
    <mergeCell ref="MAU24:MBH24"/>
    <mergeCell ref="MBI24:MBV24"/>
    <mergeCell ref="MBW24:MCJ24"/>
    <mergeCell ref="MCK24:MCX24"/>
    <mergeCell ref="MCY24:MDL24"/>
    <mergeCell ref="LYC24:LYP24"/>
    <mergeCell ref="LYQ24:LZD24"/>
    <mergeCell ref="LZE24:LZR24"/>
    <mergeCell ref="LZS24:MAF24"/>
    <mergeCell ref="MAG24:MAT24"/>
    <mergeCell ref="LVK24:LVX24"/>
    <mergeCell ref="LVY24:LWL24"/>
    <mergeCell ref="LWM24:LWZ24"/>
    <mergeCell ref="LXA24:LXN24"/>
    <mergeCell ref="LXO24:LYB24"/>
    <mergeCell ref="LSS24:LTF24"/>
    <mergeCell ref="LTG24:LTT24"/>
    <mergeCell ref="LTU24:LUH24"/>
    <mergeCell ref="LUI24:LUV24"/>
    <mergeCell ref="LUW24:LVJ24"/>
    <mergeCell ref="LQA24:LQN24"/>
    <mergeCell ref="LQO24:LRB24"/>
    <mergeCell ref="LRC24:LRP24"/>
    <mergeCell ref="LRQ24:LSD24"/>
    <mergeCell ref="LSE24:LSR24"/>
    <mergeCell ref="LNI24:LNV24"/>
    <mergeCell ref="LNW24:LOJ24"/>
    <mergeCell ref="LOK24:LOX24"/>
    <mergeCell ref="LOY24:LPL24"/>
    <mergeCell ref="LPM24:LPZ24"/>
    <mergeCell ref="LKQ24:LLD24"/>
    <mergeCell ref="LLE24:LLR24"/>
    <mergeCell ref="LLS24:LMF24"/>
    <mergeCell ref="LMG24:LMT24"/>
    <mergeCell ref="LMU24:LNH24"/>
    <mergeCell ref="LHY24:LIL24"/>
    <mergeCell ref="LIM24:LIZ24"/>
    <mergeCell ref="LJA24:LJN24"/>
    <mergeCell ref="LJO24:LKB24"/>
    <mergeCell ref="LKC24:LKP24"/>
    <mergeCell ref="LFG24:LFT24"/>
    <mergeCell ref="LFU24:LGH24"/>
    <mergeCell ref="LGI24:LGV24"/>
    <mergeCell ref="LGW24:LHJ24"/>
    <mergeCell ref="LHK24:LHX24"/>
    <mergeCell ref="LCO24:LDB24"/>
    <mergeCell ref="LDC24:LDP24"/>
    <mergeCell ref="LDQ24:LED24"/>
    <mergeCell ref="LEE24:LER24"/>
    <mergeCell ref="LES24:LFF24"/>
    <mergeCell ref="KZW24:LAJ24"/>
    <mergeCell ref="LAK24:LAX24"/>
    <mergeCell ref="LAY24:LBL24"/>
    <mergeCell ref="LBM24:LBZ24"/>
    <mergeCell ref="LCA24:LCN24"/>
    <mergeCell ref="KXE24:KXR24"/>
    <mergeCell ref="KXS24:KYF24"/>
    <mergeCell ref="KYG24:KYT24"/>
    <mergeCell ref="KYU24:KZH24"/>
    <mergeCell ref="KZI24:KZV24"/>
    <mergeCell ref="KUM24:KUZ24"/>
    <mergeCell ref="KVA24:KVN24"/>
    <mergeCell ref="KVO24:KWB24"/>
    <mergeCell ref="KWC24:KWP24"/>
    <mergeCell ref="KWQ24:KXD24"/>
    <mergeCell ref="KRU24:KSH24"/>
    <mergeCell ref="KSI24:KSV24"/>
    <mergeCell ref="KSW24:KTJ24"/>
    <mergeCell ref="KTK24:KTX24"/>
    <mergeCell ref="KTY24:KUL24"/>
    <mergeCell ref="KPC24:KPP24"/>
    <mergeCell ref="KPQ24:KQD24"/>
    <mergeCell ref="KQE24:KQR24"/>
    <mergeCell ref="KQS24:KRF24"/>
    <mergeCell ref="KRG24:KRT24"/>
    <mergeCell ref="KMK24:KMX24"/>
    <mergeCell ref="KMY24:KNL24"/>
    <mergeCell ref="KNM24:KNZ24"/>
    <mergeCell ref="KOA24:KON24"/>
    <mergeCell ref="KOO24:KPB24"/>
    <mergeCell ref="KJS24:KKF24"/>
    <mergeCell ref="KKG24:KKT24"/>
    <mergeCell ref="KKU24:KLH24"/>
    <mergeCell ref="KLI24:KLV24"/>
    <mergeCell ref="KLW24:KMJ24"/>
    <mergeCell ref="KHA24:KHN24"/>
    <mergeCell ref="KHO24:KIB24"/>
    <mergeCell ref="KIC24:KIP24"/>
    <mergeCell ref="KIQ24:KJD24"/>
    <mergeCell ref="KJE24:KJR24"/>
    <mergeCell ref="KEI24:KEV24"/>
    <mergeCell ref="KEW24:KFJ24"/>
    <mergeCell ref="KFK24:KFX24"/>
    <mergeCell ref="KFY24:KGL24"/>
    <mergeCell ref="KGM24:KGZ24"/>
    <mergeCell ref="KBQ24:KCD24"/>
    <mergeCell ref="KCE24:KCR24"/>
    <mergeCell ref="KCS24:KDF24"/>
    <mergeCell ref="KDG24:KDT24"/>
    <mergeCell ref="KDU24:KEH24"/>
    <mergeCell ref="JYY24:JZL24"/>
    <mergeCell ref="JZM24:JZZ24"/>
    <mergeCell ref="KAA24:KAN24"/>
    <mergeCell ref="KAO24:KBB24"/>
    <mergeCell ref="KBC24:KBP24"/>
    <mergeCell ref="JWG24:JWT24"/>
    <mergeCell ref="JWU24:JXH24"/>
    <mergeCell ref="JXI24:JXV24"/>
    <mergeCell ref="JXW24:JYJ24"/>
    <mergeCell ref="JYK24:JYX24"/>
    <mergeCell ref="JTO24:JUB24"/>
    <mergeCell ref="JUC24:JUP24"/>
    <mergeCell ref="JUQ24:JVD24"/>
    <mergeCell ref="JVE24:JVR24"/>
    <mergeCell ref="JVS24:JWF24"/>
    <mergeCell ref="JQW24:JRJ24"/>
    <mergeCell ref="JRK24:JRX24"/>
    <mergeCell ref="JRY24:JSL24"/>
    <mergeCell ref="JSM24:JSZ24"/>
    <mergeCell ref="JTA24:JTN24"/>
    <mergeCell ref="JOE24:JOR24"/>
    <mergeCell ref="JOS24:JPF24"/>
    <mergeCell ref="JPG24:JPT24"/>
    <mergeCell ref="JPU24:JQH24"/>
    <mergeCell ref="JQI24:JQV24"/>
    <mergeCell ref="JLM24:JLZ24"/>
    <mergeCell ref="JMA24:JMN24"/>
    <mergeCell ref="JMO24:JNB24"/>
    <mergeCell ref="JNC24:JNP24"/>
    <mergeCell ref="JNQ24:JOD24"/>
    <mergeCell ref="JIU24:JJH24"/>
    <mergeCell ref="JJI24:JJV24"/>
    <mergeCell ref="JJW24:JKJ24"/>
    <mergeCell ref="JKK24:JKX24"/>
    <mergeCell ref="JKY24:JLL24"/>
    <mergeCell ref="JGC24:JGP24"/>
    <mergeCell ref="JGQ24:JHD24"/>
    <mergeCell ref="JHE24:JHR24"/>
    <mergeCell ref="JHS24:JIF24"/>
    <mergeCell ref="JIG24:JIT24"/>
    <mergeCell ref="JDK24:JDX24"/>
    <mergeCell ref="JDY24:JEL24"/>
    <mergeCell ref="JEM24:JEZ24"/>
    <mergeCell ref="JFA24:JFN24"/>
    <mergeCell ref="JFO24:JGB24"/>
    <mergeCell ref="JAS24:JBF24"/>
    <mergeCell ref="JBG24:JBT24"/>
    <mergeCell ref="JBU24:JCH24"/>
    <mergeCell ref="JCI24:JCV24"/>
    <mergeCell ref="JCW24:JDJ24"/>
    <mergeCell ref="IYA24:IYN24"/>
    <mergeCell ref="IYO24:IZB24"/>
    <mergeCell ref="IZC24:IZP24"/>
    <mergeCell ref="IZQ24:JAD24"/>
    <mergeCell ref="JAE24:JAR24"/>
    <mergeCell ref="IVI24:IVV24"/>
    <mergeCell ref="IVW24:IWJ24"/>
    <mergeCell ref="IWK24:IWX24"/>
    <mergeCell ref="IWY24:IXL24"/>
    <mergeCell ref="IXM24:IXZ24"/>
    <mergeCell ref="ISQ24:ITD24"/>
    <mergeCell ref="ITE24:ITR24"/>
    <mergeCell ref="ITS24:IUF24"/>
    <mergeCell ref="IUG24:IUT24"/>
    <mergeCell ref="IUU24:IVH24"/>
    <mergeCell ref="IPY24:IQL24"/>
    <mergeCell ref="IQM24:IQZ24"/>
    <mergeCell ref="IRA24:IRN24"/>
    <mergeCell ref="IRO24:ISB24"/>
    <mergeCell ref="ISC24:ISP24"/>
    <mergeCell ref="ING24:INT24"/>
    <mergeCell ref="INU24:IOH24"/>
    <mergeCell ref="IOI24:IOV24"/>
    <mergeCell ref="IOW24:IPJ24"/>
    <mergeCell ref="IPK24:IPX24"/>
    <mergeCell ref="IKO24:ILB24"/>
    <mergeCell ref="ILC24:ILP24"/>
    <mergeCell ref="ILQ24:IMD24"/>
    <mergeCell ref="IME24:IMR24"/>
    <mergeCell ref="IMS24:INF24"/>
    <mergeCell ref="IHW24:IIJ24"/>
    <mergeCell ref="IIK24:IIX24"/>
    <mergeCell ref="IIY24:IJL24"/>
    <mergeCell ref="IJM24:IJZ24"/>
    <mergeCell ref="IKA24:IKN24"/>
    <mergeCell ref="IFE24:IFR24"/>
    <mergeCell ref="IFS24:IGF24"/>
    <mergeCell ref="IGG24:IGT24"/>
    <mergeCell ref="IGU24:IHH24"/>
    <mergeCell ref="IHI24:IHV24"/>
    <mergeCell ref="ICM24:ICZ24"/>
    <mergeCell ref="IDA24:IDN24"/>
    <mergeCell ref="IDO24:IEB24"/>
    <mergeCell ref="IEC24:IEP24"/>
    <mergeCell ref="IEQ24:IFD24"/>
    <mergeCell ref="HZU24:IAH24"/>
    <mergeCell ref="IAI24:IAV24"/>
    <mergeCell ref="IAW24:IBJ24"/>
    <mergeCell ref="IBK24:IBX24"/>
    <mergeCell ref="IBY24:ICL24"/>
    <mergeCell ref="HXC24:HXP24"/>
    <mergeCell ref="HXQ24:HYD24"/>
    <mergeCell ref="HYE24:HYR24"/>
    <mergeCell ref="HYS24:HZF24"/>
    <mergeCell ref="HZG24:HZT24"/>
    <mergeCell ref="HUK24:HUX24"/>
    <mergeCell ref="HUY24:HVL24"/>
    <mergeCell ref="HVM24:HVZ24"/>
    <mergeCell ref="HWA24:HWN24"/>
    <mergeCell ref="HWO24:HXB24"/>
    <mergeCell ref="HRS24:HSF24"/>
    <mergeCell ref="HSG24:HST24"/>
    <mergeCell ref="HSU24:HTH24"/>
    <mergeCell ref="HTI24:HTV24"/>
    <mergeCell ref="HTW24:HUJ24"/>
    <mergeCell ref="HPA24:HPN24"/>
    <mergeCell ref="HPO24:HQB24"/>
    <mergeCell ref="HQC24:HQP24"/>
    <mergeCell ref="HQQ24:HRD24"/>
    <mergeCell ref="HRE24:HRR24"/>
    <mergeCell ref="HMI24:HMV24"/>
    <mergeCell ref="HMW24:HNJ24"/>
    <mergeCell ref="HNK24:HNX24"/>
    <mergeCell ref="HNY24:HOL24"/>
    <mergeCell ref="HOM24:HOZ24"/>
    <mergeCell ref="HJQ24:HKD24"/>
    <mergeCell ref="HKE24:HKR24"/>
    <mergeCell ref="HKS24:HLF24"/>
    <mergeCell ref="HLG24:HLT24"/>
    <mergeCell ref="HLU24:HMH24"/>
    <mergeCell ref="HGY24:HHL24"/>
    <mergeCell ref="HHM24:HHZ24"/>
    <mergeCell ref="HIA24:HIN24"/>
    <mergeCell ref="HIO24:HJB24"/>
    <mergeCell ref="HJC24:HJP24"/>
    <mergeCell ref="HEG24:HET24"/>
    <mergeCell ref="HEU24:HFH24"/>
    <mergeCell ref="HFI24:HFV24"/>
    <mergeCell ref="HFW24:HGJ24"/>
    <mergeCell ref="HGK24:HGX24"/>
    <mergeCell ref="HBO24:HCB24"/>
    <mergeCell ref="HCC24:HCP24"/>
    <mergeCell ref="HCQ24:HDD24"/>
    <mergeCell ref="HDE24:HDR24"/>
    <mergeCell ref="HDS24:HEF24"/>
    <mergeCell ref="GYW24:GZJ24"/>
    <mergeCell ref="GZK24:GZX24"/>
    <mergeCell ref="GZY24:HAL24"/>
    <mergeCell ref="HAM24:HAZ24"/>
    <mergeCell ref="HBA24:HBN24"/>
    <mergeCell ref="GWE24:GWR24"/>
    <mergeCell ref="GWS24:GXF24"/>
    <mergeCell ref="GXG24:GXT24"/>
    <mergeCell ref="GXU24:GYH24"/>
    <mergeCell ref="GYI24:GYV24"/>
    <mergeCell ref="GTM24:GTZ24"/>
    <mergeCell ref="GUA24:GUN24"/>
    <mergeCell ref="GUO24:GVB24"/>
    <mergeCell ref="GVC24:GVP24"/>
    <mergeCell ref="GVQ24:GWD24"/>
    <mergeCell ref="GQU24:GRH24"/>
    <mergeCell ref="GRI24:GRV24"/>
    <mergeCell ref="GRW24:GSJ24"/>
    <mergeCell ref="GSK24:GSX24"/>
    <mergeCell ref="GSY24:GTL24"/>
    <mergeCell ref="GOC24:GOP24"/>
    <mergeCell ref="GOQ24:GPD24"/>
    <mergeCell ref="GPE24:GPR24"/>
    <mergeCell ref="GPS24:GQF24"/>
    <mergeCell ref="GQG24:GQT24"/>
    <mergeCell ref="GLK24:GLX24"/>
    <mergeCell ref="GLY24:GML24"/>
    <mergeCell ref="GMM24:GMZ24"/>
    <mergeCell ref="GNA24:GNN24"/>
    <mergeCell ref="GNO24:GOB24"/>
    <mergeCell ref="GIS24:GJF24"/>
    <mergeCell ref="GJG24:GJT24"/>
    <mergeCell ref="GJU24:GKH24"/>
    <mergeCell ref="GKI24:GKV24"/>
    <mergeCell ref="GKW24:GLJ24"/>
    <mergeCell ref="GGA24:GGN24"/>
    <mergeCell ref="GGO24:GHB24"/>
    <mergeCell ref="GHC24:GHP24"/>
    <mergeCell ref="GHQ24:GID24"/>
    <mergeCell ref="GIE24:GIR24"/>
    <mergeCell ref="GDI24:GDV24"/>
    <mergeCell ref="GDW24:GEJ24"/>
    <mergeCell ref="GEK24:GEX24"/>
    <mergeCell ref="GEY24:GFL24"/>
    <mergeCell ref="GFM24:GFZ24"/>
    <mergeCell ref="GAQ24:GBD24"/>
    <mergeCell ref="GBE24:GBR24"/>
    <mergeCell ref="GBS24:GCF24"/>
    <mergeCell ref="GCG24:GCT24"/>
    <mergeCell ref="GCU24:GDH24"/>
    <mergeCell ref="FXY24:FYL24"/>
    <mergeCell ref="FYM24:FYZ24"/>
    <mergeCell ref="FZA24:FZN24"/>
    <mergeCell ref="FZO24:GAB24"/>
    <mergeCell ref="GAC24:GAP24"/>
    <mergeCell ref="FVG24:FVT24"/>
    <mergeCell ref="FVU24:FWH24"/>
    <mergeCell ref="FWI24:FWV24"/>
    <mergeCell ref="FWW24:FXJ24"/>
    <mergeCell ref="FXK24:FXX24"/>
    <mergeCell ref="FSO24:FTB24"/>
    <mergeCell ref="FTC24:FTP24"/>
    <mergeCell ref="FTQ24:FUD24"/>
    <mergeCell ref="FUE24:FUR24"/>
    <mergeCell ref="FUS24:FVF24"/>
    <mergeCell ref="FPW24:FQJ24"/>
    <mergeCell ref="FQK24:FQX24"/>
    <mergeCell ref="FQY24:FRL24"/>
    <mergeCell ref="FRM24:FRZ24"/>
    <mergeCell ref="FSA24:FSN24"/>
    <mergeCell ref="FNE24:FNR24"/>
    <mergeCell ref="FNS24:FOF24"/>
    <mergeCell ref="FOG24:FOT24"/>
    <mergeCell ref="FOU24:FPH24"/>
    <mergeCell ref="FPI24:FPV24"/>
    <mergeCell ref="FKM24:FKZ24"/>
    <mergeCell ref="FLA24:FLN24"/>
    <mergeCell ref="FLO24:FMB24"/>
    <mergeCell ref="FMC24:FMP24"/>
    <mergeCell ref="FMQ24:FND24"/>
    <mergeCell ref="FHU24:FIH24"/>
    <mergeCell ref="FII24:FIV24"/>
    <mergeCell ref="FIW24:FJJ24"/>
    <mergeCell ref="FJK24:FJX24"/>
    <mergeCell ref="FJY24:FKL24"/>
    <mergeCell ref="FFC24:FFP24"/>
    <mergeCell ref="FFQ24:FGD24"/>
    <mergeCell ref="FGE24:FGR24"/>
    <mergeCell ref="FGS24:FHF24"/>
    <mergeCell ref="FHG24:FHT24"/>
    <mergeCell ref="FCK24:FCX24"/>
    <mergeCell ref="FCY24:FDL24"/>
    <mergeCell ref="FDM24:FDZ24"/>
    <mergeCell ref="FEA24:FEN24"/>
    <mergeCell ref="FEO24:FFB24"/>
    <mergeCell ref="EZS24:FAF24"/>
    <mergeCell ref="FAG24:FAT24"/>
    <mergeCell ref="FAU24:FBH24"/>
    <mergeCell ref="FBI24:FBV24"/>
    <mergeCell ref="FBW24:FCJ24"/>
    <mergeCell ref="EXA24:EXN24"/>
    <mergeCell ref="EXO24:EYB24"/>
    <mergeCell ref="EYC24:EYP24"/>
    <mergeCell ref="EYQ24:EZD24"/>
    <mergeCell ref="EZE24:EZR24"/>
    <mergeCell ref="EUI24:EUV24"/>
    <mergeCell ref="EUW24:EVJ24"/>
    <mergeCell ref="EVK24:EVX24"/>
    <mergeCell ref="EVY24:EWL24"/>
    <mergeCell ref="EWM24:EWZ24"/>
    <mergeCell ref="ERQ24:ESD24"/>
    <mergeCell ref="ESE24:ESR24"/>
    <mergeCell ref="ESS24:ETF24"/>
    <mergeCell ref="ETG24:ETT24"/>
    <mergeCell ref="ETU24:EUH24"/>
    <mergeCell ref="EOY24:EPL24"/>
    <mergeCell ref="EPM24:EPZ24"/>
    <mergeCell ref="EQA24:EQN24"/>
    <mergeCell ref="EQO24:ERB24"/>
    <mergeCell ref="ERC24:ERP24"/>
    <mergeCell ref="EMG24:EMT24"/>
    <mergeCell ref="EMU24:ENH24"/>
    <mergeCell ref="ENI24:ENV24"/>
    <mergeCell ref="ENW24:EOJ24"/>
    <mergeCell ref="EOK24:EOX24"/>
    <mergeCell ref="EJO24:EKB24"/>
    <mergeCell ref="EKC24:EKP24"/>
    <mergeCell ref="EKQ24:ELD24"/>
    <mergeCell ref="ELE24:ELR24"/>
    <mergeCell ref="ELS24:EMF24"/>
    <mergeCell ref="EGW24:EHJ24"/>
    <mergeCell ref="EHK24:EHX24"/>
    <mergeCell ref="EHY24:EIL24"/>
    <mergeCell ref="EIM24:EIZ24"/>
    <mergeCell ref="EJA24:EJN24"/>
    <mergeCell ref="EEE24:EER24"/>
    <mergeCell ref="EES24:EFF24"/>
    <mergeCell ref="EFG24:EFT24"/>
    <mergeCell ref="EFU24:EGH24"/>
    <mergeCell ref="EGI24:EGV24"/>
    <mergeCell ref="EBM24:EBZ24"/>
    <mergeCell ref="ECA24:ECN24"/>
    <mergeCell ref="ECO24:EDB24"/>
    <mergeCell ref="EDC24:EDP24"/>
    <mergeCell ref="EDQ24:EED24"/>
    <mergeCell ref="DYU24:DZH24"/>
    <mergeCell ref="DZI24:DZV24"/>
    <mergeCell ref="DZW24:EAJ24"/>
    <mergeCell ref="EAK24:EAX24"/>
    <mergeCell ref="EAY24:EBL24"/>
    <mergeCell ref="DWC24:DWP24"/>
    <mergeCell ref="DWQ24:DXD24"/>
    <mergeCell ref="DXE24:DXR24"/>
    <mergeCell ref="DXS24:DYF24"/>
    <mergeCell ref="DYG24:DYT24"/>
    <mergeCell ref="DTK24:DTX24"/>
    <mergeCell ref="DTY24:DUL24"/>
    <mergeCell ref="DUM24:DUZ24"/>
    <mergeCell ref="DVA24:DVN24"/>
    <mergeCell ref="DVO24:DWB24"/>
    <mergeCell ref="DQS24:DRF24"/>
    <mergeCell ref="DRG24:DRT24"/>
    <mergeCell ref="DRU24:DSH24"/>
    <mergeCell ref="DSI24:DSV24"/>
    <mergeCell ref="DSW24:DTJ24"/>
    <mergeCell ref="DOA24:DON24"/>
    <mergeCell ref="DOO24:DPB24"/>
    <mergeCell ref="DPC24:DPP24"/>
    <mergeCell ref="DPQ24:DQD24"/>
    <mergeCell ref="DQE24:DQR24"/>
    <mergeCell ref="DLI24:DLV24"/>
    <mergeCell ref="DLW24:DMJ24"/>
    <mergeCell ref="DMK24:DMX24"/>
    <mergeCell ref="DMY24:DNL24"/>
    <mergeCell ref="DNM24:DNZ24"/>
    <mergeCell ref="DIQ24:DJD24"/>
    <mergeCell ref="DJE24:DJR24"/>
    <mergeCell ref="DJS24:DKF24"/>
    <mergeCell ref="DKG24:DKT24"/>
    <mergeCell ref="DKU24:DLH24"/>
    <mergeCell ref="DFY24:DGL24"/>
    <mergeCell ref="DGM24:DGZ24"/>
    <mergeCell ref="DHA24:DHN24"/>
    <mergeCell ref="DHO24:DIB24"/>
    <mergeCell ref="DIC24:DIP24"/>
    <mergeCell ref="DDG24:DDT24"/>
    <mergeCell ref="DDU24:DEH24"/>
    <mergeCell ref="DEI24:DEV24"/>
    <mergeCell ref="DEW24:DFJ24"/>
    <mergeCell ref="DFK24:DFX24"/>
    <mergeCell ref="DAO24:DBB24"/>
    <mergeCell ref="DBC24:DBP24"/>
    <mergeCell ref="DBQ24:DCD24"/>
    <mergeCell ref="DCE24:DCR24"/>
    <mergeCell ref="DCS24:DDF24"/>
    <mergeCell ref="CXW24:CYJ24"/>
    <mergeCell ref="CYK24:CYX24"/>
    <mergeCell ref="CYY24:CZL24"/>
    <mergeCell ref="CZM24:CZZ24"/>
    <mergeCell ref="DAA24:DAN24"/>
    <mergeCell ref="CVE24:CVR24"/>
    <mergeCell ref="CVS24:CWF24"/>
    <mergeCell ref="CWG24:CWT24"/>
    <mergeCell ref="CWU24:CXH24"/>
    <mergeCell ref="CXI24:CXV24"/>
    <mergeCell ref="CSM24:CSZ24"/>
    <mergeCell ref="CTA24:CTN24"/>
    <mergeCell ref="CTO24:CUB24"/>
    <mergeCell ref="CUC24:CUP24"/>
    <mergeCell ref="CUQ24:CVD24"/>
    <mergeCell ref="CPU24:CQH24"/>
    <mergeCell ref="CQI24:CQV24"/>
    <mergeCell ref="CQW24:CRJ24"/>
    <mergeCell ref="CRK24:CRX24"/>
    <mergeCell ref="CRY24:CSL24"/>
    <mergeCell ref="CNC24:CNP24"/>
    <mergeCell ref="CNQ24:COD24"/>
    <mergeCell ref="COE24:COR24"/>
    <mergeCell ref="COS24:CPF24"/>
    <mergeCell ref="CPG24:CPT24"/>
    <mergeCell ref="CKK24:CKX24"/>
    <mergeCell ref="CKY24:CLL24"/>
    <mergeCell ref="CLM24:CLZ24"/>
    <mergeCell ref="CMA24:CMN24"/>
    <mergeCell ref="CMO24:CNB24"/>
    <mergeCell ref="CHS24:CIF24"/>
    <mergeCell ref="CIG24:CIT24"/>
    <mergeCell ref="CIU24:CJH24"/>
    <mergeCell ref="CJI24:CJV24"/>
    <mergeCell ref="CJW24:CKJ24"/>
    <mergeCell ref="CFA24:CFN24"/>
    <mergeCell ref="CFO24:CGB24"/>
    <mergeCell ref="CGC24:CGP24"/>
    <mergeCell ref="CGQ24:CHD24"/>
    <mergeCell ref="CHE24:CHR24"/>
    <mergeCell ref="CCI24:CCV24"/>
    <mergeCell ref="CCW24:CDJ24"/>
    <mergeCell ref="CDK24:CDX24"/>
    <mergeCell ref="CDY24:CEL24"/>
    <mergeCell ref="CEM24:CEZ24"/>
    <mergeCell ref="BZQ24:CAD24"/>
    <mergeCell ref="CAE24:CAR24"/>
    <mergeCell ref="CAS24:CBF24"/>
    <mergeCell ref="CBG24:CBT24"/>
    <mergeCell ref="CBU24:CCH24"/>
    <mergeCell ref="BWY24:BXL24"/>
    <mergeCell ref="BXM24:BXZ24"/>
    <mergeCell ref="BYA24:BYN24"/>
    <mergeCell ref="BYO24:BZB24"/>
    <mergeCell ref="BZC24:BZP24"/>
    <mergeCell ref="BUG24:BUT24"/>
    <mergeCell ref="BUU24:BVH24"/>
    <mergeCell ref="BVI24:BVV24"/>
    <mergeCell ref="BVW24:BWJ24"/>
    <mergeCell ref="BWK24:BWX24"/>
    <mergeCell ref="BRO24:BSB24"/>
    <mergeCell ref="BSC24:BSP24"/>
    <mergeCell ref="BSQ24:BTD24"/>
    <mergeCell ref="BTE24:BTR24"/>
    <mergeCell ref="BTS24:BUF24"/>
    <mergeCell ref="BOW24:BPJ24"/>
    <mergeCell ref="BPK24:BPX24"/>
    <mergeCell ref="BPY24:BQL24"/>
    <mergeCell ref="BQM24:BQZ24"/>
    <mergeCell ref="BRA24:BRN24"/>
    <mergeCell ref="BME24:BMR24"/>
    <mergeCell ref="BMS24:BNF24"/>
    <mergeCell ref="BNG24:BNT24"/>
    <mergeCell ref="BNU24:BOH24"/>
    <mergeCell ref="BOI24:BOV24"/>
    <mergeCell ref="BJM24:BJZ24"/>
    <mergeCell ref="BKA24:BKN24"/>
    <mergeCell ref="BKO24:BLB24"/>
    <mergeCell ref="BLC24:BLP24"/>
    <mergeCell ref="BLQ24:BMD24"/>
    <mergeCell ref="BGU24:BHH24"/>
    <mergeCell ref="BHI24:BHV24"/>
    <mergeCell ref="BHW24:BIJ24"/>
    <mergeCell ref="BIK24:BIX24"/>
    <mergeCell ref="BIY24:BJL24"/>
    <mergeCell ref="BEC24:BEP24"/>
    <mergeCell ref="BEQ24:BFD24"/>
    <mergeCell ref="BFE24:BFR24"/>
    <mergeCell ref="BFS24:BGF24"/>
    <mergeCell ref="BGG24:BGT24"/>
    <mergeCell ref="BBK24:BBX24"/>
    <mergeCell ref="BBY24:BCL24"/>
    <mergeCell ref="BCM24:BCZ24"/>
    <mergeCell ref="BDA24:BDN24"/>
    <mergeCell ref="BDO24:BEB24"/>
    <mergeCell ref="AYS24:AZF24"/>
    <mergeCell ref="AZG24:AZT24"/>
    <mergeCell ref="AZU24:BAH24"/>
    <mergeCell ref="BAI24:BAV24"/>
    <mergeCell ref="BAW24:BBJ24"/>
    <mergeCell ref="AWA24:AWN24"/>
    <mergeCell ref="AWO24:AXB24"/>
    <mergeCell ref="AXC24:AXP24"/>
    <mergeCell ref="AXQ24:AYD24"/>
    <mergeCell ref="AYE24:AYR24"/>
    <mergeCell ref="ATI24:ATV24"/>
    <mergeCell ref="ATW24:AUJ24"/>
    <mergeCell ref="AUK24:AUX24"/>
    <mergeCell ref="AUY24:AVL24"/>
    <mergeCell ref="AVM24:AVZ24"/>
    <mergeCell ref="AQQ24:ARD24"/>
    <mergeCell ref="ARE24:ARR24"/>
    <mergeCell ref="ARS24:ASF24"/>
    <mergeCell ref="ASG24:AST24"/>
    <mergeCell ref="ASU24:ATH24"/>
    <mergeCell ref="ANY24:AOL24"/>
    <mergeCell ref="AOM24:AOZ24"/>
    <mergeCell ref="APA24:APN24"/>
    <mergeCell ref="APO24:AQB24"/>
    <mergeCell ref="AQC24:AQP24"/>
    <mergeCell ref="ALG24:ALT24"/>
    <mergeCell ref="ALU24:AMH24"/>
    <mergeCell ref="AMI24:AMV24"/>
    <mergeCell ref="AMW24:ANJ24"/>
    <mergeCell ref="ANK24:ANX24"/>
    <mergeCell ref="AIO24:AJB24"/>
    <mergeCell ref="AJC24:AJP24"/>
    <mergeCell ref="AJQ24:AKD24"/>
    <mergeCell ref="AKE24:AKR24"/>
    <mergeCell ref="AKS24:ALF24"/>
    <mergeCell ref="AFW24:AGJ24"/>
    <mergeCell ref="AGK24:AGX24"/>
    <mergeCell ref="AGY24:AHL24"/>
    <mergeCell ref="AHM24:AHZ24"/>
    <mergeCell ref="AIA24:AIN24"/>
    <mergeCell ref="ADE24:ADR24"/>
    <mergeCell ref="ADS24:AEF24"/>
    <mergeCell ref="AEG24:AET24"/>
    <mergeCell ref="AEU24:AFH24"/>
    <mergeCell ref="AFI24:AFV24"/>
    <mergeCell ref="AAM24:AAZ24"/>
    <mergeCell ref="ABA24:ABN24"/>
    <mergeCell ref="ABO24:ACB24"/>
    <mergeCell ref="ACC24:ACP24"/>
    <mergeCell ref="ACQ24:ADD24"/>
    <mergeCell ref="XU24:YH24"/>
    <mergeCell ref="YI24:YV24"/>
    <mergeCell ref="YW24:ZJ24"/>
    <mergeCell ref="ZK24:ZX24"/>
    <mergeCell ref="ZY24:AAL24"/>
    <mergeCell ref="VC24:VP24"/>
    <mergeCell ref="VQ24:WD24"/>
    <mergeCell ref="WE24:WR24"/>
    <mergeCell ref="WS24:XF24"/>
    <mergeCell ref="XG24:XT24"/>
    <mergeCell ref="SK24:SX24"/>
    <mergeCell ref="SY24:TL24"/>
    <mergeCell ref="TM24:TZ24"/>
    <mergeCell ref="UA24:UN24"/>
    <mergeCell ref="UO24:VB24"/>
    <mergeCell ref="PS24:QF24"/>
    <mergeCell ref="QG24:QT24"/>
    <mergeCell ref="QU24:RH24"/>
    <mergeCell ref="RI24:RV24"/>
    <mergeCell ref="RW24:SJ24"/>
    <mergeCell ref="NA24:NN24"/>
    <mergeCell ref="NO24:OB24"/>
    <mergeCell ref="OC24:OP24"/>
    <mergeCell ref="OQ24:PD24"/>
    <mergeCell ref="PE24:PR24"/>
    <mergeCell ref="KI24:KV24"/>
    <mergeCell ref="KW24:LJ24"/>
    <mergeCell ref="LK24:LX24"/>
    <mergeCell ref="LY24:ML24"/>
    <mergeCell ref="MM24:MZ24"/>
    <mergeCell ref="HQ24:ID24"/>
    <mergeCell ref="IE24:IR24"/>
    <mergeCell ref="IS24:JF24"/>
    <mergeCell ref="JG24:JT24"/>
    <mergeCell ref="JU24:KH24"/>
    <mergeCell ref="EY24:FL24"/>
    <mergeCell ref="FM24:FZ24"/>
    <mergeCell ref="GA24:GN24"/>
    <mergeCell ref="GO24:HB24"/>
    <mergeCell ref="HC24:HP24"/>
    <mergeCell ref="CG24:CT24"/>
    <mergeCell ref="CU24:DH24"/>
    <mergeCell ref="DI24:DV24"/>
    <mergeCell ref="DW24:EJ24"/>
    <mergeCell ref="EK24:EX24"/>
    <mergeCell ref="O24:AB24"/>
    <mergeCell ref="AC24:AP24"/>
    <mergeCell ref="AQ24:BD24"/>
    <mergeCell ref="BE24:BR24"/>
    <mergeCell ref="BS24:CF24"/>
    <mergeCell ref="A3:N3"/>
    <mergeCell ref="A4:N4"/>
    <mergeCell ref="B44:L44"/>
    <mergeCell ref="F38:N38"/>
    <mergeCell ref="A19:N20"/>
    <mergeCell ref="B26:M26"/>
    <mergeCell ref="A22:N22"/>
    <mergeCell ref="A23:N23"/>
    <mergeCell ref="F33:K34"/>
    <mergeCell ref="A24:N24"/>
  </mergeCells>
  <printOptions horizontalCentered="1" verticalCentered="1"/>
  <pageMargins left="0.98425196850393704" right="0.78740157480314965" top="0.78740157480314965" bottom="0.78740157480314965" header="0" footer="0"/>
  <pageSetup orientation="portrait" horizontalDpi="4294967295" verticalDpi="4294967295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188"/>
  <sheetViews>
    <sheetView view="pageBreakPreview" zoomScaleNormal="70" zoomScaleSheetLayoutView="100" zoomScalePageLayoutView="25" workbookViewId="0">
      <pane xSplit="1" ySplit="1" topLeftCell="B295" activePane="bottomRight" state="frozen"/>
      <selection activeCell="C24" sqref="C24:C27"/>
      <selection pane="topRight" activeCell="C24" sqref="C24:C27"/>
      <selection pane="bottomLeft" activeCell="C24" sqref="C24:C27"/>
      <selection pane="bottomRight" activeCell="C24" sqref="C24:C27"/>
    </sheetView>
  </sheetViews>
  <sheetFormatPr baseColWidth="10" defaultColWidth="11.44140625" defaultRowHeight="14.1" customHeight="1"/>
  <cols>
    <col min="1" max="1" width="5.6640625" style="942" customWidth="1"/>
    <col min="2" max="2" width="7.6640625" style="942" customWidth="1"/>
    <col min="3" max="3" width="5.6640625" style="942" customWidth="1"/>
    <col min="4" max="14" width="6.33203125" style="942" customWidth="1"/>
    <col min="15" max="15" width="5.6640625" style="801" customWidth="1"/>
    <col min="16" max="16384" width="11.44140625" style="801"/>
  </cols>
  <sheetData>
    <row r="1" spans="1:14" ht="14.1" customHeight="1" thickTop="1">
      <c r="A1" s="941"/>
      <c r="B1" s="941"/>
      <c r="C1" s="941"/>
      <c r="D1" s="941"/>
      <c r="E1" s="941"/>
      <c r="F1" s="941"/>
      <c r="G1" s="941"/>
      <c r="H1" s="941"/>
      <c r="I1" s="941"/>
      <c r="J1" s="941"/>
      <c r="K1" s="941"/>
      <c r="L1" s="941"/>
      <c r="M1" s="941"/>
      <c r="N1" s="941"/>
    </row>
    <row r="17" spans="1:14" ht="14.1" customHeight="1">
      <c r="B17" s="943"/>
    </row>
    <row r="18" spans="1:14" ht="14.1" customHeight="1">
      <c r="B18" s="943"/>
    </row>
    <row r="20" spans="1:14" ht="69.900000000000006" customHeight="1">
      <c r="A20" s="1491" t="str">
        <f>+I!C6</f>
        <v>INDICE</v>
      </c>
      <c r="B20" s="1491"/>
      <c r="C20" s="1491"/>
      <c r="D20" s="1491"/>
      <c r="E20" s="1491"/>
      <c r="F20" s="1491"/>
      <c r="G20" s="1491"/>
      <c r="H20" s="1491"/>
      <c r="I20" s="1491"/>
      <c r="J20" s="1491"/>
      <c r="K20" s="1491"/>
      <c r="L20" s="1491"/>
      <c r="M20" s="1491"/>
      <c r="N20" s="1491"/>
    </row>
    <row r="21" spans="1:14" ht="14.1" customHeight="1">
      <c r="A21" s="944"/>
      <c r="B21" s="944"/>
      <c r="C21" s="944"/>
      <c r="D21" s="944"/>
      <c r="E21" s="944"/>
      <c r="F21" s="944"/>
      <c r="G21" s="944"/>
      <c r="H21" s="944"/>
      <c r="I21" s="944"/>
      <c r="J21" s="944"/>
      <c r="K21" s="944"/>
      <c r="L21" s="944"/>
      <c r="M21" s="944"/>
      <c r="N21" s="944"/>
    </row>
    <row r="22" spans="1:14" ht="14.1" customHeight="1">
      <c r="A22" s="944"/>
      <c r="B22" s="944"/>
      <c r="C22" s="944"/>
      <c r="D22" s="944"/>
      <c r="E22" s="944"/>
      <c r="F22" s="944"/>
      <c r="G22" s="944"/>
      <c r="H22" s="944"/>
      <c r="I22" s="944"/>
      <c r="J22" s="944"/>
      <c r="K22" s="944"/>
      <c r="L22" s="944"/>
      <c r="M22" s="944"/>
      <c r="N22" s="944"/>
    </row>
    <row r="23" spans="1:14" ht="14.1" customHeight="1">
      <c r="A23" s="944"/>
      <c r="B23" s="944"/>
      <c r="C23" s="944"/>
      <c r="D23" s="944"/>
      <c r="E23" s="944"/>
      <c r="F23" s="944"/>
      <c r="G23" s="944"/>
      <c r="H23" s="944"/>
      <c r="I23" s="944"/>
      <c r="J23" s="944"/>
      <c r="K23" s="944"/>
      <c r="L23" s="944"/>
      <c r="M23" s="944"/>
      <c r="N23" s="944"/>
    </row>
    <row r="24" spans="1:14" ht="14.1" customHeight="1">
      <c r="A24" s="944"/>
      <c r="B24" s="944"/>
      <c r="C24" s="944"/>
      <c r="D24" s="944"/>
      <c r="E24" s="944"/>
      <c r="F24" s="944"/>
      <c r="G24" s="944"/>
      <c r="H24" s="944"/>
      <c r="I24" s="944"/>
      <c r="J24" s="944"/>
      <c r="K24" s="944"/>
      <c r="L24" s="944"/>
      <c r="M24" s="944"/>
      <c r="N24" s="944"/>
    </row>
    <row r="44" spans="1:14" ht="14.1" customHeight="1" thickBot="1">
      <c r="A44" s="945"/>
      <c r="B44" s="945"/>
      <c r="C44" s="945"/>
      <c r="D44" s="945"/>
      <c r="E44" s="945"/>
      <c r="F44" s="945"/>
      <c r="G44" s="945"/>
      <c r="H44" s="945"/>
      <c r="I44" s="945"/>
      <c r="J44" s="945"/>
      <c r="K44" s="945"/>
      <c r="L44" s="945"/>
      <c r="M44" s="945"/>
      <c r="N44" s="945"/>
    </row>
    <row r="45" spans="1:14" ht="14.1" customHeight="1" thickTop="1" thickBot="1"/>
    <row r="46" spans="1:14" ht="14.1" customHeight="1" thickTop="1">
      <c r="A46" s="941"/>
      <c r="B46" s="941"/>
      <c r="C46" s="941"/>
      <c r="D46" s="941"/>
      <c r="E46" s="941"/>
      <c r="F46" s="941"/>
      <c r="G46" s="941"/>
      <c r="H46" s="941"/>
      <c r="I46" s="941"/>
      <c r="J46" s="941"/>
      <c r="K46" s="941"/>
      <c r="L46" s="941"/>
      <c r="M46" s="941"/>
      <c r="N46" s="941"/>
    </row>
    <row r="62" spans="2:2" ht="14.1" customHeight="1">
      <c r="B62" s="943"/>
    </row>
    <row r="63" spans="2:2" ht="14.1" customHeight="1">
      <c r="B63" s="943"/>
    </row>
    <row r="65" spans="1:14" ht="69.900000000000006" customHeight="1">
      <c r="A65" s="1491" t="str">
        <f>+I!C7</f>
        <v>INFORME DEL SUPERVISOR</v>
      </c>
      <c r="B65" s="1491"/>
      <c r="C65" s="1491"/>
      <c r="D65" s="1491"/>
      <c r="E65" s="1491"/>
      <c r="F65" s="1491"/>
      <c r="G65" s="1491"/>
      <c r="H65" s="1491"/>
      <c r="I65" s="1491"/>
      <c r="J65" s="1491"/>
      <c r="K65" s="1491"/>
      <c r="L65" s="1491"/>
      <c r="M65" s="1491"/>
      <c r="N65" s="1491"/>
    </row>
    <row r="66" spans="1:14" ht="14.1" customHeight="1">
      <c r="A66" s="944"/>
      <c r="B66" s="944"/>
      <c r="C66" s="944"/>
      <c r="D66" s="944"/>
      <c r="E66" s="944"/>
      <c r="F66" s="944"/>
      <c r="G66" s="944"/>
      <c r="H66" s="944"/>
      <c r="I66" s="944"/>
      <c r="J66" s="944"/>
      <c r="K66" s="944"/>
      <c r="L66" s="944"/>
      <c r="M66" s="944"/>
      <c r="N66" s="944"/>
    </row>
    <row r="67" spans="1:14" ht="14.1" customHeight="1">
      <c r="A67" s="944"/>
      <c r="B67" s="944"/>
      <c r="C67" s="944"/>
      <c r="D67" s="944"/>
      <c r="E67" s="944"/>
      <c r="F67" s="944"/>
      <c r="G67" s="944"/>
      <c r="H67" s="944"/>
      <c r="I67" s="944"/>
      <c r="J67" s="944"/>
      <c r="K67" s="944"/>
      <c r="L67" s="944"/>
      <c r="M67" s="944"/>
      <c r="N67" s="944"/>
    </row>
    <row r="68" spans="1:14" ht="14.1" customHeight="1">
      <c r="A68" s="944"/>
      <c r="B68" s="944"/>
      <c r="C68" s="944"/>
      <c r="D68" s="944"/>
      <c r="E68" s="944"/>
      <c r="F68" s="944"/>
      <c r="G68" s="944"/>
      <c r="H68" s="944"/>
      <c r="I68" s="944"/>
      <c r="J68" s="944"/>
      <c r="K68" s="944"/>
      <c r="L68" s="944"/>
      <c r="M68" s="944"/>
      <c r="N68" s="944"/>
    </row>
    <row r="69" spans="1:14" ht="14.1" customHeight="1">
      <c r="A69" s="944"/>
      <c r="B69" s="944"/>
      <c r="C69" s="944"/>
      <c r="D69" s="944"/>
      <c r="E69" s="944"/>
      <c r="F69" s="944"/>
      <c r="G69" s="944"/>
      <c r="H69" s="944"/>
      <c r="I69" s="944"/>
      <c r="J69" s="944"/>
      <c r="K69" s="944"/>
      <c r="L69" s="944"/>
      <c r="M69" s="944"/>
      <c r="N69" s="944"/>
    </row>
    <row r="89" spans="1:14" ht="14.1" customHeight="1" thickBot="1">
      <c r="A89" s="945"/>
      <c r="B89" s="945"/>
      <c r="C89" s="945"/>
      <c r="D89" s="945"/>
      <c r="E89" s="945"/>
      <c r="F89" s="945"/>
      <c r="G89" s="945"/>
      <c r="H89" s="945"/>
      <c r="I89" s="945"/>
      <c r="J89" s="945"/>
      <c r="K89" s="945"/>
      <c r="L89" s="945"/>
      <c r="M89" s="945"/>
      <c r="N89" s="945"/>
    </row>
    <row r="90" spans="1:14" ht="14.1" customHeight="1" thickTop="1" thickBot="1"/>
    <row r="91" spans="1:14" ht="14.1" customHeight="1" thickTop="1">
      <c r="A91" s="941"/>
      <c r="B91" s="941"/>
      <c r="C91" s="941"/>
      <c r="D91" s="941"/>
      <c r="E91" s="941"/>
      <c r="F91" s="941"/>
      <c r="G91" s="941"/>
      <c r="H91" s="941"/>
      <c r="I91" s="941"/>
      <c r="J91" s="941"/>
      <c r="K91" s="941"/>
      <c r="L91" s="941"/>
      <c r="M91" s="941"/>
      <c r="N91" s="941"/>
    </row>
    <row r="107" spans="1:14" ht="14.1" customHeight="1">
      <c r="B107" s="943"/>
    </row>
    <row r="108" spans="1:14" ht="14.1" customHeight="1">
      <c r="B108" s="943"/>
    </row>
    <row r="110" spans="1:14" ht="69.900000000000006" customHeight="1">
      <c r="A110" s="1491" t="str">
        <f>+I!C8</f>
        <v>PLANILLA PRINCIPAL</v>
      </c>
      <c r="B110" s="1491"/>
      <c r="C110" s="1491"/>
      <c r="D110" s="1491"/>
      <c r="E110" s="1491"/>
      <c r="F110" s="1491"/>
      <c r="G110" s="1491"/>
      <c r="H110" s="1491"/>
      <c r="I110" s="1491"/>
      <c r="J110" s="1491"/>
      <c r="K110" s="1491"/>
      <c r="L110" s="1491"/>
      <c r="M110" s="1491"/>
      <c r="N110" s="1491"/>
    </row>
    <row r="111" spans="1:14" ht="14.1" customHeight="1">
      <c r="A111" s="944"/>
      <c r="B111" s="944"/>
      <c r="C111" s="944"/>
      <c r="D111" s="944"/>
      <c r="E111" s="944"/>
      <c r="F111" s="944"/>
      <c r="G111" s="944"/>
      <c r="H111" s="944"/>
      <c r="I111" s="944"/>
      <c r="J111" s="944"/>
      <c r="K111" s="944"/>
      <c r="L111" s="944"/>
      <c r="M111" s="944"/>
      <c r="N111" s="944"/>
    </row>
    <row r="112" spans="1:14" ht="14.1" customHeight="1">
      <c r="A112" s="944"/>
      <c r="B112" s="944"/>
      <c r="C112" s="944"/>
      <c r="D112" s="944"/>
      <c r="E112" s="944"/>
      <c r="F112" s="944"/>
      <c r="G112" s="944"/>
      <c r="H112" s="944"/>
      <c r="I112" s="944"/>
      <c r="J112" s="944"/>
      <c r="K112" s="944"/>
      <c r="L112" s="944"/>
      <c r="M112" s="944"/>
      <c r="N112" s="944"/>
    </row>
    <row r="113" spans="1:14" ht="14.1" customHeight="1">
      <c r="A113" s="944"/>
      <c r="B113" s="944"/>
      <c r="C113" s="944"/>
      <c r="D113" s="944"/>
      <c r="E113" s="944"/>
      <c r="F113" s="944"/>
      <c r="G113" s="944"/>
      <c r="H113" s="944"/>
      <c r="I113" s="944"/>
      <c r="J113" s="944"/>
      <c r="K113" s="944"/>
      <c r="L113" s="944"/>
      <c r="M113" s="944"/>
      <c r="N113" s="944"/>
    </row>
    <row r="114" spans="1:14" ht="14.1" customHeight="1">
      <c r="A114" s="944"/>
      <c r="B114" s="944"/>
      <c r="C114" s="944"/>
      <c r="D114" s="944"/>
      <c r="E114" s="944"/>
      <c r="F114" s="944"/>
      <c r="G114" s="944"/>
      <c r="H114" s="944"/>
      <c r="I114" s="944"/>
      <c r="J114" s="944"/>
      <c r="K114" s="944"/>
      <c r="L114" s="944"/>
      <c r="M114" s="944"/>
      <c r="N114" s="944"/>
    </row>
    <row r="134" spans="1:14" ht="14.1" customHeight="1" thickBot="1">
      <c r="A134" s="945"/>
      <c r="B134" s="945"/>
      <c r="C134" s="945"/>
      <c r="D134" s="945"/>
      <c r="E134" s="945"/>
      <c r="F134" s="945"/>
      <c r="G134" s="945"/>
      <c r="H134" s="945"/>
      <c r="I134" s="945"/>
      <c r="J134" s="945"/>
      <c r="K134" s="945"/>
      <c r="L134" s="945"/>
      <c r="M134" s="945"/>
      <c r="N134" s="945"/>
    </row>
    <row r="135" spans="1:14" ht="14.1" customHeight="1" thickTop="1" thickBot="1"/>
    <row r="136" spans="1:14" ht="14.1" customHeight="1" thickTop="1">
      <c r="A136" s="941"/>
      <c r="B136" s="941"/>
      <c r="C136" s="941"/>
      <c r="D136" s="941"/>
      <c r="E136" s="941"/>
      <c r="F136" s="941"/>
      <c r="G136" s="941"/>
      <c r="H136" s="941"/>
      <c r="I136" s="941"/>
      <c r="J136" s="941"/>
      <c r="K136" s="941"/>
      <c r="L136" s="941"/>
      <c r="M136" s="941"/>
      <c r="N136" s="941"/>
    </row>
    <row r="152" spans="1:14" ht="14.1" customHeight="1">
      <c r="B152" s="943"/>
    </row>
    <row r="153" spans="1:14" ht="14.1" customHeight="1">
      <c r="B153" s="943"/>
    </row>
    <row r="155" spans="1:14" ht="69.900000000000006" customHeight="1">
      <c r="A155" s="1491" t="str">
        <f>+I!C9</f>
        <v>AMORTIZACIÓN DE ANTICIPOS</v>
      </c>
      <c r="B155" s="1491"/>
      <c r="C155" s="1491"/>
      <c r="D155" s="1491"/>
      <c r="E155" s="1491"/>
      <c r="F155" s="1491"/>
      <c r="G155" s="1491"/>
      <c r="H155" s="1491"/>
      <c r="I155" s="1491"/>
      <c r="J155" s="1491"/>
      <c r="K155" s="1491"/>
      <c r="L155" s="1491"/>
      <c r="M155" s="1491"/>
      <c r="N155" s="1491"/>
    </row>
    <row r="156" spans="1:14" ht="14.1" customHeight="1">
      <c r="A156" s="944"/>
      <c r="B156" s="944"/>
      <c r="C156" s="944"/>
      <c r="D156" s="944"/>
      <c r="E156" s="944"/>
      <c r="F156" s="944"/>
      <c r="G156" s="944"/>
      <c r="H156" s="944"/>
      <c r="I156" s="944"/>
      <c r="J156" s="944"/>
      <c r="K156" s="944"/>
      <c r="L156" s="944"/>
      <c r="M156" s="944"/>
      <c r="N156" s="944"/>
    </row>
    <row r="157" spans="1:14" ht="14.1" customHeight="1">
      <c r="A157" s="944"/>
      <c r="B157" s="944"/>
      <c r="C157" s="944"/>
      <c r="D157" s="944"/>
      <c r="E157" s="944"/>
      <c r="F157" s="944"/>
      <c r="G157" s="944"/>
      <c r="H157" s="944"/>
      <c r="I157" s="944"/>
      <c r="J157" s="944"/>
      <c r="K157" s="944"/>
      <c r="L157" s="944"/>
      <c r="M157" s="944"/>
      <c r="N157" s="944"/>
    </row>
    <row r="158" spans="1:14" ht="14.1" customHeight="1">
      <c r="A158" s="944"/>
      <c r="B158" s="944"/>
      <c r="C158" s="944"/>
      <c r="D158" s="944"/>
      <c r="E158" s="944"/>
      <c r="F158" s="944"/>
      <c r="G158" s="944"/>
      <c r="H158" s="944"/>
      <c r="I158" s="944"/>
      <c r="J158" s="944"/>
      <c r="K158" s="944"/>
      <c r="L158" s="944"/>
      <c r="M158" s="944"/>
      <c r="N158" s="944"/>
    </row>
    <row r="159" spans="1:14" ht="14.1" customHeight="1">
      <c r="A159" s="944"/>
      <c r="B159" s="944"/>
      <c r="C159" s="944"/>
      <c r="D159" s="944"/>
      <c r="E159" s="944"/>
      <c r="F159" s="944"/>
      <c r="G159" s="944"/>
      <c r="H159" s="944"/>
      <c r="I159" s="944"/>
      <c r="J159" s="944"/>
      <c r="K159" s="944"/>
      <c r="L159" s="944"/>
      <c r="M159" s="944"/>
      <c r="N159" s="944"/>
    </row>
    <row r="179" spans="1:14" ht="14.1" customHeight="1" thickBot="1">
      <c r="A179" s="945"/>
      <c r="B179" s="945"/>
      <c r="C179" s="945"/>
      <c r="D179" s="945"/>
      <c r="E179" s="945"/>
      <c r="F179" s="945"/>
      <c r="G179" s="945"/>
      <c r="H179" s="945"/>
      <c r="I179" s="945"/>
      <c r="J179" s="945"/>
      <c r="K179" s="945"/>
      <c r="L179" s="945"/>
      <c r="M179" s="945"/>
      <c r="N179" s="945"/>
    </row>
    <row r="180" spans="1:14" ht="14.1" customHeight="1" thickTop="1" thickBot="1"/>
    <row r="181" spans="1:14" ht="14.1" customHeight="1" thickTop="1">
      <c r="A181" s="941"/>
      <c r="B181" s="941"/>
      <c r="C181" s="941"/>
      <c r="D181" s="941"/>
      <c r="E181" s="941"/>
      <c r="F181" s="941"/>
      <c r="G181" s="941"/>
      <c r="H181" s="941"/>
      <c r="I181" s="941"/>
      <c r="J181" s="941"/>
      <c r="K181" s="941"/>
      <c r="L181" s="941"/>
      <c r="M181" s="941"/>
      <c r="N181" s="941"/>
    </row>
    <row r="197" spans="1:14" ht="14.1" customHeight="1">
      <c r="B197" s="943"/>
    </row>
    <row r="198" spans="1:14" ht="14.1" customHeight="1">
      <c r="B198" s="943"/>
    </row>
    <row r="200" spans="1:14" ht="69.900000000000006" customHeight="1">
      <c r="A200" s="1491" t="str">
        <f>+I!C10</f>
        <v>PERSONAL TÉCNICO CLAVE</v>
      </c>
      <c r="B200" s="1491"/>
      <c r="C200" s="1491"/>
      <c r="D200" s="1491"/>
      <c r="E200" s="1491"/>
      <c r="F200" s="1491"/>
      <c r="G200" s="1491"/>
      <c r="H200" s="1491"/>
      <c r="I200" s="1491"/>
      <c r="J200" s="1491"/>
      <c r="K200" s="1491"/>
      <c r="L200" s="1491"/>
      <c r="M200" s="1491"/>
      <c r="N200" s="1491"/>
    </row>
    <row r="201" spans="1:14" ht="14.1" customHeight="1">
      <c r="A201" s="944"/>
      <c r="B201" s="944"/>
      <c r="C201" s="944"/>
      <c r="D201" s="944"/>
      <c r="E201" s="944"/>
      <c r="F201" s="944"/>
      <c r="G201" s="944"/>
      <c r="H201" s="944"/>
      <c r="I201" s="944"/>
      <c r="J201" s="944"/>
      <c r="K201" s="944"/>
      <c r="L201" s="944"/>
      <c r="M201" s="944"/>
      <c r="N201" s="944"/>
    </row>
    <row r="202" spans="1:14" ht="14.1" customHeight="1">
      <c r="A202" s="944"/>
      <c r="B202" s="944"/>
      <c r="C202" s="944"/>
      <c r="D202" s="944"/>
      <c r="E202" s="944"/>
      <c r="F202" s="944"/>
      <c r="G202" s="944"/>
      <c r="H202" s="944"/>
      <c r="I202" s="944"/>
      <c r="J202" s="944"/>
      <c r="K202" s="944"/>
      <c r="L202" s="944"/>
      <c r="M202" s="944"/>
      <c r="N202" s="944"/>
    </row>
    <row r="203" spans="1:14" ht="14.1" customHeight="1">
      <c r="A203" s="944"/>
      <c r="B203" s="944"/>
      <c r="C203" s="944"/>
      <c r="D203" s="944"/>
      <c r="E203" s="944"/>
      <c r="F203" s="944"/>
      <c r="G203" s="944"/>
      <c r="H203" s="944"/>
      <c r="I203" s="944"/>
      <c r="J203" s="944"/>
      <c r="K203" s="944"/>
      <c r="L203" s="944"/>
      <c r="M203" s="944"/>
      <c r="N203" s="944"/>
    </row>
    <row r="204" spans="1:14" ht="14.1" customHeight="1">
      <c r="A204" s="944"/>
      <c r="B204" s="944"/>
      <c r="C204" s="944"/>
      <c r="D204" s="944"/>
      <c r="E204" s="944"/>
      <c r="F204" s="944"/>
      <c r="G204" s="944"/>
      <c r="H204" s="944"/>
      <c r="I204" s="944"/>
      <c r="J204" s="944"/>
      <c r="K204" s="944"/>
      <c r="L204" s="944"/>
      <c r="M204" s="944"/>
      <c r="N204" s="944"/>
    </row>
    <row r="224" spans="1:14" ht="14.1" customHeight="1" thickBot="1">
      <c r="A224" s="945"/>
      <c r="B224" s="945"/>
      <c r="C224" s="945"/>
      <c r="D224" s="945"/>
      <c r="E224" s="945"/>
      <c r="F224" s="945"/>
      <c r="G224" s="945"/>
      <c r="H224" s="945"/>
      <c r="I224" s="945"/>
      <c r="J224" s="945"/>
      <c r="K224" s="945"/>
      <c r="L224" s="945"/>
      <c r="M224" s="945"/>
      <c r="N224" s="945"/>
    </row>
    <row r="225" spans="1:14" ht="14.1" customHeight="1" thickTop="1" thickBot="1"/>
    <row r="226" spans="1:14" ht="14.1" customHeight="1" thickTop="1">
      <c r="A226" s="941"/>
      <c r="B226" s="941"/>
      <c r="C226" s="941"/>
      <c r="D226" s="941"/>
      <c r="E226" s="941"/>
      <c r="F226" s="941"/>
      <c r="G226" s="941"/>
      <c r="H226" s="941"/>
      <c r="I226" s="941"/>
      <c r="J226" s="941"/>
      <c r="K226" s="941"/>
      <c r="L226" s="941"/>
      <c r="M226" s="941"/>
      <c r="N226" s="941"/>
    </row>
    <row r="242" spans="1:14" ht="14.1" customHeight="1">
      <c r="B242" s="943"/>
    </row>
    <row r="243" spans="1:14" ht="14.1" customHeight="1">
      <c r="B243" s="943"/>
    </row>
    <row r="245" spans="1:14" ht="69.900000000000006" customHeight="1">
      <c r="A245" s="1493" t="str">
        <f>+I!C11</f>
        <v>PLANILLA DE DOCUMENTOS DE GARANTÍA</v>
      </c>
      <c r="B245" s="1493"/>
      <c r="C245" s="1493"/>
      <c r="D245" s="1493"/>
      <c r="E245" s="1493"/>
      <c r="F245" s="1493"/>
      <c r="G245" s="1493"/>
      <c r="H245" s="1493"/>
      <c r="I245" s="1493"/>
      <c r="J245" s="1493"/>
      <c r="K245" s="1493"/>
      <c r="L245" s="1493"/>
      <c r="M245" s="1493"/>
      <c r="N245" s="1493"/>
    </row>
    <row r="246" spans="1:14" ht="14.1" customHeight="1">
      <c r="A246" s="944"/>
      <c r="B246" s="944"/>
      <c r="C246" s="944"/>
      <c r="D246" s="944"/>
      <c r="E246" s="944"/>
      <c r="F246" s="944"/>
      <c r="G246" s="944"/>
      <c r="H246" s="944"/>
      <c r="I246" s="944"/>
      <c r="J246" s="944"/>
      <c r="K246" s="944"/>
      <c r="L246" s="944"/>
      <c r="M246" s="944"/>
      <c r="N246" s="944"/>
    </row>
    <row r="247" spans="1:14" ht="14.1" customHeight="1">
      <c r="A247" s="944"/>
      <c r="B247" s="944"/>
      <c r="C247" s="944"/>
      <c r="D247" s="944"/>
      <c r="E247" s="944"/>
      <c r="F247" s="944"/>
      <c r="G247" s="944"/>
      <c r="H247" s="944"/>
      <c r="I247" s="944"/>
      <c r="J247" s="944"/>
      <c r="K247" s="944"/>
      <c r="L247" s="944"/>
      <c r="M247" s="944"/>
      <c r="N247" s="944"/>
    </row>
    <row r="248" spans="1:14" ht="14.1" customHeight="1">
      <c r="A248" s="944"/>
      <c r="B248" s="944"/>
      <c r="C248" s="944"/>
      <c r="D248" s="944"/>
      <c r="E248" s="944"/>
      <c r="F248" s="944"/>
      <c r="G248" s="944"/>
      <c r="H248" s="944"/>
      <c r="I248" s="944"/>
      <c r="J248" s="944"/>
      <c r="K248" s="944"/>
      <c r="L248" s="944"/>
      <c r="M248" s="944"/>
      <c r="N248" s="944"/>
    </row>
    <row r="249" spans="1:14" ht="14.1" customHeight="1">
      <c r="A249" s="944"/>
      <c r="B249" s="944"/>
      <c r="C249" s="944"/>
      <c r="D249" s="944"/>
      <c r="E249" s="944"/>
      <c r="F249" s="944"/>
      <c r="G249" s="944"/>
      <c r="H249" s="944"/>
      <c r="I249" s="944"/>
      <c r="J249" s="944"/>
      <c r="K249" s="944"/>
      <c r="L249" s="944"/>
      <c r="M249" s="944"/>
      <c r="N249" s="944"/>
    </row>
    <row r="269" spans="1:14" ht="14.1" customHeight="1" thickBot="1">
      <c r="A269" s="945"/>
      <c r="B269" s="945"/>
      <c r="C269" s="945"/>
      <c r="D269" s="945"/>
      <c r="E269" s="945"/>
      <c r="F269" s="945"/>
      <c r="G269" s="945"/>
      <c r="H269" s="945"/>
      <c r="I269" s="945"/>
      <c r="J269" s="945"/>
      <c r="K269" s="945"/>
      <c r="L269" s="945"/>
      <c r="M269" s="945"/>
      <c r="N269" s="945"/>
    </row>
    <row r="270" spans="1:14" ht="14.1" customHeight="1" thickTop="1" thickBot="1"/>
    <row r="271" spans="1:14" ht="14.1" customHeight="1" thickTop="1">
      <c r="A271" s="941"/>
      <c r="B271" s="941"/>
      <c r="C271" s="941"/>
      <c r="D271" s="941"/>
      <c r="E271" s="941"/>
      <c r="F271" s="941"/>
      <c r="G271" s="941"/>
      <c r="H271" s="941"/>
      <c r="I271" s="941"/>
      <c r="J271" s="941"/>
      <c r="K271" s="941"/>
      <c r="L271" s="941"/>
      <c r="M271" s="941"/>
      <c r="N271" s="941"/>
    </row>
    <row r="287" spans="2:2" ht="14.1" customHeight="1">
      <c r="B287" s="943"/>
    </row>
    <row r="288" spans="2:2" ht="14.1" customHeight="1">
      <c r="B288" s="943"/>
    </row>
    <row r="290" spans="1:14" ht="69.900000000000006" customHeight="1">
      <c r="A290" s="1491" t="str">
        <f>+I!C12</f>
        <v>CERTIFICADO DE PAGO</v>
      </c>
      <c r="B290" s="1491"/>
      <c r="C290" s="1491"/>
      <c r="D290" s="1491"/>
      <c r="E290" s="1491"/>
      <c r="F290" s="1491"/>
      <c r="G290" s="1491"/>
      <c r="H290" s="1491"/>
      <c r="I290" s="1491"/>
      <c r="J290" s="1491"/>
      <c r="K290" s="1491"/>
      <c r="L290" s="1491"/>
      <c r="M290" s="1491"/>
      <c r="N290" s="1491"/>
    </row>
    <row r="291" spans="1:14" ht="14.1" customHeight="1">
      <c r="A291" s="944"/>
      <c r="B291" s="944"/>
      <c r="C291" s="944"/>
      <c r="D291" s="944"/>
      <c r="E291" s="944"/>
      <c r="F291" s="944"/>
      <c r="G291" s="944"/>
      <c r="H291" s="944"/>
      <c r="I291" s="944"/>
      <c r="J291" s="944"/>
      <c r="K291" s="944"/>
      <c r="L291" s="944"/>
      <c r="M291" s="944"/>
      <c r="N291" s="944"/>
    </row>
    <row r="292" spans="1:14" ht="14.1" customHeight="1">
      <c r="A292" s="944"/>
      <c r="B292" s="944"/>
      <c r="C292" s="944"/>
      <c r="D292" s="944"/>
      <c r="E292" s="944"/>
      <c r="F292" s="944"/>
      <c r="G292" s="944"/>
      <c r="H292" s="944"/>
      <c r="I292" s="944"/>
      <c r="J292" s="944"/>
      <c r="K292" s="944"/>
      <c r="L292" s="944"/>
      <c r="M292" s="944"/>
      <c r="N292" s="944"/>
    </row>
    <row r="293" spans="1:14" ht="14.1" customHeight="1">
      <c r="A293" s="944"/>
      <c r="B293" s="944"/>
      <c r="C293" s="944"/>
      <c r="D293" s="944"/>
      <c r="E293" s="944"/>
      <c r="F293" s="944"/>
      <c r="G293" s="944"/>
      <c r="H293" s="944"/>
      <c r="I293" s="944"/>
      <c r="J293" s="944"/>
      <c r="K293" s="944"/>
      <c r="L293" s="944"/>
      <c r="M293" s="944"/>
      <c r="N293" s="944"/>
    </row>
    <row r="294" spans="1:14" ht="14.1" customHeight="1">
      <c r="A294" s="944"/>
      <c r="B294" s="944"/>
      <c r="C294" s="944"/>
      <c r="D294" s="944"/>
      <c r="E294" s="944"/>
      <c r="F294" s="944"/>
      <c r="G294" s="944"/>
      <c r="H294" s="944"/>
      <c r="I294" s="944"/>
      <c r="J294" s="944"/>
      <c r="K294" s="944"/>
      <c r="L294" s="944"/>
      <c r="M294" s="944"/>
      <c r="N294" s="944"/>
    </row>
    <row r="314" spans="1:14" ht="14.1" customHeight="1" thickBot="1">
      <c r="A314" s="945"/>
      <c r="B314" s="945"/>
      <c r="C314" s="945"/>
      <c r="D314" s="945"/>
      <c r="E314" s="945"/>
      <c r="F314" s="945"/>
      <c r="G314" s="945"/>
      <c r="H314" s="945"/>
      <c r="I314" s="945"/>
      <c r="J314" s="945"/>
      <c r="K314" s="945"/>
      <c r="L314" s="945"/>
      <c r="M314" s="945"/>
      <c r="N314" s="945"/>
    </row>
    <row r="315" spans="1:14" ht="14.1" customHeight="1" thickTop="1" thickBot="1"/>
    <row r="316" spans="1:14" ht="14.1" customHeight="1" thickTop="1">
      <c r="A316" s="941"/>
      <c r="B316" s="941"/>
      <c r="C316" s="941"/>
      <c r="D316" s="941"/>
      <c r="E316" s="941"/>
      <c r="F316" s="941"/>
      <c r="G316" s="941"/>
      <c r="H316" s="941"/>
      <c r="I316" s="941"/>
      <c r="J316" s="941"/>
      <c r="K316" s="941"/>
      <c r="L316" s="941"/>
      <c r="M316" s="941"/>
      <c r="N316" s="941"/>
    </row>
    <row r="332" spans="1:14" ht="14.1" customHeight="1">
      <c r="B332" s="943"/>
    </row>
    <row r="333" spans="1:14" ht="14.1" customHeight="1">
      <c r="B333" s="943"/>
    </row>
    <row r="335" spans="1:14" ht="69.900000000000006" customHeight="1">
      <c r="A335" s="1491" t="str">
        <f>+I!C13</f>
        <v>RESUMEN DE CANTIDADES</v>
      </c>
      <c r="B335" s="1491"/>
      <c r="C335" s="1491"/>
      <c r="D335" s="1491"/>
      <c r="E335" s="1491"/>
      <c r="F335" s="1491"/>
      <c r="G335" s="1491"/>
      <c r="H335" s="1491"/>
      <c r="I335" s="1491"/>
      <c r="J335" s="1491"/>
      <c r="K335" s="1491"/>
      <c r="L335" s="1491"/>
      <c r="M335" s="1491"/>
      <c r="N335" s="1491"/>
    </row>
    <row r="336" spans="1:14" ht="14.1" customHeight="1">
      <c r="A336" s="944"/>
      <c r="B336" s="944"/>
      <c r="C336" s="944"/>
      <c r="D336" s="944"/>
      <c r="E336" s="944"/>
      <c r="F336" s="944"/>
      <c r="G336" s="944"/>
      <c r="H336" s="944"/>
      <c r="I336" s="944"/>
      <c r="J336" s="944"/>
      <c r="K336" s="944"/>
      <c r="L336" s="944"/>
      <c r="M336" s="944"/>
      <c r="N336" s="944"/>
    </row>
    <row r="337" spans="1:14" ht="14.1" customHeight="1">
      <c r="A337" s="944"/>
      <c r="B337" s="944"/>
      <c r="C337" s="944"/>
      <c r="D337" s="944"/>
      <c r="E337" s="944"/>
      <c r="F337" s="944"/>
      <c r="G337" s="944"/>
      <c r="H337" s="944"/>
      <c r="I337" s="944"/>
      <c r="J337" s="944"/>
      <c r="K337" s="944"/>
      <c r="L337" s="944"/>
      <c r="M337" s="944"/>
      <c r="N337" s="944"/>
    </row>
    <row r="338" spans="1:14" ht="14.1" customHeight="1">
      <c r="A338" s="944"/>
      <c r="B338" s="944"/>
      <c r="C338" s="944"/>
      <c r="D338" s="944"/>
      <c r="E338" s="944"/>
      <c r="F338" s="944"/>
      <c r="G338" s="944"/>
      <c r="H338" s="944"/>
      <c r="I338" s="944"/>
      <c r="J338" s="944"/>
      <c r="K338" s="944"/>
      <c r="L338" s="944"/>
      <c r="M338" s="944"/>
      <c r="N338" s="944"/>
    </row>
    <row r="339" spans="1:14" ht="14.1" customHeight="1">
      <c r="A339" s="944"/>
      <c r="B339" s="944"/>
      <c r="C339" s="944"/>
      <c r="D339" s="944"/>
      <c r="E339" s="944"/>
      <c r="F339" s="944"/>
      <c r="G339" s="944"/>
      <c r="H339" s="944"/>
      <c r="I339" s="944"/>
      <c r="J339" s="944"/>
      <c r="K339" s="944"/>
      <c r="L339" s="944"/>
      <c r="M339" s="944"/>
      <c r="N339" s="944"/>
    </row>
    <row r="359" spans="1:14" ht="14.1" customHeight="1" thickBot="1">
      <c r="A359" s="945"/>
      <c r="B359" s="945"/>
      <c r="C359" s="945"/>
      <c r="D359" s="945"/>
      <c r="E359" s="945"/>
      <c r="F359" s="945"/>
      <c r="G359" s="945"/>
      <c r="H359" s="945"/>
      <c r="I359" s="945"/>
      <c r="J359" s="945"/>
      <c r="K359" s="945"/>
      <c r="L359" s="945"/>
      <c r="M359" s="945"/>
      <c r="N359" s="945"/>
    </row>
    <row r="360" spans="1:14" ht="14.1" customHeight="1" thickTop="1" thickBot="1"/>
    <row r="361" spans="1:14" ht="14.1" customHeight="1" thickTop="1">
      <c r="A361" s="941"/>
      <c r="B361" s="941"/>
      <c r="C361" s="941"/>
      <c r="D361" s="941"/>
      <c r="E361" s="941"/>
      <c r="F361" s="941"/>
      <c r="G361" s="941"/>
      <c r="H361" s="941"/>
      <c r="I361" s="941"/>
      <c r="J361" s="941"/>
      <c r="K361" s="941"/>
      <c r="L361" s="941"/>
      <c r="M361" s="941"/>
      <c r="N361" s="941"/>
    </row>
    <row r="377" spans="1:14" ht="14.1" customHeight="1">
      <c r="B377" s="943"/>
    </row>
    <row r="378" spans="1:14" ht="14.1" customHeight="1">
      <c r="B378" s="943"/>
    </row>
    <row r="380" spans="1:14" ht="69.900000000000006" customHeight="1">
      <c r="A380" s="1491" t="str">
        <f>+I!C14</f>
        <v>CÓMPUTOS MÉTRICOS</v>
      </c>
      <c r="B380" s="1491"/>
      <c r="C380" s="1491"/>
      <c r="D380" s="1491"/>
      <c r="E380" s="1491"/>
      <c r="F380" s="1491"/>
      <c r="G380" s="1491"/>
      <c r="H380" s="1491"/>
      <c r="I380" s="1491"/>
      <c r="J380" s="1491"/>
      <c r="K380" s="1491"/>
      <c r="L380" s="1491"/>
      <c r="M380" s="1491"/>
      <c r="N380" s="1491"/>
    </row>
    <row r="381" spans="1:14" ht="14.1" customHeight="1">
      <c r="A381" s="944"/>
      <c r="B381" s="944"/>
      <c r="C381" s="944"/>
      <c r="D381" s="944"/>
      <c r="E381" s="944"/>
      <c r="F381" s="944"/>
      <c r="G381" s="944"/>
      <c r="H381" s="944"/>
      <c r="I381" s="944"/>
      <c r="J381" s="944"/>
      <c r="K381" s="944"/>
      <c r="L381" s="944"/>
      <c r="M381" s="944"/>
      <c r="N381" s="944"/>
    </row>
    <row r="382" spans="1:14" ht="14.1" customHeight="1">
      <c r="A382" s="944"/>
      <c r="B382" s="944"/>
      <c r="C382" s="944"/>
      <c r="D382" s="944"/>
      <c r="E382" s="944"/>
      <c r="F382" s="944"/>
      <c r="G382" s="944"/>
      <c r="H382" s="944"/>
      <c r="I382" s="944"/>
      <c r="J382" s="944"/>
      <c r="K382" s="944"/>
      <c r="L382" s="944"/>
      <c r="M382" s="944"/>
      <c r="N382" s="944"/>
    </row>
    <row r="383" spans="1:14" ht="14.1" customHeight="1">
      <c r="A383" s="944"/>
      <c r="B383" s="944"/>
      <c r="C383" s="944"/>
      <c r="D383" s="944"/>
      <c r="E383" s="944"/>
      <c r="F383" s="944"/>
      <c r="G383" s="944"/>
      <c r="H383" s="944"/>
      <c r="I383" s="944"/>
      <c r="J383" s="944"/>
      <c r="K383" s="944"/>
      <c r="L383" s="944"/>
      <c r="M383" s="944"/>
      <c r="N383" s="944"/>
    </row>
    <row r="384" spans="1:14" ht="14.1" customHeight="1">
      <c r="A384" s="944"/>
      <c r="B384" s="944"/>
      <c r="C384" s="944"/>
      <c r="D384" s="944"/>
      <c r="E384" s="944"/>
      <c r="F384" s="944"/>
      <c r="G384" s="944"/>
      <c r="H384" s="944"/>
      <c r="I384" s="944"/>
      <c r="J384" s="944"/>
      <c r="K384" s="944"/>
      <c r="L384" s="944"/>
      <c r="M384" s="944"/>
      <c r="N384" s="944"/>
    </row>
    <row r="404" spans="1:14" ht="14.1" customHeight="1" thickBot="1">
      <c r="A404" s="945"/>
      <c r="B404" s="945"/>
      <c r="C404" s="945"/>
      <c r="D404" s="945"/>
      <c r="E404" s="945"/>
      <c r="F404" s="945"/>
      <c r="G404" s="945"/>
      <c r="H404" s="945"/>
      <c r="I404" s="945"/>
      <c r="J404" s="945"/>
      <c r="K404" s="945"/>
      <c r="L404" s="945"/>
      <c r="M404" s="945"/>
      <c r="N404" s="945"/>
    </row>
    <row r="405" spans="1:14" ht="14.1" customHeight="1" thickTop="1" thickBot="1"/>
    <row r="406" spans="1:14" ht="14.1" customHeight="1" thickTop="1">
      <c r="A406" s="941"/>
      <c r="B406" s="941"/>
      <c r="C406" s="941"/>
      <c r="D406" s="941"/>
      <c r="E406" s="941"/>
      <c r="F406" s="941"/>
      <c r="G406" s="941"/>
      <c r="H406" s="941"/>
      <c r="I406" s="941"/>
      <c r="J406" s="941"/>
      <c r="K406" s="941"/>
      <c r="L406" s="941"/>
      <c r="M406" s="941"/>
      <c r="N406" s="941"/>
    </row>
    <row r="422" spans="1:14" ht="14.1" customHeight="1">
      <c r="B422" s="943"/>
    </row>
    <row r="423" spans="1:14" ht="14.1" customHeight="1">
      <c r="B423" s="943"/>
    </row>
    <row r="425" spans="1:14" ht="69.900000000000006" customHeight="1">
      <c r="A425" s="1491" t="str">
        <f>+I!C15</f>
        <v>FOTOGRAFÍAS EXPLICATIVAS</v>
      </c>
      <c r="B425" s="1491"/>
      <c r="C425" s="1491"/>
      <c r="D425" s="1491"/>
      <c r="E425" s="1491"/>
      <c r="F425" s="1491"/>
      <c r="G425" s="1491"/>
      <c r="H425" s="1491"/>
      <c r="I425" s="1491"/>
      <c r="J425" s="1491"/>
      <c r="K425" s="1491"/>
      <c r="L425" s="1491"/>
      <c r="M425" s="1491"/>
      <c r="N425" s="1491"/>
    </row>
    <row r="426" spans="1:14" ht="14.1" customHeight="1">
      <c r="A426" s="944"/>
      <c r="B426" s="944"/>
      <c r="C426" s="944"/>
      <c r="D426" s="944"/>
      <c r="E426" s="944"/>
      <c r="F426" s="944"/>
      <c r="G426" s="944"/>
      <c r="H426" s="944"/>
      <c r="I426" s="944"/>
      <c r="J426" s="944"/>
      <c r="K426" s="944"/>
      <c r="L426" s="944"/>
      <c r="M426" s="944"/>
      <c r="N426" s="944"/>
    </row>
    <row r="427" spans="1:14" ht="14.1" customHeight="1">
      <c r="A427" s="944"/>
      <c r="B427" s="944"/>
      <c r="C427" s="944"/>
      <c r="D427" s="944"/>
      <c r="E427" s="944"/>
      <c r="F427" s="944"/>
      <c r="G427" s="944"/>
      <c r="H427" s="944"/>
      <c r="I427" s="944"/>
      <c r="J427" s="944"/>
      <c r="K427" s="944"/>
      <c r="L427" s="944"/>
      <c r="M427" s="944"/>
      <c r="N427" s="944"/>
    </row>
    <row r="428" spans="1:14" ht="14.1" customHeight="1">
      <c r="A428" s="944"/>
      <c r="B428" s="944"/>
      <c r="C428" s="944"/>
      <c r="D428" s="944"/>
      <c r="E428" s="944"/>
      <c r="F428" s="944"/>
      <c r="G428" s="944"/>
      <c r="H428" s="944"/>
      <c r="I428" s="944"/>
      <c r="J428" s="944"/>
      <c r="K428" s="944"/>
      <c r="L428" s="944"/>
      <c r="M428" s="944"/>
      <c r="N428" s="944"/>
    </row>
    <row r="429" spans="1:14" ht="14.1" customHeight="1">
      <c r="A429" s="944"/>
      <c r="B429" s="944"/>
      <c r="C429" s="944"/>
      <c r="D429" s="944"/>
      <c r="E429" s="944"/>
      <c r="F429" s="944"/>
      <c r="G429" s="944"/>
      <c r="H429" s="944"/>
      <c r="I429" s="944"/>
      <c r="J429" s="944"/>
      <c r="K429" s="944"/>
      <c r="L429" s="944"/>
      <c r="M429" s="944"/>
      <c r="N429" s="944"/>
    </row>
    <row r="449" spans="1:14" ht="14.1" customHeight="1" thickBot="1">
      <c r="A449" s="945"/>
      <c r="B449" s="945"/>
      <c r="C449" s="945"/>
      <c r="D449" s="945"/>
      <c r="E449" s="945"/>
      <c r="F449" s="945"/>
      <c r="G449" s="945"/>
      <c r="H449" s="945"/>
      <c r="I449" s="945"/>
      <c r="J449" s="945"/>
      <c r="K449" s="945"/>
      <c r="L449" s="945"/>
      <c r="M449" s="945"/>
      <c r="N449" s="945"/>
    </row>
    <row r="450" spans="1:14" ht="14.1" customHeight="1" thickTop="1" thickBot="1"/>
    <row r="451" spans="1:14" ht="14.1" customHeight="1" thickTop="1">
      <c r="A451" s="941"/>
      <c r="B451" s="941"/>
      <c r="C451" s="941"/>
      <c r="D451" s="941"/>
      <c r="E451" s="941"/>
      <c r="F451" s="941"/>
      <c r="G451" s="941"/>
      <c r="H451" s="941"/>
      <c r="I451" s="941"/>
      <c r="J451" s="941"/>
      <c r="K451" s="941"/>
      <c r="L451" s="941"/>
      <c r="M451" s="941"/>
      <c r="N451" s="941"/>
    </row>
    <row r="467" spans="1:14" ht="14.1" customHeight="1">
      <c r="B467" s="943"/>
    </row>
    <row r="468" spans="1:14" ht="14.1" customHeight="1">
      <c r="B468" s="943"/>
    </row>
    <row r="470" spans="1:14" ht="69.900000000000006" customHeight="1">
      <c r="A470" s="1493" t="str">
        <f>+I!C16</f>
        <v>CRONOGRAMA DE AVANCE DE OBRA</v>
      </c>
      <c r="B470" s="1493"/>
      <c r="C470" s="1493"/>
      <c r="D470" s="1493"/>
      <c r="E470" s="1493"/>
      <c r="F470" s="1493"/>
      <c r="G470" s="1493"/>
      <c r="H470" s="1493"/>
      <c r="I470" s="1493"/>
      <c r="J470" s="1493"/>
      <c r="K470" s="1493"/>
      <c r="L470" s="1493"/>
      <c r="M470" s="1493"/>
      <c r="N470" s="1493"/>
    </row>
    <row r="471" spans="1:14" ht="14.1" customHeight="1">
      <c r="A471" s="944"/>
      <c r="B471" s="944"/>
      <c r="C471" s="944"/>
      <c r="D471" s="944"/>
      <c r="E471" s="944"/>
      <c r="F471" s="944"/>
      <c r="G471" s="944"/>
      <c r="H471" s="944"/>
      <c r="I471" s="944"/>
      <c r="J471" s="944"/>
      <c r="K471" s="944"/>
      <c r="L471" s="944"/>
      <c r="M471" s="944"/>
      <c r="N471" s="944"/>
    </row>
    <row r="472" spans="1:14" ht="14.1" customHeight="1">
      <c r="A472" s="944"/>
      <c r="B472" s="944"/>
      <c r="C472" s="944"/>
      <c r="D472" s="944"/>
      <c r="E472" s="944"/>
      <c r="F472" s="944"/>
      <c r="G472" s="944"/>
      <c r="H472" s="944"/>
      <c r="I472" s="944"/>
      <c r="J472" s="944"/>
      <c r="K472" s="944"/>
      <c r="L472" s="944"/>
      <c r="M472" s="944"/>
      <c r="N472" s="944"/>
    </row>
    <row r="473" spans="1:14" ht="14.1" customHeight="1">
      <c r="A473" s="944"/>
      <c r="B473" s="944"/>
      <c r="C473" s="944"/>
      <c r="D473" s="944"/>
      <c r="E473" s="944"/>
      <c r="F473" s="944"/>
      <c r="G473" s="944"/>
      <c r="H473" s="944"/>
      <c r="I473" s="944"/>
      <c r="J473" s="944"/>
      <c r="K473" s="944"/>
      <c r="L473" s="944"/>
      <c r="M473" s="944"/>
      <c r="N473" s="944"/>
    </row>
    <row r="474" spans="1:14" ht="14.1" customHeight="1">
      <c r="A474" s="944"/>
      <c r="B474" s="944"/>
      <c r="C474" s="944"/>
      <c r="D474" s="944"/>
      <c r="E474" s="944"/>
      <c r="F474" s="944"/>
      <c r="G474" s="944"/>
      <c r="H474" s="944"/>
      <c r="I474" s="944"/>
      <c r="J474" s="944"/>
      <c r="K474" s="944"/>
      <c r="L474" s="944"/>
      <c r="M474" s="944"/>
      <c r="N474" s="944"/>
    </row>
    <row r="494" spans="1:14" ht="14.1" customHeight="1" thickBot="1">
      <c r="A494" s="945"/>
      <c r="B494" s="945"/>
      <c r="C494" s="945"/>
      <c r="D494" s="945"/>
      <c r="E494" s="945"/>
      <c r="F494" s="945"/>
      <c r="G494" s="945"/>
      <c r="H494" s="945"/>
      <c r="I494" s="945"/>
      <c r="J494" s="945"/>
      <c r="K494" s="945"/>
      <c r="L494" s="945"/>
      <c r="M494" s="945"/>
      <c r="N494" s="945"/>
    </row>
    <row r="495" spans="1:14" ht="14.1" customHeight="1" thickTop="1" thickBot="1"/>
    <row r="496" spans="1:14" ht="14.1" customHeight="1" thickTop="1">
      <c r="A496" s="941"/>
      <c r="B496" s="941"/>
      <c r="C496" s="941"/>
      <c r="D496" s="941"/>
      <c r="E496" s="941"/>
      <c r="F496" s="941"/>
      <c r="G496" s="941"/>
      <c r="H496" s="941"/>
      <c r="I496" s="941"/>
      <c r="J496" s="941"/>
      <c r="K496" s="941"/>
      <c r="L496" s="941"/>
      <c r="M496" s="941"/>
      <c r="N496" s="941"/>
    </row>
    <row r="512" spans="2:2" ht="14.1" customHeight="1">
      <c r="B512" s="943"/>
    </row>
    <row r="513" spans="1:14" ht="14.1" customHeight="1">
      <c r="B513" s="943"/>
    </row>
    <row r="515" spans="1:14" ht="69.900000000000006" customHeight="1">
      <c r="A515" s="1491" t="str">
        <f>+I!C17</f>
        <v>ORDEN DE PROCEDER</v>
      </c>
      <c r="B515" s="1491"/>
      <c r="C515" s="1491"/>
      <c r="D515" s="1491"/>
      <c r="E515" s="1491"/>
      <c r="F515" s="1491"/>
      <c r="G515" s="1491"/>
      <c r="H515" s="1491"/>
      <c r="I515" s="1491"/>
      <c r="J515" s="1491"/>
      <c r="K515" s="1491"/>
      <c r="L515" s="1491"/>
      <c r="M515" s="1491"/>
      <c r="N515" s="1491"/>
    </row>
    <row r="516" spans="1:14" ht="14.1" customHeight="1">
      <c r="A516" s="944"/>
      <c r="B516" s="944"/>
      <c r="C516" s="944"/>
      <c r="D516" s="944"/>
      <c r="E516" s="944"/>
      <c r="F516" s="944"/>
      <c r="G516" s="944"/>
      <c r="H516" s="944"/>
      <c r="I516" s="944"/>
      <c r="J516" s="944"/>
      <c r="K516" s="944"/>
      <c r="L516" s="944"/>
      <c r="M516" s="944"/>
      <c r="N516" s="944"/>
    </row>
    <row r="517" spans="1:14" ht="14.1" customHeight="1">
      <c r="A517" s="944"/>
      <c r="B517" s="944"/>
      <c r="C517" s="944"/>
      <c r="D517" s="944"/>
      <c r="E517" s="944"/>
      <c r="F517" s="944"/>
      <c r="G517" s="944"/>
      <c r="H517" s="944"/>
      <c r="I517" s="944"/>
      <c r="J517" s="944"/>
      <c r="K517" s="944"/>
      <c r="L517" s="944"/>
      <c r="M517" s="944"/>
      <c r="N517" s="944"/>
    </row>
    <row r="518" spans="1:14" ht="14.1" customHeight="1">
      <c r="A518" s="944"/>
      <c r="B518" s="944"/>
      <c r="C518" s="944"/>
      <c r="D518" s="944"/>
      <c r="E518" s="944"/>
      <c r="F518" s="944"/>
      <c r="G518" s="944"/>
      <c r="H518" s="944"/>
      <c r="I518" s="944"/>
      <c r="J518" s="944"/>
      <c r="K518" s="944"/>
      <c r="L518" s="944"/>
      <c r="M518" s="944"/>
      <c r="N518" s="944"/>
    </row>
    <row r="519" spans="1:14" ht="14.1" customHeight="1">
      <c r="A519" s="944"/>
      <c r="B519" s="944"/>
      <c r="C519" s="944"/>
      <c r="D519" s="944"/>
      <c r="E519" s="944"/>
      <c r="F519" s="944"/>
      <c r="G519" s="944"/>
      <c r="H519" s="944"/>
      <c r="I519" s="944"/>
      <c r="J519" s="944"/>
      <c r="K519" s="944"/>
      <c r="L519" s="944"/>
      <c r="M519" s="944"/>
      <c r="N519" s="944"/>
    </row>
    <row r="539" spans="1:14" ht="14.1" customHeight="1" thickBot="1">
      <c r="A539" s="945"/>
      <c r="B539" s="945"/>
      <c r="C539" s="945"/>
      <c r="D539" s="945"/>
      <c r="E539" s="945"/>
      <c r="F539" s="945"/>
      <c r="G539" s="945"/>
      <c r="H539" s="945"/>
      <c r="I539" s="945"/>
      <c r="J539" s="945"/>
      <c r="K539" s="945"/>
      <c r="L539" s="945"/>
      <c r="M539" s="945"/>
      <c r="N539" s="945"/>
    </row>
    <row r="540" spans="1:14" ht="14.1" customHeight="1" thickTop="1" thickBot="1"/>
    <row r="541" spans="1:14" ht="14.1" customHeight="1" thickTop="1">
      <c r="A541" s="941"/>
      <c r="B541" s="941"/>
      <c r="C541" s="941"/>
      <c r="D541" s="941"/>
      <c r="E541" s="941"/>
      <c r="F541" s="941"/>
      <c r="G541" s="941"/>
      <c r="H541" s="941"/>
      <c r="I541" s="941"/>
      <c r="J541" s="941"/>
      <c r="K541" s="941"/>
      <c r="L541" s="941"/>
      <c r="M541" s="941"/>
      <c r="N541" s="941"/>
    </row>
    <row r="557" spans="1:14" ht="14.1" customHeight="1">
      <c r="B557" s="943"/>
    </row>
    <row r="558" spans="1:14" ht="14.1" customHeight="1">
      <c r="B558" s="943"/>
    </row>
    <row r="560" spans="1:14" ht="69.900000000000006" customHeight="1">
      <c r="A560" s="1491" t="str">
        <f>+I!C18</f>
        <v>COPIA DE LIBRO DE ORDENES</v>
      </c>
      <c r="B560" s="1491"/>
      <c r="C560" s="1491"/>
      <c r="D560" s="1491"/>
      <c r="E560" s="1491"/>
      <c r="F560" s="1491"/>
      <c r="G560" s="1491"/>
      <c r="H560" s="1491"/>
      <c r="I560" s="1491"/>
      <c r="J560" s="1491"/>
      <c r="K560" s="1491"/>
      <c r="L560" s="1491"/>
      <c r="M560" s="1491"/>
      <c r="N560" s="1491"/>
    </row>
    <row r="561" spans="1:14" ht="14.1" customHeight="1">
      <c r="A561" s="944"/>
      <c r="B561" s="944"/>
      <c r="C561" s="944"/>
      <c r="D561" s="944"/>
      <c r="E561" s="944"/>
      <c r="F561" s="944"/>
      <c r="G561" s="944"/>
      <c r="H561" s="944"/>
      <c r="I561" s="944"/>
      <c r="J561" s="944"/>
      <c r="K561" s="944"/>
      <c r="L561" s="944"/>
      <c r="M561" s="944"/>
      <c r="N561" s="944"/>
    </row>
    <row r="562" spans="1:14" ht="14.1" customHeight="1">
      <c r="A562" s="944"/>
      <c r="B562" s="944"/>
      <c r="C562" s="944"/>
      <c r="D562" s="944"/>
      <c r="E562" s="944"/>
      <c r="F562" s="944"/>
      <c r="G562" s="944"/>
      <c r="H562" s="944"/>
      <c r="I562" s="944"/>
      <c r="J562" s="944"/>
      <c r="K562" s="944"/>
      <c r="L562" s="944"/>
      <c r="M562" s="944"/>
      <c r="N562" s="944"/>
    </row>
    <row r="563" spans="1:14" ht="14.1" customHeight="1">
      <c r="A563" s="944"/>
      <c r="B563" s="944"/>
      <c r="C563" s="944"/>
      <c r="D563" s="944"/>
      <c r="E563" s="944"/>
      <c r="F563" s="944"/>
      <c r="G563" s="944"/>
      <c r="H563" s="944"/>
      <c r="I563" s="944"/>
      <c r="J563" s="944"/>
      <c r="K563" s="944"/>
      <c r="L563" s="944"/>
      <c r="M563" s="944"/>
      <c r="N563" s="944"/>
    </row>
    <row r="564" spans="1:14" ht="14.1" customHeight="1">
      <c r="A564" s="944"/>
      <c r="B564" s="944"/>
      <c r="C564" s="944"/>
      <c r="D564" s="944"/>
      <c r="E564" s="944"/>
      <c r="F564" s="944"/>
      <c r="G564" s="944"/>
      <c r="H564" s="944"/>
      <c r="I564" s="944"/>
      <c r="J564" s="944"/>
      <c r="K564" s="944"/>
      <c r="L564" s="944"/>
      <c r="M564" s="944"/>
      <c r="N564" s="944"/>
    </row>
    <row r="584" spans="1:14" ht="14.1" customHeight="1" thickBot="1">
      <c r="A584" s="945"/>
      <c r="B584" s="945"/>
      <c r="C584" s="945"/>
      <c r="D584" s="945"/>
      <c r="E584" s="945"/>
      <c r="F584" s="945"/>
      <c r="G584" s="945"/>
      <c r="H584" s="945"/>
      <c r="I584" s="945"/>
      <c r="J584" s="945"/>
      <c r="K584" s="945"/>
      <c r="L584" s="945"/>
      <c r="M584" s="945"/>
      <c r="N584" s="945"/>
    </row>
    <row r="585" spans="1:14" ht="14.1" customHeight="1" thickTop="1" thickBot="1"/>
    <row r="586" spans="1:14" ht="14.1" customHeight="1" thickTop="1">
      <c r="A586" s="941"/>
      <c r="B586" s="941"/>
      <c r="C586" s="941"/>
      <c r="D586" s="941"/>
      <c r="E586" s="941"/>
      <c r="F586" s="941"/>
      <c r="G586" s="941"/>
      <c r="H586" s="941"/>
      <c r="I586" s="941"/>
      <c r="J586" s="941"/>
      <c r="K586" s="941"/>
      <c r="L586" s="941"/>
      <c r="M586" s="941"/>
      <c r="N586" s="941"/>
    </row>
    <row r="602" spans="1:14" ht="14.1" customHeight="1">
      <c r="B602" s="943"/>
    </row>
    <row r="603" spans="1:14" ht="14.1" customHeight="1">
      <c r="B603" s="943"/>
    </row>
    <row r="605" spans="1:14" ht="69.900000000000006" customHeight="1">
      <c r="A605" s="1491" t="str">
        <f>+I!C19</f>
        <v>POLIZA DE GARANTIA DE CORRECTA INVERSION DE ANTICIPO</v>
      </c>
      <c r="B605" s="1491"/>
      <c r="C605" s="1491"/>
      <c r="D605" s="1491"/>
      <c r="E605" s="1491"/>
      <c r="F605" s="1491"/>
      <c r="G605" s="1491"/>
      <c r="H605" s="1491"/>
      <c r="I605" s="1491"/>
      <c r="J605" s="1491"/>
      <c r="K605" s="1491"/>
      <c r="L605" s="1491"/>
      <c r="M605" s="1491"/>
      <c r="N605" s="1491"/>
    </row>
    <row r="606" spans="1:14" ht="14.1" customHeight="1">
      <c r="A606" s="944"/>
      <c r="B606" s="944"/>
      <c r="C606" s="944"/>
      <c r="D606" s="944"/>
      <c r="E606" s="944"/>
      <c r="F606" s="944"/>
      <c r="G606" s="944"/>
      <c r="H606" s="944"/>
      <c r="I606" s="944"/>
      <c r="J606" s="944"/>
      <c r="K606" s="944"/>
      <c r="L606" s="944"/>
      <c r="M606" s="944"/>
      <c r="N606" s="944"/>
    </row>
    <row r="607" spans="1:14" ht="14.1" customHeight="1">
      <c r="A607" s="944"/>
      <c r="B607" s="944"/>
      <c r="C607" s="944"/>
      <c r="D607" s="944"/>
      <c r="E607" s="944"/>
      <c r="F607" s="944"/>
      <c r="G607" s="944"/>
      <c r="H607" s="944"/>
      <c r="I607" s="944"/>
      <c r="J607" s="944"/>
      <c r="K607" s="944"/>
      <c r="L607" s="944"/>
      <c r="M607" s="944"/>
      <c r="N607" s="944"/>
    </row>
    <row r="608" spans="1:14" ht="14.1" customHeight="1">
      <c r="A608" s="944"/>
      <c r="B608" s="944"/>
      <c r="C608" s="944"/>
      <c r="D608" s="944"/>
      <c r="E608" s="944"/>
      <c r="F608" s="944"/>
      <c r="G608" s="944"/>
      <c r="H608" s="944"/>
      <c r="I608" s="944"/>
      <c r="J608" s="944"/>
      <c r="K608" s="944"/>
      <c r="L608" s="944"/>
      <c r="M608" s="944"/>
      <c r="N608" s="944"/>
    </row>
    <row r="609" spans="1:14" ht="14.1" customHeight="1">
      <c r="A609" s="944"/>
      <c r="B609" s="944"/>
      <c r="C609" s="944"/>
      <c r="D609" s="944"/>
      <c r="E609" s="944"/>
      <c r="F609" s="944"/>
      <c r="G609" s="944"/>
      <c r="H609" s="944"/>
      <c r="I609" s="944"/>
      <c r="J609" s="944"/>
      <c r="K609" s="944"/>
      <c r="L609" s="944"/>
      <c r="M609" s="944"/>
      <c r="N609" s="944"/>
    </row>
    <row r="629" spans="1:14" ht="14.1" customHeight="1" thickBot="1">
      <c r="A629" s="945"/>
      <c r="B629" s="945"/>
      <c r="C629" s="945"/>
      <c r="D629" s="945"/>
      <c r="E629" s="945"/>
      <c r="F629" s="945"/>
      <c r="G629" s="945"/>
      <c r="H629" s="945"/>
      <c r="I629" s="945"/>
      <c r="J629" s="945"/>
      <c r="K629" s="945"/>
      <c r="L629" s="945"/>
      <c r="M629" s="945"/>
      <c r="N629" s="945"/>
    </row>
    <row r="630" spans="1:14" ht="14.1" customHeight="1" thickTop="1" thickBot="1"/>
    <row r="631" spans="1:14" ht="14.1" customHeight="1" thickTop="1">
      <c r="A631" s="941"/>
      <c r="B631" s="941"/>
      <c r="C631" s="941"/>
      <c r="D631" s="941"/>
      <c r="E631" s="941"/>
      <c r="F631" s="941"/>
      <c r="G631" s="941"/>
      <c r="H631" s="941"/>
      <c r="I631" s="941"/>
      <c r="J631" s="941"/>
      <c r="K631" s="941"/>
      <c r="L631" s="941"/>
      <c r="M631" s="941"/>
      <c r="N631" s="941"/>
    </row>
    <row r="647" spans="1:14" ht="14.1" customHeight="1">
      <c r="B647" s="943"/>
    </row>
    <row r="648" spans="1:14" ht="14.1" customHeight="1">
      <c r="B648" s="943"/>
    </row>
    <row r="650" spans="1:14" ht="69.900000000000006" customHeight="1">
      <c r="A650" s="1491" t="str">
        <f>+I!C20</f>
        <v>RETENCION POR GARANTÍA DE CUMPLIMIENTO DE CONTRATO</v>
      </c>
      <c r="B650" s="1491"/>
      <c r="C650" s="1491"/>
      <c r="D650" s="1491"/>
      <c r="E650" s="1491"/>
      <c r="F650" s="1491"/>
      <c r="G650" s="1491"/>
      <c r="H650" s="1491"/>
      <c r="I650" s="1491"/>
      <c r="J650" s="1491"/>
      <c r="K650" s="1491"/>
      <c r="L650" s="1491"/>
      <c r="M650" s="1491"/>
      <c r="N650" s="1491"/>
    </row>
    <row r="651" spans="1:14" ht="14.1" customHeight="1">
      <c r="A651" s="944"/>
      <c r="B651" s="944"/>
      <c r="C651" s="944"/>
      <c r="D651" s="944"/>
      <c r="E651" s="944"/>
      <c r="F651" s="944"/>
      <c r="G651" s="944"/>
      <c r="H651" s="944"/>
      <c r="I651" s="944"/>
      <c r="J651" s="944"/>
      <c r="K651" s="944"/>
      <c r="L651" s="944"/>
      <c r="M651" s="944"/>
      <c r="N651" s="944"/>
    </row>
    <row r="652" spans="1:14" ht="14.1" customHeight="1">
      <c r="A652" s="944"/>
      <c r="B652" s="944"/>
      <c r="C652" s="944"/>
      <c r="D652" s="944"/>
      <c r="E652" s="944"/>
      <c r="F652" s="944"/>
      <c r="G652" s="944"/>
      <c r="H652" s="944"/>
      <c r="I652" s="944"/>
      <c r="J652" s="944"/>
      <c r="K652" s="944"/>
      <c r="L652" s="944"/>
      <c r="M652" s="944"/>
      <c r="N652" s="944"/>
    </row>
    <row r="653" spans="1:14" ht="14.1" customHeight="1">
      <c r="A653" s="944"/>
      <c r="B653" s="944"/>
      <c r="C653" s="944"/>
      <c r="D653" s="944"/>
      <c r="E653" s="944"/>
      <c r="F653" s="944"/>
      <c r="G653" s="944"/>
      <c r="H653" s="944"/>
      <c r="I653" s="944"/>
      <c r="J653" s="944"/>
      <c r="K653" s="944"/>
      <c r="L653" s="944"/>
      <c r="M653" s="944"/>
      <c r="N653" s="944"/>
    </row>
    <row r="654" spans="1:14" ht="14.1" customHeight="1">
      <c r="A654" s="944"/>
      <c r="B654" s="944"/>
      <c r="C654" s="944"/>
      <c r="D654" s="944"/>
      <c r="E654" s="944"/>
      <c r="F654" s="944"/>
      <c r="G654" s="944"/>
      <c r="H654" s="944"/>
      <c r="I654" s="944"/>
      <c r="J654" s="944"/>
      <c r="K654" s="944"/>
      <c r="L654" s="944"/>
      <c r="M654" s="944"/>
      <c r="N654" s="944"/>
    </row>
    <row r="674" spans="1:14" ht="14.1" customHeight="1" thickBot="1">
      <c r="A674" s="945"/>
      <c r="B674" s="945"/>
      <c r="C674" s="945"/>
      <c r="D674" s="945"/>
      <c r="E674" s="945"/>
      <c r="F674" s="945"/>
      <c r="G674" s="945"/>
      <c r="H674" s="945"/>
      <c r="I674" s="945"/>
      <c r="J674" s="945"/>
      <c r="K674" s="945"/>
      <c r="L674" s="945"/>
      <c r="M674" s="945"/>
      <c r="N674" s="945"/>
    </row>
    <row r="675" spans="1:14" ht="14.1" customHeight="1" thickTop="1" thickBot="1"/>
    <row r="676" spans="1:14" ht="14.1" customHeight="1" thickTop="1">
      <c r="A676" s="941"/>
      <c r="B676" s="941"/>
      <c r="C676" s="941"/>
      <c r="D676" s="941"/>
      <c r="E676" s="941"/>
      <c r="F676" s="941"/>
      <c r="G676" s="941"/>
      <c r="H676" s="941"/>
      <c r="I676" s="941"/>
      <c r="J676" s="941"/>
      <c r="K676" s="941"/>
      <c r="L676" s="941"/>
      <c r="M676" s="941"/>
      <c r="N676" s="941"/>
    </row>
    <row r="692" spans="1:14" ht="14.1" customHeight="1">
      <c r="B692" s="943"/>
    </row>
    <row r="693" spans="1:14" ht="14.1" customHeight="1">
      <c r="B693" s="943"/>
    </row>
    <row r="695" spans="1:14" ht="69.900000000000006" customHeight="1">
      <c r="A695" s="1491" t="str">
        <f>+I!C21</f>
        <v>MULTAS</v>
      </c>
      <c r="B695" s="1491"/>
      <c r="C695" s="1491"/>
      <c r="D695" s="1491"/>
      <c r="E695" s="1491"/>
      <c r="F695" s="1491"/>
      <c r="G695" s="1491"/>
      <c r="H695" s="1491"/>
      <c r="I695" s="1491"/>
      <c r="J695" s="1491"/>
      <c r="K695" s="1491"/>
      <c r="L695" s="1491"/>
      <c r="M695" s="1491"/>
      <c r="N695" s="1491"/>
    </row>
    <row r="696" spans="1:14" ht="14.1" customHeight="1">
      <c r="A696" s="944"/>
      <c r="B696" s="944"/>
      <c r="C696" s="944"/>
      <c r="D696" s="944"/>
      <c r="E696" s="944"/>
      <c r="F696" s="944"/>
      <c r="G696" s="944"/>
      <c r="H696" s="944"/>
      <c r="I696" s="944"/>
      <c r="J696" s="944"/>
      <c r="K696" s="944"/>
      <c r="L696" s="944"/>
      <c r="M696" s="944"/>
      <c r="N696" s="944"/>
    </row>
    <row r="697" spans="1:14" ht="14.1" customHeight="1">
      <c r="A697" s="944"/>
      <c r="B697" s="944"/>
      <c r="C697" s="944"/>
      <c r="D697" s="944"/>
      <c r="E697" s="944"/>
      <c r="F697" s="944"/>
      <c r="G697" s="944"/>
      <c r="H697" s="944"/>
      <c r="I697" s="944"/>
      <c r="J697" s="944"/>
      <c r="K697" s="944"/>
      <c r="L697" s="944"/>
      <c r="M697" s="944"/>
      <c r="N697" s="944"/>
    </row>
    <row r="698" spans="1:14" ht="14.1" customHeight="1">
      <c r="A698" s="944"/>
      <c r="B698" s="944"/>
      <c r="C698" s="944"/>
      <c r="D698" s="944"/>
      <c r="E698" s="944"/>
      <c r="F698" s="944"/>
      <c r="G698" s="944"/>
      <c r="H698" s="944"/>
      <c r="I698" s="944"/>
      <c r="J698" s="944"/>
      <c r="K698" s="944"/>
      <c r="L698" s="944"/>
      <c r="M698" s="944"/>
      <c r="N698" s="944"/>
    </row>
    <row r="699" spans="1:14" ht="14.1" customHeight="1">
      <c r="A699" s="944"/>
      <c r="B699" s="944"/>
      <c r="C699" s="944"/>
      <c r="D699" s="944"/>
      <c r="E699" s="944"/>
      <c r="F699" s="944"/>
      <c r="G699" s="944"/>
      <c r="H699" s="944"/>
      <c r="I699" s="944"/>
      <c r="J699" s="944"/>
      <c r="K699" s="944"/>
      <c r="L699" s="944"/>
      <c r="M699" s="944"/>
      <c r="N699" s="944"/>
    </row>
    <row r="719" spans="1:14" ht="14.1" customHeight="1" thickBot="1">
      <c r="A719" s="945"/>
      <c r="B719" s="945"/>
      <c r="C719" s="945"/>
      <c r="D719" s="945"/>
      <c r="E719" s="945"/>
      <c r="F719" s="945"/>
      <c r="G719" s="945"/>
      <c r="H719" s="945"/>
      <c r="I719" s="945"/>
      <c r="J719" s="945"/>
      <c r="K719" s="945"/>
      <c r="L719" s="945"/>
      <c r="M719" s="945"/>
      <c r="N719" s="945"/>
    </row>
    <row r="720" spans="1:14" ht="14.1" customHeight="1" thickTop="1" thickBot="1"/>
    <row r="721" spans="1:14" ht="14.1" customHeight="1" thickTop="1">
      <c r="A721" s="941"/>
      <c r="B721" s="941"/>
      <c r="C721" s="941"/>
      <c r="D721" s="941"/>
      <c r="E721" s="941"/>
      <c r="F721" s="941"/>
      <c r="G721" s="941"/>
      <c r="H721" s="941"/>
      <c r="I721" s="941"/>
      <c r="J721" s="941"/>
      <c r="K721" s="941"/>
      <c r="L721" s="941"/>
      <c r="M721" s="941"/>
      <c r="N721" s="941"/>
    </row>
    <row r="737" spans="1:14" ht="14.1" customHeight="1">
      <c r="B737" s="943"/>
    </row>
    <row r="738" spans="1:14" ht="14.1" customHeight="1">
      <c r="B738" s="943"/>
    </row>
    <row r="740" spans="1:14" ht="69.900000000000006" customHeight="1">
      <c r="A740" s="1494" t="str">
        <f>+I!C22</f>
        <v>BOLETA O PÓLIZA DE SEGURO DE OBRA, CONTRA ACCIDENTES PERSONALES, RESPONSABILIDAD CIVIL</v>
      </c>
      <c r="B740" s="1494"/>
      <c r="C740" s="1494"/>
      <c r="D740" s="1494"/>
      <c r="E740" s="1494"/>
      <c r="F740" s="1494"/>
      <c r="G740" s="1494"/>
      <c r="H740" s="1494"/>
      <c r="I740" s="1494"/>
      <c r="J740" s="1494"/>
      <c r="K740" s="1494"/>
      <c r="L740" s="1494"/>
      <c r="M740" s="1494"/>
      <c r="N740" s="1494"/>
    </row>
    <row r="741" spans="1:14" ht="14.1" customHeight="1">
      <c r="A741" s="944"/>
      <c r="B741" s="944"/>
      <c r="C741" s="944"/>
      <c r="D741" s="944"/>
      <c r="E741" s="944"/>
      <c r="F741" s="944"/>
      <c r="G741" s="944"/>
      <c r="H741" s="944"/>
      <c r="I741" s="944"/>
      <c r="J741" s="944"/>
      <c r="K741" s="944"/>
      <c r="L741" s="944"/>
      <c r="M741" s="944"/>
      <c r="N741" s="944"/>
    </row>
    <row r="742" spans="1:14" ht="14.1" customHeight="1">
      <c r="A742" s="944"/>
      <c r="B742" s="944"/>
      <c r="C742" s="944"/>
      <c r="D742" s="944"/>
      <c r="E742" s="944"/>
      <c r="F742" s="944"/>
      <c r="G742" s="944"/>
      <c r="H742" s="944"/>
      <c r="I742" s="944"/>
      <c r="J742" s="944"/>
      <c r="K742" s="944"/>
      <c r="L742" s="944"/>
      <c r="M742" s="944"/>
      <c r="N742" s="944"/>
    </row>
    <row r="743" spans="1:14" ht="14.1" customHeight="1">
      <c r="A743" s="944"/>
      <c r="B743" s="944"/>
      <c r="C743" s="944"/>
      <c r="D743" s="944"/>
      <c r="E743" s="944"/>
      <c r="F743" s="944"/>
      <c r="G743" s="944"/>
      <c r="H743" s="944"/>
      <c r="I743" s="944"/>
      <c r="J743" s="944"/>
      <c r="K743" s="944"/>
      <c r="L743" s="944"/>
      <c r="M743" s="944"/>
      <c r="N743" s="944"/>
    </row>
    <row r="744" spans="1:14" ht="14.1" customHeight="1">
      <c r="A744" s="944"/>
      <c r="B744" s="944"/>
      <c r="C744" s="944"/>
      <c r="D744" s="944"/>
      <c r="E744" s="944"/>
      <c r="F744" s="944"/>
      <c r="G744" s="944"/>
      <c r="H744" s="944"/>
      <c r="I744" s="944"/>
      <c r="J744" s="944"/>
      <c r="K744" s="944"/>
      <c r="L744" s="944"/>
      <c r="M744" s="944"/>
      <c r="N744" s="944"/>
    </row>
    <row r="764" spans="1:14" ht="14.1" customHeight="1" thickBot="1">
      <c r="A764" s="945"/>
      <c r="B764" s="945"/>
      <c r="C764" s="945"/>
      <c r="D764" s="945"/>
      <c r="E764" s="945"/>
      <c r="F764" s="945"/>
      <c r="G764" s="945"/>
      <c r="H764" s="945"/>
      <c r="I764" s="945"/>
      <c r="J764" s="945"/>
      <c r="K764" s="945"/>
      <c r="L764" s="945"/>
      <c r="M764" s="945"/>
      <c r="N764" s="945"/>
    </row>
    <row r="765" spans="1:14" ht="14.1" customHeight="1" thickTop="1" thickBot="1"/>
    <row r="766" spans="1:14" ht="14.1" customHeight="1" thickTop="1">
      <c r="A766" s="941"/>
      <c r="B766" s="941"/>
      <c r="C766" s="941"/>
      <c r="D766" s="941"/>
      <c r="E766" s="941"/>
      <c r="F766" s="941"/>
      <c r="G766" s="941"/>
      <c r="H766" s="941"/>
      <c r="I766" s="941"/>
      <c r="J766" s="941"/>
      <c r="K766" s="941"/>
      <c r="L766" s="941"/>
      <c r="M766" s="941"/>
      <c r="N766" s="941"/>
    </row>
    <row r="782" spans="2:2" ht="14.1" customHeight="1">
      <c r="B782" s="943"/>
    </row>
    <row r="783" spans="2:2" ht="14.1" customHeight="1">
      <c r="B783" s="943"/>
    </row>
    <row r="785" spans="1:14" ht="69.900000000000006" customHeight="1">
      <c r="A785" s="1491" t="str">
        <f>+I!C23</f>
        <v>NIT</v>
      </c>
      <c r="B785" s="1491"/>
      <c r="C785" s="1491"/>
      <c r="D785" s="1491"/>
      <c r="E785" s="1491"/>
      <c r="F785" s="1491"/>
      <c r="G785" s="1491"/>
      <c r="H785" s="1491"/>
      <c r="I785" s="1491"/>
      <c r="J785" s="1491"/>
      <c r="K785" s="1491"/>
      <c r="L785" s="1491"/>
      <c r="M785" s="1491"/>
      <c r="N785" s="1491"/>
    </row>
    <row r="786" spans="1:14" ht="14.1" customHeight="1">
      <c r="A786" s="944"/>
      <c r="B786" s="944"/>
      <c r="C786" s="944"/>
      <c r="D786" s="944"/>
      <c r="E786" s="944"/>
      <c r="F786" s="944"/>
      <c r="G786" s="944"/>
      <c r="H786" s="944"/>
      <c r="I786" s="944"/>
      <c r="J786" s="944"/>
      <c r="K786" s="944"/>
      <c r="L786" s="944"/>
      <c r="M786" s="944"/>
      <c r="N786" s="944"/>
    </row>
    <row r="787" spans="1:14" ht="14.1" customHeight="1">
      <c r="A787" s="944"/>
      <c r="B787" s="944"/>
      <c r="C787" s="944"/>
      <c r="D787" s="944"/>
      <c r="E787" s="944"/>
      <c r="F787" s="944"/>
      <c r="G787" s="944"/>
      <c r="H787" s="944"/>
      <c r="I787" s="944"/>
      <c r="J787" s="944"/>
      <c r="K787" s="944"/>
      <c r="L787" s="944"/>
      <c r="M787" s="944"/>
      <c r="N787" s="944"/>
    </row>
    <row r="788" spans="1:14" ht="14.1" customHeight="1">
      <c r="A788" s="944"/>
      <c r="B788" s="944"/>
      <c r="C788" s="944"/>
      <c r="D788" s="944"/>
      <c r="E788" s="944"/>
      <c r="F788" s="944"/>
      <c r="G788" s="944"/>
      <c r="H788" s="944"/>
      <c r="I788" s="944"/>
      <c r="J788" s="944"/>
      <c r="K788" s="944"/>
      <c r="L788" s="944"/>
      <c r="M788" s="944"/>
      <c r="N788" s="944"/>
    </row>
    <row r="789" spans="1:14" ht="14.1" customHeight="1">
      <c r="A789" s="944"/>
      <c r="B789" s="944"/>
      <c r="C789" s="944"/>
      <c r="D789" s="944"/>
      <c r="E789" s="944"/>
      <c r="F789" s="944"/>
      <c r="G789" s="944"/>
      <c r="H789" s="944"/>
      <c r="I789" s="944"/>
      <c r="J789" s="944"/>
      <c r="K789" s="944"/>
      <c r="L789" s="944"/>
      <c r="M789" s="944"/>
      <c r="N789" s="944"/>
    </row>
    <row r="809" spans="1:14" ht="14.1" customHeight="1" thickBot="1">
      <c r="A809" s="945"/>
      <c r="B809" s="945"/>
      <c r="C809" s="945"/>
      <c r="D809" s="945"/>
      <c r="E809" s="945"/>
      <c r="F809" s="945"/>
      <c r="G809" s="945"/>
      <c r="H809" s="945"/>
      <c r="I809" s="945"/>
      <c r="J809" s="945"/>
      <c r="K809" s="945"/>
      <c r="L809" s="945"/>
      <c r="M809" s="945"/>
      <c r="N809" s="945"/>
    </row>
    <row r="810" spans="1:14" ht="14.1" customHeight="1" thickTop="1" thickBot="1"/>
    <row r="811" spans="1:14" ht="14.1" customHeight="1" thickTop="1">
      <c r="A811" s="941"/>
      <c r="B811" s="941"/>
      <c r="C811" s="941"/>
      <c r="D811" s="941"/>
      <c r="E811" s="941"/>
      <c r="F811" s="941"/>
      <c r="G811" s="941"/>
      <c r="H811" s="941"/>
      <c r="I811" s="941"/>
      <c r="J811" s="941"/>
      <c r="K811" s="941"/>
      <c r="L811" s="941"/>
      <c r="M811" s="941"/>
      <c r="N811" s="941"/>
    </row>
    <row r="827" spans="1:14" ht="14.1" customHeight="1">
      <c r="B827" s="943"/>
    </row>
    <row r="828" spans="1:14" ht="14.1" customHeight="1">
      <c r="B828" s="943"/>
    </row>
    <row r="830" spans="1:14" ht="69.900000000000006" customHeight="1">
      <c r="A830" s="1491" t="str">
        <f>+I!C24</f>
        <v>SIGEP</v>
      </c>
      <c r="B830" s="1491"/>
      <c r="C830" s="1491"/>
      <c r="D830" s="1491"/>
      <c r="E830" s="1491"/>
      <c r="F830" s="1491"/>
      <c r="G830" s="1491"/>
      <c r="H830" s="1491"/>
      <c r="I830" s="1491"/>
      <c r="J830" s="1491"/>
      <c r="K830" s="1491"/>
      <c r="L830" s="1491"/>
      <c r="M830" s="1491"/>
      <c r="N830" s="1491"/>
    </row>
    <row r="831" spans="1:14" ht="14.1" customHeight="1">
      <c r="A831" s="944"/>
      <c r="B831" s="944"/>
      <c r="C831" s="944"/>
      <c r="D831" s="944"/>
      <c r="E831" s="944"/>
      <c r="F831" s="944"/>
      <c r="G831" s="944"/>
      <c r="H831" s="944"/>
      <c r="I831" s="944"/>
      <c r="J831" s="944"/>
      <c r="K831" s="944"/>
      <c r="L831" s="944"/>
      <c r="M831" s="944"/>
      <c r="N831" s="944"/>
    </row>
    <row r="832" spans="1:14" ht="14.1" customHeight="1">
      <c r="A832" s="944"/>
      <c r="B832" s="944"/>
      <c r="C832" s="944"/>
      <c r="D832" s="944"/>
      <c r="E832" s="944"/>
      <c r="F832" s="944"/>
      <c r="G832" s="944"/>
      <c r="H832" s="944"/>
      <c r="I832" s="944"/>
      <c r="J832" s="944"/>
      <c r="K832" s="944"/>
      <c r="L832" s="944"/>
      <c r="M832" s="944"/>
      <c r="N832" s="944"/>
    </row>
    <row r="833" spans="1:14" ht="14.1" customHeight="1">
      <c r="A833" s="944"/>
      <c r="B833" s="944"/>
      <c r="C833" s="944"/>
      <c r="D833" s="944"/>
      <c r="E833" s="944"/>
      <c r="F833" s="944"/>
      <c r="G833" s="944"/>
      <c r="H833" s="944"/>
      <c r="I833" s="944"/>
      <c r="J833" s="944"/>
      <c r="K833" s="944"/>
      <c r="L833" s="944"/>
      <c r="M833" s="944"/>
      <c r="N833" s="944"/>
    </row>
    <row r="834" spans="1:14" ht="14.1" customHeight="1">
      <c r="A834" s="944"/>
      <c r="B834" s="944"/>
      <c r="C834" s="944"/>
      <c r="D834" s="944"/>
      <c r="E834" s="944"/>
      <c r="F834" s="944"/>
      <c r="G834" s="944"/>
      <c r="H834" s="944"/>
      <c r="I834" s="944"/>
      <c r="J834" s="944"/>
      <c r="K834" s="944"/>
      <c r="L834" s="944"/>
      <c r="M834" s="944"/>
      <c r="N834" s="944"/>
    </row>
    <row r="854" spans="1:14" ht="14.1" customHeight="1" thickBot="1">
      <c r="A854" s="945"/>
      <c r="B854" s="945"/>
      <c r="C854" s="945"/>
      <c r="D854" s="945"/>
      <c r="E854" s="945"/>
      <c r="F854" s="945"/>
      <c r="G854" s="945"/>
      <c r="H854" s="945"/>
      <c r="I854" s="945"/>
      <c r="J854" s="945"/>
      <c r="K854" s="945"/>
      <c r="L854" s="945"/>
      <c r="M854" s="945"/>
      <c r="N854" s="945"/>
    </row>
    <row r="855" spans="1:14" ht="14.1" customHeight="1" thickTop="1" thickBot="1"/>
    <row r="856" spans="1:14" ht="14.1" customHeight="1" thickTop="1">
      <c r="A856" s="941"/>
      <c r="B856" s="941"/>
      <c r="C856" s="941"/>
      <c r="D856" s="941"/>
      <c r="E856" s="941"/>
      <c r="F856" s="941"/>
      <c r="G856" s="941"/>
      <c r="H856" s="941"/>
      <c r="I856" s="941"/>
      <c r="J856" s="941"/>
      <c r="K856" s="941"/>
      <c r="L856" s="941"/>
      <c r="M856" s="941"/>
      <c r="N856" s="941"/>
    </row>
    <row r="872" spans="1:14" ht="14.1" customHeight="1">
      <c r="B872" s="943"/>
    </row>
    <row r="873" spans="1:14" ht="14.1" customHeight="1">
      <c r="B873" s="943"/>
    </row>
    <row r="875" spans="1:14" ht="69.900000000000006" customHeight="1">
      <c r="A875" s="1491" t="str">
        <f>+I!C25</f>
        <v>CONTRATOS</v>
      </c>
      <c r="B875" s="1491"/>
      <c r="C875" s="1491"/>
      <c r="D875" s="1491"/>
      <c r="E875" s="1491"/>
      <c r="F875" s="1491"/>
      <c r="G875" s="1491"/>
      <c r="H875" s="1491"/>
      <c r="I875" s="1491"/>
      <c r="J875" s="1491"/>
      <c r="K875" s="1491"/>
      <c r="L875" s="1491"/>
      <c r="M875" s="1491"/>
      <c r="N875" s="1491"/>
    </row>
    <row r="876" spans="1:14" ht="14.1" customHeight="1">
      <c r="A876" s="944"/>
      <c r="B876" s="944"/>
      <c r="C876" s="944"/>
      <c r="D876" s="944"/>
      <c r="E876" s="944"/>
      <c r="F876" s="944"/>
      <c r="G876" s="944"/>
      <c r="H876" s="944"/>
      <c r="I876" s="944"/>
      <c r="J876" s="944"/>
      <c r="K876" s="944"/>
      <c r="L876" s="944"/>
      <c r="M876" s="944"/>
      <c r="N876" s="944"/>
    </row>
    <row r="877" spans="1:14" ht="14.1" customHeight="1">
      <c r="A877" s="944"/>
      <c r="B877" s="944"/>
      <c r="C877" s="944"/>
      <c r="D877" s="944"/>
      <c r="E877" s="944"/>
      <c r="F877" s="944"/>
      <c r="G877" s="944"/>
      <c r="H877" s="944"/>
      <c r="I877" s="944"/>
      <c r="J877" s="944"/>
      <c r="K877" s="944"/>
      <c r="L877" s="944"/>
      <c r="M877" s="944"/>
      <c r="N877" s="944"/>
    </row>
    <row r="878" spans="1:14" ht="14.1" customHeight="1">
      <c r="A878" s="944"/>
      <c r="B878" s="944"/>
      <c r="C878" s="944"/>
      <c r="D878" s="944"/>
      <c r="E878" s="944"/>
      <c r="F878" s="944"/>
      <c r="G878" s="944"/>
      <c r="H878" s="944"/>
      <c r="I878" s="944"/>
      <c r="J878" s="944"/>
      <c r="K878" s="944"/>
      <c r="L878" s="944"/>
      <c r="M878" s="944"/>
      <c r="N878" s="944"/>
    </row>
    <row r="879" spans="1:14" ht="14.1" customHeight="1">
      <c r="A879" s="944"/>
      <c r="B879" s="944"/>
      <c r="C879" s="944"/>
      <c r="D879" s="944"/>
      <c r="E879" s="944"/>
      <c r="F879" s="944"/>
      <c r="G879" s="944"/>
      <c r="H879" s="944"/>
      <c r="I879" s="944"/>
      <c r="J879" s="944"/>
      <c r="K879" s="944"/>
      <c r="L879" s="944"/>
      <c r="M879" s="944"/>
      <c r="N879" s="944"/>
    </row>
    <row r="899" spans="1:14" ht="14.1" customHeight="1" thickBot="1">
      <c r="A899" s="945"/>
      <c r="B899" s="945"/>
      <c r="C899" s="945"/>
      <c r="D899" s="945"/>
      <c r="E899" s="945"/>
      <c r="F899" s="945"/>
      <c r="G899" s="945"/>
      <c r="H899" s="945"/>
      <c r="I899" s="945"/>
      <c r="J899" s="945"/>
      <c r="K899" s="945"/>
      <c r="L899" s="945"/>
      <c r="M899" s="945"/>
      <c r="N899" s="945"/>
    </row>
    <row r="900" spans="1:14" ht="14.1" customHeight="1" thickTop="1" thickBot="1"/>
    <row r="901" spans="1:14" ht="14.1" customHeight="1" thickTop="1">
      <c r="A901" s="941"/>
      <c r="B901" s="941"/>
      <c r="C901" s="941"/>
      <c r="D901" s="941"/>
      <c r="E901" s="941"/>
      <c r="F901" s="941"/>
      <c r="G901" s="941"/>
      <c r="H901" s="941"/>
      <c r="I901" s="941"/>
      <c r="J901" s="941"/>
      <c r="K901" s="941"/>
      <c r="L901" s="941"/>
      <c r="M901" s="941"/>
      <c r="N901" s="941"/>
    </row>
    <row r="916" spans="1:15" ht="14.1" customHeight="1">
      <c r="B916" s="943"/>
    </row>
    <row r="917" spans="1:15" ht="14.1" customHeight="1">
      <c r="B917" s="943"/>
    </row>
    <row r="919" spans="1:15" ht="35.1" customHeight="1">
      <c r="A919" s="1492" t="str">
        <f>+VLOOKUP(O923,'Planilla de Avance'!$A$10:$M$111,4,FALSE)</f>
        <v>1. MOVIMIENTO DE TIERRAS</v>
      </c>
      <c r="B919" s="1492"/>
      <c r="C919" s="1492"/>
      <c r="D919" s="1492"/>
      <c r="E919" s="1492"/>
      <c r="F919" s="1492"/>
      <c r="G919" s="1492"/>
      <c r="H919" s="1492"/>
      <c r="I919" s="1492"/>
      <c r="J919" s="1492"/>
      <c r="K919" s="1492"/>
      <c r="L919" s="1492"/>
      <c r="M919" s="1492"/>
      <c r="N919" s="1492"/>
    </row>
    <row r="921" spans="1:15" ht="14.1" customHeight="1">
      <c r="A921" s="1488"/>
      <c r="B921" s="1488"/>
      <c r="C921" s="1488"/>
      <c r="D921" s="1488"/>
      <c r="E921" s="1488"/>
      <c r="F921" s="1488"/>
      <c r="G921" s="1488"/>
      <c r="H921" s="1488"/>
      <c r="I921" s="1488"/>
      <c r="J921" s="1488"/>
      <c r="K921" s="1488"/>
      <c r="L921" s="1488"/>
      <c r="M921" s="1488"/>
      <c r="N921" s="1488"/>
    </row>
    <row r="923" spans="1:15" ht="35.1" customHeight="1">
      <c r="B923" s="1228" t="s">
        <v>461</v>
      </c>
      <c r="C923" s="1229">
        <f>+VLOOKUP(O923,'Planilla de Avance'!$A$10:$M$111,5,FALSE)</f>
        <v>1</v>
      </c>
      <c r="D923" s="1495" t="str">
        <f>+VLOOKUP(O923,'Planilla de Avance'!$A$10:$M$111,6,FALSE)</f>
        <v>DESBROCE, DESTRONQUE Y LIMPIEZA</v>
      </c>
      <c r="E923" s="1495"/>
      <c r="F923" s="1495"/>
      <c r="G923" s="1495"/>
      <c r="H923" s="1495"/>
      <c r="I923" s="1495"/>
      <c r="J923" s="1495"/>
      <c r="K923" s="1495"/>
      <c r="L923" s="1495"/>
      <c r="M923" s="1495"/>
      <c r="N923" s="1495"/>
      <c r="O923" s="801">
        <v>1</v>
      </c>
    </row>
    <row r="945" spans="1:14" ht="14.1" customHeight="1" thickBot="1">
      <c r="A945" s="945"/>
      <c r="B945" s="945"/>
      <c r="C945" s="945"/>
      <c r="D945" s="945"/>
      <c r="E945" s="945"/>
      <c r="F945" s="945"/>
      <c r="G945" s="945"/>
      <c r="H945" s="945"/>
      <c r="I945" s="945"/>
      <c r="J945" s="945"/>
      <c r="K945" s="945"/>
      <c r="L945" s="945"/>
      <c r="M945" s="945"/>
      <c r="N945" s="945"/>
    </row>
    <row r="946" spans="1:14" ht="14.1" customHeight="1" thickTop="1" thickBot="1"/>
    <row r="947" spans="1:14" ht="14.1" customHeight="1" thickTop="1">
      <c r="A947" s="941"/>
      <c r="B947" s="941"/>
      <c r="C947" s="941"/>
      <c r="D947" s="941"/>
      <c r="E947" s="941"/>
      <c r="F947" s="941"/>
      <c r="G947" s="941"/>
      <c r="H947" s="941"/>
      <c r="I947" s="941"/>
      <c r="J947" s="941"/>
      <c r="K947" s="941"/>
      <c r="L947" s="941"/>
      <c r="M947" s="941"/>
      <c r="N947" s="941"/>
    </row>
    <row r="962" spans="1:15" ht="14.1" customHeight="1">
      <c r="B962" s="943"/>
    </row>
    <row r="963" spans="1:15" ht="14.1" customHeight="1">
      <c r="B963" s="943"/>
    </row>
    <row r="965" spans="1:15" ht="35.1" customHeight="1">
      <c r="A965" s="1492" t="e">
        <f>+VLOOKUP(O969,'Planilla de Avance'!$A$10:$M$111,4,FALSE)</f>
        <v>#N/A</v>
      </c>
      <c r="B965" s="1492"/>
      <c r="C965" s="1492"/>
      <c r="D965" s="1492"/>
      <c r="E965" s="1492"/>
      <c r="F965" s="1492"/>
      <c r="G965" s="1492"/>
      <c r="H965" s="1492"/>
      <c r="I965" s="1492"/>
      <c r="J965" s="1492"/>
      <c r="K965" s="1492"/>
      <c r="L965" s="1492"/>
      <c r="M965" s="1492"/>
      <c r="N965" s="1492"/>
    </row>
    <row r="967" spans="1:15" ht="14.1" customHeight="1">
      <c r="A967" s="1488"/>
      <c r="B967" s="1488"/>
      <c r="C967" s="1488"/>
      <c r="D967" s="1488"/>
      <c r="E967" s="1488"/>
      <c r="F967" s="1488"/>
      <c r="G967" s="1488"/>
      <c r="H967" s="1488"/>
      <c r="I967" s="1488"/>
      <c r="J967" s="1488"/>
      <c r="K967" s="1488"/>
      <c r="L967" s="1488"/>
      <c r="M967" s="1488"/>
      <c r="N967" s="1488"/>
    </row>
    <row r="969" spans="1:15" ht="35.1" customHeight="1">
      <c r="B969" s="946" t="s">
        <v>461</v>
      </c>
      <c r="C969" s="947" t="e">
        <f>+VLOOKUP(O969,'Planilla de Avance'!$A$10:$M$111,5,FALSE)</f>
        <v>#N/A</v>
      </c>
      <c r="D969" s="1489" t="e">
        <f>+VLOOKUP(O969,'Planilla de Avance'!$A$10:$M$111,6,FALSE)</f>
        <v>#N/A</v>
      </c>
      <c r="E969" s="1489"/>
      <c r="F969" s="1489"/>
      <c r="G969" s="1489"/>
      <c r="H969" s="1489"/>
      <c r="I969" s="1489"/>
      <c r="J969" s="1489"/>
      <c r="K969" s="1489"/>
      <c r="L969" s="1489"/>
      <c r="M969" s="1489"/>
      <c r="N969" s="1489"/>
      <c r="O969" s="801">
        <v>2</v>
      </c>
    </row>
    <row r="991" spans="1:14" ht="14.1" customHeight="1" thickBot="1">
      <c r="A991" s="945"/>
      <c r="B991" s="945"/>
      <c r="C991" s="945"/>
      <c r="D991" s="945"/>
      <c r="E991" s="945"/>
      <c r="F991" s="945"/>
      <c r="G991" s="945"/>
      <c r="H991" s="945"/>
      <c r="I991" s="945"/>
      <c r="J991" s="945"/>
      <c r="K991" s="945"/>
      <c r="L991" s="945"/>
      <c r="M991" s="945"/>
      <c r="N991" s="945"/>
    </row>
    <row r="992" spans="1:14" ht="14.1" customHeight="1" thickTop="1" thickBot="1"/>
    <row r="993" spans="1:14" ht="14.1" customHeight="1" thickTop="1">
      <c r="A993" s="941"/>
      <c r="B993" s="941"/>
      <c r="C993" s="941"/>
      <c r="D993" s="941"/>
      <c r="E993" s="941"/>
      <c r="F993" s="941"/>
      <c r="G993" s="941"/>
      <c r="H993" s="941"/>
      <c r="I993" s="941"/>
      <c r="J993" s="941"/>
      <c r="K993" s="941"/>
      <c r="L993" s="941"/>
      <c r="M993" s="941"/>
      <c r="N993" s="941"/>
    </row>
    <row r="1008" spans="1:14" ht="14.1" customHeight="1">
      <c r="B1008" s="943"/>
    </row>
    <row r="1009" spans="1:15" ht="14.1" customHeight="1">
      <c r="B1009" s="943"/>
    </row>
    <row r="1011" spans="1:15" ht="35.1" customHeight="1">
      <c r="A1011" s="1490" t="e">
        <f>+VLOOKUP(O1015,'Planilla de Avance'!$A$10:$M$111,4,FALSE)</f>
        <v>#N/A</v>
      </c>
      <c r="B1011" s="1490"/>
      <c r="C1011" s="1490"/>
      <c r="D1011" s="1490"/>
      <c r="E1011" s="1490"/>
      <c r="F1011" s="1490"/>
      <c r="G1011" s="1490"/>
      <c r="H1011" s="1490"/>
      <c r="I1011" s="1490"/>
      <c r="J1011" s="1490"/>
      <c r="K1011" s="1490"/>
      <c r="L1011" s="1490"/>
      <c r="M1011" s="1490"/>
      <c r="N1011" s="1490"/>
    </row>
    <row r="1013" spans="1:15" ht="14.1" customHeight="1">
      <c r="A1013" s="1488"/>
      <c r="B1013" s="1488"/>
      <c r="C1013" s="1488"/>
      <c r="D1013" s="1488"/>
      <c r="E1013" s="1488"/>
      <c r="F1013" s="1488"/>
      <c r="G1013" s="1488"/>
      <c r="H1013" s="1488"/>
      <c r="I1013" s="1488"/>
      <c r="J1013" s="1488"/>
      <c r="K1013" s="1488"/>
      <c r="L1013" s="1488"/>
      <c r="M1013" s="1488"/>
      <c r="N1013" s="1488"/>
    </row>
    <row r="1015" spans="1:15" ht="35.1" customHeight="1">
      <c r="B1015" s="946" t="s">
        <v>461</v>
      </c>
      <c r="C1015" s="947" t="e">
        <f>+VLOOKUP(O1015,'Planilla de Avance'!$A$10:$M$111,5,FALSE)</f>
        <v>#N/A</v>
      </c>
      <c r="D1015" s="1489" t="e">
        <f>+VLOOKUP(O1015,'Planilla de Avance'!$A$10:$M$111,6,FALSE)</f>
        <v>#N/A</v>
      </c>
      <c r="E1015" s="1489"/>
      <c r="F1015" s="1489"/>
      <c r="G1015" s="1489"/>
      <c r="H1015" s="1489"/>
      <c r="I1015" s="1489"/>
      <c r="J1015" s="1489"/>
      <c r="K1015" s="1489"/>
      <c r="L1015" s="1489"/>
      <c r="M1015" s="1489"/>
      <c r="N1015" s="1489"/>
      <c r="O1015" s="940">
        <v>3</v>
      </c>
    </row>
    <row r="1037" spans="1:14" ht="14.1" customHeight="1" thickBot="1">
      <c r="A1037" s="945"/>
      <c r="B1037" s="945"/>
      <c r="C1037" s="945"/>
      <c r="D1037" s="945"/>
      <c r="E1037" s="945"/>
      <c r="F1037" s="945"/>
      <c r="G1037" s="945"/>
      <c r="H1037" s="945"/>
      <c r="I1037" s="945"/>
      <c r="J1037" s="945"/>
      <c r="K1037" s="945"/>
      <c r="L1037" s="945"/>
      <c r="M1037" s="945"/>
      <c r="N1037" s="945"/>
    </row>
    <row r="1038" spans="1:14" ht="14.1" customHeight="1" thickTop="1" thickBot="1"/>
    <row r="1039" spans="1:14" ht="14.1" customHeight="1" thickTop="1">
      <c r="A1039" s="941"/>
      <c r="B1039" s="941"/>
      <c r="C1039" s="941"/>
      <c r="D1039" s="941"/>
      <c r="E1039" s="941"/>
      <c r="F1039" s="941"/>
      <c r="G1039" s="941"/>
      <c r="H1039" s="941"/>
      <c r="I1039" s="941"/>
      <c r="J1039" s="941"/>
      <c r="K1039" s="941"/>
      <c r="L1039" s="941"/>
      <c r="M1039" s="941"/>
      <c r="N1039" s="941"/>
    </row>
    <row r="1054" spans="2:2" ht="14.1" customHeight="1">
      <c r="B1054" s="943"/>
    </row>
    <row r="1055" spans="2:2" ht="14.1" customHeight="1">
      <c r="B1055" s="943"/>
    </row>
    <row r="1057" spans="1:15" ht="35.1" customHeight="1">
      <c r="A1057" s="1490" t="e">
        <f>+VLOOKUP(O1061,'Planilla de Avance'!$A$10:$M$111,4,FALSE)</f>
        <v>#N/A</v>
      </c>
      <c r="B1057" s="1490"/>
      <c r="C1057" s="1490"/>
      <c r="D1057" s="1490"/>
      <c r="E1057" s="1490"/>
      <c r="F1057" s="1490"/>
      <c r="G1057" s="1490"/>
      <c r="H1057" s="1490"/>
      <c r="I1057" s="1490"/>
      <c r="J1057" s="1490"/>
      <c r="K1057" s="1490"/>
      <c r="L1057" s="1490"/>
      <c r="M1057" s="1490"/>
      <c r="N1057" s="1490"/>
    </row>
    <row r="1059" spans="1:15" ht="14.1" customHeight="1">
      <c r="A1059" s="1488"/>
      <c r="B1059" s="1488"/>
      <c r="C1059" s="1488"/>
      <c r="D1059" s="1488"/>
      <c r="E1059" s="1488"/>
      <c r="F1059" s="1488"/>
      <c r="G1059" s="1488"/>
      <c r="H1059" s="1488"/>
      <c r="I1059" s="1488"/>
      <c r="J1059" s="1488"/>
      <c r="K1059" s="1488"/>
      <c r="L1059" s="1488"/>
      <c r="M1059" s="1488"/>
      <c r="N1059" s="1488"/>
    </row>
    <row r="1061" spans="1:15" ht="35.1" customHeight="1">
      <c r="B1061" s="946" t="s">
        <v>461</v>
      </c>
      <c r="C1061" s="947" t="e">
        <f>+VLOOKUP(O1061,'Planilla de Avance'!$A$10:$M$111,5,FALSE)</f>
        <v>#N/A</v>
      </c>
      <c r="D1061" s="1489" t="e">
        <f>+VLOOKUP(O1061,'Planilla de Avance'!$A$10:$M$111,6,FALSE)</f>
        <v>#N/A</v>
      </c>
      <c r="E1061" s="1489"/>
      <c r="F1061" s="1489"/>
      <c r="G1061" s="1489"/>
      <c r="H1061" s="1489"/>
      <c r="I1061" s="1489"/>
      <c r="J1061" s="1489"/>
      <c r="K1061" s="1489"/>
      <c r="L1061" s="1489"/>
      <c r="M1061" s="1489"/>
      <c r="N1061" s="1489"/>
      <c r="O1061" s="801">
        <v>4</v>
      </c>
    </row>
    <row r="1083" spans="1:14" ht="14.1" customHeight="1" thickBot="1">
      <c r="A1083" s="945"/>
      <c r="B1083" s="945"/>
      <c r="C1083" s="945"/>
      <c r="D1083" s="945"/>
      <c r="E1083" s="945"/>
      <c r="F1083" s="945"/>
      <c r="G1083" s="945"/>
      <c r="H1083" s="945"/>
      <c r="I1083" s="945"/>
      <c r="J1083" s="945"/>
      <c r="K1083" s="945"/>
      <c r="L1083" s="945"/>
      <c r="M1083" s="945"/>
      <c r="N1083" s="945"/>
    </row>
    <row r="1084" spans="1:14" ht="14.1" customHeight="1" thickTop="1" thickBot="1"/>
    <row r="1085" spans="1:14" ht="14.1" customHeight="1" thickTop="1">
      <c r="A1085" s="941"/>
      <c r="B1085" s="941"/>
      <c r="C1085" s="941"/>
      <c r="D1085" s="941"/>
      <c r="E1085" s="941"/>
      <c r="F1085" s="941"/>
      <c r="G1085" s="941"/>
      <c r="H1085" s="941"/>
      <c r="I1085" s="941"/>
      <c r="J1085" s="941"/>
      <c r="K1085" s="941"/>
      <c r="L1085" s="941"/>
      <c r="M1085" s="941"/>
      <c r="N1085" s="941"/>
    </row>
    <row r="1100" spans="1:14" ht="14.1" customHeight="1">
      <c r="B1100" s="943"/>
    </row>
    <row r="1101" spans="1:14" ht="14.1" customHeight="1">
      <c r="B1101" s="943"/>
    </row>
    <row r="1103" spans="1:14" ht="35.1" customHeight="1">
      <c r="A1103" s="1490" t="e">
        <f>+VLOOKUP(O1107,'Planilla de Avance'!$A$10:$M$111,4,FALSE)</f>
        <v>#N/A</v>
      </c>
      <c r="B1103" s="1490"/>
      <c r="C1103" s="1490"/>
      <c r="D1103" s="1490"/>
      <c r="E1103" s="1490"/>
      <c r="F1103" s="1490"/>
      <c r="G1103" s="1490"/>
      <c r="H1103" s="1490"/>
      <c r="I1103" s="1490"/>
      <c r="J1103" s="1490"/>
      <c r="K1103" s="1490"/>
      <c r="L1103" s="1490"/>
      <c r="M1103" s="1490"/>
      <c r="N1103" s="1490"/>
    </row>
    <row r="1105" spans="1:15" ht="14.1" customHeight="1">
      <c r="A1105" s="1488"/>
      <c r="B1105" s="1488"/>
      <c r="C1105" s="1488"/>
      <c r="D1105" s="1488"/>
      <c r="E1105" s="1488"/>
      <c r="F1105" s="1488"/>
      <c r="G1105" s="1488"/>
      <c r="H1105" s="1488"/>
      <c r="I1105" s="1488"/>
      <c r="J1105" s="1488"/>
      <c r="K1105" s="1488"/>
      <c r="L1105" s="1488"/>
      <c r="M1105" s="1488"/>
      <c r="N1105" s="1488"/>
    </row>
    <row r="1107" spans="1:15" ht="35.1" customHeight="1">
      <c r="B1107" s="946" t="s">
        <v>461</v>
      </c>
      <c r="C1107" s="947" t="e">
        <f>+VLOOKUP(O1107,'Planilla de Avance'!$A$10:$M$111,5,FALSE)</f>
        <v>#N/A</v>
      </c>
      <c r="D1107" s="1489" t="e">
        <f>+VLOOKUP(O1107,'Planilla de Avance'!$A$10:$M$111,6,FALSE)</f>
        <v>#N/A</v>
      </c>
      <c r="E1107" s="1489"/>
      <c r="F1107" s="1489"/>
      <c r="G1107" s="1489"/>
      <c r="H1107" s="1489"/>
      <c r="I1107" s="1489"/>
      <c r="J1107" s="1489"/>
      <c r="K1107" s="1489"/>
      <c r="L1107" s="1489"/>
      <c r="M1107" s="1489"/>
      <c r="N1107" s="1489"/>
      <c r="O1107" s="801">
        <v>5</v>
      </c>
    </row>
    <row r="1129" spans="1:14" ht="14.1" customHeight="1" thickBot="1">
      <c r="A1129" s="945"/>
      <c r="B1129" s="945"/>
      <c r="C1129" s="945"/>
      <c r="D1129" s="945"/>
      <c r="E1129" s="945"/>
      <c r="F1129" s="945"/>
      <c r="G1129" s="945"/>
      <c r="H1129" s="945"/>
      <c r="I1129" s="945"/>
      <c r="J1129" s="945"/>
      <c r="K1129" s="945"/>
      <c r="L1129" s="945"/>
      <c r="M1129" s="945"/>
      <c r="N1129" s="945"/>
    </row>
    <row r="1130" spans="1:14" ht="14.1" customHeight="1" thickTop="1" thickBot="1"/>
    <row r="1131" spans="1:14" ht="14.1" customHeight="1" thickTop="1">
      <c r="A1131" s="941"/>
      <c r="B1131" s="941"/>
      <c r="C1131" s="941"/>
      <c r="D1131" s="941"/>
      <c r="E1131" s="941"/>
      <c r="F1131" s="941"/>
      <c r="G1131" s="941"/>
      <c r="H1131" s="941"/>
      <c r="I1131" s="941"/>
      <c r="J1131" s="941"/>
      <c r="K1131" s="941"/>
      <c r="L1131" s="941"/>
      <c r="M1131" s="941"/>
      <c r="N1131" s="941"/>
    </row>
    <row r="1146" spans="1:14" ht="14.1" customHeight="1">
      <c r="B1146" s="943"/>
    </row>
    <row r="1147" spans="1:14" ht="14.1" customHeight="1">
      <c r="B1147" s="943"/>
    </row>
    <row r="1149" spans="1:14" ht="35.1" customHeight="1">
      <c r="A1149" s="1490" t="e">
        <f>+VLOOKUP(O1153,'Planilla de Avance'!$A$10:$M$111,4,FALSE)</f>
        <v>#N/A</v>
      </c>
      <c r="B1149" s="1490"/>
      <c r="C1149" s="1490"/>
      <c r="D1149" s="1490"/>
      <c r="E1149" s="1490"/>
      <c r="F1149" s="1490"/>
      <c r="G1149" s="1490"/>
      <c r="H1149" s="1490"/>
      <c r="I1149" s="1490"/>
      <c r="J1149" s="1490"/>
      <c r="K1149" s="1490"/>
      <c r="L1149" s="1490"/>
      <c r="M1149" s="1490"/>
      <c r="N1149" s="1490"/>
    </row>
    <row r="1151" spans="1:14" ht="14.1" customHeight="1">
      <c r="A1151" s="1488"/>
      <c r="B1151" s="1488"/>
      <c r="C1151" s="1488"/>
      <c r="D1151" s="1488"/>
      <c r="E1151" s="1488"/>
      <c r="F1151" s="1488"/>
      <c r="G1151" s="1488"/>
      <c r="H1151" s="1488"/>
      <c r="I1151" s="1488"/>
      <c r="J1151" s="1488"/>
      <c r="K1151" s="1488"/>
      <c r="L1151" s="1488"/>
      <c r="M1151" s="1488"/>
      <c r="N1151" s="1488"/>
    </row>
    <row r="1153" spans="2:15" ht="35.1" customHeight="1">
      <c r="B1153" s="946" t="s">
        <v>461</v>
      </c>
      <c r="C1153" s="947" t="e">
        <f>+VLOOKUP(O1153,'Planilla de Avance'!$A$10:$M$111,5,FALSE)</f>
        <v>#N/A</v>
      </c>
      <c r="D1153" s="1489" t="e">
        <f>+VLOOKUP(O1153,'Planilla de Avance'!$A$10:$M$111,6,FALSE)</f>
        <v>#N/A</v>
      </c>
      <c r="E1153" s="1489"/>
      <c r="F1153" s="1489"/>
      <c r="G1153" s="1489"/>
      <c r="H1153" s="1489"/>
      <c r="I1153" s="1489"/>
      <c r="J1153" s="1489"/>
      <c r="K1153" s="1489"/>
      <c r="L1153" s="1489"/>
      <c r="M1153" s="1489"/>
      <c r="N1153" s="1489"/>
      <c r="O1153" s="801">
        <v>6</v>
      </c>
    </row>
    <row r="1175" spans="1:14" ht="14.1" customHeight="1" thickBot="1">
      <c r="A1175" s="945"/>
      <c r="B1175" s="945"/>
      <c r="C1175" s="945"/>
      <c r="D1175" s="945"/>
      <c r="E1175" s="945"/>
      <c r="F1175" s="945"/>
      <c r="G1175" s="945"/>
      <c r="H1175" s="945"/>
      <c r="I1175" s="945"/>
      <c r="J1175" s="945"/>
      <c r="K1175" s="945"/>
      <c r="L1175" s="945"/>
      <c r="M1175" s="945"/>
      <c r="N1175" s="945"/>
    </row>
    <row r="1176" spans="1:14" ht="14.1" customHeight="1" thickTop="1" thickBot="1"/>
    <row r="1177" spans="1:14" ht="14.1" customHeight="1" thickTop="1">
      <c r="A1177" s="941"/>
      <c r="B1177" s="941"/>
      <c r="C1177" s="941"/>
      <c r="D1177" s="941"/>
      <c r="E1177" s="941"/>
      <c r="F1177" s="941"/>
      <c r="G1177" s="941"/>
      <c r="H1177" s="941"/>
      <c r="I1177" s="941"/>
      <c r="J1177" s="941"/>
      <c r="K1177" s="941"/>
      <c r="L1177" s="941"/>
      <c r="M1177" s="941"/>
      <c r="N1177" s="941"/>
    </row>
    <row r="1192" spans="1:15" ht="14.1" customHeight="1">
      <c r="B1192" s="943"/>
    </row>
    <row r="1193" spans="1:15" ht="14.1" customHeight="1">
      <c r="B1193" s="943"/>
    </row>
    <row r="1195" spans="1:15" ht="35.1" customHeight="1">
      <c r="A1195" s="1490" t="e">
        <f>+VLOOKUP(O1199,'Planilla de Avance'!$A$10:$M$111,4,FALSE)</f>
        <v>#N/A</v>
      </c>
      <c r="B1195" s="1490"/>
      <c r="C1195" s="1490"/>
      <c r="D1195" s="1490"/>
      <c r="E1195" s="1490"/>
      <c r="F1195" s="1490"/>
      <c r="G1195" s="1490"/>
      <c r="H1195" s="1490"/>
      <c r="I1195" s="1490"/>
      <c r="J1195" s="1490"/>
      <c r="K1195" s="1490"/>
      <c r="L1195" s="1490"/>
      <c r="M1195" s="1490"/>
      <c r="N1195" s="1490"/>
    </row>
    <row r="1197" spans="1:15" ht="14.1" customHeight="1">
      <c r="A1197" s="1488"/>
      <c r="B1197" s="1488"/>
      <c r="C1197" s="1488"/>
      <c r="D1197" s="1488"/>
      <c r="E1197" s="1488"/>
      <c r="F1197" s="1488"/>
      <c r="G1197" s="1488"/>
      <c r="H1197" s="1488"/>
      <c r="I1197" s="1488"/>
      <c r="J1197" s="1488"/>
      <c r="K1197" s="1488"/>
      <c r="L1197" s="1488"/>
      <c r="M1197" s="1488"/>
      <c r="N1197" s="1488"/>
    </row>
    <row r="1199" spans="1:15" ht="35.1" customHeight="1">
      <c r="B1199" s="946" t="s">
        <v>461</v>
      </c>
      <c r="C1199" s="947" t="e">
        <f>+VLOOKUP(O1199,'Planilla de Avance'!$A$10:$M$111,5,FALSE)</f>
        <v>#N/A</v>
      </c>
      <c r="D1199" s="1489" t="e">
        <f>+VLOOKUP(O1199,'Planilla de Avance'!$A$10:$M$111,6,FALSE)</f>
        <v>#N/A</v>
      </c>
      <c r="E1199" s="1489"/>
      <c r="F1199" s="1489"/>
      <c r="G1199" s="1489"/>
      <c r="H1199" s="1489"/>
      <c r="I1199" s="1489"/>
      <c r="J1199" s="1489"/>
      <c r="K1199" s="1489"/>
      <c r="L1199" s="1489"/>
      <c r="M1199" s="1489"/>
      <c r="N1199" s="1489"/>
      <c r="O1199" s="801">
        <v>7</v>
      </c>
    </row>
    <row r="1221" spans="1:14" ht="14.1" customHeight="1" thickBot="1">
      <c r="A1221" s="945"/>
      <c r="B1221" s="945"/>
      <c r="C1221" s="945"/>
      <c r="D1221" s="945"/>
      <c r="E1221" s="945"/>
      <c r="F1221" s="945"/>
      <c r="G1221" s="945"/>
      <c r="H1221" s="945"/>
      <c r="I1221" s="945"/>
      <c r="J1221" s="945"/>
      <c r="K1221" s="945"/>
      <c r="L1221" s="945"/>
      <c r="M1221" s="945"/>
      <c r="N1221" s="945"/>
    </row>
    <row r="1222" spans="1:14" ht="14.1" customHeight="1" thickTop="1" thickBot="1"/>
    <row r="1223" spans="1:14" ht="14.1" customHeight="1" thickTop="1">
      <c r="A1223" s="941"/>
      <c r="B1223" s="941"/>
      <c r="C1223" s="941"/>
      <c r="D1223" s="941"/>
      <c r="E1223" s="941"/>
      <c r="F1223" s="941"/>
      <c r="G1223" s="941"/>
      <c r="H1223" s="941"/>
      <c r="I1223" s="941"/>
      <c r="J1223" s="941"/>
      <c r="K1223" s="941"/>
      <c r="L1223" s="941"/>
      <c r="M1223" s="941"/>
      <c r="N1223" s="941"/>
    </row>
    <row r="1238" spans="1:15" ht="14.1" customHeight="1">
      <c r="B1238" s="943"/>
    </row>
    <row r="1239" spans="1:15" ht="14.1" customHeight="1">
      <c r="B1239" s="943"/>
    </row>
    <row r="1241" spans="1:15" ht="35.1" customHeight="1">
      <c r="A1241" s="1490" t="e">
        <f>+VLOOKUP(O1245,'Planilla de Avance'!$A$10:$M$111,4,FALSE)</f>
        <v>#N/A</v>
      </c>
      <c r="B1241" s="1490"/>
      <c r="C1241" s="1490"/>
      <c r="D1241" s="1490"/>
      <c r="E1241" s="1490"/>
      <c r="F1241" s="1490"/>
      <c r="G1241" s="1490"/>
      <c r="H1241" s="1490"/>
      <c r="I1241" s="1490"/>
      <c r="J1241" s="1490"/>
      <c r="K1241" s="1490"/>
      <c r="L1241" s="1490"/>
      <c r="M1241" s="1490"/>
      <c r="N1241" s="1490"/>
    </row>
    <row r="1243" spans="1:15" ht="14.1" customHeight="1">
      <c r="A1243" s="1488"/>
      <c r="B1243" s="1488"/>
      <c r="C1243" s="1488"/>
      <c r="D1243" s="1488"/>
      <c r="E1243" s="1488"/>
      <c r="F1243" s="1488"/>
      <c r="G1243" s="1488"/>
      <c r="H1243" s="1488"/>
      <c r="I1243" s="1488"/>
      <c r="J1243" s="1488"/>
      <c r="K1243" s="1488"/>
      <c r="L1243" s="1488"/>
      <c r="M1243" s="1488"/>
      <c r="N1243" s="1488"/>
    </row>
    <row r="1245" spans="1:15" ht="35.1" customHeight="1">
      <c r="B1245" s="946" t="s">
        <v>461</v>
      </c>
      <c r="C1245" s="947" t="e">
        <f>+VLOOKUP(O1245,'Planilla de Avance'!$A$10:$M$111,5,FALSE)</f>
        <v>#N/A</v>
      </c>
      <c r="D1245" s="1489" t="e">
        <f>+VLOOKUP(O1245,'Planilla de Avance'!$A$10:$M$111,6,FALSE)</f>
        <v>#N/A</v>
      </c>
      <c r="E1245" s="1489"/>
      <c r="F1245" s="1489"/>
      <c r="G1245" s="1489"/>
      <c r="H1245" s="1489"/>
      <c r="I1245" s="1489"/>
      <c r="J1245" s="1489"/>
      <c r="K1245" s="1489"/>
      <c r="L1245" s="1489"/>
      <c r="M1245" s="1489"/>
      <c r="N1245" s="1489"/>
      <c r="O1245" s="801">
        <v>8</v>
      </c>
    </row>
    <row r="1267" spans="1:14" ht="14.1" customHeight="1" thickBot="1">
      <c r="A1267" s="945"/>
      <c r="B1267" s="945"/>
      <c r="C1267" s="945"/>
      <c r="D1267" s="945"/>
      <c r="E1267" s="945"/>
      <c r="F1267" s="945"/>
      <c r="G1267" s="945"/>
      <c r="H1267" s="945"/>
      <c r="I1267" s="945"/>
      <c r="J1267" s="945"/>
      <c r="K1267" s="945"/>
      <c r="L1267" s="945"/>
      <c r="M1267" s="945"/>
      <c r="N1267" s="945"/>
    </row>
    <row r="1268" spans="1:14" ht="14.1" customHeight="1" thickTop="1" thickBot="1"/>
    <row r="1269" spans="1:14" ht="14.1" customHeight="1" thickTop="1">
      <c r="A1269" s="941"/>
      <c r="B1269" s="941"/>
      <c r="C1269" s="941"/>
      <c r="D1269" s="941"/>
      <c r="E1269" s="941"/>
      <c r="F1269" s="941"/>
      <c r="G1269" s="941"/>
      <c r="H1269" s="941"/>
      <c r="I1269" s="941"/>
      <c r="J1269" s="941"/>
      <c r="K1269" s="941"/>
      <c r="L1269" s="941"/>
      <c r="M1269" s="941"/>
      <c r="N1269" s="941"/>
    </row>
    <row r="1284" spans="1:15" ht="14.1" customHeight="1">
      <c r="B1284" s="943"/>
    </row>
    <row r="1285" spans="1:15" ht="14.1" customHeight="1">
      <c r="B1285" s="943"/>
    </row>
    <row r="1287" spans="1:15" ht="35.1" customHeight="1">
      <c r="A1287" s="1490" t="e">
        <f>+VLOOKUP(O1291,'Planilla de Avance'!$A$10:$M$111,4,FALSE)</f>
        <v>#N/A</v>
      </c>
      <c r="B1287" s="1490"/>
      <c r="C1287" s="1490"/>
      <c r="D1287" s="1490"/>
      <c r="E1287" s="1490"/>
      <c r="F1287" s="1490"/>
      <c r="G1287" s="1490"/>
      <c r="H1287" s="1490"/>
      <c r="I1287" s="1490"/>
      <c r="J1287" s="1490"/>
      <c r="K1287" s="1490"/>
      <c r="L1287" s="1490"/>
      <c r="M1287" s="1490"/>
      <c r="N1287" s="1490"/>
    </row>
    <row r="1289" spans="1:15" ht="14.1" customHeight="1">
      <c r="A1289" s="1488"/>
      <c r="B1289" s="1488"/>
      <c r="C1289" s="1488"/>
      <c r="D1289" s="1488"/>
      <c r="E1289" s="1488"/>
      <c r="F1289" s="1488"/>
      <c r="G1289" s="1488"/>
      <c r="H1289" s="1488"/>
      <c r="I1289" s="1488"/>
      <c r="J1289" s="1488"/>
      <c r="K1289" s="1488"/>
      <c r="L1289" s="1488"/>
      <c r="M1289" s="1488"/>
      <c r="N1289" s="1488"/>
    </row>
    <row r="1291" spans="1:15" ht="35.1" customHeight="1">
      <c r="B1291" s="946" t="s">
        <v>461</v>
      </c>
      <c r="C1291" s="947" t="e">
        <f>+VLOOKUP(O1291,'Planilla de Avance'!$A$10:$M$111,5,FALSE)</f>
        <v>#N/A</v>
      </c>
      <c r="D1291" s="1489" t="e">
        <f>+VLOOKUP(O1291,'Planilla de Avance'!$A$10:$M$111,6,FALSE)</f>
        <v>#N/A</v>
      </c>
      <c r="E1291" s="1489"/>
      <c r="F1291" s="1489"/>
      <c r="G1291" s="1489"/>
      <c r="H1291" s="1489"/>
      <c r="I1291" s="1489"/>
      <c r="J1291" s="1489"/>
      <c r="K1291" s="1489"/>
      <c r="L1291" s="1489"/>
      <c r="M1291" s="1489"/>
      <c r="N1291" s="1489"/>
      <c r="O1291" s="801">
        <v>9</v>
      </c>
    </row>
    <row r="1313" spans="1:14" ht="14.1" customHeight="1" thickBot="1">
      <c r="A1313" s="945"/>
      <c r="B1313" s="945"/>
      <c r="C1313" s="945"/>
      <c r="D1313" s="945"/>
      <c r="E1313" s="945"/>
      <c r="F1313" s="945"/>
      <c r="G1313" s="945"/>
      <c r="H1313" s="945"/>
      <c r="I1313" s="945"/>
      <c r="J1313" s="945"/>
      <c r="K1313" s="945"/>
      <c r="L1313" s="945"/>
      <c r="M1313" s="945"/>
      <c r="N1313" s="945"/>
    </row>
    <row r="1314" spans="1:14" ht="14.1" customHeight="1" thickTop="1" thickBot="1"/>
    <row r="1315" spans="1:14" ht="14.1" customHeight="1" thickTop="1">
      <c r="A1315" s="941"/>
      <c r="B1315" s="941"/>
      <c r="C1315" s="941"/>
      <c r="D1315" s="941"/>
      <c r="E1315" s="941"/>
      <c r="F1315" s="941"/>
      <c r="G1315" s="941"/>
      <c r="H1315" s="941"/>
      <c r="I1315" s="941"/>
      <c r="J1315" s="941"/>
      <c r="K1315" s="941"/>
      <c r="L1315" s="941"/>
      <c r="M1315" s="941"/>
      <c r="N1315" s="941"/>
    </row>
    <row r="1330" spans="1:15" ht="14.1" customHeight="1">
      <c r="B1330" s="943"/>
    </row>
    <row r="1331" spans="1:15" ht="14.1" customHeight="1">
      <c r="B1331" s="943"/>
    </row>
    <row r="1333" spans="1:15" ht="35.1" customHeight="1">
      <c r="A1333" s="1490" t="e">
        <f>+VLOOKUP(O1337,'Planilla de Avance'!$A$10:$M$111,4,FALSE)</f>
        <v>#N/A</v>
      </c>
      <c r="B1333" s="1490"/>
      <c r="C1333" s="1490"/>
      <c r="D1333" s="1490"/>
      <c r="E1333" s="1490"/>
      <c r="F1333" s="1490"/>
      <c r="G1333" s="1490"/>
      <c r="H1333" s="1490"/>
      <c r="I1333" s="1490"/>
      <c r="J1333" s="1490"/>
      <c r="K1333" s="1490"/>
      <c r="L1333" s="1490"/>
      <c r="M1333" s="1490"/>
      <c r="N1333" s="1490"/>
    </row>
    <row r="1335" spans="1:15" ht="14.1" customHeight="1">
      <c r="A1335" s="1488"/>
      <c r="B1335" s="1488"/>
      <c r="C1335" s="1488"/>
      <c r="D1335" s="1488"/>
      <c r="E1335" s="1488"/>
      <c r="F1335" s="1488"/>
      <c r="G1335" s="1488"/>
      <c r="H1335" s="1488"/>
      <c r="I1335" s="1488"/>
      <c r="J1335" s="1488"/>
      <c r="K1335" s="1488"/>
      <c r="L1335" s="1488"/>
      <c r="M1335" s="1488"/>
      <c r="N1335" s="1488"/>
    </row>
    <row r="1337" spans="1:15" ht="35.1" customHeight="1">
      <c r="B1337" s="946" t="s">
        <v>461</v>
      </c>
      <c r="C1337" s="947" t="e">
        <f>+VLOOKUP(O1337,'Planilla de Avance'!$A$10:$M$111,5,FALSE)</f>
        <v>#N/A</v>
      </c>
      <c r="D1337" s="1489" t="e">
        <f>+VLOOKUP(O1337,'Planilla de Avance'!$A$10:$M$111,6,FALSE)</f>
        <v>#N/A</v>
      </c>
      <c r="E1337" s="1489"/>
      <c r="F1337" s="1489"/>
      <c r="G1337" s="1489"/>
      <c r="H1337" s="1489"/>
      <c r="I1337" s="1489"/>
      <c r="J1337" s="1489"/>
      <c r="K1337" s="1489"/>
      <c r="L1337" s="1489"/>
      <c r="M1337" s="1489"/>
      <c r="N1337" s="1489"/>
      <c r="O1337" s="801">
        <v>10</v>
      </c>
    </row>
    <row r="1359" spans="1:14" ht="14.1" customHeight="1" thickBot="1">
      <c r="A1359" s="945"/>
      <c r="B1359" s="945"/>
      <c r="C1359" s="945"/>
      <c r="D1359" s="945"/>
      <c r="E1359" s="945"/>
      <c r="F1359" s="945"/>
      <c r="G1359" s="945"/>
      <c r="H1359" s="945"/>
      <c r="I1359" s="945"/>
      <c r="J1359" s="945"/>
      <c r="K1359" s="945"/>
      <c r="L1359" s="945"/>
      <c r="M1359" s="945"/>
      <c r="N1359" s="945"/>
    </row>
    <row r="1360" spans="1:14" ht="14.1" customHeight="1" thickTop="1" thickBot="1"/>
    <row r="1361" spans="1:14" ht="14.1" customHeight="1" thickTop="1">
      <c r="A1361" s="941"/>
      <c r="B1361" s="941"/>
      <c r="C1361" s="941"/>
      <c r="D1361" s="941"/>
      <c r="E1361" s="941"/>
      <c r="F1361" s="941"/>
      <c r="G1361" s="941"/>
      <c r="H1361" s="941"/>
      <c r="I1361" s="941"/>
      <c r="J1361" s="941"/>
      <c r="K1361" s="941"/>
      <c r="L1361" s="941"/>
      <c r="M1361" s="941"/>
      <c r="N1361" s="941"/>
    </row>
    <row r="1376" spans="1:14" ht="14.1" customHeight="1">
      <c r="B1376" s="943"/>
    </row>
    <row r="1377" spans="1:15" ht="14.1" customHeight="1">
      <c r="B1377" s="943"/>
    </row>
    <row r="1379" spans="1:15" ht="35.1" customHeight="1">
      <c r="A1379" s="1490" t="e">
        <f>+VLOOKUP(O1383,'Planilla de Avance'!$A$10:$M$111,4,FALSE)</f>
        <v>#N/A</v>
      </c>
      <c r="B1379" s="1490"/>
      <c r="C1379" s="1490"/>
      <c r="D1379" s="1490"/>
      <c r="E1379" s="1490"/>
      <c r="F1379" s="1490"/>
      <c r="G1379" s="1490"/>
      <c r="H1379" s="1490"/>
      <c r="I1379" s="1490"/>
      <c r="J1379" s="1490"/>
      <c r="K1379" s="1490"/>
      <c r="L1379" s="1490"/>
      <c r="M1379" s="1490"/>
      <c r="N1379" s="1490"/>
    </row>
    <row r="1381" spans="1:15" ht="14.1" customHeight="1">
      <c r="A1381" s="1488"/>
      <c r="B1381" s="1488"/>
      <c r="C1381" s="1488"/>
      <c r="D1381" s="1488"/>
      <c r="E1381" s="1488"/>
      <c r="F1381" s="1488"/>
      <c r="G1381" s="1488"/>
      <c r="H1381" s="1488"/>
      <c r="I1381" s="1488"/>
      <c r="J1381" s="1488"/>
      <c r="K1381" s="1488"/>
      <c r="L1381" s="1488"/>
      <c r="M1381" s="1488"/>
      <c r="N1381" s="1488"/>
    </row>
    <row r="1383" spans="1:15" ht="35.1" customHeight="1">
      <c r="B1383" s="946" t="s">
        <v>461</v>
      </c>
      <c r="C1383" s="947" t="e">
        <f>+VLOOKUP(O1383,'Planilla de Avance'!$A$10:$M$111,5,FALSE)</f>
        <v>#N/A</v>
      </c>
      <c r="D1383" s="1489" t="e">
        <f>+VLOOKUP(O1383,'Planilla de Avance'!$A$10:$M$111,6,FALSE)</f>
        <v>#N/A</v>
      </c>
      <c r="E1383" s="1489"/>
      <c r="F1383" s="1489"/>
      <c r="G1383" s="1489"/>
      <c r="H1383" s="1489"/>
      <c r="I1383" s="1489"/>
      <c r="J1383" s="1489"/>
      <c r="K1383" s="1489"/>
      <c r="L1383" s="1489"/>
      <c r="M1383" s="1489"/>
      <c r="N1383" s="1489"/>
      <c r="O1383" s="801">
        <v>11</v>
      </c>
    </row>
    <row r="1405" spans="1:14" ht="14.1" customHeight="1" thickBot="1">
      <c r="A1405" s="945"/>
      <c r="B1405" s="945"/>
      <c r="C1405" s="945"/>
      <c r="D1405" s="945"/>
      <c r="E1405" s="945"/>
      <c r="F1405" s="945"/>
      <c r="G1405" s="945"/>
      <c r="H1405" s="945"/>
      <c r="I1405" s="945"/>
      <c r="J1405" s="945"/>
      <c r="K1405" s="945"/>
      <c r="L1405" s="945"/>
      <c r="M1405" s="945"/>
      <c r="N1405" s="945"/>
    </row>
    <row r="1406" spans="1:14" ht="14.1" customHeight="1" thickTop="1" thickBot="1"/>
    <row r="1407" spans="1:14" ht="14.1" customHeight="1" thickTop="1">
      <c r="A1407" s="941"/>
      <c r="B1407" s="941"/>
      <c r="C1407" s="941"/>
      <c r="D1407" s="941"/>
      <c r="E1407" s="941"/>
      <c r="F1407" s="941"/>
      <c r="G1407" s="941"/>
      <c r="H1407" s="941"/>
      <c r="I1407" s="941"/>
      <c r="J1407" s="941"/>
      <c r="K1407" s="941"/>
      <c r="L1407" s="941"/>
      <c r="M1407" s="941"/>
      <c r="N1407" s="941"/>
    </row>
    <row r="1422" spans="2:2" ht="14.1" customHeight="1">
      <c r="B1422" s="943"/>
    </row>
    <row r="1423" spans="2:2" ht="14.1" customHeight="1">
      <c r="B1423" s="943"/>
    </row>
    <row r="1425" spans="1:15" ht="35.1" customHeight="1">
      <c r="A1425" s="1490" t="e">
        <f>+VLOOKUP(O1429,'Planilla de Avance'!$A$10:$M$111,4,FALSE)</f>
        <v>#N/A</v>
      </c>
      <c r="B1425" s="1490"/>
      <c r="C1425" s="1490"/>
      <c r="D1425" s="1490"/>
      <c r="E1425" s="1490"/>
      <c r="F1425" s="1490"/>
      <c r="G1425" s="1490"/>
      <c r="H1425" s="1490"/>
      <c r="I1425" s="1490"/>
      <c r="J1425" s="1490"/>
      <c r="K1425" s="1490"/>
      <c r="L1425" s="1490"/>
      <c r="M1425" s="1490"/>
      <c r="N1425" s="1490"/>
    </row>
    <row r="1427" spans="1:15" ht="14.1" customHeight="1">
      <c r="A1427" s="1488"/>
      <c r="B1427" s="1488"/>
      <c r="C1427" s="1488"/>
      <c r="D1427" s="1488"/>
      <c r="E1427" s="1488"/>
      <c r="F1427" s="1488"/>
      <c r="G1427" s="1488"/>
      <c r="H1427" s="1488"/>
      <c r="I1427" s="1488"/>
      <c r="J1427" s="1488"/>
      <c r="K1427" s="1488"/>
      <c r="L1427" s="1488"/>
      <c r="M1427" s="1488"/>
      <c r="N1427" s="1488"/>
    </row>
    <row r="1429" spans="1:15" ht="35.1" customHeight="1">
      <c r="B1429" s="946" t="s">
        <v>461</v>
      </c>
      <c r="C1429" s="947" t="e">
        <f>+VLOOKUP(O1429,'Planilla de Avance'!$A$10:$M$111,5,FALSE)</f>
        <v>#N/A</v>
      </c>
      <c r="D1429" s="1489" t="e">
        <f>+VLOOKUP(O1429,'Planilla de Avance'!$A$10:$M$111,6,FALSE)</f>
        <v>#N/A</v>
      </c>
      <c r="E1429" s="1489"/>
      <c r="F1429" s="1489"/>
      <c r="G1429" s="1489"/>
      <c r="H1429" s="1489"/>
      <c r="I1429" s="1489"/>
      <c r="J1429" s="1489"/>
      <c r="K1429" s="1489"/>
      <c r="L1429" s="1489"/>
      <c r="M1429" s="1489"/>
      <c r="N1429" s="1489"/>
      <c r="O1429" s="801">
        <v>12</v>
      </c>
    </row>
    <row r="1451" spans="1:14" ht="14.1" customHeight="1" thickBot="1">
      <c r="A1451" s="945"/>
      <c r="B1451" s="945"/>
      <c r="C1451" s="945"/>
      <c r="D1451" s="945"/>
      <c r="E1451" s="945"/>
      <c r="F1451" s="945"/>
      <c r="G1451" s="945"/>
      <c r="H1451" s="945"/>
      <c r="I1451" s="945"/>
      <c r="J1451" s="945"/>
      <c r="K1451" s="945"/>
      <c r="L1451" s="945"/>
      <c r="M1451" s="945"/>
      <c r="N1451" s="945"/>
    </row>
    <row r="1452" spans="1:14" ht="14.1" customHeight="1" thickTop="1" thickBot="1"/>
    <row r="1453" spans="1:14" ht="14.1" customHeight="1" thickTop="1">
      <c r="A1453" s="941"/>
      <c r="B1453" s="941"/>
      <c r="C1453" s="941"/>
      <c r="D1453" s="941"/>
      <c r="E1453" s="941"/>
      <c r="F1453" s="941"/>
      <c r="G1453" s="941"/>
      <c r="H1453" s="941"/>
      <c r="I1453" s="941"/>
      <c r="J1453" s="941"/>
      <c r="K1453" s="941"/>
      <c r="L1453" s="941"/>
      <c r="M1453" s="941"/>
      <c r="N1453" s="941"/>
    </row>
    <row r="1468" spans="1:14" ht="14.1" customHeight="1">
      <c r="B1468" s="943"/>
    </row>
    <row r="1469" spans="1:14" ht="14.1" customHeight="1">
      <c r="B1469" s="943"/>
    </row>
    <row r="1471" spans="1:14" ht="35.1" customHeight="1">
      <c r="A1471" s="1490" t="e">
        <f>+VLOOKUP(O1475,'Planilla de Avance'!$A$10:$M$111,4,FALSE)</f>
        <v>#N/A</v>
      </c>
      <c r="B1471" s="1490"/>
      <c r="C1471" s="1490"/>
      <c r="D1471" s="1490"/>
      <c r="E1471" s="1490"/>
      <c r="F1471" s="1490"/>
      <c r="G1471" s="1490"/>
      <c r="H1471" s="1490"/>
      <c r="I1471" s="1490"/>
      <c r="J1471" s="1490"/>
      <c r="K1471" s="1490"/>
      <c r="L1471" s="1490"/>
      <c r="M1471" s="1490"/>
      <c r="N1471" s="1490"/>
    </row>
    <row r="1473" spans="1:15" ht="14.1" customHeight="1">
      <c r="A1473" s="1488"/>
      <c r="B1473" s="1488"/>
      <c r="C1473" s="1488"/>
      <c r="D1473" s="1488"/>
      <c r="E1473" s="1488"/>
      <c r="F1473" s="1488"/>
      <c r="G1473" s="1488"/>
      <c r="H1473" s="1488"/>
      <c r="I1473" s="1488"/>
      <c r="J1473" s="1488"/>
      <c r="K1473" s="1488"/>
      <c r="L1473" s="1488"/>
      <c r="M1473" s="1488"/>
      <c r="N1473" s="1488"/>
    </row>
    <row r="1475" spans="1:15" ht="35.1" customHeight="1">
      <c r="B1475" s="946" t="s">
        <v>461</v>
      </c>
      <c r="C1475" s="947" t="e">
        <f>+VLOOKUP(O1475,'Planilla de Avance'!$A$10:$M$111,5,FALSE)</f>
        <v>#N/A</v>
      </c>
      <c r="D1475" s="1489" t="e">
        <f>+VLOOKUP(O1475,'Planilla de Avance'!$A$10:$M$111,6,FALSE)</f>
        <v>#N/A</v>
      </c>
      <c r="E1475" s="1489"/>
      <c r="F1475" s="1489"/>
      <c r="G1475" s="1489"/>
      <c r="H1475" s="1489"/>
      <c r="I1475" s="1489"/>
      <c r="J1475" s="1489"/>
      <c r="K1475" s="1489"/>
      <c r="L1475" s="1489"/>
      <c r="M1475" s="1489"/>
      <c r="N1475" s="1489"/>
      <c r="O1475" s="801">
        <v>13</v>
      </c>
    </row>
    <row r="1497" spans="1:14" ht="14.1" customHeight="1" thickBot="1">
      <c r="A1497" s="945"/>
      <c r="B1497" s="945"/>
      <c r="C1497" s="945"/>
      <c r="D1497" s="945"/>
      <c r="E1497" s="945"/>
      <c r="F1497" s="945"/>
      <c r="G1497" s="945"/>
      <c r="H1497" s="945"/>
      <c r="I1497" s="945"/>
      <c r="J1497" s="945"/>
      <c r="K1497" s="945"/>
      <c r="L1497" s="945"/>
      <c r="M1497" s="945"/>
      <c r="N1497" s="945"/>
    </row>
    <row r="1498" spans="1:14" ht="14.1" customHeight="1" thickTop="1" thickBot="1"/>
    <row r="1499" spans="1:14" ht="14.1" customHeight="1" thickTop="1">
      <c r="A1499" s="941"/>
      <c r="B1499" s="941"/>
      <c r="C1499" s="941"/>
      <c r="D1499" s="941"/>
      <c r="E1499" s="941"/>
      <c r="F1499" s="941"/>
      <c r="G1499" s="941"/>
      <c r="H1499" s="941"/>
      <c r="I1499" s="941"/>
      <c r="J1499" s="941"/>
      <c r="K1499" s="941"/>
      <c r="L1499" s="941"/>
      <c r="M1499" s="941"/>
      <c r="N1499" s="941"/>
    </row>
    <row r="1514" spans="1:14" ht="14.1" customHeight="1">
      <c r="B1514" s="943"/>
    </row>
    <row r="1515" spans="1:14" ht="14.1" customHeight="1">
      <c r="B1515" s="943"/>
    </row>
    <row r="1517" spans="1:14" ht="35.1" customHeight="1">
      <c r="A1517" s="1490" t="e">
        <f>+VLOOKUP(O1521,'Planilla de Avance'!$A$10:$M$111,4,FALSE)</f>
        <v>#N/A</v>
      </c>
      <c r="B1517" s="1490"/>
      <c r="C1517" s="1490"/>
      <c r="D1517" s="1490"/>
      <c r="E1517" s="1490"/>
      <c r="F1517" s="1490"/>
      <c r="G1517" s="1490"/>
      <c r="H1517" s="1490"/>
      <c r="I1517" s="1490"/>
      <c r="J1517" s="1490"/>
      <c r="K1517" s="1490"/>
      <c r="L1517" s="1490"/>
      <c r="M1517" s="1490"/>
      <c r="N1517" s="1490"/>
    </row>
    <row r="1519" spans="1:14" ht="14.1" customHeight="1">
      <c r="A1519" s="1488"/>
      <c r="B1519" s="1488"/>
      <c r="C1519" s="1488"/>
      <c r="D1519" s="1488"/>
      <c r="E1519" s="1488"/>
      <c r="F1519" s="1488"/>
      <c r="G1519" s="1488"/>
      <c r="H1519" s="1488"/>
      <c r="I1519" s="1488"/>
      <c r="J1519" s="1488"/>
      <c r="K1519" s="1488"/>
      <c r="L1519" s="1488"/>
      <c r="M1519" s="1488"/>
      <c r="N1519" s="1488"/>
    </row>
    <row r="1521" spans="2:15" ht="35.1" customHeight="1">
      <c r="B1521" s="946" t="s">
        <v>461</v>
      </c>
      <c r="C1521" s="947" t="e">
        <f>+VLOOKUP(O1521,'Planilla de Avance'!$A$10:$M$111,5,FALSE)</f>
        <v>#N/A</v>
      </c>
      <c r="D1521" s="1489" t="e">
        <f>+VLOOKUP(O1521,'Planilla de Avance'!$A$10:$M$111,6,FALSE)</f>
        <v>#N/A</v>
      </c>
      <c r="E1521" s="1489"/>
      <c r="F1521" s="1489"/>
      <c r="G1521" s="1489"/>
      <c r="H1521" s="1489"/>
      <c r="I1521" s="1489"/>
      <c r="J1521" s="1489"/>
      <c r="K1521" s="1489"/>
      <c r="L1521" s="1489"/>
      <c r="M1521" s="1489"/>
      <c r="N1521" s="1489"/>
      <c r="O1521" s="801">
        <v>14</v>
      </c>
    </row>
    <row r="1543" spans="1:14" ht="14.1" customHeight="1" thickBot="1">
      <c r="A1543" s="945"/>
      <c r="B1543" s="945"/>
      <c r="C1543" s="945"/>
      <c r="D1543" s="945"/>
      <c r="E1543" s="945"/>
      <c r="F1543" s="945"/>
      <c r="G1543" s="945"/>
      <c r="H1543" s="945"/>
      <c r="I1543" s="945"/>
      <c r="J1543" s="945"/>
      <c r="K1543" s="945"/>
      <c r="L1543" s="945"/>
      <c r="M1543" s="945"/>
      <c r="N1543" s="945"/>
    </row>
    <row r="1544" spans="1:14" ht="14.1" customHeight="1" thickTop="1" thickBot="1"/>
    <row r="1545" spans="1:14" ht="14.1" customHeight="1" thickTop="1">
      <c r="A1545" s="941"/>
      <c r="B1545" s="941"/>
      <c r="C1545" s="941"/>
      <c r="D1545" s="941"/>
      <c r="E1545" s="941"/>
      <c r="F1545" s="941"/>
      <c r="G1545" s="941"/>
      <c r="H1545" s="941"/>
      <c r="I1545" s="941"/>
      <c r="J1545" s="941"/>
      <c r="K1545" s="941"/>
      <c r="L1545" s="941"/>
      <c r="M1545" s="941"/>
      <c r="N1545" s="941"/>
    </row>
    <row r="1560" spans="1:15" ht="14.1" customHeight="1">
      <c r="B1560" s="943"/>
    </row>
    <row r="1561" spans="1:15" ht="14.1" customHeight="1">
      <c r="B1561" s="943"/>
    </row>
    <row r="1563" spans="1:15" ht="35.1" customHeight="1">
      <c r="A1563" s="1490" t="e">
        <f>+VLOOKUP(O1567,'Planilla de Avance'!$A$10:$M$111,4,FALSE)</f>
        <v>#N/A</v>
      </c>
      <c r="B1563" s="1490"/>
      <c r="C1563" s="1490"/>
      <c r="D1563" s="1490"/>
      <c r="E1563" s="1490"/>
      <c r="F1563" s="1490"/>
      <c r="G1563" s="1490"/>
      <c r="H1563" s="1490"/>
      <c r="I1563" s="1490"/>
      <c r="J1563" s="1490"/>
      <c r="K1563" s="1490"/>
      <c r="L1563" s="1490"/>
      <c r="M1563" s="1490"/>
      <c r="N1563" s="1490"/>
    </row>
    <row r="1565" spans="1:15" ht="14.1" customHeight="1">
      <c r="A1565" s="1488"/>
      <c r="B1565" s="1488"/>
      <c r="C1565" s="1488"/>
      <c r="D1565" s="1488"/>
      <c r="E1565" s="1488"/>
      <c r="F1565" s="1488"/>
      <c r="G1565" s="1488"/>
      <c r="H1565" s="1488"/>
      <c r="I1565" s="1488"/>
      <c r="J1565" s="1488"/>
      <c r="K1565" s="1488"/>
      <c r="L1565" s="1488"/>
      <c r="M1565" s="1488"/>
      <c r="N1565" s="1488"/>
    </row>
    <row r="1567" spans="1:15" ht="35.1" customHeight="1">
      <c r="B1567" s="946" t="s">
        <v>461</v>
      </c>
      <c r="C1567" s="947" t="e">
        <f>+VLOOKUP(O1567,'Planilla de Avance'!$A$10:$M$111,5,FALSE)</f>
        <v>#N/A</v>
      </c>
      <c r="D1567" s="1489" t="e">
        <f>+VLOOKUP(O1567,'Planilla de Avance'!$A$10:$M$111,6,FALSE)</f>
        <v>#N/A</v>
      </c>
      <c r="E1567" s="1489"/>
      <c r="F1567" s="1489"/>
      <c r="G1567" s="1489"/>
      <c r="H1567" s="1489"/>
      <c r="I1567" s="1489"/>
      <c r="J1567" s="1489"/>
      <c r="K1567" s="1489"/>
      <c r="L1567" s="1489"/>
      <c r="M1567" s="1489"/>
      <c r="N1567" s="1489"/>
      <c r="O1567" s="801">
        <v>15</v>
      </c>
    </row>
    <row r="1589" spans="1:14" ht="14.1" customHeight="1" thickBot="1">
      <c r="A1589" s="945"/>
      <c r="B1589" s="945"/>
      <c r="C1589" s="945"/>
      <c r="D1589" s="945"/>
      <c r="E1589" s="945"/>
      <c r="F1589" s="945"/>
      <c r="G1589" s="945"/>
      <c r="H1589" s="945"/>
      <c r="I1589" s="945"/>
      <c r="J1589" s="945"/>
      <c r="K1589" s="945"/>
      <c r="L1589" s="945"/>
      <c r="M1589" s="945"/>
      <c r="N1589" s="945"/>
    </row>
    <row r="1590" spans="1:14" ht="14.1" customHeight="1" thickTop="1" thickBot="1"/>
    <row r="1591" spans="1:14" ht="14.1" customHeight="1" thickTop="1">
      <c r="A1591" s="941"/>
      <c r="B1591" s="941"/>
      <c r="C1591" s="941"/>
      <c r="D1591" s="941"/>
      <c r="E1591" s="941"/>
      <c r="F1591" s="941"/>
      <c r="G1591" s="941"/>
      <c r="H1591" s="941"/>
      <c r="I1591" s="941"/>
      <c r="J1591" s="941"/>
      <c r="K1591" s="941"/>
      <c r="L1591" s="941"/>
      <c r="M1591" s="941"/>
      <c r="N1591" s="941"/>
    </row>
    <row r="1606" spans="1:15" ht="14.1" customHeight="1">
      <c r="B1606" s="943"/>
    </row>
    <row r="1607" spans="1:15" ht="14.1" customHeight="1">
      <c r="B1607" s="943"/>
    </row>
    <row r="1609" spans="1:15" ht="35.1" customHeight="1">
      <c r="A1609" s="1490" t="e">
        <f>+VLOOKUP(O1613,'Planilla de Avance'!$A$10:$M$111,4,FALSE)</f>
        <v>#N/A</v>
      </c>
      <c r="B1609" s="1490"/>
      <c r="C1609" s="1490"/>
      <c r="D1609" s="1490"/>
      <c r="E1609" s="1490"/>
      <c r="F1609" s="1490"/>
      <c r="G1609" s="1490"/>
      <c r="H1609" s="1490"/>
      <c r="I1609" s="1490"/>
      <c r="J1609" s="1490"/>
      <c r="K1609" s="1490"/>
      <c r="L1609" s="1490"/>
      <c r="M1609" s="1490"/>
      <c r="N1609" s="1490"/>
    </row>
    <row r="1611" spans="1:15" ht="14.1" customHeight="1">
      <c r="A1611" s="1488"/>
      <c r="B1611" s="1488"/>
      <c r="C1611" s="1488"/>
      <c r="D1611" s="1488"/>
      <c r="E1611" s="1488"/>
      <c r="F1611" s="1488"/>
      <c r="G1611" s="1488"/>
      <c r="H1611" s="1488"/>
      <c r="I1611" s="1488"/>
      <c r="J1611" s="1488"/>
      <c r="K1611" s="1488"/>
      <c r="L1611" s="1488"/>
      <c r="M1611" s="1488"/>
      <c r="N1611" s="1488"/>
    </row>
    <row r="1613" spans="1:15" ht="35.1" customHeight="1">
      <c r="B1613" s="946" t="s">
        <v>461</v>
      </c>
      <c r="C1613" s="947" t="e">
        <f>+VLOOKUP(O1613,'Planilla de Avance'!$A$10:$M$111,5,FALSE)</f>
        <v>#N/A</v>
      </c>
      <c r="D1613" s="1489" t="e">
        <f>+VLOOKUP(O1613,'Planilla de Avance'!$A$10:$M$111,6,FALSE)</f>
        <v>#N/A</v>
      </c>
      <c r="E1613" s="1489"/>
      <c r="F1613" s="1489"/>
      <c r="G1613" s="1489"/>
      <c r="H1613" s="1489"/>
      <c r="I1613" s="1489"/>
      <c r="J1613" s="1489"/>
      <c r="K1613" s="1489"/>
      <c r="L1613" s="1489"/>
      <c r="M1613" s="1489"/>
      <c r="N1613" s="1489"/>
      <c r="O1613" s="801">
        <v>16</v>
      </c>
    </row>
    <row r="1635" spans="1:14" ht="14.1" customHeight="1" thickBot="1">
      <c r="A1635" s="945"/>
      <c r="B1635" s="945"/>
      <c r="C1635" s="945"/>
      <c r="D1635" s="945"/>
      <c r="E1635" s="945"/>
      <c r="F1635" s="945"/>
      <c r="G1635" s="945"/>
      <c r="H1635" s="945"/>
      <c r="I1635" s="945"/>
      <c r="J1635" s="945"/>
      <c r="K1635" s="945"/>
      <c r="L1635" s="945"/>
      <c r="M1635" s="945"/>
      <c r="N1635" s="945"/>
    </row>
    <row r="1636" spans="1:14" ht="14.1" customHeight="1" thickTop="1" thickBot="1"/>
    <row r="1637" spans="1:14" ht="14.1" customHeight="1" thickTop="1">
      <c r="A1637" s="941"/>
      <c r="B1637" s="941"/>
      <c r="C1637" s="941"/>
      <c r="D1637" s="941"/>
      <c r="E1637" s="941"/>
      <c r="F1637" s="941"/>
      <c r="G1637" s="941"/>
      <c r="H1637" s="941"/>
      <c r="I1637" s="941"/>
      <c r="J1637" s="941"/>
      <c r="K1637" s="941"/>
      <c r="L1637" s="941"/>
      <c r="M1637" s="941"/>
      <c r="N1637" s="941"/>
    </row>
    <row r="1652" spans="1:15" ht="14.1" customHeight="1">
      <c r="B1652" s="943"/>
    </row>
    <row r="1653" spans="1:15" ht="14.1" customHeight="1">
      <c r="B1653" s="943"/>
    </row>
    <row r="1655" spans="1:15" ht="35.1" customHeight="1">
      <c r="A1655" s="1490" t="e">
        <f>+VLOOKUP(O1659,'Planilla de Avance'!$A$10:$M$111,4,FALSE)</f>
        <v>#N/A</v>
      </c>
      <c r="B1655" s="1490"/>
      <c r="C1655" s="1490"/>
      <c r="D1655" s="1490"/>
      <c r="E1655" s="1490"/>
      <c r="F1655" s="1490"/>
      <c r="G1655" s="1490"/>
      <c r="H1655" s="1490"/>
      <c r="I1655" s="1490"/>
      <c r="J1655" s="1490"/>
      <c r="K1655" s="1490"/>
      <c r="L1655" s="1490"/>
      <c r="M1655" s="1490"/>
      <c r="N1655" s="1490"/>
    </row>
    <row r="1657" spans="1:15" ht="14.1" customHeight="1">
      <c r="A1657" s="1488"/>
      <c r="B1657" s="1488"/>
      <c r="C1657" s="1488"/>
      <c r="D1657" s="1488"/>
      <c r="E1657" s="1488"/>
      <c r="F1657" s="1488"/>
      <c r="G1657" s="1488"/>
      <c r="H1657" s="1488"/>
      <c r="I1657" s="1488"/>
      <c r="J1657" s="1488"/>
      <c r="K1657" s="1488"/>
      <c r="L1657" s="1488"/>
      <c r="M1657" s="1488"/>
      <c r="N1657" s="1488"/>
    </row>
    <row r="1659" spans="1:15" ht="35.1" customHeight="1">
      <c r="B1659" s="946" t="s">
        <v>461</v>
      </c>
      <c r="C1659" s="947" t="e">
        <f>+VLOOKUP(O1659,'Planilla de Avance'!$A$10:$M$111,5,FALSE)</f>
        <v>#N/A</v>
      </c>
      <c r="D1659" s="1489" t="e">
        <f>+VLOOKUP(O1659,'Planilla de Avance'!$A$10:$M$111,6,FALSE)</f>
        <v>#N/A</v>
      </c>
      <c r="E1659" s="1489"/>
      <c r="F1659" s="1489"/>
      <c r="G1659" s="1489"/>
      <c r="H1659" s="1489"/>
      <c r="I1659" s="1489"/>
      <c r="J1659" s="1489"/>
      <c r="K1659" s="1489"/>
      <c r="L1659" s="1489"/>
      <c r="M1659" s="1489"/>
      <c r="N1659" s="1489"/>
      <c r="O1659" s="801">
        <v>17</v>
      </c>
    </row>
    <row r="1681" spans="1:14" ht="14.1" customHeight="1" thickBot="1">
      <c r="A1681" s="945"/>
      <c r="B1681" s="945"/>
      <c r="C1681" s="945"/>
      <c r="D1681" s="945"/>
      <c r="E1681" s="945"/>
      <c r="F1681" s="945"/>
      <c r="G1681" s="945"/>
      <c r="H1681" s="945"/>
      <c r="I1681" s="945"/>
      <c r="J1681" s="945"/>
      <c r="K1681" s="945"/>
      <c r="L1681" s="945"/>
      <c r="M1681" s="945"/>
      <c r="N1681" s="945"/>
    </row>
    <row r="1682" spans="1:14" ht="14.1" customHeight="1" thickTop="1" thickBot="1"/>
    <row r="1683" spans="1:14" ht="14.1" customHeight="1" thickTop="1">
      <c r="A1683" s="941"/>
      <c r="B1683" s="941"/>
      <c r="C1683" s="941"/>
      <c r="D1683" s="941"/>
      <c r="E1683" s="941"/>
      <c r="F1683" s="941"/>
      <c r="G1683" s="941"/>
      <c r="H1683" s="941"/>
      <c r="I1683" s="941"/>
      <c r="J1683" s="941"/>
      <c r="K1683" s="941"/>
      <c r="L1683" s="941"/>
      <c r="M1683" s="941"/>
      <c r="N1683" s="941"/>
    </row>
    <row r="1698" spans="1:15" ht="14.1" customHeight="1">
      <c r="B1698" s="943"/>
    </row>
    <row r="1699" spans="1:15" ht="14.1" customHeight="1">
      <c r="B1699" s="943"/>
    </row>
    <row r="1701" spans="1:15" ht="35.1" customHeight="1">
      <c r="A1701" s="1490" t="e">
        <f>+VLOOKUP(O1705,'Planilla de Avance'!$A$10:$M$111,4,FALSE)</f>
        <v>#N/A</v>
      </c>
      <c r="B1701" s="1490"/>
      <c r="C1701" s="1490"/>
      <c r="D1701" s="1490"/>
      <c r="E1701" s="1490"/>
      <c r="F1701" s="1490"/>
      <c r="G1701" s="1490"/>
      <c r="H1701" s="1490"/>
      <c r="I1701" s="1490"/>
      <c r="J1701" s="1490"/>
      <c r="K1701" s="1490"/>
      <c r="L1701" s="1490"/>
      <c r="M1701" s="1490"/>
      <c r="N1701" s="1490"/>
    </row>
    <row r="1703" spans="1:15" ht="14.1" customHeight="1">
      <c r="A1703" s="1488"/>
      <c r="B1703" s="1488"/>
      <c r="C1703" s="1488"/>
      <c r="D1703" s="1488"/>
      <c r="E1703" s="1488"/>
      <c r="F1703" s="1488"/>
      <c r="G1703" s="1488"/>
      <c r="H1703" s="1488"/>
      <c r="I1703" s="1488"/>
      <c r="J1703" s="1488"/>
      <c r="K1703" s="1488"/>
      <c r="L1703" s="1488"/>
      <c r="M1703" s="1488"/>
      <c r="N1703" s="1488"/>
    </row>
    <row r="1705" spans="1:15" ht="35.1" customHeight="1">
      <c r="B1705" s="946" t="s">
        <v>461</v>
      </c>
      <c r="C1705" s="947" t="e">
        <f>+VLOOKUP(O1705,'Planilla de Avance'!$A$10:$M$111,5,FALSE)</f>
        <v>#N/A</v>
      </c>
      <c r="D1705" s="1489" t="e">
        <f>+VLOOKUP(O1705,'Planilla de Avance'!$A$10:$M$111,6,FALSE)</f>
        <v>#N/A</v>
      </c>
      <c r="E1705" s="1489"/>
      <c r="F1705" s="1489"/>
      <c r="G1705" s="1489"/>
      <c r="H1705" s="1489"/>
      <c r="I1705" s="1489"/>
      <c r="J1705" s="1489"/>
      <c r="K1705" s="1489"/>
      <c r="L1705" s="1489"/>
      <c r="M1705" s="1489"/>
      <c r="N1705" s="1489"/>
      <c r="O1705" s="801">
        <v>18</v>
      </c>
    </row>
    <row r="1727" spans="1:14" ht="14.1" customHeight="1" thickBot="1">
      <c r="A1727" s="945"/>
      <c r="B1727" s="945"/>
      <c r="C1727" s="945"/>
      <c r="D1727" s="945"/>
      <c r="E1727" s="945"/>
      <c r="F1727" s="945"/>
      <c r="G1727" s="945"/>
      <c r="H1727" s="945"/>
      <c r="I1727" s="945"/>
      <c r="J1727" s="945"/>
      <c r="K1727" s="945"/>
      <c r="L1727" s="945"/>
      <c r="M1727" s="945"/>
      <c r="N1727" s="945"/>
    </row>
    <row r="1728" spans="1:14" ht="14.1" customHeight="1" thickTop="1" thickBot="1"/>
    <row r="1729" spans="1:14" ht="14.1" customHeight="1" thickTop="1">
      <c r="A1729" s="941"/>
      <c r="B1729" s="941"/>
      <c r="C1729" s="941"/>
      <c r="D1729" s="941"/>
      <c r="E1729" s="941"/>
      <c r="F1729" s="941"/>
      <c r="G1729" s="941"/>
      <c r="H1729" s="941"/>
      <c r="I1729" s="941"/>
      <c r="J1729" s="941"/>
      <c r="K1729" s="941"/>
      <c r="L1729" s="941"/>
      <c r="M1729" s="941"/>
      <c r="N1729" s="941"/>
    </row>
    <row r="1744" spans="1:14" ht="14.1" customHeight="1">
      <c r="B1744" s="943"/>
    </row>
    <row r="1745" spans="1:15" ht="14.1" customHeight="1">
      <c r="B1745" s="943"/>
    </row>
    <row r="1747" spans="1:15" ht="35.1" customHeight="1">
      <c r="A1747" s="1490" t="e">
        <f>+VLOOKUP(O1751,'Planilla de Avance'!$A$10:$M$111,4,FALSE)</f>
        <v>#N/A</v>
      </c>
      <c r="B1747" s="1490"/>
      <c r="C1747" s="1490"/>
      <c r="D1747" s="1490"/>
      <c r="E1747" s="1490"/>
      <c r="F1747" s="1490"/>
      <c r="G1747" s="1490"/>
      <c r="H1747" s="1490"/>
      <c r="I1747" s="1490"/>
      <c r="J1747" s="1490"/>
      <c r="K1747" s="1490"/>
      <c r="L1747" s="1490"/>
      <c r="M1747" s="1490"/>
      <c r="N1747" s="1490"/>
    </row>
    <row r="1749" spans="1:15" ht="14.1" customHeight="1">
      <c r="A1749" s="1488"/>
      <c r="B1749" s="1488"/>
      <c r="C1749" s="1488"/>
      <c r="D1749" s="1488"/>
      <c r="E1749" s="1488"/>
      <c r="F1749" s="1488"/>
      <c r="G1749" s="1488"/>
      <c r="H1749" s="1488"/>
      <c r="I1749" s="1488"/>
      <c r="J1749" s="1488"/>
      <c r="K1749" s="1488"/>
      <c r="L1749" s="1488"/>
      <c r="M1749" s="1488"/>
      <c r="N1749" s="1488"/>
    </row>
    <row r="1751" spans="1:15" ht="35.1" customHeight="1">
      <c r="B1751" s="946" t="s">
        <v>461</v>
      </c>
      <c r="C1751" s="947" t="e">
        <f>+VLOOKUP(O1751,'Planilla de Avance'!$A$10:$M$111,5,FALSE)</f>
        <v>#N/A</v>
      </c>
      <c r="D1751" s="1489" t="e">
        <f>+VLOOKUP(O1751,'Planilla de Avance'!$A$10:$M$111,6,FALSE)</f>
        <v>#N/A</v>
      </c>
      <c r="E1751" s="1489"/>
      <c r="F1751" s="1489"/>
      <c r="G1751" s="1489"/>
      <c r="H1751" s="1489"/>
      <c r="I1751" s="1489"/>
      <c r="J1751" s="1489"/>
      <c r="K1751" s="1489"/>
      <c r="L1751" s="1489"/>
      <c r="M1751" s="1489"/>
      <c r="N1751" s="1489"/>
      <c r="O1751" s="801">
        <v>19</v>
      </c>
    </row>
    <row r="1773" spans="1:14" ht="14.1" customHeight="1" thickBot="1">
      <c r="A1773" s="945"/>
      <c r="B1773" s="945"/>
      <c r="C1773" s="945"/>
      <c r="D1773" s="945"/>
      <c r="E1773" s="945"/>
      <c r="F1773" s="945"/>
      <c r="G1773" s="945"/>
      <c r="H1773" s="945"/>
      <c r="I1773" s="945"/>
      <c r="J1773" s="945"/>
      <c r="K1773" s="945"/>
      <c r="L1773" s="945"/>
      <c r="M1773" s="945"/>
      <c r="N1773" s="945"/>
    </row>
    <row r="1774" spans="1:14" ht="14.1" customHeight="1" thickTop="1" thickBot="1"/>
    <row r="1775" spans="1:14" ht="14.1" customHeight="1" thickTop="1">
      <c r="A1775" s="941"/>
      <c r="B1775" s="941"/>
      <c r="C1775" s="941"/>
      <c r="D1775" s="941"/>
      <c r="E1775" s="941"/>
      <c r="F1775" s="941"/>
      <c r="G1775" s="941"/>
      <c r="H1775" s="941"/>
      <c r="I1775" s="941"/>
      <c r="J1775" s="941"/>
      <c r="K1775" s="941"/>
      <c r="L1775" s="941"/>
      <c r="M1775" s="941"/>
      <c r="N1775" s="941"/>
    </row>
    <row r="1790" spans="2:2" ht="14.1" customHeight="1">
      <c r="B1790" s="943"/>
    </row>
    <row r="1791" spans="2:2" ht="14.1" customHeight="1">
      <c r="B1791" s="943"/>
    </row>
    <row r="1793" spans="1:15" ht="35.1" customHeight="1">
      <c r="A1793" s="1490" t="e">
        <f>+VLOOKUP(O1797,'Planilla de Avance'!$A$10:$M$111,4,FALSE)</f>
        <v>#N/A</v>
      </c>
      <c r="B1793" s="1490"/>
      <c r="C1793" s="1490"/>
      <c r="D1793" s="1490"/>
      <c r="E1793" s="1490"/>
      <c r="F1793" s="1490"/>
      <c r="G1793" s="1490"/>
      <c r="H1793" s="1490"/>
      <c r="I1793" s="1490"/>
      <c r="J1793" s="1490"/>
      <c r="K1793" s="1490"/>
      <c r="L1793" s="1490"/>
      <c r="M1793" s="1490"/>
      <c r="N1793" s="1490"/>
    </row>
    <row r="1795" spans="1:15" ht="14.1" customHeight="1">
      <c r="A1795" s="1488"/>
      <c r="B1795" s="1488"/>
      <c r="C1795" s="1488"/>
      <c r="D1795" s="1488"/>
      <c r="E1795" s="1488"/>
      <c r="F1795" s="1488"/>
      <c r="G1795" s="1488"/>
      <c r="H1795" s="1488"/>
      <c r="I1795" s="1488"/>
      <c r="J1795" s="1488"/>
      <c r="K1795" s="1488"/>
      <c r="L1795" s="1488"/>
      <c r="M1795" s="1488"/>
      <c r="N1795" s="1488"/>
    </row>
    <row r="1797" spans="1:15" ht="35.1" customHeight="1">
      <c r="B1797" s="946" t="s">
        <v>461</v>
      </c>
      <c r="C1797" s="947" t="e">
        <f>+VLOOKUP(O1797,'Planilla de Avance'!$A$10:$M$111,5,FALSE)</f>
        <v>#N/A</v>
      </c>
      <c r="D1797" s="1489" t="e">
        <f>+VLOOKUP(O1797,'Planilla de Avance'!$A$10:$M$111,6,FALSE)</f>
        <v>#N/A</v>
      </c>
      <c r="E1797" s="1489"/>
      <c r="F1797" s="1489"/>
      <c r="G1797" s="1489"/>
      <c r="H1797" s="1489"/>
      <c r="I1797" s="1489"/>
      <c r="J1797" s="1489"/>
      <c r="K1797" s="1489"/>
      <c r="L1797" s="1489"/>
      <c r="M1797" s="1489"/>
      <c r="N1797" s="1489"/>
      <c r="O1797" s="801">
        <v>20</v>
      </c>
    </row>
    <row r="1819" spans="1:14" ht="14.1" customHeight="1" thickBot="1">
      <c r="A1819" s="945"/>
      <c r="B1819" s="945"/>
      <c r="C1819" s="945"/>
      <c r="D1819" s="945"/>
      <c r="E1819" s="945"/>
      <c r="F1819" s="945"/>
      <c r="G1819" s="945"/>
      <c r="H1819" s="945"/>
      <c r="I1819" s="945"/>
      <c r="J1819" s="945"/>
      <c r="K1819" s="945"/>
      <c r="L1819" s="945"/>
      <c r="M1819" s="945"/>
      <c r="N1819" s="945"/>
    </row>
    <row r="1820" spans="1:14" ht="14.1" customHeight="1" thickTop="1" thickBot="1"/>
    <row r="1821" spans="1:14" ht="14.1" customHeight="1" thickTop="1">
      <c r="A1821" s="941"/>
      <c r="B1821" s="941"/>
      <c r="C1821" s="941"/>
      <c r="D1821" s="941"/>
      <c r="E1821" s="941"/>
      <c r="F1821" s="941"/>
      <c r="G1821" s="941"/>
      <c r="H1821" s="941"/>
      <c r="I1821" s="941"/>
      <c r="J1821" s="941"/>
      <c r="K1821" s="941"/>
      <c r="L1821" s="941"/>
      <c r="M1821" s="941"/>
      <c r="N1821" s="941"/>
    </row>
    <row r="1836" spans="1:14" ht="14.1" customHeight="1">
      <c r="B1836" s="943"/>
    </row>
    <row r="1837" spans="1:14" ht="14.1" customHeight="1">
      <c r="B1837" s="943"/>
    </row>
    <row r="1839" spans="1:14" ht="35.1" customHeight="1">
      <c r="A1839" s="1490" t="e">
        <f>+VLOOKUP(O1843,'Planilla de Avance'!$A$10:$M$111,4,FALSE)</f>
        <v>#N/A</v>
      </c>
      <c r="B1839" s="1490"/>
      <c r="C1839" s="1490"/>
      <c r="D1839" s="1490"/>
      <c r="E1839" s="1490"/>
      <c r="F1839" s="1490"/>
      <c r="G1839" s="1490"/>
      <c r="H1839" s="1490"/>
      <c r="I1839" s="1490"/>
      <c r="J1839" s="1490"/>
      <c r="K1839" s="1490"/>
      <c r="L1839" s="1490"/>
      <c r="M1839" s="1490"/>
      <c r="N1839" s="1490"/>
    </row>
    <row r="1841" spans="1:15" ht="14.1" customHeight="1">
      <c r="A1841" s="1488"/>
      <c r="B1841" s="1488"/>
      <c r="C1841" s="1488"/>
      <c r="D1841" s="1488"/>
      <c r="E1841" s="1488"/>
      <c r="F1841" s="1488"/>
      <c r="G1841" s="1488"/>
      <c r="H1841" s="1488"/>
      <c r="I1841" s="1488"/>
      <c r="J1841" s="1488"/>
      <c r="K1841" s="1488"/>
      <c r="L1841" s="1488"/>
      <c r="M1841" s="1488"/>
      <c r="N1841" s="1488"/>
    </row>
    <row r="1843" spans="1:15" ht="35.1" customHeight="1">
      <c r="B1843" s="946" t="s">
        <v>461</v>
      </c>
      <c r="C1843" s="947" t="e">
        <f>+VLOOKUP(O1843,'Planilla de Avance'!$A$10:$M$111,5,FALSE)</f>
        <v>#N/A</v>
      </c>
      <c r="D1843" s="1489" t="e">
        <f>+VLOOKUP(O1843,'Planilla de Avance'!$A$10:$M$111,6,FALSE)</f>
        <v>#N/A</v>
      </c>
      <c r="E1843" s="1489"/>
      <c r="F1843" s="1489"/>
      <c r="G1843" s="1489"/>
      <c r="H1843" s="1489"/>
      <c r="I1843" s="1489"/>
      <c r="J1843" s="1489"/>
      <c r="K1843" s="1489"/>
      <c r="L1843" s="1489"/>
      <c r="M1843" s="1489"/>
      <c r="N1843" s="1489"/>
      <c r="O1843" s="801">
        <v>21</v>
      </c>
    </row>
    <row r="1865" spans="1:14" ht="14.1" customHeight="1" thickBot="1">
      <c r="A1865" s="945"/>
      <c r="B1865" s="945"/>
      <c r="C1865" s="945"/>
      <c r="D1865" s="945"/>
      <c r="E1865" s="945"/>
      <c r="F1865" s="945"/>
      <c r="G1865" s="945"/>
      <c r="H1865" s="945"/>
      <c r="I1865" s="945"/>
      <c r="J1865" s="945"/>
      <c r="K1865" s="945"/>
      <c r="L1865" s="945"/>
      <c r="M1865" s="945"/>
      <c r="N1865" s="945"/>
    </row>
    <row r="1866" spans="1:14" ht="14.1" customHeight="1" thickTop="1" thickBot="1"/>
    <row r="1867" spans="1:14" ht="14.1" customHeight="1" thickTop="1">
      <c r="A1867" s="941"/>
      <c r="B1867" s="941"/>
      <c r="C1867" s="941"/>
      <c r="D1867" s="941"/>
      <c r="E1867" s="941"/>
      <c r="F1867" s="941"/>
      <c r="G1867" s="941"/>
      <c r="H1867" s="941"/>
      <c r="I1867" s="941"/>
      <c r="J1867" s="941"/>
      <c r="K1867" s="941"/>
      <c r="L1867" s="941"/>
      <c r="M1867" s="941"/>
      <c r="N1867" s="941"/>
    </row>
    <row r="1882" spans="1:14" ht="14.1" customHeight="1">
      <c r="B1882" s="943"/>
    </row>
    <row r="1883" spans="1:14" ht="14.1" customHeight="1">
      <c r="B1883" s="943"/>
    </row>
    <row r="1885" spans="1:14" ht="35.1" customHeight="1">
      <c r="A1885" s="1490" t="e">
        <f>+VLOOKUP(O1889,'Planilla de Avance'!$A$10:$M$111,4,FALSE)</f>
        <v>#N/A</v>
      </c>
      <c r="B1885" s="1490"/>
      <c r="C1885" s="1490"/>
      <c r="D1885" s="1490"/>
      <c r="E1885" s="1490"/>
      <c r="F1885" s="1490"/>
      <c r="G1885" s="1490"/>
      <c r="H1885" s="1490"/>
      <c r="I1885" s="1490"/>
      <c r="J1885" s="1490"/>
      <c r="K1885" s="1490"/>
      <c r="L1885" s="1490"/>
      <c r="M1885" s="1490"/>
      <c r="N1885" s="1490"/>
    </row>
    <row r="1887" spans="1:14" ht="14.1" customHeight="1">
      <c r="A1887" s="1488"/>
      <c r="B1887" s="1488"/>
      <c r="C1887" s="1488"/>
      <c r="D1887" s="1488"/>
      <c r="E1887" s="1488"/>
      <c r="F1887" s="1488"/>
      <c r="G1887" s="1488"/>
      <c r="H1887" s="1488"/>
      <c r="I1887" s="1488"/>
      <c r="J1887" s="1488"/>
      <c r="K1887" s="1488"/>
      <c r="L1887" s="1488"/>
      <c r="M1887" s="1488"/>
      <c r="N1887" s="1488"/>
    </row>
    <row r="1889" spans="2:15" ht="35.1" customHeight="1">
      <c r="B1889" s="946" t="s">
        <v>461</v>
      </c>
      <c r="C1889" s="947" t="e">
        <f>+VLOOKUP(O1889,'Planilla de Avance'!$A$10:$M$111,5,FALSE)</f>
        <v>#N/A</v>
      </c>
      <c r="D1889" s="1489" t="e">
        <f>+VLOOKUP(O1889,'Planilla de Avance'!$A$10:$M$111,6,FALSE)</f>
        <v>#N/A</v>
      </c>
      <c r="E1889" s="1489"/>
      <c r="F1889" s="1489"/>
      <c r="G1889" s="1489"/>
      <c r="H1889" s="1489"/>
      <c r="I1889" s="1489"/>
      <c r="J1889" s="1489"/>
      <c r="K1889" s="1489"/>
      <c r="L1889" s="1489"/>
      <c r="M1889" s="1489"/>
      <c r="N1889" s="1489"/>
      <c r="O1889" s="801">
        <v>22</v>
      </c>
    </row>
    <row r="1911" spans="1:14" ht="14.1" customHeight="1" thickBot="1">
      <c r="A1911" s="945"/>
      <c r="B1911" s="945"/>
      <c r="C1911" s="945"/>
      <c r="D1911" s="945"/>
      <c r="E1911" s="945"/>
      <c r="F1911" s="945"/>
      <c r="G1911" s="945"/>
      <c r="H1911" s="945"/>
      <c r="I1911" s="945"/>
      <c r="J1911" s="945"/>
      <c r="K1911" s="945"/>
      <c r="L1911" s="945"/>
      <c r="M1911" s="945"/>
      <c r="N1911" s="945"/>
    </row>
    <row r="1912" spans="1:14" ht="14.1" customHeight="1" thickTop="1" thickBot="1"/>
    <row r="1913" spans="1:14" ht="14.1" customHeight="1" thickTop="1">
      <c r="A1913" s="941"/>
      <c r="B1913" s="941"/>
      <c r="C1913" s="941"/>
      <c r="D1913" s="941"/>
      <c r="E1913" s="941"/>
      <c r="F1913" s="941"/>
      <c r="G1913" s="941"/>
      <c r="H1913" s="941"/>
      <c r="I1913" s="941"/>
      <c r="J1913" s="941"/>
      <c r="K1913" s="941"/>
      <c r="L1913" s="941"/>
      <c r="M1913" s="941"/>
      <c r="N1913" s="941"/>
    </row>
    <row r="1928" spans="1:15" ht="14.1" customHeight="1">
      <c r="B1928" s="943"/>
    </row>
    <row r="1929" spans="1:15" ht="14.1" customHeight="1">
      <c r="B1929" s="943"/>
    </row>
    <row r="1931" spans="1:15" ht="35.1" customHeight="1">
      <c r="A1931" s="1490" t="e">
        <f>+VLOOKUP(O1935,'Planilla de Avance'!$A$10:$M$111,4,FALSE)</f>
        <v>#N/A</v>
      </c>
      <c r="B1931" s="1490"/>
      <c r="C1931" s="1490"/>
      <c r="D1931" s="1490"/>
      <c r="E1931" s="1490"/>
      <c r="F1931" s="1490"/>
      <c r="G1931" s="1490"/>
      <c r="H1931" s="1490"/>
      <c r="I1931" s="1490"/>
      <c r="J1931" s="1490"/>
      <c r="K1931" s="1490"/>
      <c r="L1931" s="1490"/>
      <c r="M1931" s="1490"/>
      <c r="N1931" s="1490"/>
    </row>
    <row r="1933" spans="1:15" ht="14.1" customHeight="1">
      <c r="A1933" s="1488"/>
      <c r="B1933" s="1488"/>
      <c r="C1933" s="1488"/>
      <c r="D1933" s="1488"/>
      <c r="E1933" s="1488"/>
      <c r="F1933" s="1488"/>
      <c r="G1933" s="1488"/>
      <c r="H1933" s="1488"/>
      <c r="I1933" s="1488"/>
      <c r="J1933" s="1488"/>
      <c r="K1933" s="1488"/>
      <c r="L1933" s="1488"/>
      <c r="M1933" s="1488"/>
      <c r="N1933" s="1488"/>
    </row>
    <row r="1935" spans="1:15" ht="35.1" customHeight="1">
      <c r="B1935" s="946" t="s">
        <v>461</v>
      </c>
      <c r="C1935" s="947" t="e">
        <f>+VLOOKUP(O1935,'Planilla de Avance'!$A$10:$M$111,5,FALSE)</f>
        <v>#N/A</v>
      </c>
      <c r="D1935" s="1489" t="e">
        <f>+VLOOKUP(O1935,'Planilla de Avance'!$A$10:$M$111,6,FALSE)</f>
        <v>#N/A</v>
      </c>
      <c r="E1935" s="1489"/>
      <c r="F1935" s="1489"/>
      <c r="G1935" s="1489"/>
      <c r="H1935" s="1489"/>
      <c r="I1935" s="1489"/>
      <c r="J1935" s="1489"/>
      <c r="K1935" s="1489"/>
      <c r="L1935" s="1489"/>
      <c r="M1935" s="1489"/>
      <c r="N1935" s="1489"/>
      <c r="O1935" s="801">
        <v>23</v>
      </c>
    </row>
    <row r="1957" spans="1:14" ht="14.1" customHeight="1" thickBot="1">
      <c r="A1957" s="945"/>
      <c r="B1957" s="945"/>
      <c r="C1957" s="945"/>
      <c r="D1957" s="945"/>
      <c r="E1957" s="945"/>
      <c r="F1957" s="945"/>
      <c r="G1957" s="945"/>
      <c r="H1957" s="945"/>
      <c r="I1957" s="945"/>
      <c r="J1957" s="945"/>
      <c r="K1957" s="945"/>
      <c r="L1957" s="945"/>
      <c r="M1957" s="945"/>
      <c r="N1957" s="945"/>
    </row>
    <row r="1958" spans="1:14" ht="14.1" customHeight="1" thickTop="1" thickBot="1"/>
    <row r="1959" spans="1:14" ht="14.1" customHeight="1" thickTop="1">
      <c r="A1959" s="941"/>
      <c r="B1959" s="941"/>
      <c r="C1959" s="941"/>
      <c r="D1959" s="941"/>
      <c r="E1959" s="941"/>
      <c r="F1959" s="941"/>
      <c r="G1959" s="941"/>
      <c r="H1959" s="941"/>
      <c r="I1959" s="941"/>
      <c r="J1959" s="941"/>
      <c r="K1959" s="941"/>
      <c r="L1959" s="941"/>
      <c r="M1959" s="941"/>
      <c r="N1959" s="941"/>
    </row>
    <row r="1974" spans="1:15" ht="14.1" customHeight="1">
      <c r="B1974" s="943"/>
    </row>
    <row r="1975" spans="1:15" ht="14.1" customHeight="1">
      <c r="B1975" s="943"/>
    </row>
    <row r="1977" spans="1:15" ht="35.1" customHeight="1">
      <c r="A1977" s="1490" t="e">
        <f>+VLOOKUP(O1981,'Planilla de Avance'!$A$10:$M$111,4,FALSE)</f>
        <v>#N/A</v>
      </c>
      <c r="B1977" s="1490"/>
      <c r="C1977" s="1490"/>
      <c r="D1977" s="1490"/>
      <c r="E1977" s="1490"/>
      <c r="F1977" s="1490"/>
      <c r="G1977" s="1490"/>
      <c r="H1977" s="1490"/>
      <c r="I1977" s="1490"/>
      <c r="J1977" s="1490"/>
      <c r="K1977" s="1490"/>
      <c r="L1977" s="1490"/>
      <c r="M1977" s="1490"/>
      <c r="N1977" s="1490"/>
    </row>
    <row r="1979" spans="1:15" ht="14.1" customHeight="1">
      <c r="A1979" s="1488"/>
      <c r="B1979" s="1488"/>
      <c r="C1979" s="1488"/>
      <c r="D1979" s="1488"/>
      <c r="E1979" s="1488"/>
      <c r="F1979" s="1488"/>
      <c r="G1979" s="1488"/>
      <c r="H1979" s="1488"/>
      <c r="I1979" s="1488"/>
      <c r="J1979" s="1488"/>
      <c r="K1979" s="1488"/>
      <c r="L1979" s="1488"/>
      <c r="M1979" s="1488"/>
      <c r="N1979" s="1488"/>
    </row>
    <row r="1981" spans="1:15" ht="35.1" customHeight="1">
      <c r="B1981" s="946" t="s">
        <v>461</v>
      </c>
      <c r="C1981" s="947" t="e">
        <f>+VLOOKUP(O1981,'Planilla de Avance'!$A$10:$M$111,5,FALSE)</f>
        <v>#N/A</v>
      </c>
      <c r="D1981" s="1489" t="e">
        <f>+VLOOKUP(O1981,'Planilla de Avance'!$A$10:$M$111,6,FALSE)</f>
        <v>#N/A</v>
      </c>
      <c r="E1981" s="1489"/>
      <c r="F1981" s="1489"/>
      <c r="G1981" s="1489"/>
      <c r="H1981" s="1489"/>
      <c r="I1981" s="1489"/>
      <c r="J1981" s="1489"/>
      <c r="K1981" s="1489"/>
      <c r="L1981" s="1489"/>
      <c r="M1981" s="1489"/>
      <c r="N1981" s="1489"/>
      <c r="O1981" s="801">
        <v>24</v>
      </c>
    </row>
    <row r="2003" spans="1:14" ht="14.1" customHeight="1" thickBot="1">
      <c r="A2003" s="945"/>
      <c r="B2003" s="945"/>
      <c r="C2003" s="945"/>
      <c r="D2003" s="945"/>
      <c r="E2003" s="945"/>
      <c r="F2003" s="945"/>
      <c r="G2003" s="945"/>
      <c r="H2003" s="945"/>
      <c r="I2003" s="945"/>
      <c r="J2003" s="945"/>
      <c r="K2003" s="945"/>
      <c r="L2003" s="945"/>
      <c r="M2003" s="945"/>
      <c r="N2003" s="945"/>
    </row>
    <row r="2004" spans="1:14" ht="14.1" customHeight="1" thickTop="1" thickBot="1"/>
    <row r="2005" spans="1:14" ht="14.1" customHeight="1" thickTop="1">
      <c r="A2005" s="941"/>
      <c r="B2005" s="941"/>
      <c r="C2005" s="941"/>
      <c r="D2005" s="941"/>
      <c r="E2005" s="941"/>
      <c r="F2005" s="941"/>
      <c r="G2005" s="941"/>
      <c r="H2005" s="941"/>
      <c r="I2005" s="941"/>
      <c r="J2005" s="941"/>
      <c r="K2005" s="941"/>
      <c r="L2005" s="941"/>
      <c r="M2005" s="941"/>
      <c r="N2005" s="941"/>
    </row>
    <row r="2020" spans="1:15" ht="14.1" customHeight="1">
      <c r="B2020" s="943"/>
    </row>
    <row r="2021" spans="1:15" ht="14.1" customHeight="1">
      <c r="B2021" s="943"/>
    </row>
    <row r="2023" spans="1:15" ht="35.1" customHeight="1">
      <c r="A2023" s="1490" t="e">
        <f>+VLOOKUP(O2027,'Planilla de Avance'!$A$10:$M$111,4,FALSE)</f>
        <v>#N/A</v>
      </c>
      <c r="B2023" s="1490"/>
      <c r="C2023" s="1490"/>
      <c r="D2023" s="1490"/>
      <c r="E2023" s="1490"/>
      <c r="F2023" s="1490"/>
      <c r="G2023" s="1490"/>
      <c r="H2023" s="1490"/>
      <c r="I2023" s="1490"/>
      <c r="J2023" s="1490"/>
      <c r="K2023" s="1490"/>
      <c r="L2023" s="1490"/>
      <c r="M2023" s="1490"/>
      <c r="N2023" s="1490"/>
    </row>
    <row r="2025" spans="1:15" ht="14.1" customHeight="1">
      <c r="A2025" s="1488"/>
      <c r="B2025" s="1488"/>
      <c r="C2025" s="1488"/>
      <c r="D2025" s="1488"/>
      <c r="E2025" s="1488"/>
      <c r="F2025" s="1488"/>
      <c r="G2025" s="1488"/>
      <c r="H2025" s="1488"/>
      <c r="I2025" s="1488"/>
      <c r="J2025" s="1488"/>
      <c r="K2025" s="1488"/>
      <c r="L2025" s="1488"/>
      <c r="M2025" s="1488"/>
      <c r="N2025" s="1488"/>
    </row>
    <row r="2027" spans="1:15" ht="35.1" customHeight="1">
      <c r="B2027" s="946" t="s">
        <v>461</v>
      </c>
      <c r="C2027" s="947" t="e">
        <f>+VLOOKUP(O2027,'Planilla de Avance'!$A$10:$M$111,5,FALSE)</f>
        <v>#N/A</v>
      </c>
      <c r="D2027" s="1489" t="e">
        <f>+VLOOKUP(O2027,'Planilla de Avance'!$A$10:$M$111,6,FALSE)</f>
        <v>#N/A</v>
      </c>
      <c r="E2027" s="1489"/>
      <c r="F2027" s="1489"/>
      <c r="G2027" s="1489"/>
      <c r="H2027" s="1489"/>
      <c r="I2027" s="1489"/>
      <c r="J2027" s="1489"/>
      <c r="K2027" s="1489"/>
      <c r="L2027" s="1489"/>
      <c r="M2027" s="1489"/>
      <c r="N2027" s="1489"/>
      <c r="O2027" s="801">
        <v>25</v>
      </c>
    </row>
    <row r="2049" spans="1:14" ht="14.1" customHeight="1" thickBot="1">
      <c r="A2049" s="945"/>
      <c r="B2049" s="945"/>
      <c r="C2049" s="945"/>
      <c r="D2049" s="945"/>
      <c r="E2049" s="945"/>
      <c r="F2049" s="945"/>
      <c r="G2049" s="945"/>
      <c r="H2049" s="945"/>
      <c r="I2049" s="945"/>
      <c r="J2049" s="945"/>
      <c r="K2049" s="945"/>
      <c r="L2049" s="945"/>
      <c r="M2049" s="945"/>
      <c r="N2049" s="945"/>
    </row>
    <row r="2050" spans="1:14" ht="14.1" customHeight="1" thickTop="1" thickBot="1"/>
    <row r="2051" spans="1:14" ht="14.1" customHeight="1" thickTop="1">
      <c r="A2051" s="941"/>
      <c r="B2051" s="941"/>
      <c r="C2051" s="941"/>
      <c r="D2051" s="941"/>
      <c r="E2051" s="941"/>
      <c r="F2051" s="941"/>
      <c r="G2051" s="941"/>
      <c r="H2051" s="941"/>
      <c r="I2051" s="941"/>
      <c r="J2051" s="941"/>
      <c r="K2051" s="941"/>
      <c r="L2051" s="941"/>
      <c r="M2051" s="941"/>
      <c r="N2051" s="941"/>
    </row>
    <row r="2066" spans="1:15" ht="14.1" customHeight="1">
      <c r="B2066" s="943"/>
    </row>
    <row r="2067" spans="1:15" ht="14.1" customHeight="1">
      <c r="B2067" s="943"/>
    </row>
    <row r="2069" spans="1:15" ht="14.1" customHeight="1">
      <c r="A2069" s="1490" t="e">
        <f>+VLOOKUP(O2073,'Planilla de Avance'!$A$10:$M$111,4,FALSE)</f>
        <v>#N/A</v>
      </c>
      <c r="B2069" s="1490"/>
      <c r="C2069" s="1490"/>
      <c r="D2069" s="1490"/>
      <c r="E2069" s="1490"/>
      <c r="F2069" s="1490"/>
      <c r="G2069" s="1490"/>
      <c r="H2069" s="1490"/>
      <c r="I2069" s="1490"/>
      <c r="J2069" s="1490"/>
      <c r="K2069" s="1490"/>
      <c r="L2069" s="1490"/>
      <c r="M2069" s="1490"/>
      <c r="N2069" s="1490"/>
    </row>
    <row r="2071" spans="1:15" ht="14.1" customHeight="1">
      <c r="A2071" s="1488"/>
      <c r="B2071" s="1488"/>
      <c r="C2071" s="1488"/>
      <c r="D2071" s="1488"/>
      <c r="E2071" s="1488"/>
      <c r="F2071" s="1488"/>
      <c r="G2071" s="1488"/>
      <c r="H2071" s="1488"/>
      <c r="I2071" s="1488"/>
      <c r="J2071" s="1488"/>
      <c r="K2071" s="1488"/>
      <c r="L2071" s="1488"/>
      <c r="M2071" s="1488"/>
      <c r="N2071" s="1488"/>
    </row>
    <row r="2073" spans="1:15" ht="14.1" customHeight="1">
      <c r="B2073" s="946" t="s">
        <v>461</v>
      </c>
      <c r="C2073" s="947" t="e">
        <f>+VLOOKUP(O2073,'Planilla de Avance'!$A$10:$M$111,5,FALSE)</f>
        <v>#N/A</v>
      </c>
      <c r="D2073" s="1489" t="e">
        <f>+VLOOKUP(O2073,'Planilla de Avance'!$A$10:$M$111,6,FALSE)</f>
        <v>#N/A</v>
      </c>
      <c r="E2073" s="1489"/>
      <c r="F2073" s="1489"/>
      <c r="G2073" s="1489"/>
      <c r="H2073" s="1489"/>
      <c r="I2073" s="1489"/>
      <c r="J2073" s="1489"/>
      <c r="K2073" s="1489"/>
      <c r="L2073" s="1489"/>
      <c r="M2073" s="1489"/>
      <c r="N2073" s="1489"/>
      <c r="O2073" s="801">
        <v>26</v>
      </c>
    </row>
    <row r="2095" spans="1:14" ht="14.1" customHeight="1" thickBot="1">
      <c r="A2095" s="945"/>
      <c r="B2095" s="945"/>
      <c r="C2095" s="945"/>
      <c r="D2095" s="945"/>
      <c r="E2095" s="945"/>
      <c r="F2095" s="945"/>
      <c r="G2095" s="945"/>
      <c r="H2095" s="945"/>
      <c r="I2095" s="945"/>
      <c r="J2095" s="945"/>
      <c r="K2095" s="945"/>
      <c r="L2095" s="945"/>
      <c r="M2095" s="945"/>
      <c r="N2095" s="945"/>
    </row>
    <row r="2096" spans="1:14" ht="14.1" customHeight="1" thickTop="1" thickBot="1"/>
    <row r="2097" spans="1:14" ht="14.1" customHeight="1" thickTop="1">
      <c r="A2097" s="941"/>
      <c r="B2097" s="941"/>
      <c r="C2097" s="941"/>
      <c r="D2097" s="941"/>
      <c r="E2097" s="941"/>
      <c r="F2097" s="941"/>
      <c r="G2097" s="941"/>
      <c r="H2097" s="941"/>
      <c r="I2097" s="941"/>
      <c r="J2097" s="941"/>
      <c r="K2097" s="941"/>
      <c r="L2097" s="941"/>
      <c r="M2097" s="941"/>
      <c r="N2097" s="941"/>
    </row>
    <row r="2112" spans="1:14" ht="14.1" customHeight="1">
      <c r="B2112" s="943"/>
    </row>
    <row r="2113" spans="1:15" ht="14.1" customHeight="1">
      <c r="B2113" s="943"/>
    </row>
    <row r="2115" spans="1:15" ht="14.1" customHeight="1">
      <c r="A2115" s="1490" t="e">
        <f>+VLOOKUP(O2119,'Planilla de Avance'!$A$10:$M$111,4,FALSE)</f>
        <v>#N/A</v>
      </c>
      <c r="B2115" s="1490"/>
      <c r="C2115" s="1490"/>
      <c r="D2115" s="1490"/>
      <c r="E2115" s="1490"/>
      <c r="F2115" s="1490"/>
      <c r="G2115" s="1490"/>
      <c r="H2115" s="1490"/>
      <c r="I2115" s="1490"/>
      <c r="J2115" s="1490"/>
      <c r="K2115" s="1490"/>
      <c r="L2115" s="1490"/>
      <c r="M2115" s="1490"/>
      <c r="N2115" s="1490"/>
    </row>
    <row r="2117" spans="1:15" ht="14.1" customHeight="1">
      <c r="A2117" s="1488"/>
      <c r="B2117" s="1488"/>
      <c r="C2117" s="1488"/>
      <c r="D2117" s="1488"/>
      <c r="E2117" s="1488"/>
      <c r="F2117" s="1488"/>
      <c r="G2117" s="1488"/>
      <c r="H2117" s="1488"/>
      <c r="I2117" s="1488"/>
      <c r="J2117" s="1488"/>
      <c r="K2117" s="1488"/>
      <c r="L2117" s="1488"/>
      <c r="M2117" s="1488"/>
      <c r="N2117" s="1488"/>
    </row>
    <row r="2119" spans="1:15" ht="14.1" customHeight="1">
      <c r="B2119" s="946" t="s">
        <v>461</v>
      </c>
      <c r="C2119" s="947" t="e">
        <f>+VLOOKUP(O2119,'Planilla de Avance'!$A$10:$M$111,5,FALSE)</f>
        <v>#N/A</v>
      </c>
      <c r="D2119" s="1489" t="e">
        <f>+VLOOKUP(O2119,'Planilla de Avance'!$A$10:$M$111,6,FALSE)</f>
        <v>#N/A</v>
      </c>
      <c r="E2119" s="1489"/>
      <c r="F2119" s="1489"/>
      <c r="G2119" s="1489"/>
      <c r="H2119" s="1489"/>
      <c r="I2119" s="1489"/>
      <c r="J2119" s="1489"/>
      <c r="K2119" s="1489"/>
      <c r="L2119" s="1489"/>
      <c r="M2119" s="1489"/>
      <c r="N2119" s="1489"/>
      <c r="O2119" s="801">
        <v>27</v>
      </c>
    </row>
    <row r="2141" spans="1:14" ht="14.1" customHeight="1" thickBot="1">
      <c r="A2141" s="945"/>
      <c r="B2141" s="945"/>
      <c r="C2141" s="945"/>
      <c r="D2141" s="945"/>
      <c r="E2141" s="945"/>
      <c r="F2141" s="945"/>
      <c r="G2141" s="945"/>
      <c r="H2141" s="945"/>
      <c r="I2141" s="945"/>
      <c r="J2141" s="945"/>
      <c r="K2141" s="945"/>
      <c r="L2141" s="945"/>
      <c r="M2141" s="945"/>
      <c r="N2141" s="945"/>
    </row>
    <row r="2142" spans="1:14" ht="14.1" customHeight="1" thickTop="1" thickBot="1"/>
    <row r="2143" spans="1:14" ht="14.1" customHeight="1" thickTop="1">
      <c r="A2143" s="941"/>
      <c r="B2143" s="941"/>
      <c r="C2143" s="941"/>
      <c r="D2143" s="941"/>
      <c r="E2143" s="941"/>
      <c r="F2143" s="941"/>
      <c r="G2143" s="941"/>
      <c r="H2143" s="941"/>
      <c r="I2143" s="941"/>
      <c r="J2143" s="941"/>
      <c r="K2143" s="941"/>
      <c r="L2143" s="941"/>
      <c r="M2143" s="941"/>
      <c r="N2143" s="941"/>
    </row>
    <row r="2158" spans="2:2" ht="14.1" customHeight="1">
      <c r="B2158" s="943"/>
    </row>
    <row r="2159" spans="2:2" ht="14.1" customHeight="1">
      <c r="B2159" s="943"/>
    </row>
    <row r="2161" spans="1:15" ht="14.1" customHeight="1">
      <c r="A2161" s="1490" t="e">
        <f>+VLOOKUP(O2165,'Planilla de Avance'!$A$10:$M$111,4,FALSE)</f>
        <v>#N/A</v>
      </c>
      <c r="B2161" s="1490"/>
      <c r="C2161" s="1490"/>
      <c r="D2161" s="1490"/>
      <c r="E2161" s="1490"/>
      <c r="F2161" s="1490"/>
      <c r="G2161" s="1490"/>
      <c r="H2161" s="1490"/>
      <c r="I2161" s="1490"/>
      <c r="J2161" s="1490"/>
      <c r="K2161" s="1490"/>
      <c r="L2161" s="1490"/>
      <c r="M2161" s="1490"/>
      <c r="N2161" s="1490"/>
    </row>
    <row r="2163" spans="1:15" ht="14.1" customHeight="1">
      <c r="A2163" s="1488"/>
      <c r="B2163" s="1488"/>
      <c r="C2163" s="1488"/>
      <c r="D2163" s="1488"/>
      <c r="E2163" s="1488"/>
      <c r="F2163" s="1488"/>
      <c r="G2163" s="1488"/>
      <c r="H2163" s="1488"/>
      <c r="I2163" s="1488"/>
      <c r="J2163" s="1488"/>
      <c r="K2163" s="1488"/>
      <c r="L2163" s="1488"/>
      <c r="M2163" s="1488"/>
      <c r="N2163" s="1488"/>
    </row>
    <row r="2165" spans="1:15" ht="14.1" customHeight="1">
      <c r="B2165" s="946" t="s">
        <v>461</v>
      </c>
      <c r="C2165" s="947" t="e">
        <f>+VLOOKUP(O2165,'Planilla de Avance'!$A$10:$M$111,5,FALSE)</f>
        <v>#N/A</v>
      </c>
      <c r="D2165" s="1489" t="e">
        <f>+VLOOKUP(O2165,'Planilla de Avance'!$A$10:$M$111,6,FALSE)</f>
        <v>#N/A</v>
      </c>
      <c r="E2165" s="1489"/>
      <c r="F2165" s="1489"/>
      <c r="G2165" s="1489"/>
      <c r="H2165" s="1489"/>
      <c r="I2165" s="1489"/>
      <c r="J2165" s="1489"/>
      <c r="K2165" s="1489"/>
      <c r="L2165" s="1489"/>
      <c r="M2165" s="1489"/>
      <c r="N2165" s="1489"/>
      <c r="O2165" s="801">
        <v>28</v>
      </c>
    </row>
    <row r="2187" spans="1:14" ht="14.1" customHeight="1" thickBot="1">
      <c r="A2187" s="945"/>
      <c r="B2187" s="945"/>
      <c r="C2187" s="945"/>
      <c r="D2187" s="945"/>
      <c r="E2187" s="945"/>
      <c r="F2187" s="945"/>
      <c r="G2187" s="945"/>
      <c r="H2187" s="945"/>
      <c r="I2187" s="945"/>
      <c r="J2187" s="945"/>
      <c r="K2187" s="945"/>
      <c r="L2187" s="945"/>
      <c r="M2187" s="945"/>
      <c r="N2187" s="945"/>
    </row>
    <row r="2188" spans="1:14" ht="14.1" customHeight="1" thickTop="1"/>
  </sheetData>
  <mergeCells count="104">
    <mergeCell ref="A1933:N1933"/>
    <mergeCell ref="D1935:N1935"/>
    <mergeCell ref="A1977:N1977"/>
    <mergeCell ref="A1979:N1979"/>
    <mergeCell ref="D1981:N1981"/>
    <mergeCell ref="A1931:N1931"/>
    <mergeCell ref="A1749:N1749"/>
    <mergeCell ref="D1751:N1751"/>
    <mergeCell ref="A1793:N1793"/>
    <mergeCell ref="A1795:N1795"/>
    <mergeCell ref="D1797:N1797"/>
    <mergeCell ref="A1839:N1839"/>
    <mergeCell ref="A1841:N1841"/>
    <mergeCell ref="D1843:N1843"/>
    <mergeCell ref="A1885:N1885"/>
    <mergeCell ref="A1887:N1887"/>
    <mergeCell ref="D1889:N1889"/>
    <mergeCell ref="A1747:N1747"/>
    <mergeCell ref="A1565:N1565"/>
    <mergeCell ref="D1567:N1567"/>
    <mergeCell ref="A1609:N1609"/>
    <mergeCell ref="A1611:N1611"/>
    <mergeCell ref="D1613:N1613"/>
    <mergeCell ref="A1655:N1655"/>
    <mergeCell ref="A1657:N1657"/>
    <mergeCell ref="D1659:N1659"/>
    <mergeCell ref="A1701:N1701"/>
    <mergeCell ref="A1703:N1703"/>
    <mergeCell ref="D1705:N1705"/>
    <mergeCell ref="A1563:N1563"/>
    <mergeCell ref="A1381:N1381"/>
    <mergeCell ref="D1383:N1383"/>
    <mergeCell ref="A1425:N1425"/>
    <mergeCell ref="A1427:N1427"/>
    <mergeCell ref="D1429:N1429"/>
    <mergeCell ref="A1471:N1471"/>
    <mergeCell ref="A1473:N1473"/>
    <mergeCell ref="D1475:N1475"/>
    <mergeCell ref="A1517:N1517"/>
    <mergeCell ref="A1519:N1519"/>
    <mergeCell ref="D1521:N1521"/>
    <mergeCell ref="A1379:N1379"/>
    <mergeCell ref="A1197:N1197"/>
    <mergeCell ref="D1199:N1199"/>
    <mergeCell ref="A1241:N1241"/>
    <mergeCell ref="A1243:N1243"/>
    <mergeCell ref="D1245:N1245"/>
    <mergeCell ref="A1287:N1287"/>
    <mergeCell ref="A1289:N1289"/>
    <mergeCell ref="D1291:N1291"/>
    <mergeCell ref="A1333:N1333"/>
    <mergeCell ref="A1335:N1335"/>
    <mergeCell ref="D1337:N1337"/>
    <mergeCell ref="A965:N965"/>
    <mergeCell ref="D923:N923"/>
    <mergeCell ref="A967:N967"/>
    <mergeCell ref="D969:N969"/>
    <mergeCell ref="A1011:N1011"/>
    <mergeCell ref="A1195:N1195"/>
    <mergeCell ref="A1013:N1013"/>
    <mergeCell ref="D1015:N1015"/>
    <mergeCell ref="A1057:N1057"/>
    <mergeCell ref="A1059:N1059"/>
    <mergeCell ref="D1061:N1061"/>
    <mergeCell ref="A1103:N1103"/>
    <mergeCell ref="A1105:N1105"/>
    <mergeCell ref="D1107:N1107"/>
    <mergeCell ref="A1149:N1149"/>
    <mergeCell ref="A1151:N1151"/>
    <mergeCell ref="D1153:N1153"/>
    <mergeCell ref="A20:N20"/>
    <mergeCell ref="A919:N919"/>
    <mergeCell ref="A921:N921"/>
    <mergeCell ref="A245:N245"/>
    <mergeCell ref="A290:N290"/>
    <mergeCell ref="A335:N335"/>
    <mergeCell ref="A380:N380"/>
    <mergeCell ref="A875:N875"/>
    <mergeCell ref="A425:N425"/>
    <mergeCell ref="A470:N470"/>
    <mergeCell ref="A515:N515"/>
    <mergeCell ref="A830:N830"/>
    <mergeCell ref="A65:N65"/>
    <mergeCell ref="A110:N110"/>
    <mergeCell ref="A155:N155"/>
    <mergeCell ref="A200:N200"/>
    <mergeCell ref="A560:N560"/>
    <mergeCell ref="A605:N605"/>
    <mergeCell ref="A650:N650"/>
    <mergeCell ref="A740:N740"/>
    <mergeCell ref="A785:N785"/>
    <mergeCell ref="A695:N695"/>
    <mergeCell ref="A2163:N2163"/>
    <mergeCell ref="D2165:N2165"/>
    <mergeCell ref="D2073:N2073"/>
    <mergeCell ref="A2115:N2115"/>
    <mergeCell ref="A2117:N2117"/>
    <mergeCell ref="D2119:N2119"/>
    <mergeCell ref="A2161:N2161"/>
    <mergeCell ref="A2023:N2023"/>
    <mergeCell ref="A2025:N2025"/>
    <mergeCell ref="D2027:N2027"/>
    <mergeCell ref="A2069:N2069"/>
    <mergeCell ref="A2071:N2071"/>
  </mergeCells>
  <printOptions horizontalCentered="1" verticalCentered="1"/>
  <pageMargins left="0.78740157480314965" right="0.78740157480314965" top="0.78740157480314965" bottom="0.78740157480314965" header="0.98425196850393704" footer="1.1811023622047245"/>
  <pageSetup scale="99" orientation="portrait" horizontalDpi="4294967295" verticalDpi="4294967295" r:id="rId1"/>
  <headerFooter alignWithMargins="0">
    <oddHeader>&amp;C&amp;"Century Gothic,Negrita"&amp;11PROYECTO: CONSTRUCCION Y REHABILITACION TRAMO CARRETERO
VILLA MONTES - LA VERTIENTE - PALO MARCADO</oddHeader>
    <oddFooter>&amp;C&amp;"Century Gothic,Negrita"&amp;12PERIODO: ABRIL 2021</oddFooter>
  </headerFooter>
  <rowBreaks count="43" manualBreakCount="43">
    <brk id="45" max="13" man="1"/>
    <brk id="90" max="13" man="1"/>
    <brk id="135" max="13" man="1"/>
    <brk id="180" max="13" man="1"/>
    <brk id="225" max="13" man="1"/>
    <brk id="270" max="13" man="1"/>
    <brk id="315" max="13" man="1"/>
    <brk id="360" max="13" man="1"/>
    <brk id="405" max="13" man="1"/>
    <brk id="450" max="13" man="1"/>
    <brk id="495" max="13" man="1"/>
    <brk id="540" max="13" man="1"/>
    <brk id="585" max="13" man="1"/>
    <brk id="630" max="13" man="1"/>
    <brk id="720" max="13" man="1"/>
    <brk id="765" max="13" man="1"/>
    <brk id="810" max="13" man="1"/>
    <brk id="855" max="13" man="1"/>
    <brk id="900" max="13" man="1"/>
    <brk id="946" max="13" man="1"/>
    <brk id="992" max="13" man="1"/>
    <brk id="1038" max="13" man="1"/>
    <brk id="1084" max="13" man="1"/>
    <brk id="1130" max="13" man="1"/>
    <brk id="1176" max="13" man="1"/>
    <brk id="1222" max="13" man="1"/>
    <brk id="1268" max="13" man="1"/>
    <brk id="1314" max="13" man="1"/>
    <brk id="1360" max="13" man="1"/>
    <brk id="1406" max="13" man="1"/>
    <brk id="1452" max="13" man="1"/>
    <brk id="1498" max="13" man="1"/>
    <brk id="1544" max="13" man="1"/>
    <brk id="1590" max="13" man="1"/>
    <brk id="1636" max="13" man="1"/>
    <brk id="1682" max="13" man="1"/>
    <brk id="1728" max="13" man="1"/>
    <brk id="1774" max="13" man="1"/>
    <brk id="1820" max="13" man="1"/>
    <brk id="1866" max="13" man="1"/>
    <brk id="1912" max="13" man="1"/>
    <brk id="1958" max="13" man="1"/>
    <brk id="2004" max="1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47"/>
  <sheetViews>
    <sheetView showGridLines="0" view="pageBreakPreview" zoomScale="130" zoomScaleNormal="100" zoomScaleSheetLayoutView="130" workbookViewId="0">
      <selection activeCell="F15" sqref="F15"/>
    </sheetView>
  </sheetViews>
  <sheetFormatPr baseColWidth="10" defaultRowHeight="13.2"/>
  <cols>
    <col min="1" max="1" width="4.44140625" style="827" customWidth="1"/>
    <col min="2" max="2" width="12.88671875" style="827" customWidth="1"/>
    <col min="3" max="3" width="28.33203125" style="827" customWidth="1"/>
    <col min="4" max="4" width="15.5546875" style="827" customWidth="1"/>
    <col min="5" max="5" width="12.5546875" style="827" customWidth="1"/>
    <col min="6" max="6" width="12.6640625" style="827" customWidth="1"/>
    <col min="7" max="7" width="11.33203125" style="827" customWidth="1"/>
    <col min="8" max="12" width="11.44140625" style="827"/>
    <col min="13" max="13" width="0" style="827" hidden="1" customWidth="1"/>
    <col min="14" max="256" width="11.44140625" style="827"/>
    <col min="257" max="257" width="4.44140625" style="827" customWidth="1"/>
    <col min="258" max="258" width="12.88671875" style="827" customWidth="1"/>
    <col min="259" max="259" width="21.109375" style="827" customWidth="1"/>
    <col min="260" max="260" width="21.44140625" style="827" customWidth="1"/>
    <col min="261" max="262" width="11.44140625" style="827"/>
    <col min="263" max="263" width="13.109375" style="827" customWidth="1"/>
    <col min="264" max="512" width="11.44140625" style="827"/>
    <col min="513" max="513" width="4.44140625" style="827" customWidth="1"/>
    <col min="514" max="514" width="12.88671875" style="827" customWidth="1"/>
    <col min="515" max="515" width="21.109375" style="827" customWidth="1"/>
    <col min="516" max="516" width="21.44140625" style="827" customWidth="1"/>
    <col min="517" max="518" width="11.44140625" style="827"/>
    <col min="519" max="519" width="13.109375" style="827" customWidth="1"/>
    <col min="520" max="768" width="11.44140625" style="827"/>
    <col min="769" max="769" width="4.44140625" style="827" customWidth="1"/>
    <col min="770" max="770" width="12.88671875" style="827" customWidth="1"/>
    <col min="771" max="771" width="21.109375" style="827" customWidth="1"/>
    <col min="772" max="772" width="21.44140625" style="827" customWidth="1"/>
    <col min="773" max="774" width="11.44140625" style="827"/>
    <col min="775" max="775" width="13.109375" style="827" customWidth="1"/>
    <col min="776" max="1024" width="11.44140625" style="827"/>
    <col min="1025" max="1025" width="4.44140625" style="827" customWidth="1"/>
    <col min="1026" max="1026" width="12.88671875" style="827" customWidth="1"/>
    <col min="1027" max="1027" width="21.109375" style="827" customWidth="1"/>
    <col min="1028" max="1028" width="21.44140625" style="827" customWidth="1"/>
    <col min="1029" max="1030" width="11.44140625" style="827"/>
    <col min="1031" max="1031" width="13.109375" style="827" customWidth="1"/>
    <col min="1032" max="1280" width="11.44140625" style="827"/>
    <col min="1281" max="1281" width="4.44140625" style="827" customWidth="1"/>
    <col min="1282" max="1282" width="12.88671875" style="827" customWidth="1"/>
    <col min="1283" max="1283" width="21.109375" style="827" customWidth="1"/>
    <col min="1284" max="1284" width="21.44140625" style="827" customWidth="1"/>
    <col min="1285" max="1286" width="11.44140625" style="827"/>
    <col min="1287" max="1287" width="13.109375" style="827" customWidth="1"/>
    <col min="1288" max="1536" width="11.44140625" style="827"/>
    <col min="1537" max="1537" width="4.44140625" style="827" customWidth="1"/>
    <col min="1538" max="1538" width="12.88671875" style="827" customWidth="1"/>
    <col min="1539" max="1539" width="21.109375" style="827" customWidth="1"/>
    <col min="1540" max="1540" width="21.44140625" style="827" customWidth="1"/>
    <col min="1541" max="1542" width="11.44140625" style="827"/>
    <col min="1543" max="1543" width="13.109375" style="827" customWidth="1"/>
    <col min="1544" max="1792" width="11.44140625" style="827"/>
    <col min="1793" max="1793" width="4.44140625" style="827" customWidth="1"/>
    <col min="1794" max="1794" width="12.88671875" style="827" customWidth="1"/>
    <col min="1795" max="1795" width="21.109375" style="827" customWidth="1"/>
    <col min="1796" max="1796" width="21.44140625" style="827" customWidth="1"/>
    <col min="1797" max="1798" width="11.44140625" style="827"/>
    <col min="1799" max="1799" width="13.109375" style="827" customWidth="1"/>
    <col min="1800" max="2048" width="11.44140625" style="827"/>
    <col min="2049" max="2049" width="4.44140625" style="827" customWidth="1"/>
    <col min="2050" max="2050" width="12.88671875" style="827" customWidth="1"/>
    <col min="2051" max="2051" width="21.109375" style="827" customWidth="1"/>
    <col min="2052" max="2052" width="21.44140625" style="827" customWidth="1"/>
    <col min="2053" max="2054" width="11.44140625" style="827"/>
    <col min="2055" max="2055" width="13.109375" style="827" customWidth="1"/>
    <col min="2056" max="2304" width="11.44140625" style="827"/>
    <col min="2305" max="2305" width="4.44140625" style="827" customWidth="1"/>
    <col min="2306" max="2306" width="12.88671875" style="827" customWidth="1"/>
    <col min="2307" max="2307" width="21.109375" style="827" customWidth="1"/>
    <col min="2308" max="2308" width="21.44140625" style="827" customWidth="1"/>
    <col min="2309" max="2310" width="11.44140625" style="827"/>
    <col min="2311" max="2311" width="13.109375" style="827" customWidth="1"/>
    <col min="2312" max="2560" width="11.44140625" style="827"/>
    <col min="2561" max="2561" width="4.44140625" style="827" customWidth="1"/>
    <col min="2562" max="2562" width="12.88671875" style="827" customWidth="1"/>
    <col min="2563" max="2563" width="21.109375" style="827" customWidth="1"/>
    <col min="2564" max="2564" width="21.44140625" style="827" customWidth="1"/>
    <col min="2565" max="2566" width="11.44140625" style="827"/>
    <col min="2567" max="2567" width="13.109375" style="827" customWidth="1"/>
    <col min="2568" max="2816" width="11.44140625" style="827"/>
    <col min="2817" max="2817" width="4.44140625" style="827" customWidth="1"/>
    <col min="2818" max="2818" width="12.88671875" style="827" customWidth="1"/>
    <col min="2819" max="2819" width="21.109375" style="827" customWidth="1"/>
    <col min="2820" max="2820" width="21.44140625" style="827" customWidth="1"/>
    <col min="2821" max="2822" width="11.44140625" style="827"/>
    <col min="2823" max="2823" width="13.109375" style="827" customWidth="1"/>
    <col min="2824" max="3072" width="11.44140625" style="827"/>
    <col min="3073" max="3073" width="4.44140625" style="827" customWidth="1"/>
    <col min="3074" max="3074" width="12.88671875" style="827" customWidth="1"/>
    <col min="3075" max="3075" width="21.109375" style="827" customWidth="1"/>
    <col min="3076" max="3076" width="21.44140625" style="827" customWidth="1"/>
    <col min="3077" max="3078" width="11.44140625" style="827"/>
    <col min="3079" max="3079" width="13.109375" style="827" customWidth="1"/>
    <col min="3080" max="3328" width="11.44140625" style="827"/>
    <col min="3329" max="3329" width="4.44140625" style="827" customWidth="1"/>
    <col min="3330" max="3330" width="12.88671875" style="827" customWidth="1"/>
    <col min="3331" max="3331" width="21.109375" style="827" customWidth="1"/>
    <col min="3332" max="3332" width="21.44140625" style="827" customWidth="1"/>
    <col min="3333" max="3334" width="11.44140625" style="827"/>
    <col min="3335" max="3335" width="13.109375" style="827" customWidth="1"/>
    <col min="3336" max="3584" width="11.44140625" style="827"/>
    <col min="3585" max="3585" width="4.44140625" style="827" customWidth="1"/>
    <col min="3586" max="3586" width="12.88671875" style="827" customWidth="1"/>
    <col min="3587" max="3587" width="21.109375" style="827" customWidth="1"/>
    <col min="3588" max="3588" width="21.44140625" style="827" customWidth="1"/>
    <col min="3589" max="3590" width="11.44140625" style="827"/>
    <col min="3591" max="3591" width="13.109375" style="827" customWidth="1"/>
    <col min="3592" max="3840" width="11.44140625" style="827"/>
    <col min="3841" max="3841" width="4.44140625" style="827" customWidth="1"/>
    <col min="3842" max="3842" width="12.88671875" style="827" customWidth="1"/>
    <col min="3843" max="3843" width="21.109375" style="827" customWidth="1"/>
    <col min="3844" max="3844" width="21.44140625" style="827" customWidth="1"/>
    <col min="3845" max="3846" width="11.44140625" style="827"/>
    <col min="3847" max="3847" width="13.109375" style="827" customWidth="1"/>
    <col min="3848" max="4096" width="11.44140625" style="827"/>
    <col min="4097" max="4097" width="4.44140625" style="827" customWidth="1"/>
    <col min="4098" max="4098" width="12.88671875" style="827" customWidth="1"/>
    <col min="4099" max="4099" width="21.109375" style="827" customWidth="1"/>
    <col min="4100" max="4100" width="21.44140625" style="827" customWidth="1"/>
    <col min="4101" max="4102" width="11.44140625" style="827"/>
    <col min="4103" max="4103" width="13.109375" style="827" customWidth="1"/>
    <col min="4104" max="4352" width="11.44140625" style="827"/>
    <col min="4353" max="4353" width="4.44140625" style="827" customWidth="1"/>
    <col min="4354" max="4354" width="12.88671875" style="827" customWidth="1"/>
    <col min="4355" max="4355" width="21.109375" style="827" customWidth="1"/>
    <col min="4356" max="4356" width="21.44140625" style="827" customWidth="1"/>
    <col min="4357" max="4358" width="11.44140625" style="827"/>
    <col min="4359" max="4359" width="13.109375" style="827" customWidth="1"/>
    <col min="4360" max="4608" width="11.44140625" style="827"/>
    <col min="4609" max="4609" width="4.44140625" style="827" customWidth="1"/>
    <col min="4610" max="4610" width="12.88671875" style="827" customWidth="1"/>
    <col min="4611" max="4611" width="21.109375" style="827" customWidth="1"/>
    <col min="4612" max="4612" width="21.44140625" style="827" customWidth="1"/>
    <col min="4613" max="4614" width="11.44140625" style="827"/>
    <col min="4615" max="4615" width="13.109375" style="827" customWidth="1"/>
    <col min="4616" max="4864" width="11.44140625" style="827"/>
    <col min="4865" max="4865" width="4.44140625" style="827" customWidth="1"/>
    <col min="4866" max="4866" width="12.88671875" style="827" customWidth="1"/>
    <col min="4867" max="4867" width="21.109375" style="827" customWidth="1"/>
    <col min="4868" max="4868" width="21.44140625" style="827" customWidth="1"/>
    <col min="4869" max="4870" width="11.44140625" style="827"/>
    <col min="4871" max="4871" width="13.109375" style="827" customWidth="1"/>
    <col min="4872" max="5120" width="11.44140625" style="827"/>
    <col min="5121" max="5121" width="4.44140625" style="827" customWidth="1"/>
    <col min="5122" max="5122" width="12.88671875" style="827" customWidth="1"/>
    <col min="5123" max="5123" width="21.109375" style="827" customWidth="1"/>
    <col min="5124" max="5124" width="21.44140625" style="827" customWidth="1"/>
    <col min="5125" max="5126" width="11.44140625" style="827"/>
    <col min="5127" max="5127" width="13.109375" style="827" customWidth="1"/>
    <col min="5128" max="5376" width="11.44140625" style="827"/>
    <col min="5377" max="5377" width="4.44140625" style="827" customWidth="1"/>
    <col min="5378" max="5378" width="12.88671875" style="827" customWidth="1"/>
    <col min="5379" max="5379" width="21.109375" style="827" customWidth="1"/>
    <col min="5380" max="5380" width="21.44140625" style="827" customWidth="1"/>
    <col min="5381" max="5382" width="11.44140625" style="827"/>
    <col min="5383" max="5383" width="13.109375" style="827" customWidth="1"/>
    <col min="5384" max="5632" width="11.44140625" style="827"/>
    <col min="5633" max="5633" width="4.44140625" style="827" customWidth="1"/>
    <col min="5634" max="5634" width="12.88671875" style="827" customWidth="1"/>
    <col min="5635" max="5635" width="21.109375" style="827" customWidth="1"/>
    <col min="5636" max="5636" width="21.44140625" style="827" customWidth="1"/>
    <col min="5637" max="5638" width="11.44140625" style="827"/>
    <col min="5639" max="5639" width="13.109375" style="827" customWidth="1"/>
    <col min="5640" max="5888" width="11.44140625" style="827"/>
    <col min="5889" max="5889" width="4.44140625" style="827" customWidth="1"/>
    <col min="5890" max="5890" width="12.88671875" style="827" customWidth="1"/>
    <col min="5891" max="5891" width="21.109375" style="827" customWidth="1"/>
    <col min="5892" max="5892" width="21.44140625" style="827" customWidth="1"/>
    <col min="5893" max="5894" width="11.44140625" style="827"/>
    <col min="5895" max="5895" width="13.109375" style="827" customWidth="1"/>
    <col min="5896" max="6144" width="11.44140625" style="827"/>
    <col min="6145" max="6145" width="4.44140625" style="827" customWidth="1"/>
    <col min="6146" max="6146" width="12.88671875" style="827" customWidth="1"/>
    <col min="6147" max="6147" width="21.109375" style="827" customWidth="1"/>
    <col min="6148" max="6148" width="21.44140625" style="827" customWidth="1"/>
    <col min="6149" max="6150" width="11.44140625" style="827"/>
    <col min="6151" max="6151" width="13.109375" style="827" customWidth="1"/>
    <col min="6152" max="6400" width="11.44140625" style="827"/>
    <col min="6401" max="6401" width="4.44140625" style="827" customWidth="1"/>
    <col min="6402" max="6402" width="12.88671875" style="827" customWidth="1"/>
    <col min="6403" max="6403" width="21.109375" style="827" customWidth="1"/>
    <col min="6404" max="6404" width="21.44140625" style="827" customWidth="1"/>
    <col min="6405" max="6406" width="11.44140625" style="827"/>
    <col min="6407" max="6407" width="13.109375" style="827" customWidth="1"/>
    <col min="6408" max="6656" width="11.44140625" style="827"/>
    <col min="6657" max="6657" width="4.44140625" style="827" customWidth="1"/>
    <col min="6658" max="6658" width="12.88671875" style="827" customWidth="1"/>
    <col min="6659" max="6659" width="21.109375" style="827" customWidth="1"/>
    <col min="6660" max="6660" width="21.44140625" style="827" customWidth="1"/>
    <col min="6661" max="6662" width="11.44140625" style="827"/>
    <col min="6663" max="6663" width="13.109375" style="827" customWidth="1"/>
    <col min="6664" max="6912" width="11.44140625" style="827"/>
    <col min="6913" max="6913" width="4.44140625" style="827" customWidth="1"/>
    <col min="6914" max="6914" width="12.88671875" style="827" customWidth="1"/>
    <col min="6915" max="6915" width="21.109375" style="827" customWidth="1"/>
    <col min="6916" max="6916" width="21.44140625" style="827" customWidth="1"/>
    <col min="6917" max="6918" width="11.44140625" style="827"/>
    <col min="6919" max="6919" width="13.109375" style="827" customWidth="1"/>
    <col min="6920" max="7168" width="11.44140625" style="827"/>
    <col min="7169" max="7169" width="4.44140625" style="827" customWidth="1"/>
    <col min="7170" max="7170" width="12.88671875" style="827" customWidth="1"/>
    <col min="7171" max="7171" width="21.109375" style="827" customWidth="1"/>
    <col min="7172" max="7172" width="21.44140625" style="827" customWidth="1"/>
    <col min="7173" max="7174" width="11.44140625" style="827"/>
    <col min="7175" max="7175" width="13.109375" style="827" customWidth="1"/>
    <col min="7176" max="7424" width="11.44140625" style="827"/>
    <col min="7425" max="7425" width="4.44140625" style="827" customWidth="1"/>
    <col min="7426" max="7426" width="12.88671875" style="827" customWidth="1"/>
    <col min="7427" max="7427" width="21.109375" style="827" customWidth="1"/>
    <col min="7428" max="7428" width="21.44140625" style="827" customWidth="1"/>
    <col min="7429" max="7430" width="11.44140625" style="827"/>
    <col min="7431" max="7431" width="13.109375" style="827" customWidth="1"/>
    <col min="7432" max="7680" width="11.44140625" style="827"/>
    <col min="7681" max="7681" width="4.44140625" style="827" customWidth="1"/>
    <col min="7682" max="7682" width="12.88671875" style="827" customWidth="1"/>
    <col min="7683" max="7683" width="21.109375" style="827" customWidth="1"/>
    <col min="7684" max="7684" width="21.44140625" style="827" customWidth="1"/>
    <col min="7685" max="7686" width="11.44140625" style="827"/>
    <col min="7687" max="7687" width="13.109375" style="827" customWidth="1"/>
    <col min="7688" max="7936" width="11.44140625" style="827"/>
    <col min="7937" max="7937" width="4.44140625" style="827" customWidth="1"/>
    <col min="7938" max="7938" width="12.88671875" style="827" customWidth="1"/>
    <col min="7939" max="7939" width="21.109375" style="827" customWidth="1"/>
    <col min="7940" max="7940" width="21.44140625" style="827" customWidth="1"/>
    <col min="7941" max="7942" width="11.44140625" style="827"/>
    <col min="7943" max="7943" width="13.109375" style="827" customWidth="1"/>
    <col min="7944" max="8192" width="11.44140625" style="827"/>
    <col min="8193" max="8193" width="4.44140625" style="827" customWidth="1"/>
    <col min="8194" max="8194" width="12.88671875" style="827" customWidth="1"/>
    <col min="8195" max="8195" width="21.109375" style="827" customWidth="1"/>
    <col min="8196" max="8196" width="21.44140625" style="827" customWidth="1"/>
    <col min="8197" max="8198" width="11.44140625" style="827"/>
    <col min="8199" max="8199" width="13.109375" style="827" customWidth="1"/>
    <col min="8200" max="8448" width="11.44140625" style="827"/>
    <col min="8449" max="8449" width="4.44140625" style="827" customWidth="1"/>
    <col min="8450" max="8450" width="12.88671875" style="827" customWidth="1"/>
    <col min="8451" max="8451" width="21.109375" style="827" customWidth="1"/>
    <col min="8452" max="8452" width="21.44140625" style="827" customWidth="1"/>
    <col min="8453" max="8454" width="11.44140625" style="827"/>
    <col min="8455" max="8455" width="13.109375" style="827" customWidth="1"/>
    <col min="8456" max="8704" width="11.44140625" style="827"/>
    <col min="8705" max="8705" width="4.44140625" style="827" customWidth="1"/>
    <col min="8706" max="8706" width="12.88671875" style="827" customWidth="1"/>
    <col min="8707" max="8707" width="21.109375" style="827" customWidth="1"/>
    <col min="8708" max="8708" width="21.44140625" style="827" customWidth="1"/>
    <col min="8709" max="8710" width="11.44140625" style="827"/>
    <col min="8711" max="8711" width="13.109375" style="827" customWidth="1"/>
    <col min="8712" max="8960" width="11.44140625" style="827"/>
    <col min="8961" max="8961" width="4.44140625" style="827" customWidth="1"/>
    <col min="8962" max="8962" width="12.88671875" style="827" customWidth="1"/>
    <col min="8963" max="8963" width="21.109375" style="827" customWidth="1"/>
    <col min="8964" max="8964" width="21.44140625" style="827" customWidth="1"/>
    <col min="8965" max="8966" width="11.44140625" style="827"/>
    <col min="8967" max="8967" width="13.109375" style="827" customWidth="1"/>
    <col min="8968" max="9216" width="11.44140625" style="827"/>
    <col min="9217" max="9217" width="4.44140625" style="827" customWidth="1"/>
    <col min="9218" max="9218" width="12.88671875" style="827" customWidth="1"/>
    <col min="9219" max="9219" width="21.109375" style="827" customWidth="1"/>
    <col min="9220" max="9220" width="21.44140625" style="827" customWidth="1"/>
    <col min="9221" max="9222" width="11.44140625" style="827"/>
    <col min="9223" max="9223" width="13.109375" style="827" customWidth="1"/>
    <col min="9224" max="9472" width="11.44140625" style="827"/>
    <col min="9473" max="9473" width="4.44140625" style="827" customWidth="1"/>
    <col min="9474" max="9474" width="12.88671875" style="827" customWidth="1"/>
    <col min="9475" max="9475" width="21.109375" style="827" customWidth="1"/>
    <col min="9476" max="9476" width="21.44140625" style="827" customWidth="1"/>
    <col min="9477" max="9478" width="11.44140625" style="827"/>
    <col min="9479" max="9479" width="13.109375" style="827" customWidth="1"/>
    <col min="9480" max="9728" width="11.44140625" style="827"/>
    <col min="9729" max="9729" width="4.44140625" style="827" customWidth="1"/>
    <col min="9730" max="9730" width="12.88671875" style="827" customWidth="1"/>
    <col min="9731" max="9731" width="21.109375" style="827" customWidth="1"/>
    <col min="9732" max="9732" width="21.44140625" style="827" customWidth="1"/>
    <col min="9733" max="9734" width="11.44140625" style="827"/>
    <col min="9735" max="9735" width="13.109375" style="827" customWidth="1"/>
    <col min="9736" max="9984" width="11.44140625" style="827"/>
    <col min="9985" max="9985" width="4.44140625" style="827" customWidth="1"/>
    <col min="9986" max="9986" width="12.88671875" style="827" customWidth="1"/>
    <col min="9987" max="9987" width="21.109375" style="827" customWidth="1"/>
    <col min="9988" max="9988" width="21.44140625" style="827" customWidth="1"/>
    <col min="9989" max="9990" width="11.44140625" style="827"/>
    <col min="9991" max="9991" width="13.109375" style="827" customWidth="1"/>
    <col min="9992" max="10240" width="11.44140625" style="827"/>
    <col min="10241" max="10241" width="4.44140625" style="827" customWidth="1"/>
    <col min="10242" max="10242" width="12.88671875" style="827" customWidth="1"/>
    <col min="10243" max="10243" width="21.109375" style="827" customWidth="1"/>
    <col min="10244" max="10244" width="21.44140625" style="827" customWidth="1"/>
    <col min="10245" max="10246" width="11.44140625" style="827"/>
    <col min="10247" max="10247" width="13.109375" style="827" customWidth="1"/>
    <col min="10248" max="10496" width="11.44140625" style="827"/>
    <col min="10497" max="10497" width="4.44140625" style="827" customWidth="1"/>
    <col min="10498" max="10498" width="12.88671875" style="827" customWidth="1"/>
    <col min="10499" max="10499" width="21.109375" style="827" customWidth="1"/>
    <col min="10500" max="10500" width="21.44140625" style="827" customWidth="1"/>
    <col min="10501" max="10502" width="11.44140625" style="827"/>
    <col min="10503" max="10503" width="13.109375" style="827" customWidth="1"/>
    <col min="10504" max="10752" width="11.44140625" style="827"/>
    <col min="10753" max="10753" width="4.44140625" style="827" customWidth="1"/>
    <col min="10754" max="10754" width="12.88671875" style="827" customWidth="1"/>
    <col min="10755" max="10755" width="21.109375" style="827" customWidth="1"/>
    <col min="10756" max="10756" width="21.44140625" style="827" customWidth="1"/>
    <col min="10757" max="10758" width="11.44140625" style="827"/>
    <col min="10759" max="10759" width="13.109375" style="827" customWidth="1"/>
    <col min="10760" max="11008" width="11.44140625" style="827"/>
    <col min="11009" max="11009" width="4.44140625" style="827" customWidth="1"/>
    <col min="11010" max="11010" width="12.88671875" style="827" customWidth="1"/>
    <col min="11011" max="11011" width="21.109375" style="827" customWidth="1"/>
    <col min="11012" max="11012" width="21.44140625" style="827" customWidth="1"/>
    <col min="11013" max="11014" width="11.44140625" style="827"/>
    <col min="11015" max="11015" width="13.109375" style="827" customWidth="1"/>
    <col min="11016" max="11264" width="11.44140625" style="827"/>
    <col min="11265" max="11265" width="4.44140625" style="827" customWidth="1"/>
    <col min="11266" max="11266" width="12.88671875" style="827" customWidth="1"/>
    <col min="11267" max="11267" width="21.109375" style="827" customWidth="1"/>
    <col min="11268" max="11268" width="21.44140625" style="827" customWidth="1"/>
    <col min="11269" max="11270" width="11.44140625" style="827"/>
    <col min="11271" max="11271" width="13.109375" style="827" customWidth="1"/>
    <col min="11272" max="11520" width="11.44140625" style="827"/>
    <col min="11521" max="11521" width="4.44140625" style="827" customWidth="1"/>
    <col min="11522" max="11522" width="12.88671875" style="827" customWidth="1"/>
    <col min="11523" max="11523" width="21.109375" style="827" customWidth="1"/>
    <col min="11524" max="11524" width="21.44140625" style="827" customWidth="1"/>
    <col min="11525" max="11526" width="11.44140625" style="827"/>
    <col min="11527" max="11527" width="13.109375" style="827" customWidth="1"/>
    <col min="11528" max="11776" width="11.44140625" style="827"/>
    <col min="11777" max="11777" width="4.44140625" style="827" customWidth="1"/>
    <col min="11778" max="11778" width="12.88671875" style="827" customWidth="1"/>
    <col min="11779" max="11779" width="21.109375" style="827" customWidth="1"/>
    <col min="11780" max="11780" width="21.44140625" style="827" customWidth="1"/>
    <col min="11781" max="11782" width="11.44140625" style="827"/>
    <col min="11783" max="11783" width="13.109375" style="827" customWidth="1"/>
    <col min="11784" max="12032" width="11.44140625" style="827"/>
    <col min="12033" max="12033" width="4.44140625" style="827" customWidth="1"/>
    <col min="12034" max="12034" width="12.88671875" style="827" customWidth="1"/>
    <col min="12035" max="12035" width="21.109375" style="827" customWidth="1"/>
    <col min="12036" max="12036" width="21.44140625" style="827" customWidth="1"/>
    <col min="12037" max="12038" width="11.44140625" style="827"/>
    <col min="12039" max="12039" width="13.109375" style="827" customWidth="1"/>
    <col min="12040" max="12288" width="11.44140625" style="827"/>
    <col min="12289" max="12289" width="4.44140625" style="827" customWidth="1"/>
    <col min="12290" max="12290" width="12.88671875" style="827" customWidth="1"/>
    <col min="12291" max="12291" width="21.109375" style="827" customWidth="1"/>
    <col min="12292" max="12292" width="21.44140625" style="827" customWidth="1"/>
    <col min="12293" max="12294" width="11.44140625" style="827"/>
    <col min="12295" max="12295" width="13.109375" style="827" customWidth="1"/>
    <col min="12296" max="12544" width="11.44140625" style="827"/>
    <col min="12545" max="12545" width="4.44140625" style="827" customWidth="1"/>
    <col min="12546" max="12546" width="12.88671875" style="827" customWidth="1"/>
    <col min="12547" max="12547" width="21.109375" style="827" customWidth="1"/>
    <col min="12548" max="12548" width="21.44140625" style="827" customWidth="1"/>
    <col min="12549" max="12550" width="11.44140625" style="827"/>
    <col min="12551" max="12551" width="13.109375" style="827" customWidth="1"/>
    <col min="12552" max="12800" width="11.44140625" style="827"/>
    <col min="12801" max="12801" width="4.44140625" style="827" customWidth="1"/>
    <col min="12802" max="12802" width="12.88671875" style="827" customWidth="1"/>
    <col min="12803" max="12803" width="21.109375" style="827" customWidth="1"/>
    <col min="12804" max="12804" width="21.44140625" style="827" customWidth="1"/>
    <col min="12805" max="12806" width="11.44140625" style="827"/>
    <col min="12807" max="12807" width="13.109375" style="827" customWidth="1"/>
    <col min="12808" max="13056" width="11.44140625" style="827"/>
    <col min="13057" max="13057" width="4.44140625" style="827" customWidth="1"/>
    <col min="13058" max="13058" width="12.88671875" style="827" customWidth="1"/>
    <col min="13059" max="13059" width="21.109375" style="827" customWidth="1"/>
    <col min="13060" max="13060" width="21.44140625" style="827" customWidth="1"/>
    <col min="13061" max="13062" width="11.44140625" style="827"/>
    <col min="13063" max="13063" width="13.109375" style="827" customWidth="1"/>
    <col min="13064" max="13312" width="11.44140625" style="827"/>
    <col min="13313" max="13313" width="4.44140625" style="827" customWidth="1"/>
    <col min="13314" max="13314" width="12.88671875" style="827" customWidth="1"/>
    <col min="13315" max="13315" width="21.109375" style="827" customWidth="1"/>
    <col min="13316" max="13316" width="21.44140625" style="827" customWidth="1"/>
    <col min="13317" max="13318" width="11.44140625" style="827"/>
    <col min="13319" max="13319" width="13.109375" style="827" customWidth="1"/>
    <col min="13320" max="13568" width="11.44140625" style="827"/>
    <col min="13569" max="13569" width="4.44140625" style="827" customWidth="1"/>
    <col min="13570" max="13570" width="12.88671875" style="827" customWidth="1"/>
    <col min="13571" max="13571" width="21.109375" style="827" customWidth="1"/>
    <col min="13572" max="13572" width="21.44140625" style="827" customWidth="1"/>
    <col min="13573" max="13574" width="11.44140625" style="827"/>
    <col min="13575" max="13575" width="13.109375" style="827" customWidth="1"/>
    <col min="13576" max="13824" width="11.44140625" style="827"/>
    <col min="13825" max="13825" width="4.44140625" style="827" customWidth="1"/>
    <col min="13826" max="13826" width="12.88671875" style="827" customWidth="1"/>
    <col min="13827" max="13827" width="21.109375" style="827" customWidth="1"/>
    <col min="13828" max="13828" width="21.44140625" style="827" customWidth="1"/>
    <col min="13829" max="13830" width="11.44140625" style="827"/>
    <col min="13831" max="13831" width="13.109375" style="827" customWidth="1"/>
    <col min="13832" max="14080" width="11.44140625" style="827"/>
    <col min="14081" max="14081" width="4.44140625" style="827" customWidth="1"/>
    <col min="14082" max="14082" width="12.88671875" style="827" customWidth="1"/>
    <col min="14083" max="14083" width="21.109375" style="827" customWidth="1"/>
    <col min="14084" max="14084" width="21.44140625" style="827" customWidth="1"/>
    <col min="14085" max="14086" width="11.44140625" style="827"/>
    <col min="14087" max="14087" width="13.109375" style="827" customWidth="1"/>
    <col min="14088" max="14336" width="11.44140625" style="827"/>
    <col min="14337" max="14337" width="4.44140625" style="827" customWidth="1"/>
    <col min="14338" max="14338" width="12.88671875" style="827" customWidth="1"/>
    <col min="14339" max="14339" width="21.109375" style="827" customWidth="1"/>
    <col min="14340" max="14340" width="21.44140625" style="827" customWidth="1"/>
    <col min="14341" max="14342" width="11.44140625" style="827"/>
    <col min="14343" max="14343" width="13.109375" style="827" customWidth="1"/>
    <col min="14344" max="14592" width="11.44140625" style="827"/>
    <col min="14593" max="14593" width="4.44140625" style="827" customWidth="1"/>
    <col min="14594" max="14594" width="12.88671875" style="827" customWidth="1"/>
    <col min="14595" max="14595" width="21.109375" style="827" customWidth="1"/>
    <col min="14596" max="14596" width="21.44140625" style="827" customWidth="1"/>
    <col min="14597" max="14598" width="11.44140625" style="827"/>
    <col min="14599" max="14599" width="13.109375" style="827" customWidth="1"/>
    <col min="14600" max="14848" width="11.44140625" style="827"/>
    <col min="14849" max="14849" width="4.44140625" style="827" customWidth="1"/>
    <col min="14850" max="14850" width="12.88671875" style="827" customWidth="1"/>
    <col min="14851" max="14851" width="21.109375" style="827" customWidth="1"/>
    <col min="14852" max="14852" width="21.44140625" style="827" customWidth="1"/>
    <col min="14853" max="14854" width="11.44140625" style="827"/>
    <col min="14855" max="14855" width="13.109375" style="827" customWidth="1"/>
    <col min="14856" max="15104" width="11.44140625" style="827"/>
    <col min="15105" max="15105" width="4.44140625" style="827" customWidth="1"/>
    <col min="15106" max="15106" width="12.88671875" style="827" customWidth="1"/>
    <col min="15107" max="15107" width="21.109375" style="827" customWidth="1"/>
    <col min="15108" max="15108" width="21.44140625" style="827" customWidth="1"/>
    <col min="15109" max="15110" width="11.44140625" style="827"/>
    <col min="15111" max="15111" width="13.109375" style="827" customWidth="1"/>
    <col min="15112" max="15360" width="11.44140625" style="827"/>
    <col min="15361" max="15361" width="4.44140625" style="827" customWidth="1"/>
    <col min="15362" max="15362" width="12.88671875" style="827" customWidth="1"/>
    <col min="15363" max="15363" width="21.109375" style="827" customWidth="1"/>
    <col min="15364" max="15364" width="21.44140625" style="827" customWidth="1"/>
    <col min="15365" max="15366" width="11.44140625" style="827"/>
    <col min="15367" max="15367" width="13.109375" style="827" customWidth="1"/>
    <col min="15368" max="15616" width="11.44140625" style="827"/>
    <col min="15617" max="15617" width="4.44140625" style="827" customWidth="1"/>
    <col min="15618" max="15618" width="12.88671875" style="827" customWidth="1"/>
    <col min="15619" max="15619" width="21.109375" style="827" customWidth="1"/>
    <col min="15620" max="15620" width="21.44140625" style="827" customWidth="1"/>
    <col min="15621" max="15622" width="11.44140625" style="827"/>
    <col min="15623" max="15623" width="13.109375" style="827" customWidth="1"/>
    <col min="15624" max="15872" width="11.44140625" style="827"/>
    <col min="15873" max="15873" width="4.44140625" style="827" customWidth="1"/>
    <col min="15874" max="15874" width="12.88671875" style="827" customWidth="1"/>
    <col min="15875" max="15875" width="21.109375" style="827" customWidth="1"/>
    <col min="15876" max="15876" width="21.44140625" style="827" customWidth="1"/>
    <col min="15877" max="15878" width="11.44140625" style="827"/>
    <col min="15879" max="15879" width="13.109375" style="827" customWidth="1"/>
    <col min="15880" max="16128" width="11.44140625" style="827"/>
    <col min="16129" max="16129" width="4.44140625" style="827" customWidth="1"/>
    <col min="16130" max="16130" width="12.88671875" style="827" customWidth="1"/>
    <col min="16131" max="16131" width="21.109375" style="827" customWidth="1"/>
    <col min="16132" max="16132" width="21.44140625" style="827" customWidth="1"/>
    <col min="16133" max="16134" width="11.44140625" style="827"/>
    <col min="16135" max="16135" width="13.109375" style="827" customWidth="1"/>
    <col min="16136" max="16384" width="11.44140625" style="827"/>
  </cols>
  <sheetData>
    <row r="1" spans="1:13" ht="18.75" customHeight="1">
      <c r="A1" s="1498" t="s">
        <v>664</v>
      </c>
      <c r="B1" s="1499"/>
      <c r="C1" s="1499"/>
      <c r="D1" s="1499"/>
      <c r="E1" s="1499"/>
      <c r="F1" s="1499"/>
      <c r="G1" s="1500"/>
      <c r="L1" s="828"/>
    </row>
    <row r="2" spans="1:13" s="829" customFormat="1">
      <c r="A2" s="1501" t="s">
        <v>464</v>
      </c>
      <c r="B2" s="1502"/>
      <c r="C2" s="1502"/>
      <c r="D2" s="1502"/>
      <c r="E2" s="1502"/>
      <c r="F2" s="1502"/>
      <c r="G2" s="1503"/>
    </row>
    <row r="3" spans="1:13" s="829" customFormat="1" ht="15" customHeight="1">
      <c r="A3" s="830"/>
      <c r="B3" s="831"/>
      <c r="C3" s="1504" t="str">
        <f>"Contrato"&amp;" "&amp;Datos!B4</f>
        <v>Contrato ABC N° 818/19 GNT-SCT-OBR-TGN</v>
      </c>
      <c r="D3" s="1504"/>
      <c r="E3" s="1504"/>
      <c r="F3" s="831"/>
      <c r="G3" s="832" t="s">
        <v>465</v>
      </c>
    </row>
    <row r="4" spans="1:13" s="829" customFormat="1" ht="15.9" customHeight="1">
      <c r="A4" s="833"/>
      <c r="B4" s="834"/>
      <c r="C4" s="834"/>
      <c r="D4" s="834"/>
      <c r="E4" s="834"/>
      <c r="F4" s="834"/>
      <c r="G4" s="835"/>
      <c r="I4" s="856"/>
    </row>
    <row r="5" spans="1:13" s="829" customFormat="1" ht="15.9" customHeight="1">
      <c r="A5" s="1505" t="s">
        <v>466</v>
      </c>
      <c r="B5" s="1506"/>
      <c r="C5" s="1507" t="str">
        <f>+Datos!B3</f>
        <v>CONSTRUCCION Y REHABILITACION TRAMO CARRETERO VILLA MONTES - LA VERTIENTE - PALO MARCADO</v>
      </c>
      <c r="D5" s="1507"/>
      <c r="E5" s="1507"/>
      <c r="F5" s="1507"/>
      <c r="G5" s="1508"/>
    </row>
    <row r="6" spans="1:13" s="829" customFormat="1" ht="15.9" customHeight="1">
      <c r="A6" s="1509">
        <f>+Datos!C20</f>
        <v>6</v>
      </c>
      <c r="B6" s="1510"/>
      <c r="C6" s="1510"/>
      <c r="D6" s="1332" t="s">
        <v>467</v>
      </c>
      <c r="E6" s="1511" t="str">
        <f>+Datos!C24</f>
        <v>ABRIL 2021</v>
      </c>
      <c r="F6" s="1512"/>
      <c r="G6" s="1513"/>
      <c r="H6" s="856"/>
    </row>
    <row r="7" spans="1:13" s="829" customFormat="1" ht="15.9" customHeight="1">
      <c r="A7" s="1220" t="s">
        <v>701</v>
      </c>
      <c r="B7" s="1221"/>
      <c r="C7" s="1221"/>
      <c r="D7" s="919"/>
      <c r="E7" s="1222"/>
      <c r="F7" s="1223"/>
      <c r="G7" s="1224"/>
      <c r="H7" s="856"/>
    </row>
    <row r="8" spans="1:13" s="829" customFormat="1" ht="6.75" customHeight="1" thickBot="1">
      <c r="A8" s="836"/>
      <c r="B8" s="837"/>
      <c r="C8" s="837"/>
      <c r="D8" s="837"/>
      <c r="E8" s="837"/>
      <c r="F8" s="837"/>
      <c r="G8" s="838"/>
      <c r="J8" s="839"/>
    </row>
    <row r="9" spans="1:13" s="829" customFormat="1" ht="39" customHeight="1">
      <c r="A9" s="1333" t="s">
        <v>667</v>
      </c>
      <c r="B9" s="840"/>
      <c r="C9" s="840"/>
      <c r="D9" s="840"/>
      <c r="E9" s="840"/>
      <c r="F9" s="840"/>
      <c r="G9" s="1295"/>
      <c r="J9" s="839"/>
    </row>
    <row r="10" spans="1:13" s="829" customFormat="1" ht="26.25" customHeight="1">
      <c r="A10" s="1317" t="s">
        <v>422</v>
      </c>
      <c r="B10" s="920"/>
      <c r="C10" s="1496" t="str">
        <f>+Datos!B10</f>
        <v>Ing. Franz Reynaldo Salazar Martinez</v>
      </c>
      <c r="D10" s="1496"/>
      <c r="E10" s="1496"/>
      <c r="F10" s="1497"/>
      <c r="G10" s="841"/>
      <c r="J10" s="839"/>
    </row>
    <row r="11" spans="1:13" s="844" customFormat="1" ht="26.25" customHeight="1">
      <c r="A11" s="1317" t="s">
        <v>157</v>
      </c>
      <c r="B11" s="921"/>
      <c r="C11" s="1496" t="str">
        <f>+Datos!B7</f>
        <v>Ing. Herlan Rene Ramos Estrada</v>
      </c>
      <c r="D11" s="1496"/>
      <c r="E11" s="1496"/>
      <c r="F11" s="1497"/>
      <c r="G11" s="842"/>
      <c r="H11" s="843"/>
      <c r="I11" s="843"/>
      <c r="J11" s="843"/>
      <c r="K11" s="843"/>
      <c r="L11" s="843"/>
      <c r="M11" s="843"/>
    </row>
    <row r="12" spans="1:13" s="829" customFormat="1" ht="37.5" customHeight="1" thickBot="1">
      <c r="A12" s="1318" t="s">
        <v>468</v>
      </c>
      <c r="B12" s="1319"/>
      <c r="C12" s="1517" t="s">
        <v>438</v>
      </c>
      <c r="D12" s="1517"/>
      <c r="E12" s="1517"/>
      <c r="F12" s="1518"/>
      <c r="G12" s="845"/>
    </row>
    <row r="13" spans="1:13" ht="6.75" customHeight="1" thickBot="1">
      <c r="A13" s="846"/>
      <c r="B13" s="846"/>
      <c r="C13" s="846"/>
      <c r="D13" s="846"/>
      <c r="E13" s="846"/>
      <c r="F13" s="846"/>
      <c r="G13" s="846"/>
    </row>
    <row r="14" spans="1:13" ht="15" customHeight="1">
      <c r="A14" s="1519" t="s">
        <v>469</v>
      </c>
      <c r="B14" s="1521" t="s">
        <v>470</v>
      </c>
      <c r="C14" s="1521" t="s">
        <v>471</v>
      </c>
      <c r="D14" s="1521" t="s">
        <v>472</v>
      </c>
      <c r="E14" s="1523" t="s">
        <v>473</v>
      </c>
      <c r="F14" s="1523"/>
      <c r="G14" s="1530" t="s">
        <v>474</v>
      </c>
    </row>
    <row r="15" spans="1:13" ht="15" customHeight="1">
      <c r="A15" s="1520"/>
      <c r="B15" s="1522"/>
      <c r="C15" s="1522"/>
      <c r="D15" s="1522"/>
      <c r="E15" s="847" t="s">
        <v>475</v>
      </c>
      <c r="F15" s="847" t="s">
        <v>476</v>
      </c>
      <c r="G15" s="1531"/>
    </row>
    <row r="16" spans="1:13" ht="15" customHeight="1">
      <c r="A16" s="1524">
        <v>1</v>
      </c>
      <c r="B16" s="1527" t="s">
        <v>241</v>
      </c>
      <c r="C16" s="1527" t="str">
        <f>+Datos!D15</f>
        <v>Ing. Gabriel Daza Chavez        SUPERINTENDENTE DE OBRA</v>
      </c>
      <c r="D16" s="1514"/>
      <c r="E16" s="848"/>
      <c r="F16" s="848"/>
      <c r="G16" s="849"/>
    </row>
    <row r="17" spans="1:10" ht="15" customHeight="1">
      <c r="A17" s="1525"/>
      <c r="B17" s="1528"/>
      <c r="C17" s="1528"/>
      <c r="D17" s="1515"/>
      <c r="E17" s="850"/>
      <c r="F17" s="850"/>
      <c r="G17" s="851"/>
    </row>
    <row r="18" spans="1:10" ht="15" customHeight="1">
      <c r="A18" s="1525"/>
      <c r="B18" s="1528"/>
      <c r="C18" s="1528"/>
      <c r="D18" s="1515"/>
      <c r="E18" s="850"/>
      <c r="F18" s="850"/>
      <c r="G18" s="851"/>
    </row>
    <row r="19" spans="1:10" ht="15" customHeight="1">
      <c r="A19" s="1526"/>
      <c r="B19" s="1529"/>
      <c r="C19" s="1529"/>
      <c r="D19" s="1516"/>
      <c r="E19" s="852"/>
      <c r="F19" s="852"/>
      <c r="G19" s="853"/>
    </row>
    <row r="20" spans="1:10" ht="15" customHeight="1">
      <c r="A20" s="1524">
        <v>2</v>
      </c>
      <c r="B20" s="1527" t="s">
        <v>477</v>
      </c>
      <c r="C20" s="1527" t="str">
        <f>+Datos!D7&amp;"                        "&amp;Datos!B9</f>
        <v>Ing. Herlan Rene Ramos Estrada        SUPERVISOR DE OBRA                        ABC - REGIONAL TARIJA</v>
      </c>
      <c r="D20" s="1514"/>
      <c r="E20" s="848"/>
      <c r="F20" s="848"/>
      <c r="G20" s="849"/>
    </row>
    <row r="21" spans="1:10" ht="15" customHeight="1">
      <c r="A21" s="1525"/>
      <c r="B21" s="1528"/>
      <c r="C21" s="1528"/>
      <c r="D21" s="1515"/>
      <c r="E21" s="850"/>
      <c r="F21" s="850"/>
      <c r="G21" s="851"/>
    </row>
    <row r="22" spans="1:10" ht="15" customHeight="1">
      <c r="A22" s="1525"/>
      <c r="B22" s="1528"/>
      <c r="C22" s="1528"/>
      <c r="D22" s="1515"/>
      <c r="E22" s="850"/>
      <c r="F22" s="850"/>
      <c r="G22" s="851"/>
    </row>
    <row r="23" spans="1:10" ht="15" customHeight="1">
      <c r="A23" s="1526"/>
      <c r="B23" s="1529"/>
      <c r="C23" s="1529"/>
      <c r="D23" s="1516"/>
      <c r="E23" s="852"/>
      <c r="F23" s="852"/>
      <c r="G23" s="853"/>
    </row>
    <row r="24" spans="1:10" ht="15" customHeight="1">
      <c r="A24" s="1524">
        <v>3</v>
      </c>
      <c r="B24" s="1527" t="s">
        <v>478</v>
      </c>
      <c r="C24" s="1527" t="str">
        <f>+Datos!D10&amp;"  
"&amp;Datos!B12</f>
        <v>Ing. Franz Reynaldo Salazar Martinez                     FISCAL DE OBRA  
ABC - REGIONAL TARIJA</v>
      </c>
      <c r="D24" s="1514"/>
      <c r="E24" s="848"/>
      <c r="F24" s="848"/>
      <c r="G24" s="849"/>
    </row>
    <row r="25" spans="1:10" ht="15" customHeight="1">
      <c r="A25" s="1525"/>
      <c r="B25" s="1528"/>
      <c r="C25" s="1528"/>
      <c r="D25" s="1515"/>
      <c r="E25" s="850"/>
      <c r="F25" s="850"/>
      <c r="G25" s="851"/>
    </row>
    <row r="26" spans="1:10" ht="15" customHeight="1">
      <c r="A26" s="1525"/>
      <c r="B26" s="1528"/>
      <c r="C26" s="1528"/>
      <c r="D26" s="1515"/>
      <c r="E26" s="850"/>
      <c r="F26" s="850"/>
      <c r="G26" s="851"/>
    </row>
    <row r="27" spans="1:10" ht="15" customHeight="1">
      <c r="A27" s="1526"/>
      <c r="B27" s="1529"/>
      <c r="C27" s="1529"/>
      <c r="D27" s="1516"/>
      <c r="E27" s="852"/>
      <c r="F27" s="852" t="s">
        <v>479</v>
      </c>
      <c r="G27" s="853"/>
    </row>
    <row r="28" spans="1:10" ht="15" customHeight="1">
      <c r="A28" s="1524">
        <v>4</v>
      </c>
      <c r="B28" s="1527" t="s">
        <v>480</v>
      </c>
      <c r="C28" s="1527" t="s">
        <v>687</v>
      </c>
      <c r="D28" s="1514"/>
      <c r="E28" s="848"/>
      <c r="F28" s="848"/>
      <c r="G28" s="849"/>
      <c r="J28" s="827" t="s">
        <v>479</v>
      </c>
    </row>
    <row r="29" spans="1:10" ht="15" customHeight="1">
      <c r="A29" s="1525"/>
      <c r="B29" s="1528"/>
      <c r="C29" s="1528"/>
      <c r="D29" s="1515"/>
      <c r="E29" s="850"/>
      <c r="F29" s="850"/>
      <c r="G29" s="851"/>
    </row>
    <row r="30" spans="1:10" ht="15" customHeight="1">
      <c r="A30" s="1525"/>
      <c r="B30" s="1528"/>
      <c r="C30" s="1528"/>
      <c r="D30" s="1515"/>
      <c r="E30" s="850"/>
      <c r="F30" s="850"/>
      <c r="G30" s="851"/>
    </row>
    <row r="31" spans="1:10" ht="15" customHeight="1">
      <c r="A31" s="1526"/>
      <c r="B31" s="1529"/>
      <c r="C31" s="1529"/>
      <c r="D31" s="1516"/>
      <c r="E31" s="852"/>
      <c r="F31" s="852"/>
      <c r="G31" s="853"/>
    </row>
    <row r="32" spans="1:10" ht="15" customHeight="1">
      <c r="A32" s="1524">
        <v>5</v>
      </c>
      <c r="B32" s="1527"/>
      <c r="C32" s="1527"/>
      <c r="D32" s="1514"/>
      <c r="E32" s="848"/>
      <c r="F32" s="848"/>
      <c r="G32" s="849"/>
    </row>
    <row r="33" spans="1:7" ht="15" customHeight="1">
      <c r="A33" s="1525"/>
      <c r="B33" s="1528"/>
      <c r="C33" s="1528"/>
      <c r="D33" s="1515"/>
      <c r="E33" s="850"/>
      <c r="F33" s="850"/>
      <c r="G33" s="851"/>
    </row>
    <row r="34" spans="1:7" ht="15" customHeight="1">
      <c r="A34" s="1525"/>
      <c r="B34" s="1528"/>
      <c r="C34" s="1528"/>
      <c r="D34" s="1515"/>
      <c r="E34" s="850"/>
      <c r="F34" s="850"/>
      <c r="G34" s="851"/>
    </row>
    <row r="35" spans="1:7" ht="15" customHeight="1">
      <c r="A35" s="1526"/>
      <c r="B35" s="1529"/>
      <c r="C35" s="1529"/>
      <c r="D35" s="1516"/>
      <c r="E35" s="852"/>
      <c r="F35" s="852"/>
      <c r="G35" s="853"/>
    </row>
    <row r="36" spans="1:7" ht="15" customHeight="1">
      <c r="A36" s="1524">
        <v>6</v>
      </c>
      <c r="B36" s="1527"/>
      <c r="C36" s="1527"/>
      <c r="D36" s="1514"/>
      <c r="E36" s="848"/>
      <c r="F36" s="848"/>
      <c r="G36" s="849"/>
    </row>
    <row r="37" spans="1:7" ht="15" customHeight="1">
      <c r="A37" s="1525"/>
      <c r="B37" s="1528"/>
      <c r="C37" s="1528"/>
      <c r="D37" s="1515"/>
      <c r="E37" s="850"/>
      <c r="F37" s="850"/>
      <c r="G37" s="851"/>
    </row>
    <row r="38" spans="1:7" ht="15" customHeight="1">
      <c r="A38" s="1525"/>
      <c r="B38" s="1528"/>
      <c r="C38" s="1528"/>
      <c r="D38" s="1515"/>
      <c r="E38" s="850"/>
      <c r="F38" s="850"/>
      <c r="G38" s="851"/>
    </row>
    <row r="39" spans="1:7" ht="15" customHeight="1">
      <c r="A39" s="1526"/>
      <c r="B39" s="1529"/>
      <c r="C39" s="1529"/>
      <c r="D39" s="1516"/>
      <c r="E39" s="852"/>
      <c r="F39" s="852"/>
      <c r="G39" s="853"/>
    </row>
    <row r="40" spans="1:7" ht="15" customHeight="1">
      <c r="A40" s="1524">
        <v>7</v>
      </c>
      <c r="B40" s="1527"/>
      <c r="C40" s="1527"/>
      <c r="D40" s="1514"/>
      <c r="E40" s="848"/>
      <c r="F40" s="848"/>
      <c r="G40" s="849"/>
    </row>
    <row r="41" spans="1:7" ht="15" customHeight="1">
      <c r="A41" s="1525"/>
      <c r="B41" s="1528"/>
      <c r="C41" s="1528"/>
      <c r="D41" s="1515"/>
      <c r="E41" s="850"/>
      <c r="F41" s="850"/>
      <c r="G41" s="851"/>
    </row>
    <row r="42" spans="1:7" ht="15" customHeight="1">
      <c r="A42" s="1525"/>
      <c r="B42" s="1528"/>
      <c r="C42" s="1528"/>
      <c r="D42" s="1515"/>
      <c r="E42" s="850"/>
      <c r="F42" s="850"/>
      <c r="G42" s="851"/>
    </row>
    <row r="43" spans="1:7" ht="15" customHeight="1">
      <c r="A43" s="1526"/>
      <c r="B43" s="1529"/>
      <c r="C43" s="1529"/>
      <c r="D43" s="1516"/>
      <c r="E43" s="852"/>
      <c r="F43" s="852"/>
      <c r="G43" s="853"/>
    </row>
    <row r="44" spans="1:7" ht="15" customHeight="1">
      <c r="A44" s="1524">
        <v>8</v>
      </c>
      <c r="B44" s="1527"/>
      <c r="C44" s="1527"/>
      <c r="D44" s="1514"/>
      <c r="E44" s="848"/>
      <c r="F44" s="848"/>
      <c r="G44" s="849"/>
    </row>
    <row r="45" spans="1:7" ht="15" customHeight="1">
      <c r="A45" s="1525"/>
      <c r="B45" s="1528"/>
      <c r="C45" s="1528"/>
      <c r="D45" s="1515"/>
      <c r="E45" s="850"/>
      <c r="F45" s="850"/>
      <c r="G45" s="851"/>
    </row>
    <row r="46" spans="1:7" ht="15" customHeight="1">
      <c r="A46" s="1525"/>
      <c r="B46" s="1528"/>
      <c r="C46" s="1528"/>
      <c r="D46" s="1515"/>
      <c r="E46" s="850"/>
      <c r="F46" s="850"/>
      <c r="G46" s="851"/>
    </row>
    <row r="47" spans="1:7" ht="15" customHeight="1" thickBot="1">
      <c r="A47" s="1532"/>
      <c r="B47" s="1533"/>
      <c r="C47" s="1533"/>
      <c r="D47" s="1534"/>
      <c r="E47" s="854"/>
      <c r="F47" s="854"/>
      <c r="G47" s="855"/>
    </row>
  </sheetData>
  <mergeCells count="48">
    <mergeCell ref="A24:A27"/>
    <mergeCell ref="B24:B27"/>
    <mergeCell ref="C24:C27"/>
    <mergeCell ref="D24:D27"/>
    <mergeCell ref="A28:A31"/>
    <mergeCell ref="B28:B31"/>
    <mergeCell ref="C28:C31"/>
    <mergeCell ref="D28:D31"/>
    <mergeCell ref="A44:A47"/>
    <mergeCell ref="B44:B47"/>
    <mergeCell ref="C44:C47"/>
    <mergeCell ref="D44:D47"/>
    <mergeCell ref="A32:A35"/>
    <mergeCell ref="B32:B35"/>
    <mergeCell ref="C32:C35"/>
    <mergeCell ref="D32:D35"/>
    <mergeCell ref="A36:A39"/>
    <mergeCell ref="B36:B39"/>
    <mergeCell ref="C36:C39"/>
    <mergeCell ref="D36:D39"/>
    <mergeCell ref="A40:A43"/>
    <mergeCell ref="B40:B43"/>
    <mergeCell ref="C40:C43"/>
    <mergeCell ref="D40:D43"/>
    <mergeCell ref="G14:G15"/>
    <mergeCell ref="A16:A19"/>
    <mergeCell ref="B16:B19"/>
    <mergeCell ref="C16:C19"/>
    <mergeCell ref="D16:D19"/>
    <mergeCell ref="D20:D23"/>
    <mergeCell ref="C12:F12"/>
    <mergeCell ref="A14:A15"/>
    <mergeCell ref="B14:B15"/>
    <mergeCell ref="C14:C15"/>
    <mergeCell ref="D14:D15"/>
    <mergeCell ref="E14:F14"/>
    <mergeCell ref="A20:A23"/>
    <mergeCell ref="B20:B23"/>
    <mergeCell ref="C20:C23"/>
    <mergeCell ref="C11:F11"/>
    <mergeCell ref="A1:G1"/>
    <mergeCell ref="A2:G2"/>
    <mergeCell ref="C3:E3"/>
    <mergeCell ref="A5:B5"/>
    <mergeCell ref="C5:G5"/>
    <mergeCell ref="A6:C6"/>
    <mergeCell ref="E6:G6"/>
    <mergeCell ref="C10:F10"/>
  </mergeCells>
  <printOptions horizontalCentered="1" verticalCentered="1"/>
  <pageMargins left="0.78740157480314965" right="0.59055118110236227" top="0.59055118110236227" bottom="0.59055118110236227" header="0" footer="0"/>
  <pageSetup scale="90" orientation="portrait" horizontalDpi="4294967295" verticalDpi="4294967295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7"/>
  <sheetViews>
    <sheetView showGridLines="0" view="pageBreakPreview" topLeftCell="A4" zoomScale="115" zoomScaleNormal="90" zoomScaleSheetLayoutView="115" workbookViewId="0">
      <selection activeCell="K20" sqref="K20"/>
    </sheetView>
  </sheetViews>
  <sheetFormatPr baseColWidth="10" defaultColWidth="11.44140625" defaultRowHeight="13.2"/>
  <cols>
    <col min="1" max="1" width="16.88671875" style="1" customWidth="1"/>
    <col min="2" max="2" width="17.109375" style="1" customWidth="1"/>
    <col min="3" max="4" width="17.6640625" style="1" customWidth="1"/>
    <col min="5" max="5" width="4.5546875" style="1" customWidth="1"/>
    <col min="6" max="6" width="5.6640625" style="1" customWidth="1"/>
    <col min="7" max="7" width="22" style="1" customWidth="1"/>
    <col min="8" max="8" width="21.109375" style="1" customWidth="1"/>
    <col min="9" max="9" width="19.6640625" style="1" customWidth="1"/>
    <col min="10" max="10" width="17.109375" style="1" customWidth="1"/>
    <col min="11" max="11" width="19.6640625" style="1" customWidth="1"/>
    <col min="12" max="12" width="17.33203125" style="1" customWidth="1"/>
    <col min="13" max="13" width="14.44140625" style="1" hidden="1" customWidth="1"/>
    <col min="14" max="14" width="18.44140625" style="1" bestFit="1" customWidth="1"/>
    <col min="15" max="16384" width="11.44140625" style="1"/>
  </cols>
  <sheetData>
    <row r="1" spans="1:14" ht="12.75" customHeight="1">
      <c r="A1" s="202"/>
      <c r="B1" s="349"/>
      <c r="C1" s="1586" t="str">
        <f>+Datos!C22</f>
        <v>CERTIFICADO DE PAGO Nº 6</v>
      </c>
      <c r="D1" s="1587"/>
      <c r="E1" s="1587"/>
      <c r="F1" s="1587"/>
      <c r="G1" s="1587"/>
      <c r="H1" s="1587"/>
      <c r="I1" s="1588"/>
      <c r="J1" s="1059" t="s">
        <v>162</v>
      </c>
      <c r="K1" s="626"/>
    </row>
    <row r="2" spans="1:14" ht="12.75" customHeight="1">
      <c r="A2" s="2"/>
      <c r="B2" s="3"/>
      <c r="C2" s="1589"/>
      <c r="D2" s="1590"/>
      <c r="E2" s="1590"/>
      <c r="F2" s="1590"/>
      <c r="G2" s="1590"/>
      <c r="H2" s="1590"/>
      <c r="I2" s="1591"/>
      <c r="J2" s="628"/>
      <c r="K2" s="627"/>
    </row>
    <row r="3" spans="1:14" ht="12.75" customHeight="1">
      <c r="A3" s="1605"/>
      <c r="B3" s="1606"/>
      <c r="C3" s="1607"/>
      <c r="D3" s="1608"/>
      <c r="E3" s="1608"/>
      <c r="F3" s="1608"/>
      <c r="G3" s="1608"/>
      <c r="H3" s="727"/>
      <c r="I3" s="731"/>
      <c r="J3" s="629"/>
      <c r="K3" s="627"/>
    </row>
    <row r="4" spans="1:14" ht="12.75" customHeight="1">
      <c r="A4" s="1605"/>
      <c r="B4" s="1606"/>
      <c r="C4" s="1594" t="str">
        <f>+Datos!B2</f>
        <v>PROYECTO: CONSTRUCCION Y REHABILITACION TRAMO CARRETERO 
VILLA MONTES - LA VERTIENTE - PALO MARCADO</v>
      </c>
      <c r="D4" s="1595"/>
      <c r="E4" s="1595"/>
      <c r="F4" s="1595"/>
      <c r="G4" s="1595"/>
      <c r="H4" s="1595"/>
      <c r="I4" s="1596"/>
      <c r="J4" s="628"/>
      <c r="K4" s="627"/>
      <c r="L4" s="857"/>
    </row>
    <row r="5" spans="1:14" ht="12.75" customHeight="1">
      <c r="A5" s="1605"/>
      <c r="B5" s="1606"/>
      <c r="C5" s="1594"/>
      <c r="D5" s="1595"/>
      <c r="E5" s="1595"/>
      <c r="F5" s="1595"/>
      <c r="G5" s="1595"/>
      <c r="H5" s="1595"/>
      <c r="I5" s="1596"/>
      <c r="J5" s="1025"/>
      <c r="K5" s="1026"/>
      <c r="L5" s="857"/>
    </row>
    <row r="6" spans="1:14" ht="12.75" customHeight="1">
      <c r="A6" s="1614" t="s">
        <v>155</v>
      </c>
      <c r="B6" s="1615"/>
      <c r="C6" s="9"/>
      <c r="D6" s="10"/>
      <c r="E6" s="10"/>
      <c r="F6" s="10"/>
      <c r="G6" s="10"/>
      <c r="H6" s="10"/>
      <c r="I6" s="11"/>
      <c r="J6" s="1592" t="s">
        <v>601</v>
      </c>
      <c r="K6" s="1593"/>
      <c r="M6"/>
    </row>
    <row r="7" spans="1:14" s="353" customFormat="1" ht="12.75" customHeight="1">
      <c r="A7" s="359" t="s">
        <v>207</v>
      </c>
      <c r="B7" s="360"/>
      <c r="C7" s="361" t="s">
        <v>217</v>
      </c>
      <c r="D7" s="361"/>
      <c r="E7" s="362"/>
      <c r="F7" s="369"/>
      <c r="G7" s="1034" t="s">
        <v>611</v>
      </c>
      <c r="H7" s="1070">
        <f>+Datos!C20</f>
        <v>6</v>
      </c>
      <c r="I7" s="1060" t="s">
        <v>211</v>
      </c>
      <c r="J7" s="1071" t="str">
        <f>+Datos!C24</f>
        <v>ABRIL 2021</v>
      </c>
      <c r="K7" s="370"/>
    </row>
    <row r="8" spans="1:14" s="353" customFormat="1" ht="12.75" customHeight="1">
      <c r="A8" s="355" t="s">
        <v>208</v>
      </c>
      <c r="B8" s="354"/>
      <c r="C8" s="990" t="s">
        <v>629</v>
      </c>
      <c r="D8" s="350"/>
      <c r="E8" s="363"/>
      <c r="F8" s="371"/>
      <c r="G8" s="757" t="s">
        <v>635</v>
      </c>
      <c r="H8" s="1064" t="str">
        <f>" Del   "&amp;Datos!C26&amp;"  "&amp;"Al  "&amp;Datos!E26</f>
        <v xml:space="preserve"> Del   01-Abr-2021  Al  30-Abr-2021</v>
      </c>
      <c r="I8" s="1061"/>
      <c r="J8" s="350"/>
      <c r="K8" s="363"/>
      <c r="L8" s="754"/>
    </row>
    <row r="9" spans="1:14" s="353" customFormat="1" ht="12.75" customHeight="1">
      <c r="A9" s="355" t="s">
        <v>209</v>
      </c>
      <c r="B9" s="354"/>
      <c r="C9" s="350" t="str">
        <f>+Datos!B4</f>
        <v>ABC N° 818/19 GNT-SCT-OBR-TGN</v>
      </c>
      <c r="D9" s="350"/>
      <c r="E9" s="363"/>
      <c r="F9" s="371"/>
      <c r="G9" s="350"/>
      <c r="H9" s="350"/>
      <c r="I9" s="350"/>
      <c r="J9" s="351"/>
      <c r="K9" s="352"/>
    </row>
    <row r="10" spans="1:14" s="353" customFormat="1" ht="12.75" customHeight="1">
      <c r="A10" s="355" t="s">
        <v>435</v>
      </c>
      <c r="B10" s="354"/>
      <c r="C10" s="350" t="s">
        <v>643</v>
      </c>
      <c r="D10" s="350"/>
      <c r="E10" s="363"/>
      <c r="F10" s="371"/>
      <c r="G10" s="757" t="s">
        <v>162</v>
      </c>
      <c r="H10" s="394" t="s">
        <v>438</v>
      </c>
      <c r="I10" s="350"/>
      <c r="J10" s="351"/>
      <c r="K10" s="352"/>
      <c r="N10" s="1072"/>
    </row>
    <row r="11" spans="1:14" s="353" customFormat="1" ht="12.75" customHeight="1">
      <c r="A11" s="355" t="s">
        <v>679</v>
      </c>
      <c r="B11" s="354"/>
      <c r="C11" s="350" t="s">
        <v>680</v>
      </c>
      <c r="D11" s="350"/>
      <c r="E11" s="363"/>
      <c r="F11" s="371"/>
      <c r="G11" s="757" t="s">
        <v>212</v>
      </c>
      <c r="H11" s="350" t="s">
        <v>630</v>
      </c>
      <c r="I11" s="358"/>
      <c r="J11" s="358"/>
      <c r="K11" s="365"/>
    </row>
    <row r="12" spans="1:14" s="353" customFormat="1" ht="12.75" customHeight="1">
      <c r="A12" s="364" t="s">
        <v>681</v>
      </c>
      <c r="B12" s="358"/>
      <c r="C12" s="358"/>
      <c r="D12" s="544"/>
      <c r="E12" s="365"/>
      <c r="F12" s="372"/>
      <c r="G12" s="757" t="s">
        <v>428</v>
      </c>
      <c r="H12" s="395" t="s">
        <v>439</v>
      </c>
      <c r="I12" s="350"/>
      <c r="J12" s="350"/>
      <c r="K12" s="363"/>
    </row>
    <row r="13" spans="1:14" s="353" customFormat="1" ht="12.75" customHeight="1">
      <c r="A13" s="366" t="s">
        <v>631</v>
      </c>
      <c r="B13" s="367"/>
      <c r="C13" s="376" t="s">
        <v>632</v>
      </c>
      <c r="D13" s="376"/>
      <c r="E13" s="368"/>
      <c r="F13" s="373"/>
      <c r="G13" s="375"/>
      <c r="H13" s="376"/>
      <c r="I13" s="367"/>
      <c r="J13" s="367"/>
      <c r="K13" s="368"/>
    </row>
    <row r="14" spans="1:14" ht="6.75" customHeight="1">
      <c r="A14" s="356"/>
      <c r="B14" s="357"/>
      <c r="C14" s="357"/>
      <c r="D14" s="357"/>
      <c r="E14" s="357"/>
      <c r="F14" s="347"/>
      <c r="G14" s="347"/>
      <c r="H14" s="347"/>
      <c r="I14" s="347"/>
      <c r="J14" s="347"/>
      <c r="K14" s="348"/>
    </row>
    <row r="15" spans="1:14" ht="12.75" customHeight="1">
      <c r="A15" s="1609" t="s">
        <v>213</v>
      </c>
      <c r="B15" s="1610"/>
      <c r="C15" s="1611"/>
      <c r="D15" s="1612">
        <f>540</f>
        <v>540</v>
      </c>
      <c r="E15" s="1613"/>
      <c r="F15" s="1600" t="s">
        <v>15</v>
      </c>
      <c r="G15" s="1601"/>
      <c r="H15" s="1601"/>
      <c r="I15" s="1601"/>
      <c r="J15" s="1422"/>
      <c r="K15" s="1423" t="s">
        <v>16</v>
      </c>
    </row>
    <row r="16" spans="1:14" ht="12.75" customHeight="1">
      <c r="A16" s="1602" t="s">
        <v>633</v>
      </c>
      <c r="B16" s="1603"/>
      <c r="C16" s="1604"/>
      <c r="D16" s="1535">
        <v>30</v>
      </c>
      <c r="E16" s="1536"/>
      <c r="F16" s="1597" t="s">
        <v>18</v>
      </c>
      <c r="G16" s="1598"/>
      <c r="H16" s="1598"/>
      <c r="I16" s="1599"/>
      <c r="J16" s="1420"/>
      <c r="K16" s="1421">
        <v>108397839.64</v>
      </c>
      <c r="L16" s="304"/>
      <c r="M16" s="543"/>
    </row>
    <row r="17" spans="1:17" ht="12.75" customHeight="1">
      <c r="A17" s="1602" t="s">
        <v>649</v>
      </c>
      <c r="B17" s="1603"/>
      <c r="C17" s="1604"/>
      <c r="D17" s="1535">
        <v>164</v>
      </c>
      <c r="E17" s="1536"/>
      <c r="F17" s="1550" t="s">
        <v>452</v>
      </c>
      <c r="G17" s="1551"/>
      <c r="H17" s="1551"/>
      <c r="I17" s="1552"/>
      <c r="J17" s="1344"/>
      <c r="K17" s="1343">
        <v>108397839.64</v>
      </c>
      <c r="L17" s="1544"/>
      <c r="M17" s="1545"/>
    </row>
    <row r="18" spans="1:17" ht="12.75" customHeight="1">
      <c r="A18" s="728" t="s">
        <v>214</v>
      </c>
      <c r="B18" s="729"/>
      <c r="C18" s="730"/>
      <c r="D18" s="1535">
        <f>+D15+D16+D17</f>
        <v>734</v>
      </c>
      <c r="E18" s="1536"/>
      <c r="F18" s="1550" t="s">
        <v>695</v>
      </c>
      <c r="G18" s="1551"/>
      <c r="H18" s="1551"/>
      <c r="I18" s="1552"/>
      <c r="J18" s="1344"/>
      <c r="K18" s="1343">
        <v>108397839.64</v>
      </c>
      <c r="L18" s="1544"/>
      <c r="M18" s="1545"/>
      <c r="Q18" s="304"/>
    </row>
    <row r="19" spans="1:17" ht="12.75" customHeight="1">
      <c r="A19" s="728" t="s">
        <v>215</v>
      </c>
      <c r="B19" s="729"/>
      <c r="C19" s="730"/>
      <c r="D19" s="1562">
        <v>43726</v>
      </c>
      <c r="E19" s="1563"/>
      <c r="F19" s="1564" t="s">
        <v>218</v>
      </c>
      <c r="G19" s="1565"/>
      <c r="H19" s="1565"/>
      <c r="I19" s="1566"/>
      <c r="J19" s="1345"/>
      <c r="K19" s="1372">
        <f>+K16</f>
        <v>108397839.64</v>
      </c>
      <c r="L19" s="492"/>
      <c r="M19" s="492"/>
    </row>
    <row r="20" spans="1:17" ht="12.75" customHeight="1">
      <c r="A20" s="728" t="s">
        <v>650</v>
      </c>
      <c r="B20" s="729"/>
      <c r="C20" s="730"/>
      <c r="D20" s="1562">
        <f>D19+D15+D16-1</f>
        <v>44295</v>
      </c>
      <c r="E20" s="1563"/>
      <c r="F20" s="1369" t="s">
        <v>159</v>
      </c>
      <c r="G20" s="380" t="s">
        <v>219</v>
      </c>
      <c r="H20" s="380"/>
      <c r="I20" s="380"/>
      <c r="J20" s="377"/>
      <c r="K20" s="1373">
        <f>+K22+K21</f>
        <v>1731482.26</v>
      </c>
      <c r="L20" s="4"/>
      <c r="M20" s="1335"/>
      <c r="N20" s="1335"/>
      <c r="O20" s="1335"/>
      <c r="P20" s="1335"/>
      <c r="Q20" s="1335"/>
    </row>
    <row r="21" spans="1:17" ht="12.75" customHeight="1">
      <c r="A21" s="1146" t="s">
        <v>651</v>
      </c>
      <c r="D21" s="1562">
        <f>+D19+D18-1</f>
        <v>44459</v>
      </c>
      <c r="E21" s="1563"/>
      <c r="F21" s="1366" t="s">
        <v>164</v>
      </c>
      <c r="G21" s="381" t="s">
        <v>676</v>
      </c>
      <c r="H21" s="1370"/>
      <c r="I21" s="1370"/>
      <c r="J21" s="1344"/>
      <c r="K21" s="1343">
        <f>+'Planilla de Avance'!L104</f>
        <v>1649850.16</v>
      </c>
      <c r="L21" s="4"/>
      <c r="M21" s="750"/>
      <c r="N21" s="1334"/>
    </row>
    <row r="22" spans="1:17" ht="12.75" customHeight="1">
      <c r="A22" s="1027" t="s">
        <v>216</v>
      </c>
      <c r="B22" s="1028"/>
      <c r="C22" s="1029"/>
      <c r="D22" s="1535">
        <f>+Datos!E26-Certificado!D19+1</f>
        <v>591</v>
      </c>
      <c r="E22" s="1536"/>
      <c r="F22" s="1367" t="s">
        <v>165</v>
      </c>
      <c r="G22" s="404" t="s">
        <v>220</v>
      </c>
      <c r="H22" s="18"/>
      <c r="I22" s="18"/>
      <c r="J22" s="1345"/>
      <c r="K22" s="1419">
        <f>+'Planilla de Avance'!N104</f>
        <v>81632.100000000006</v>
      </c>
      <c r="L22" s="4"/>
      <c r="M22" s="749"/>
      <c r="N22" s="1334"/>
    </row>
    <row r="23" spans="1:17" ht="12.75" customHeight="1">
      <c r="A23" s="15" t="s">
        <v>636</v>
      </c>
      <c r="B23" s="18"/>
      <c r="C23" s="16"/>
      <c r="D23" s="1575">
        <f>+D18-D22</f>
        <v>143</v>
      </c>
      <c r="E23" s="1576"/>
      <c r="F23" s="1369" t="s">
        <v>166</v>
      </c>
      <c r="G23" s="380" t="s">
        <v>453</v>
      </c>
      <c r="H23" s="1371"/>
      <c r="I23" s="1371"/>
      <c r="J23" s="377"/>
      <c r="K23" s="1373">
        <v>0</v>
      </c>
      <c r="L23" s="4"/>
      <c r="M23" s="5"/>
      <c r="N23" s="1336"/>
    </row>
    <row r="24" spans="1:17" ht="12.75" customHeight="1">
      <c r="A24" s="1569" t="s">
        <v>17</v>
      </c>
      <c r="B24" s="1570"/>
      <c r="C24" s="1570"/>
      <c r="D24" s="1570"/>
      <c r="E24" s="1571"/>
      <c r="F24" s="1366" t="s">
        <v>167</v>
      </c>
      <c r="G24" s="381" t="s">
        <v>221</v>
      </c>
      <c r="H24" s="346"/>
      <c r="I24" s="346"/>
      <c r="J24" s="1344"/>
      <c r="K24" s="1343">
        <v>0</v>
      </c>
      <c r="L24" s="4"/>
      <c r="M24" s="5"/>
      <c r="N24" s="304"/>
    </row>
    <row r="25" spans="1:17" ht="12.75" customHeight="1">
      <c r="A25" s="383" t="s">
        <v>504</v>
      </c>
      <c r="B25" s="384"/>
      <c r="C25" s="1354">
        <f>+Anticipo!H8</f>
        <v>21679567.93</v>
      </c>
      <c r="D25" s="1355">
        <f>+C25*100/K16</f>
        <v>20.000000001845056</v>
      </c>
      <c r="E25" s="402" t="s">
        <v>205</v>
      </c>
      <c r="F25" s="1367" t="s">
        <v>168</v>
      </c>
      <c r="G25" s="404" t="s">
        <v>222</v>
      </c>
      <c r="H25" s="1346"/>
      <c r="I25" s="1346"/>
      <c r="J25" s="1345"/>
      <c r="K25" s="1372">
        <f>+'Avance Financiero'!K27</f>
        <v>0</v>
      </c>
      <c r="L25" s="4"/>
      <c r="N25" s="1337"/>
    </row>
    <row r="26" spans="1:17" ht="12.75" customHeight="1">
      <c r="A26" s="383" t="s">
        <v>672</v>
      </c>
      <c r="B26" s="384"/>
      <c r="C26" s="1354">
        <f>+C28-C27</f>
        <v>329970.03999999998</v>
      </c>
      <c r="D26" s="1355">
        <f>+C26*100/K16</f>
        <v>0.30440647257903225</v>
      </c>
      <c r="E26" s="402" t="s">
        <v>205</v>
      </c>
      <c r="F26" s="1368" t="s">
        <v>169</v>
      </c>
      <c r="G26" s="380" t="s">
        <v>673</v>
      </c>
      <c r="H26" s="1347"/>
      <c r="I26" s="1347"/>
      <c r="J26" s="377"/>
      <c r="K26" s="1373">
        <f>+Retencion!H39</f>
        <v>121203.76</v>
      </c>
      <c r="L26" s="541"/>
      <c r="N26" s="1338"/>
    </row>
    <row r="27" spans="1:17" ht="12.75" customHeight="1">
      <c r="A27" s="383" t="s">
        <v>223</v>
      </c>
      <c r="B27" s="385"/>
      <c r="C27" s="1356">
        <f>+ROUND(K22*0.2,2)</f>
        <v>16326.42</v>
      </c>
      <c r="D27" s="1356">
        <f>+C27*100/K16</f>
        <v>1.5061573232660046E-2</v>
      </c>
      <c r="E27" s="402" t="s">
        <v>205</v>
      </c>
      <c r="F27" s="1366" t="s">
        <v>170</v>
      </c>
      <c r="G27" s="382" t="s">
        <v>674</v>
      </c>
      <c r="H27" s="1370"/>
      <c r="I27" s="1370"/>
      <c r="J27" s="1344"/>
      <c r="K27" s="1343">
        <f>K26-K28</f>
        <v>115489.51</v>
      </c>
      <c r="M27" s="407"/>
    </row>
    <row r="28" spans="1:17" ht="12.75" customHeight="1">
      <c r="A28" s="383" t="s">
        <v>224</v>
      </c>
      <c r="B28" s="394"/>
      <c r="C28" s="1356">
        <f>+'Avance Financiero'!I32</f>
        <v>346296.45999999996</v>
      </c>
      <c r="D28" s="1356">
        <f>+D26+D27</f>
        <v>0.3194680458116923</v>
      </c>
      <c r="E28" s="402" t="s">
        <v>205</v>
      </c>
      <c r="F28" s="1367" t="s">
        <v>171</v>
      </c>
      <c r="G28" s="1348" t="s">
        <v>675</v>
      </c>
      <c r="H28" s="1346"/>
      <c r="I28" s="1346"/>
      <c r="J28" s="1345"/>
      <c r="K28" s="1419">
        <f>+Retencion!G39</f>
        <v>5714.25</v>
      </c>
      <c r="L28" s="4"/>
      <c r="M28" s="5"/>
      <c r="N28" s="304"/>
    </row>
    <row r="29" spans="1:17" ht="12.75" customHeight="1">
      <c r="A29" s="383" t="s">
        <v>225</v>
      </c>
      <c r="B29" s="394"/>
      <c r="C29" s="1357">
        <f>+C25-C28</f>
        <v>21333271.469999999</v>
      </c>
      <c r="D29" s="1358">
        <f>+D25-D28</f>
        <v>19.680531956033363</v>
      </c>
      <c r="E29" s="402" t="s">
        <v>205</v>
      </c>
      <c r="F29" s="1369" t="s">
        <v>172</v>
      </c>
      <c r="G29" s="1349" t="s">
        <v>682</v>
      </c>
      <c r="H29" s="1371"/>
      <c r="I29" s="1371"/>
      <c r="J29" s="377"/>
      <c r="K29" s="1373">
        <f>+'Avance Financiero'!I32</f>
        <v>346296.45999999996</v>
      </c>
      <c r="L29" s="4"/>
      <c r="M29" s="5"/>
      <c r="N29" s="542"/>
    </row>
    <row r="30" spans="1:17" ht="12.75" customHeight="1">
      <c r="A30" s="1569" t="s">
        <v>442</v>
      </c>
      <c r="B30" s="1570"/>
      <c r="C30" s="1570"/>
      <c r="D30" s="1570"/>
      <c r="E30" s="1571"/>
      <c r="F30" s="1366" t="s">
        <v>173</v>
      </c>
      <c r="G30" s="382" t="s">
        <v>683</v>
      </c>
      <c r="H30" s="1370"/>
      <c r="I30" s="1370"/>
      <c r="J30" s="1344"/>
      <c r="K30" s="1343">
        <f>+K29-K31</f>
        <v>329970.03999999998</v>
      </c>
      <c r="L30" s="4"/>
      <c r="M30" s="5"/>
    </row>
    <row r="31" spans="1:17" ht="12.75" customHeight="1">
      <c r="A31" s="383" t="s">
        <v>481</v>
      </c>
      <c r="B31" s="384"/>
      <c r="C31" s="1354">
        <f>+Retencion!H8</f>
        <v>7587848.7699999996</v>
      </c>
      <c r="D31" s="1355">
        <f>+C31*100/K16</f>
        <v>6.9999999955718675</v>
      </c>
      <c r="E31" s="402" t="s">
        <v>205</v>
      </c>
      <c r="F31" s="1367" t="s">
        <v>174</v>
      </c>
      <c r="G31" s="404" t="s">
        <v>684</v>
      </c>
      <c r="H31" s="18"/>
      <c r="I31" s="18"/>
      <c r="J31" s="1345"/>
      <c r="K31" s="1419">
        <f>+ROUND(K22*0.2,2)</f>
        <v>16326.42</v>
      </c>
      <c r="L31" s="4"/>
      <c r="M31" s="5"/>
    </row>
    <row r="32" spans="1:17" ht="12.75" customHeight="1">
      <c r="A32" s="383" t="s">
        <v>482</v>
      </c>
      <c r="B32" s="384"/>
      <c r="C32" s="1354">
        <f>+C34-C33</f>
        <v>115489.51</v>
      </c>
      <c r="D32" s="1355">
        <f>+C32*100/K16</f>
        <v>0.10654226171255086</v>
      </c>
      <c r="E32" s="402" t="s">
        <v>205</v>
      </c>
      <c r="F32" s="1351"/>
      <c r="G32" s="733"/>
      <c r="H32" s="1352"/>
      <c r="I32" s="1352"/>
      <c r="J32" s="733"/>
      <c r="K32" s="1353"/>
      <c r="N32" s="4"/>
      <c r="O32" s="5"/>
    </row>
    <row r="33" spans="1:15" ht="12.75" customHeight="1">
      <c r="A33" s="383" t="s">
        <v>483</v>
      </c>
      <c r="B33" s="385"/>
      <c r="C33" s="1356">
        <f>+K28</f>
        <v>5714.25</v>
      </c>
      <c r="D33" s="1356">
        <f>+C33*100/K16</f>
        <v>5.271553399013848E-3</v>
      </c>
      <c r="E33" s="402" t="s">
        <v>205</v>
      </c>
      <c r="F33" s="9"/>
      <c r="G33" s="1553"/>
      <c r="H33" s="1553"/>
      <c r="I33" s="1553"/>
      <c r="J33" s="1556"/>
      <c r="K33" s="1557"/>
      <c r="L33" s="591"/>
      <c r="M33" s="1547"/>
      <c r="N33" s="1547"/>
      <c r="O33" s="1547"/>
    </row>
    <row r="34" spans="1:15" ht="12.75" customHeight="1">
      <c r="A34" s="383" t="s">
        <v>484</v>
      </c>
      <c r="B34" s="394"/>
      <c r="C34" s="1356">
        <f>+K26</f>
        <v>121203.76</v>
      </c>
      <c r="D34" s="1356">
        <f>+C34*100/K16</f>
        <v>0.11181381511156471</v>
      </c>
      <c r="E34" s="402" t="s">
        <v>205</v>
      </c>
      <c r="F34" s="1350"/>
      <c r="G34" s="1554" t="s">
        <v>235</v>
      </c>
      <c r="H34" s="1554"/>
      <c r="I34" s="1555"/>
      <c r="J34" s="1548">
        <f>+K22-K28-K31</f>
        <v>59591.430000000008</v>
      </c>
      <c r="K34" s="1549"/>
      <c r="L34" s="396"/>
      <c r="M34" s="1547"/>
      <c r="N34" s="1547"/>
      <c r="O34" s="1547"/>
    </row>
    <row r="35" spans="1:15" ht="12.75" customHeight="1">
      <c r="A35" s="383" t="s">
        <v>485</v>
      </c>
      <c r="B35" s="394"/>
      <c r="C35" s="1357">
        <f>+C31-C34</f>
        <v>7466645.0099999998</v>
      </c>
      <c r="D35" s="1358">
        <f>+D31-D34</f>
        <v>6.8881861804603028</v>
      </c>
      <c r="E35" s="402" t="s">
        <v>205</v>
      </c>
      <c r="F35" s="378"/>
      <c r="G35" s="1585" t="s">
        <v>237</v>
      </c>
      <c r="H35" s="1585"/>
      <c r="I35" s="1585"/>
      <c r="J35" s="1542">
        <f>+K16-K20-C25</f>
        <v>84986789.449999988</v>
      </c>
      <c r="K35" s="1543"/>
      <c r="L35" s="396"/>
      <c r="M35" s="1547"/>
      <c r="N35" s="1547"/>
      <c r="O35" s="1547"/>
    </row>
    <row r="36" spans="1:15" ht="12.75" customHeight="1">
      <c r="A36" s="732"/>
      <c r="B36" s="388"/>
      <c r="C36" s="630" t="s">
        <v>226</v>
      </c>
      <c r="D36" s="1359">
        <f>+K21*100/K19</f>
        <v>1.5220323259940571</v>
      </c>
      <c r="E36" s="402" t="s">
        <v>205</v>
      </c>
      <c r="F36" s="379"/>
      <c r="G36" s="1560" t="s">
        <v>236</v>
      </c>
      <c r="H36" s="1560"/>
      <c r="I36" s="1561"/>
      <c r="J36" s="1583">
        <f>+J34</f>
        <v>59591.430000000008</v>
      </c>
      <c r="K36" s="1584"/>
      <c r="L36" s="406"/>
      <c r="M36" s="751"/>
      <c r="N36" s="406"/>
    </row>
    <row r="37" spans="1:15" ht="12.75" customHeight="1">
      <c r="A37" s="383" t="s">
        <v>429</v>
      </c>
      <c r="B37" s="394"/>
      <c r="C37" s="386" t="s">
        <v>227</v>
      </c>
      <c r="D37" s="1360">
        <f>+K22*100/K16</f>
        <v>7.5307866163300236E-2</v>
      </c>
      <c r="E37" s="402" t="s">
        <v>205</v>
      </c>
      <c r="F37" s="1581"/>
      <c r="G37" s="1577" t="str">
        <f ca="1">"SON: "&amp;'.'!H1</f>
        <v>SON: CINCUENTA Y NUEVE MIL QUINIENTOS NOVENTA Y UNO 43/100 BOLIVIANOS</v>
      </c>
      <c r="H37" s="1577"/>
      <c r="I37" s="1577"/>
      <c r="J37" s="1577"/>
      <c r="K37" s="1578"/>
      <c r="M37" s="751"/>
    </row>
    <row r="38" spans="1:15" ht="12.75" customHeight="1">
      <c r="A38" s="9"/>
      <c r="B38" s="10"/>
      <c r="C38" s="389" t="s">
        <v>179</v>
      </c>
      <c r="D38" s="1361">
        <f>+D36+D37</f>
        <v>1.5973401921573573</v>
      </c>
      <c r="E38" s="402" t="s">
        <v>205</v>
      </c>
      <c r="F38" s="1582"/>
      <c r="G38" s="1579"/>
      <c r="H38" s="1579"/>
      <c r="I38" s="1579"/>
      <c r="J38" s="1579"/>
      <c r="K38" s="1580"/>
    </row>
    <row r="39" spans="1:15" ht="12.75" customHeight="1">
      <c r="A39" s="732"/>
      <c r="B39" s="388"/>
      <c r="C39" s="630" t="s">
        <v>226</v>
      </c>
      <c r="D39" s="1428">
        <f>+D41-D40</f>
        <v>21.11108359354753</v>
      </c>
      <c r="E39" s="402" t="s">
        <v>205</v>
      </c>
      <c r="F39" s="387"/>
      <c r="G39" s="392"/>
      <c r="H39" s="392"/>
      <c r="I39" s="387"/>
      <c r="J39" s="392"/>
      <c r="K39" s="393"/>
      <c r="L39" s="14"/>
      <c r="N39" s="1338"/>
    </row>
    <row r="40" spans="1:15" ht="12.75" customHeight="1">
      <c r="A40" s="383" t="s">
        <v>228</v>
      </c>
      <c r="B40" s="394"/>
      <c r="C40" s="386" t="s">
        <v>227</v>
      </c>
      <c r="D40" s="1429">
        <f>+J36/K19*100</f>
        <v>5.4974739531626342E-2</v>
      </c>
      <c r="E40" s="402" t="s">
        <v>205</v>
      </c>
      <c r="F40" s="344"/>
      <c r="G40" s="394"/>
      <c r="H40" s="394"/>
      <c r="I40" s="344"/>
      <c r="J40" s="394"/>
      <c r="K40" s="345"/>
      <c r="N40" s="1338"/>
    </row>
    <row r="41" spans="1:15" ht="12.75" customHeight="1">
      <c r="A41" s="9"/>
      <c r="B41" s="10"/>
      <c r="C41" s="389" t="s">
        <v>179</v>
      </c>
      <c r="D41" s="1430">
        <f>+'Avance Financiero'!R32*100</f>
        <v>21.166058333079157</v>
      </c>
      <c r="E41" s="402" t="s">
        <v>205</v>
      </c>
      <c r="F41" s="6"/>
      <c r="G41" s="7"/>
      <c r="H41" s="7"/>
      <c r="I41" s="6"/>
      <c r="J41" s="7"/>
      <c r="K41" s="8"/>
      <c r="L41" s="1431"/>
      <c r="N41" s="1338"/>
    </row>
    <row r="42" spans="1:15" ht="12.75" customHeight="1">
      <c r="A42" s="732"/>
      <c r="B42" s="388"/>
      <c r="C42" s="630" t="s">
        <v>226</v>
      </c>
      <c r="D42" s="1362">
        <v>0</v>
      </c>
      <c r="E42" s="402" t="s">
        <v>205</v>
      </c>
      <c r="F42" s="6"/>
      <c r="G42" s="7"/>
      <c r="H42" s="7"/>
      <c r="I42" s="6"/>
      <c r="J42" s="7"/>
      <c r="K42" s="8"/>
    </row>
    <row r="43" spans="1:15" ht="12.75" customHeight="1">
      <c r="A43" s="383" t="s">
        <v>229</v>
      </c>
      <c r="B43" s="394"/>
      <c r="C43" s="386" t="s">
        <v>227</v>
      </c>
      <c r="D43" s="1363">
        <v>0</v>
      </c>
      <c r="E43" s="402" t="s">
        <v>205</v>
      </c>
      <c r="F43" s="6"/>
      <c r="G43" s="7"/>
      <c r="H43" s="7"/>
      <c r="I43" s="6"/>
      <c r="J43" s="7"/>
      <c r="K43" s="8"/>
      <c r="L43" s="1336"/>
      <c r="N43" s="1338"/>
      <c r="O43" s="1336"/>
    </row>
    <row r="44" spans="1:15" ht="12.75" customHeight="1">
      <c r="A44" s="9"/>
      <c r="B44" s="10"/>
      <c r="C44" s="389" t="s">
        <v>179</v>
      </c>
      <c r="D44" s="1364">
        <f>+D42+D43</f>
        <v>0</v>
      </c>
      <c r="E44" s="403" t="s">
        <v>205</v>
      </c>
      <c r="F44" s="344"/>
      <c r="G44" s="394"/>
      <c r="H44" s="394"/>
      <c r="I44" s="344"/>
      <c r="J44" s="394"/>
      <c r="K44" s="345"/>
      <c r="L44" s="1336"/>
      <c r="N44" s="1338"/>
    </row>
    <row r="45" spans="1:15" ht="12.75" customHeight="1">
      <c r="A45" s="1572" t="s">
        <v>437</v>
      </c>
      <c r="B45" s="1573"/>
      <c r="C45" s="1573"/>
      <c r="D45" s="1573"/>
      <c r="E45" s="1574"/>
      <c r="F45" s="344"/>
      <c r="G45" s="394"/>
      <c r="H45" s="394"/>
      <c r="I45" s="344"/>
      <c r="J45" s="394"/>
      <c r="K45" s="345"/>
      <c r="L45" s="1336"/>
      <c r="N45" s="1338"/>
    </row>
    <row r="46" spans="1:15" ht="12.75" customHeight="1">
      <c r="A46" s="1558" t="s">
        <v>230</v>
      </c>
      <c r="B46" s="1559"/>
      <c r="C46" s="1567" t="s">
        <v>440</v>
      </c>
      <c r="D46" s="1568"/>
      <c r="E46" s="8"/>
      <c r="F46" s="344"/>
      <c r="G46" s="394"/>
      <c r="H46" s="394"/>
      <c r="I46" s="344"/>
      <c r="J46" s="394"/>
      <c r="K46" s="345"/>
    </row>
    <row r="47" spans="1:15" ht="12.75" customHeight="1">
      <c r="A47" s="1558" t="s">
        <v>231</v>
      </c>
      <c r="B47" s="1559"/>
      <c r="C47" s="1619">
        <v>3102213</v>
      </c>
      <c r="D47" s="1620"/>
      <c r="E47" s="588"/>
      <c r="F47" s="344"/>
      <c r="G47" s="394"/>
      <c r="H47" s="394"/>
      <c r="I47" s="344"/>
      <c r="J47" s="394"/>
      <c r="K47" s="345"/>
    </row>
    <row r="48" spans="1:15" ht="12.75" customHeight="1">
      <c r="A48" s="1558" t="s">
        <v>233</v>
      </c>
      <c r="B48" s="1559"/>
      <c r="C48" s="1567">
        <v>193208025</v>
      </c>
      <c r="D48" s="1568"/>
      <c r="E48" s="588"/>
      <c r="F48" s="344"/>
      <c r="G48" s="394"/>
      <c r="H48" s="394"/>
      <c r="I48" s="344"/>
      <c r="J48" s="394"/>
      <c r="K48" s="345"/>
    </row>
    <row r="49" spans="1:12" ht="12.75" customHeight="1">
      <c r="A49" s="1558" t="s">
        <v>232</v>
      </c>
      <c r="B49" s="1559"/>
      <c r="C49" s="1567" t="s">
        <v>441</v>
      </c>
      <c r="D49" s="1568"/>
      <c r="E49" s="588"/>
      <c r="F49" s="344"/>
      <c r="G49" s="776" t="str">
        <f>+'Planilla de Avance'!F113</f>
        <v>Ing. Gabriel Daza Chavez</v>
      </c>
      <c r="H49" s="1230" t="s">
        <v>654</v>
      </c>
      <c r="I49" s="1546" t="str">
        <f>+'Planilla de Avance'!J113</f>
        <v>Ing. Herlan Rene Ramos Estrada</v>
      </c>
      <c r="J49" s="1538"/>
      <c r="K49" s="1231" t="s">
        <v>654</v>
      </c>
      <c r="L49" s="344"/>
    </row>
    <row r="50" spans="1:12" ht="12.75" customHeight="1">
      <c r="A50" s="1558" t="s">
        <v>234</v>
      </c>
      <c r="B50" s="1559"/>
      <c r="C50" s="1621">
        <v>10000009604451</v>
      </c>
      <c r="D50" s="1622"/>
      <c r="E50" s="588"/>
      <c r="F50" s="12"/>
      <c r="G50" s="777" t="str">
        <f>+'Planilla de Avance'!F114</f>
        <v>SUPERINTENDENTE DE OBRA</v>
      </c>
      <c r="H50" s="605"/>
      <c r="I50" s="1540" t="str">
        <f>+'Planilla de Avance'!J114</f>
        <v>SUPERVISOR DE OBRA</v>
      </c>
      <c r="J50" s="1541"/>
      <c r="K50" s="13"/>
    </row>
    <row r="51" spans="1:12" ht="12.75" customHeight="1">
      <c r="A51" s="399"/>
      <c r="B51" s="398"/>
      <c r="C51" s="398"/>
      <c r="D51" s="398"/>
      <c r="E51" s="398"/>
      <c r="F51" s="374"/>
      <c r="G51" s="732"/>
      <c r="H51" s="733"/>
      <c r="I51" s="733"/>
      <c r="J51" s="733"/>
      <c r="K51" s="374"/>
    </row>
    <row r="52" spans="1:12" ht="12.75" customHeight="1">
      <c r="A52" s="391"/>
      <c r="B52" s="400"/>
      <c r="C52" s="390"/>
      <c r="D52" s="390"/>
      <c r="E52" s="390"/>
      <c r="F52" s="8"/>
      <c r="G52" s="6"/>
      <c r="H52" s="7"/>
      <c r="I52" s="7"/>
      <c r="J52" s="7"/>
      <c r="K52" s="8"/>
    </row>
    <row r="53" spans="1:12" ht="12.75" customHeight="1">
      <c r="A53" s="391"/>
      <c r="B53" s="400"/>
      <c r="C53" s="390"/>
      <c r="D53" s="390"/>
      <c r="E53" s="390"/>
      <c r="F53" s="8"/>
      <c r="G53" s="6"/>
      <c r="H53" s="7"/>
      <c r="I53" s="7"/>
      <c r="J53" s="7"/>
      <c r="K53" s="8"/>
    </row>
    <row r="54" spans="1:12" ht="12.75" customHeight="1">
      <c r="A54" s="383"/>
      <c r="B54" s="394"/>
      <c r="C54" s="394"/>
      <c r="D54" s="394"/>
      <c r="E54" s="394"/>
      <c r="F54" s="8"/>
      <c r="G54" s="344"/>
      <c r="H54" s="7"/>
      <c r="I54" s="7"/>
      <c r="J54" s="7"/>
      <c r="K54" s="8"/>
    </row>
    <row r="55" spans="1:12" ht="12.75" customHeight="1">
      <c r="A55" s="725"/>
      <c r="B55" s="726"/>
      <c r="C55" s="726"/>
      <c r="D55" s="726"/>
      <c r="E55" s="726"/>
      <c r="F55" s="345"/>
      <c r="G55" s="344"/>
      <c r="H55" s="726"/>
      <c r="I55" s="726"/>
      <c r="J55" s="394"/>
      <c r="K55" s="345"/>
    </row>
    <row r="56" spans="1:12" ht="12.75" customHeight="1">
      <c r="A56" s="725"/>
      <c r="B56" s="726"/>
      <c r="C56" s="726"/>
      <c r="D56" s="726"/>
      <c r="E56" s="726"/>
      <c r="F56" s="345"/>
      <c r="G56" s="344"/>
      <c r="H56" s="726"/>
      <c r="I56" s="726"/>
      <c r="J56" s="394"/>
      <c r="K56" s="345"/>
    </row>
    <row r="57" spans="1:12" ht="12.75" customHeight="1">
      <c r="A57" s="725"/>
      <c r="B57" s="726"/>
      <c r="C57" s="726"/>
      <c r="D57" s="726"/>
      <c r="E57" s="726"/>
      <c r="F57" s="345"/>
      <c r="G57" s="344"/>
      <c r="H57" s="726"/>
      <c r="I57" s="726"/>
      <c r="J57" s="394"/>
      <c r="K57" s="345"/>
    </row>
    <row r="58" spans="1:12" ht="12.75" customHeight="1">
      <c r="A58" s="1617"/>
      <c r="B58" s="1618"/>
      <c r="C58" s="397"/>
      <c r="D58" s="397"/>
      <c r="E58" s="397"/>
      <c r="F58" s="345"/>
      <c r="G58" s="344"/>
      <c r="H58" s="394"/>
      <c r="I58" s="394"/>
      <c r="J58" s="394"/>
      <c r="K58" s="345"/>
    </row>
    <row r="59" spans="1:12" ht="12.75" customHeight="1">
      <c r="A59" s="344"/>
      <c r="B59" s="1538" t="str">
        <f>+'Planilla de Avance'!Q113</f>
        <v>Ing. Franz Reynaldo Salazar Martinez</v>
      </c>
      <c r="C59" s="1538"/>
      <c r="D59" s="1538" t="s">
        <v>655</v>
      </c>
      <c r="E59" s="1538"/>
      <c r="F59" s="1539"/>
      <c r="G59" s="1215"/>
      <c r="H59" s="1538" t="s">
        <v>625</v>
      </c>
      <c r="I59" s="1538"/>
      <c r="J59" s="1538" t="s">
        <v>656</v>
      </c>
      <c r="K59" s="1539"/>
    </row>
    <row r="60" spans="1:12" ht="12.75" customHeight="1">
      <c r="A60" s="344"/>
      <c r="B60" s="1537" t="str">
        <f>+'Planilla de Avance'!Q114</f>
        <v>FISCAL DE OBRA</v>
      </c>
      <c r="C60" s="1537"/>
      <c r="D60" s="394"/>
      <c r="E60" s="606"/>
      <c r="F60" s="345"/>
      <c r="G60" s="1232"/>
      <c r="H60" s="1537" t="s">
        <v>599</v>
      </c>
      <c r="I60" s="1537"/>
      <c r="J60" s="394"/>
      <c r="K60" s="607"/>
    </row>
    <row r="61" spans="1:12" ht="6.75" customHeight="1">
      <c r="A61" s="9"/>
      <c r="B61" s="1616"/>
      <c r="C61" s="1616"/>
      <c r="D61" s="10"/>
      <c r="E61" s="10"/>
      <c r="F61" s="11"/>
      <c r="G61" s="1233"/>
      <c r="H61" s="10"/>
      <c r="I61" s="1216"/>
      <c r="J61" s="10"/>
      <c r="K61" s="11"/>
    </row>
    <row r="63" spans="1:12">
      <c r="A63" s="17"/>
      <c r="B63" s="17"/>
      <c r="C63" s="17"/>
      <c r="D63" s="17"/>
      <c r="E63" s="17"/>
    </row>
    <row r="67" spans="2:5">
      <c r="B67" s="394"/>
      <c r="C67" s="394"/>
      <c r="D67" s="394"/>
      <c r="E67" s="394"/>
    </row>
  </sheetData>
  <mergeCells count="59">
    <mergeCell ref="B61:C61"/>
    <mergeCell ref="B60:C60"/>
    <mergeCell ref="B59:C59"/>
    <mergeCell ref="A47:B47"/>
    <mergeCell ref="A48:B48"/>
    <mergeCell ref="A58:B58"/>
    <mergeCell ref="A50:B50"/>
    <mergeCell ref="A49:B49"/>
    <mergeCell ref="C47:D47"/>
    <mergeCell ref="C48:D48"/>
    <mergeCell ref="C49:D49"/>
    <mergeCell ref="C50:D50"/>
    <mergeCell ref="D59:F59"/>
    <mergeCell ref="C1:I2"/>
    <mergeCell ref="J6:K6"/>
    <mergeCell ref="C4:I5"/>
    <mergeCell ref="F16:I16"/>
    <mergeCell ref="D17:E17"/>
    <mergeCell ref="F15:I15"/>
    <mergeCell ref="A17:C17"/>
    <mergeCell ref="A3:B5"/>
    <mergeCell ref="C3:G3"/>
    <mergeCell ref="F17:I17"/>
    <mergeCell ref="A15:C15"/>
    <mergeCell ref="D15:E15"/>
    <mergeCell ref="A16:C16"/>
    <mergeCell ref="D16:E16"/>
    <mergeCell ref="A6:B6"/>
    <mergeCell ref="A46:B46"/>
    <mergeCell ref="G36:I36"/>
    <mergeCell ref="D19:E19"/>
    <mergeCell ref="F19:I19"/>
    <mergeCell ref="C46:D46"/>
    <mergeCell ref="A24:E24"/>
    <mergeCell ref="A45:E45"/>
    <mergeCell ref="D20:E20"/>
    <mergeCell ref="D23:E23"/>
    <mergeCell ref="G37:K38"/>
    <mergeCell ref="F37:F38"/>
    <mergeCell ref="A30:E30"/>
    <mergeCell ref="D21:E21"/>
    <mergeCell ref="J36:K36"/>
    <mergeCell ref="G35:I35"/>
    <mergeCell ref="L17:M17"/>
    <mergeCell ref="L18:M18"/>
    <mergeCell ref="I49:J49"/>
    <mergeCell ref="M33:O35"/>
    <mergeCell ref="J34:K34"/>
    <mergeCell ref="F18:I18"/>
    <mergeCell ref="G33:I33"/>
    <mergeCell ref="G34:I34"/>
    <mergeCell ref="J33:K33"/>
    <mergeCell ref="D18:E18"/>
    <mergeCell ref="D22:E22"/>
    <mergeCell ref="H60:I60"/>
    <mergeCell ref="H59:I59"/>
    <mergeCell ref="J59:K59"/>
    <mergeCell ref="I50:J50"/>
    <mergeCell ref="J35:K35"/>
  </mergeCells>
  <phoneticPr fontId="35" type="noConversion"/>
  <printOptions horizontalCentered="1"/>
  <pageMargins left="0.47244094488188981" right="0.47244094488188981" top="0.6692913385826772" bottom="0.23622047244094491" header="0" footer="0"/>
  <pageSetup scale="71" orientation="landscape" horizontalDpi="4294967295" verticalDpi="4294967295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A1:T57"/>
  <sheetViews>
    <sheetView view="pageBreakPreview" topLeftCell="A22" zoomScaleNormal="85" zoomScaleSheetLayoutView="100" workbookViewId="0">
      <selection activeCell="F15" sqref="F15"/>
    </sheetView>
  </sheetViews>
  <sheetFormatPr baseColWidth="10" defaultColWidth="11.44140625" defaultRowHeight="14.4"/>
  <cols>
    <col min="1" max="1" width="8.6640625" style="600" customWidth="1"/>
    <col min="2" max="2" width="10.6640625" style="181" customWidth="1"/>
    <col min="3" max="3" width="13.6640625" style="181" customWidth="1"/>
    <col min="4" max="4" width="6.6640625" style="181" customWidth="1"/>
    <col min="5" max="5" width="14.33203125" style="181" customWidth="1"/>
    <col min="6" max="6" width="15" style="181" customWidth="1"/>
    <col min="7" max="7" width="14.33203125" style="181" customWidth="1"/>
    <col min="8" max="8" width="6.6640625" style="181" customWidth="1"/>
    <col min="9" max="9" width="12.6640625" style="181" customWidth="1"/>
    <col min="10" max="10" width="6.6640625" style="181" customWidth="1"/>
    <col min="11" max="11" width="12.6640625" style="181" customWidth="1"/>
    <col min="12" max="12" width="6.6640625" style="181" customWidth="1"/>
    <col min="13" max="13" width="12.6640625" style="181" hidden="1" customWidth="1"/>
    <col min="14" max="14" width="6.6640625" style="181" customWidth="1"/>
    <col min="15" max="15" width="12.6640625" style="181" customWidth="1"/>
    <col min="16" max="16" width="6.6640625" style="181" customWidth="1"/>
    <col min="17" max="17" width="13.109375" style="176" bestFit="1" customWidth="1"/>
    <col min="18" max="18" width="6.6640625" style="176" customWidth="1"/>
    <col min="19" max="19" width="15.109375" style="176" bestFit="1" customWidth="1"/>
    <col min="20" max="20" width="13.6640625" style="176" bestFit="1" customWidth="1"/>
    <col min="21" max="16384" width="11.44140625" style="176"/>
  </cols>
  <sheetData>
    <row r="1" spans="1:19" s="179" customFormat="1" ht="15.6">
      <c r="A1" s="1626"/>
      <c r="B1" s="1627"/>
      <c r="C1" s="1627"/>
      <c r="D1" s="609"/>
      <c r="E1" s="1641" t="str">
        <f>+Certificado!C1</f>
        <v>CERTIFICADO DE PAGO Nº 6</v>
      </c>
      <c r="F1" s="1642"/>
      <c r="G1" s="1642"/>
      <c r="H1" s="1642"/>
      <c r="I1" s="1642"/>
      <c r="J1" s="1642"/>
      <c r="K1" s="1642"/>
      <c r="L1" s="1642"/>
      <c r="M1" s="1642"/>
      <c r="N1" s="1643"/>
      <c r="O1" s="188"/>
      <c r="P1" s="613"/>
      <c r="Q1" s="622"/>
      <c r="R1" s="616"/>
    </row>
    <row r="2" spans="1:19" s="179" customFormat="1" ht="15" customHeight="1">
      <c r="A2" s="596"/>
      <c r="B2" s="184"/>
      <c r="C2" s="608"/>
      <c r="D2" s="708"/>
      <c r="E2" s="1644"/>
      <c r="F2" s="1645"/>
      <c r="G2" s="1645"/>
      <c r="H2" s="1645"/>
      <c r="I2" s="1645"/>
      <c r="J2" s="1645"/>
      <c r="K2" s="1645"/>
      <c r="L2" s="1645"/>
      <c r="M2" s="1645"/>
      <c r="N2" s="1646"/>
      <c r="O2" s="189"/>
      <c r="P2" s="614"/>
      <c r="Q2" s="619"/>
      <c r="R2" s="190"/>
    </row>
    <row r="3" spans="1:19" s="179" customFormat="1" ht="15" customHeight="1">
      <c r="A3" s="596"/>
      <c r="B3" s="184"/>
      <c r="C3" s="608"/>
      <c r="D3" s="708"/>
      <c r="E3" s="1638" t="str">
        <f>+Datos!B2</f>
        <v>PROYECTO: CONSTRUCCION Y REHABILITACION TRAMO CARRETERO 
VILLA MONTES - LA VERTIENTE - PALO MARCADO</v>
      </c>
      <c r="F3" s="1639"/>
      <c r="G3" s="1639"/>
      <c r="H3" s="1639"/>
      <c r="I3" s="1639"/>
      <c r="J3" s="1639"/>
      <c r="K3" s="1639"/>
      <c r="L3" s="1639"/>
      <c r="M3" s="1639"/>
      <c r="N3" s="1640"/>
      <c r="O3" s="189"/>
      <c r="P3" s="614"/>
      <c r="Q3" s="619"/>
      <c r="R3" s="190"/>
    </row>
    <row r="4" spans="1:19" s="179" customFormat="1" ht="15" customHeight="1">
      <c r="A4" s="596"/>
      <c r="B4" s="184"/>
      <c r="C4" s="608"/>
      <c r="D4" s="708"/>
      <c r="E4" s="1638"/>
      <c r="F4" s="1639"/>
      <c r="G4" s="1639"/>
      <c r="H4" s="1639"/>
      <c r="I4" s="1639"/>
      <c r="J4" s="1639"/>
      <c r="K4" s="1639"/>
      <c r="L4" s="1639"/>
      <c r="M4" s="1639"/>
      <c r="N4" s="1640"/>
      <c r="O4" s="189"/>
      <c r="P4" s="614"/>
      <c r="Q4" s="619"/>
      <c r="R4" s="190"/>
    </row>
    <row r="5" spans="1:19" s="179" customFormat="1" ht="15" customHeight="1">
      <c r="A5" s="597"/>
      <c r="B5" s="185"/>
      <c r="C5" s="608"/>
      <c r="D5" s="187"/>
      <c r="E5" s="1653" t="s">
        <v>383</v>
      </c>
      <c r="F5" s="1654"/>
      <c r="G5" s="1654"/>
      <c r="H5" s="1654"/>
      <c r="I5" s="1654"/>
      <c r="J5" s="1654"/>
      <c r="K5" s="1654"/>
      <c r="L5" s="1654"/>
      <c r="M5" s="1654"/>
      <c r="N5" s="1655"/>
      <c r="O5" s="620"/>
      <c r="P5" s="621"/>
      <c r="Q5" s="621"/>
      <c r="R5" s="604"/>
    </row>
    <row r="6" spans="1:19" s="179" customFormat="1" ht="11.25" customHeight="1">
      <c r="A6" s="1635" t="s">
        <v>155</v>
      </c>
      <c r="B6" s="1636"/>
      <c r="C6" s="1636"/>
      <c r="D6" s="1637"/>
      <c r="E6" s="1656"/>
      <c r="F6" s="1657"/>
      <c r="G6" s="1657"/>
      <c r="H6" s="1657"/>
      <c r="I6" s="1657"/>
      <c r="J6" s="1657"/>
      <c r="K6" s="1657"/>
      <c r="L6" s="1657"/>
      <c r="M6" s="1657"/>
      <c r="N6" s="1658"/>
      <c r="O6" s="1663" t="s">
        <v>241</v>
      </c>
      <c r="P6" s="1664"/>
      <c r="Q6" s="1664"/>
      <c r="R6" s="1665"/>
    </row>
    <row r="7" spans="1:19" s="180" customFormat="1" ht="17.100000000000001" customHeight="1">
      <c r="A7" s="601" t="s">
        <v>190</v>
      </c>
      <c r="B7" s="200"/>
      <c r="C7" s="617"/>
      <c r="D7" s="617"/>
      <c r="E7" s="603">
        <f>+Certificado!$K$16</f>
        <v>108397839.64</v>
      </c>
      <c r="F7" s="186"/>
      <c r="G7" s="186"/>
      <c r="H7" s="186"/>
      <c r="I7" s="186"/>
      <c r="J7" s="186"/>
      <c r="K7" s="177"/>
      <c r="L7" s="177"/>
      <c r="M7" s="615"/>
      <c r="N7" s="615"/>
      <c r="O7" s="177"/>
      <c r="P7" s="177"/>
      <c r="Q7" s="615"/>
      <c r="R7" s="191"/>
    </row>
    <row r="8" spans="1:19" s="180" customFormat="1" ht="21.75" customHeight="1">
      <c r="A8" s="1649" t="s">
        <v>384</v>
      </c>
      <c r="B8" s="1651" t="s">
        <v>193</v>
      </c>
      <c r="C8" s="1630" t="s">
        <v>192</v>
      </c>
      <c r="D8" s="1631"/>
      <c r="E8" s="1628" t="s">
        <v>389</v>
      </c>
      <c r="F8" s="1629"/>
      <c r="G8" s="1629"/>
      <c r="H8" s="1629"/>
      <c r="I8" s="1659" t="s">
        <v>427</v>
      </c>
      <c r="J8" s="1660"/>
      <c r="K8" s="1659" t="s">
        <v>454</v>
      </c>
      <c r="L8" s="1660"/>
      <c r="M8" s="1668" t="s">
        <v>394</v>
      </c>
      <c r="N8" s="1667"/>
      <c r="O8" s="1670" t="s">
        <v>391</v>
      </c>
      <c r="P8" s="1660"/>
      <c r="Q8" s="1659" t="s">
        <v>196</v>
      </c>
      <c r="R8" s="1660"/>
    </row>
    <row r="9" spans="1:19" s="180" customFormat="1" ht="21.75" customHeight="1">
      <c r="A9" s="1650"/>
      <c r="B9" s="1652"/>
      <c r="C9" s="1632"/>
      <c r="D9" s="1633"/>
      <c r="E9" s="1007" t="s">
        <v>381</v>
      </c>
      <c r="F9" s="1008" t="s">
        <v>392</v>
      </c>
      <c r="G9" s="1634" t="s">
        <v>390</v>
      </c>
      <c r="H9" s="1634"/>
      <c r="I9" s="1661"/>
      <c r="J9" s="1662"/>
      <c r="K9" s="1661"/>
      <c r="L9" s="1662"/>
      <c r="M9" s="1669"/>
      <c r="N9" s="1662"/>
      <c r="O9" s="1669"/>
      <c r="P9" s="1662"/>
      <c r="Q9" s="1666"/>
      <c r="R9" s="1667"/>
    </row>
    <row r="10" spans="1:19" s="180" customFormat="1" ht="17.100000000000001" customHeight="1">
      <c r="A10" s="598" t="s">
        <v>387</v>
      </c>
      <c r="B10" s="272" t="s">
        <v>386</v>
      </c>
      <c r="C10" s="610" t="s">
        <v>385</v>
      </c>
      <c r="D10" s="272" t="s">
        <v>388</v>
      </c>
      <c r="E10" s="273" t="s">
        <v>385</v>
      </c>
      <c r="F10" s="612" t="s">
        <v>385</v>
      </c>
      <c r="G10" s="612" t="s">
        <v>385</v>
      </c>
      <c r="H10" s="271" t="s">
        <v>388</v>
      </c>
      <c r="I10" s="273" t="s">
        <v>385</v>
      </c>
      <c r="J10" s="595" t="s">
        <v>388</v>
      </c>
      <c r="K10" s="273" t="s">
        <v>385</v>
      </c>
      <c r="L10" s="595" t="s">
        <v>388</v>
      </c>
      <c r="M10" s="611" t="s">
        <v>385</v>
      </c>
      <c r="N10" s="595" t="s">
        <v>388</v>
      </c>
      <c r="O10" s="611" t="s">
        <v>385</v>
      </c>
      <c r="P10" s="595" t="s">
        <v>388</v>
      </c>
      <c r="Q10" s="273" t="s">
        <v>385</v>
      </c>
      <c r="R10" s="595" t="s">
        <v>388</v>
      </c>
    </row>
    <row r="11" spans="1:19" s="180" customFormat="1" ht="17.100000000000001" customHeight="1">
      <c r="A11" s="1035" t="s">
        <v>610</v>
      </c>
      <c r="B11" s="1082">
        <v>43726</v>
      </c>
      <c r="C11" s="1083">
        <v>0</v>
      </c>
      <c r="D11" s="1084">
        <f>+C11*100/E$7</f>
        <v>0</v>
      </c>
      <c r="E11" s="1083"/>
      <c r="F11" s="1085"/>
      <c r="G11" s="1085"/>
      <c r="H11" s="1084"/>
      <c r="I11" s="1083"/>
      <c r="J11" s="1086"/>
      <c r="K11" s="1083"/>
      <c r="L11" s="1086"/>
      <c r="M11" s="1087"/>
      <c r="N11" s="1086"/>
      <c r="O11" s="1088"/>
      <c r="P11" s="1086"/>
      <c r="Q11" s="1089">
        <f>+Anticipo!H8</f>
        <v>21679567.93</v>
      </c>
      <c r="R11" s="1090">
        <f>+Q11/E7</f>
        <v>0.20000000001845056</v>
      </c>
      <c r="S11" s="180">
        <v>21679567.93</v>
      </c>
    </row>
    <row r="12" spans="1:19" s="180" customFormat="1" ht="17.100000000000001" customHeight="1">
      <c r="A12" s="1091">
        <v>1</v>
      </c>
      <c r="B12" s="1082">
        <v>44075</v>
      </c>
      <c r="C12" s="1092">
        <v>230575.22</v>
      </c>
      <c r="D12" s="1093">
        <f t="shared" ref="D12" si="0">+C12/$E$7</f>
        <v>2.1271200677593135E-3</v>
      </c>
      <c r="E12" s="1094"/>
      <c r="F12" s="1095"/>
      <c r="G12" s="1095"/>
      <c r="H12" s="1096"/>
      <c r="I12" s="1094">
        <f t="shared" ref="I12:I13" si="1">+ROUND(C12*0.2,2)</f>
        <v>46115.040000000001</v>
      </c>
      <c r="J12" s="1093">
        <f t="shared" ref="J12:J13" si="2">+I12/$E$7</f>
        <v>4.2542397665075828E-4</v>
      </c>
      <c r="K12" s="1094">
        <f t="shared" ref="K12:K13" si="3">+ROUND(C12*0.07,2)</f>
        <v>16140.27</v>
      </c>
      <c r="L12" s="1097">
        <f t="shared" ref="L12:L13" si="4">+K12/$E$7</f>
        <v>1.4889844717942203E-4</v>
      </c>
      <c r="M12" s="1098"/>
      <c r="N12" s="1099"/>
      <c r="O12" s="1094"/>
      <c r="P12" s="1099"/>
      <c r="Q12" s="1094">
        <f t="shared" ref="Q12" si="5">+C12-I12-K12</f>
        <v>168319.91</v>
      </c>
      <c r="R12" s="1090">
        <f t="shared" ref="R12:R13" si="6">+D12-J12-L12</f>
        <v>1.552797643929133E-3</v>
      </c>
      <c r="S12" s="974"/>
    </row>
    <row r="13" spans="1:19" s="180" customFormat="1" ht="17.100000000000001" customHeight="1">
      <c r="A13" s="1091">
        <v>2</v>
      </c>
      <c r="B13" s="1082">
        <v>44105</v>
      </c>
      <c r="C13" s="1092">
        <v>515942.20000000007</v>
      </c>
      <c r="D13" s="1093">
        <f t="shared" ref="D13" si="7">+C13/$E$7</f>
        <v>4.7597092498660063E-3</v>
      </c>
      <c r="E13" s="1094"/>
      <c r="F13" s="1095"/>
      <c r="G13" s="1095"/>
      <c r="H13" s="1096"/>
      <c r="I13" s="1094">
        <f t="shared" si="1"/>
        <v>103188.44</v>
      </c>
      <c r="J13" s="1097">
        <f t="shared" si="2"/>
        <v>9.5194184997320118E-4</v>
      </c>
      <c r="K13" s="1094">
        <f t="shared" si="3"/>
        <v>36115.949999999997</v>
      </c>
      <c r="L13" s="1097">
        <f t="shared" si="4"/>
        <v>3.3317961058951598E-4</v>
      </c>
      <c r="M13" s="1098"/>
      <c r="N13" s="1099"/>
      <c r="O13" s="1094"/>
      <c r="P13" s="1099"/>
      <c r="Q13" s="1094">
        <f>+C13-I13-K13</f>
        <v>376637.81000000006</v>
      </c>
      <c r="R13" s="1090">
        <f t="shared" si="6"/>
        <v>3.4745877893032893E-3</v>
      </c>
      <c r="S13" s="974"/>
    </row>
    <row r="14" spans="1:19" s="180" customFormat="1" ht="17.100000000000001" customHeight="1">
      <c r="A14" s="1091">
        <v>3</v>
      </c>
      <c r="B14" s="1082">
        <v>44136</v>
      </c>
      <c r="C14" s="1094">
        <v>778326.78</v>
      </c>
      <c r="D14" s="1093">
        <f t="shared" ref="D14:D15" si="8">+C14/$E$7</f>
        <v>7.1802794463884205E-3</v>
      </c>
      <c r="E14" s="1094"/>
      <c r="F14" s="1095"/>
      <c r="G14" s="1095"/>
      <c r="H14" s="1096"/>
      <c r="I14" s="1094">
        <f t="shared" ref="I14" si="9">+ROUND(C14*0.2,2)</f>
        <v>155665.35999999999</v>
      </c>
      <c r="J14" s="1097">
        <f t="shared" ref="J14" si="10">+I14/$E$7</f>
        <v>1.4360559261787885E-3</v>
      </c>
      <c r="K14" s="1094">
        <f t="shared" ref="K14" si="11">+ROUND(C14*0.07,2)</f>
        <v>54482.87</v>
      </c>
      <c r="L14" s="1097">
        <f t="shared" ref="L14" si="12">+K14/$E$7</f>
        <v>5.026195188109194E-4</v>
      </c>
      <c r="M14" s="1098"/>
      <c r="N14" s="1099"/>
      <c r="O14" s="1094"/>
      <c r="P14" s="1099"/>
      <c r="Q14" s="1094">
        <f>+C14-I14-K14</f>
        <v>568178.55000000005</v>
      </c>
      <c r="R14" s="1090">
        <f t="shared" ref="R14" si="13">+D14-J14-L14</f>
        <v>5.2416040013987123E-3</v>
      </c>
      <c r="S14" s="974"/>
    </row>
    <row r="15" spans="1:19" s="180" customFormat="1" ht="17.100000000000001" customHeight="1">
      <c r="A15" s="1091">
        <v>4</v>
      </c>
      <c r="B15" s="1082" t="s">
        <v>652</v>
      </c>
      <c r="C15" s="1094">
        <v>86910.98</v>
      </c>
      <c r="D15" s="1093">
        <f t="shared" si="8"/>
        <v>8.0177778716476267E-4</v>
      </c>
      <c r="E15" s="1094"/>
      <c r="F15" s="1095"/>
      <c r="G15" s="1095"/>
      <c r="H15" s="1096"/>
      <c r="I15" s="1094">
        <f>+ROUND(C15*0.2,2)</f>
        <v>17382.2</v>
      </c>
      <c r="J15" s="1097">
        <f t="shared" ref="J15" si="14">+I15/$E$7</f>
        <v>1.6035559433405698E-4</v>
      </c>
      <c r="K15" s="1094">
        <f>+ROUND(C15*0.07,2)</f>
        <v>6083.77</v>
      </c>
      <c r="L15" s="1097">
        <f>+K15/$E$7</f>
        <v>5.6124458016919943E-5</v>
      </c>
      <c r="M15" s="1098"/>
      <c r="N15" s="1099"/>
      <c r="O15" s="1094"/>
      <c r="P15" s="1099"/>
      <c r="Q15" s="1094">
        <f>+C15-I15-K15</f>
        <v>63445.009999999995</v>
      </c>
      <c r="R15" s="1090">
        <f t="shared" ref="R15" si="15">+D15-J15-L15</f>
        <v>5.852977348137858E-4</v>
      </c>
      <c r="S15" s="975"/>
    </row>
    <row r="16" spans="1:19" s="180" customFormat="1" ht="17.100000000000001" customHeight="1">
      <c r="A16" s="1091">
        <v>5</v>
      </c>
      <c r="B16" s="1082">
        <v>44256</v>
      </c>
      <c r="C16" s="1094">
        <v>38094.980000000003</v>
      </c>
      <c r="D16" s="1093">
        <f>+C16/$E$7</f>
        <v>3.5143670876206775E-4</v>
      </c>
      <c r="E16" s="1094"/>
      <c r="F16" s="1095"/>
      <c r="G16" s="1095"/>
      <c r="H16" s="1096"/>
      <c r="I16" s="1094">
        <f>+ROUND(C16*0.2,2)</f>
        <v>7619</v>
      </c>
      <c r="J16" s="1097">
        <f t="shared" ref="J16" si="16">+I16/$E$7</f>
        <v>7.0287378653517964E-5</v>
      </c>
      <c r="K16" s="1094">
        <f>+ROUND(C16*0.07,2)</f>
        <v>2666.65</v>
      </c>
      <c r="L16" s="1097">
        <f>+K16/$E$7</f>
        <v>2.4600582528731292E-5</v>
      </c>
      <c r="M16" s="1098"/>
      <c r="N16" s="1099"/>
      <c r="O16" s="1094"/>
      <c r="P16" s="1099"/>
      <c r="Q16" s="1094">
        <f>+C16-I16-K16</f>
        <v>27809.33</v>
      </c>
      <c r="R16" s="1090">
        <f t="shared" ref="R16" si="17">+D16-J16-L16</f>
        <v>2.5654874757981847E-4</v>
      </c>
      <c r="S16" s="590"/>
    </row>
    <row r="17" spans="1:20" s="180" customFormat="1" ht="17.100000000000001" customHeight="1">
      <c r="A17" s="1091">
        <v>6</v>
      </c>
      <c r="B17" s="1082">
        <v>44287</v>
      </c>
      <c r="C17" s="1094">
        <f>+'Planilla de Avance'!N104</f>
        <v>81632.100000000006</v>
      </c>
      <c r="D17" s="1093">
        <f>+C17/$E$7</f>
        <v>7.5307866163300231E-4</v>
      </c>
      <c r="E17" s="1094"/>
      <c r="F17" s="1095"/>
      <c r="G17" s="1095"/>
      <c r="H17" s="1096"/>
      <c r="I17" s="1094">
        <f>+ROUND(C17*0.2,2)</f>
        <v>16326.42</v>
      </c>
      <c r="J17" s="1097">
        <f t="shared" ref="J17" si="18">+I17/$E$7</f>
        <v>1.5061573232660045E-4</v>
      </c>
      <c r="K17" s="1094">
        <f>+ROUND(C17*0.07,2)</f>
        <v>5714.25</v>
      </c>
      <c r="L17" s="1097">
        <f>+K17/$E$7</f>
        <v>5.2715533990138477E-5</v>
      </c>
      <c r="M17" s="1098"/>
      <c r="N17" s="1099"/>
      <c r="O17" s="1094"/>
      <c r="P17" s="1099"/>
      <c r="Q17" s="1094">
        <f>+C17-I17-K17</f>
        <v>59591.430000000008</v>
      </c>
      <c r="R17" s="1090">
        <f t="shared" ref="R17" si="19">+D17-J17-L17</f>
        <v>5.4974739531626329E-4</v>
      </c>
    </row>
    <row r="18" spans="1:20" s="180" customFormat="1" ht="17.100000000000001" customHeight="1">
      <c r="A18" s="1091"/>
      <c r="B18" s="1082"/>
      <c r="C18" s="1094"/>
      <c r="D18" s="1093"/>
      <c r="E18" s="1094"/>
      <c r="F18" s="1095"/>
      <c r="G18" s="1095"/>
      <c r="H18" s="1096"/>
      <c r="I18" s="1094"/>
      <c r="J18" s="1097"/>
      <c r="K18" s="1094"/>
      <c r="L18" s="1097"/>
      <c r="M18" s="1098"/>
      <c r="N18" s="1099"/>
      <c r="O18" s="1094"/>
      <c r="P18" s="1099"/>
      <c r="Q18" s="1094"/>
      <c r="R18" s="1090"/>
    </row>
    <row r="19" spans="1:20" s="180" customFormat="1" ht="17.100000000000001" customHeight="1">
      <c r="A19" s="1091"/>
      <c r="B19" s="1082"/>
      <c r="C19" s="1094"/>
      <c r="D19" s="1096"/>
      <c r="E19" s="1094"/>
      <c r="F19" s="1095"/>
      <c r="G19" s="1095"/>
      <c r="H19" s="1096"/>
      <c r="I19" s="1094"/>
      <c r="J19" s="1099"/>
      <c r="K19" s="1094"/>
      <c r="L19" s="1099"/>
      <c r="M19" s="1098"/>
      <c r="N19" s="1099"/>
      <c r="O19" s="1094"/>
      <c r="P19" s="1099"/>
      <c r="Q19" s="1094"/>
      <c r="R19" s="1130"/>
    </row>
    <row r="20" spans="1:20" s="180" customFormat="1" ht="17.100000000000001" customHeight="1">
      <c r="A20" s="1091"/>
      <c r="B20" s="1082"/>
      <c r="C20" s="1094"/>
      <c r="D20" s="1096"/>
      <c r="E20" s="1094"/>
      <c r="F20" s="1095"/>
      <c r="G20" s="1095"/>
      <c r="H20" s="1096"/>
      <c r="I20" s="1094"/>
      <c r="J20" s="1099"/>
      <c r="K20" s="1094"/>
      <c r="L20" s="1099"/>
      <c r="M20" s="1098"/>
      <c r="N20" s="1099"/>
      <c r="O20" s="1094"/>
      <c r="P20" s="1099"/>
      <c r="Q20" s="1094"/>
      <c r="R20" s="1130"/>
    </row>
    <row r="21" spans="1:20" s="180" customFormat="1" ht="17.100000000000001" customHeight="1">
      <c r="A21" s="1091"/>
      <c r="B21" s="1082"/>
      <c r="C21" s="1094"/>
      <c r="D21" s="1096"/>
      <c r="E21" s="1094"/>
      <c r="F21" s="1095"/>
      <c r="G21" s="1095"/>
      <c r="H21" s="1096"/>
      <c r="I21" s="1094"/>
      <c r="J21" s="1099"/>
      <c r="K21" s="1094"/>
      <c r="L21" s="1099"/>
      <c r="M21" s="1098"/>
      <c r="N21" s="1099"/>
      <c r="O21" s="1094"/>
      <c r="P21" s="1099"/>
      <c r="Q21" s="1094"/>
      <c r="R21" s="1130"/>
      <c r="S21" s="716"/>
      <c r="T21" s="717"/>
    </row>
    <row r="22" spans="1:20" s="180" customFormat="1" ht="17.100000000000001" customHeight="1">
      <c r="A22" s="1091"/>
      <c r="B22" s="1082"/>
      <c r="C22" s="1094"/>
      <c r="D22" s="1096"/>
      <c r="E22" s="1094"/>
      <c r="F22" s="1095"/>
      <c r="G22" s="1095"/>
      <c r="H22" s="1096"/>
      <c r="I22" s="1094"/>
      <c r="J22" s="1099"/>
      <c r="K22" s="1094"/>
      <c r="L22" s="1099"/>
      <c r="M22" s="1098"/>
      <c r="N22" s="1099"/>
      <c r="O22" s="1094"/>
      <c r="P22" s="1099"/>
      <c r="Q22" s="1094"/>
      <c r="R22" s="1130"/>
      <c r="T22" s="716"/>
    </row>
    <row r="23" spans="1:20" s="180" customFormat="1" ht="17.100000000000001" customHeight="1">
      <c r="A23" s="1091"/>
      <c r="B23" s="1082"/>
      <c r="C23" s="1094"/>
      <c r="D23" s="1096"/>
      <c r="E23" s="1094"/>
      <c r="F23" s="1095"/>
      <c r="G23" s="1095"/>
      <c r="H23" s="1096"/>
      <c r="I23" s="1094"/>
      <c r="J23" s="1099"/>
      <c r="K23" s="1094"/>
      <c r="L23" s="1099"/>
      <c r="M23" s="1098"/>
      <c r="N23" s="1099"/>
      <c r="O23" s="1094"/>
      <c r="P23" s="1099"/>
      <c r="Q23" s="1094"/>
      <c r="R23" s="1130"/>
    </row>
    <row r="24" spans="1:20" s="180" customFormat="1" ht="17.100000000000001" customHeight="1">
      <c r="A24" s="1091"/>
      <c r="B24" s="1082"/>
      <c r="C24" s="1094"/>
      <c r="D24" s="1096"/>
      <c r="E24" s="1094"/>
      <c r="F24" s="1095"/>
      <c r="G24" s="1095"/>
      <c r="H24" s="1096"/>
      <c r="I24" s="1094"/>
      <c r="J24" s="1099"/>
      <c r="K24" s="1094"/>
      <c r="L24" s="1099"/>
      <c r="M24" s="1098"/>
      <c r="N24" s="1099"/>
      <c r="O24" s="1094"/>
      <c r="P24" s="1099"/>
      <c r="Q24" s="1094"/>
      <c r="R24" s="1130"/>
    </row>
    <row r="25" spans="1:20" s="180" customFormat="1" ht="17.100000000000001" customHeight="1">
      <c r="A25" s="1091"/>
      <c r="B25" s="1082"/>
      <c r="C25" s="1094"/>
      <c r="D25" s="1096"/>
      <c r="E25" s="1094"/>
      <c r="F25" s="1095"/>
      <c r="G25" s="1095"/>
      <c r="H25" s="1096"/>
      <c r="I25" s="1094"/>
      <c r="J25" s="1099"/>
      <c r="K25" s="1094"/>
      <c r="L25" s="1099"/>
      <c r="M25" s="1098"/>
      <c r="N25" s="1099"/>
      <c r="O25" s="1094"/>
      <c r="P25" s="1099"/>
      <c r="Q25" s="1094"/>
      <c r="R25" s="1130"/>
      <c r="T25" s="590"/>
    </row>
    <row r="26" spans="1:20" s="180" customFormat="1" ht="17.100000000000001" customHeight="1">
      <c r="A26" s="1091"/>
      <c r="B26" s="1082"/>
      <c r="C26" s="1094"/>
      <c r="D26" s="1096"/>
      <c r="E26" s="1094"/>
      <c r="F26" s="1095"/>
      <c r="G26" s="1095"/>
      <c r="H26" s="1096"/>
      <c r="I26" s="1094"/>
      <c r="J26" s="1099"/>
      <c r="K26" s="1094"/>
      <c r="L26" s="1099"/>
      <c r="M26" s="1098"/>
      <c r="N26" s="1099"/>
      <c r="O26" s="1094"/>
      <c r="P26" s="1099"/>
      <c r="Q26" s="1094"/>
      <c r="R26" s="1130"/>
    </row>
    <row r="27" spans="1:20" s="180" customFormat="1" ht="17.100000000000001" customHeight="1">
      <c r="A27" s="1091"/>
      <c r="B27" s="1082"/>
      <c r="C27" s="1094"/>
      <c r="D27" s="1096"/>
      <c r="E27" s="1094"/>
      <c r="F27" s="1095"/>
      <c r="G27" s="1095"/>
      <c r="H27" s="1096"/>
      <c r="I27" s="1094"/>
      <c r="J27" s="1099"/>
      <c r="K27" s="1094"/>
      <c r="L27" s="1099"/>
      <c r="M27" s="1098"/>
      <c r="N27" s="1099"/>
      <c r="O27" s="1094"/>
      <c r="P27" s="1099"/>
      <c r="Q27" s="1094"/>
      <c r="R27" s="1130"/>
    </row>
    <row r="28" spans="1:20" s="180" customFormat="1" ht="17.100000000000001" customHeight="1">
      <c r="A28" s="1091"/>
      <c r="B28" s="1082"/>
      <c r="C28" s="1094"/>
      <c r="D28" s="1096"/>
      <c r="E28" s="1094"/>
      <c r="F28" s="1095"/>
      <c r="G28" s="1095"/>
      <c r="H28" s="1096"/>
      <c r="I28" s="1094"/>
      <c r="J28" s="1099"/>
      <c r="K28" s="1094"/>
      <c r="L28" s="1099"/>
      <c r="M28" s="1098"/>
      <c r="N28" s="1099"/>
      <c r="O28" s="1094"/>
      <c r="P28" s="1099"/>
      <c r="Q28" s="1094"/>
      <c r="R28" s="1130"/>
    </row>
    <row r="29" spans="1:20" s="180" customFormat="1" ht="17.100000000000001" customHeight="1">
      <c r="A29" s="1091"/>
      <c r="B29" s="1082"/>
      <c r="C29" s="1094"/>
      <c r="D29" s="1096"/>
      <c r="E29" s="1094"/>
      <c r="F29" s="1095"/>
      <c r="G29" s="1095"/>
      <c r="H29" s="1096"/>
      <c r="I29" s="1094"/>
      <c r="J29" s="1099"/>
      <c r="K29" s="1094"/>
      <c r="L29" s="1099"/>
      <c r="M29" s="1098"/>
      <c r="N29" s="1099"/>
      <c r="O29" s="1094"/>
      <c r="P29" s="1099"/>
      <c r="Q29" s="1094"/>
      <c r="R29" s="1130"/>
    </row>
    <row r="30" spans="1:20" s="180" customFormat="1" ht="17.100000000000001" customHeight="1">
      <c r="A30" s="1091"/>
      <c r="B30" s="1082"/>
      <c r="C30" s="1094"/>
      <c r="D30" s="1096"/>
      <c r="E30" s="1094"/>
      <c r="F30" s="1095"/>
      <c r="G30" s="1095"/>
      <c r="H30" s="1096"/>
      <c r="I30" s="1094"/>
      <c r="J30" s="1099"/>
      <c r="K30" s="1094"/>
      <c r="L30" s="1099"/>
      <c r="M30" s="1098"/>
      <c r="N30" s="1099"/>
      <c r="O30" s="1094"/>
      <c r="P30" s="1099"/>
      <c r="Q30" s="1094"/>
      <c r="R30" s="1130"/>
    </row>
    <row r="31" spans="1:20" s="180" customFormat="1" ht="17.100000000000001" customHeight="1">
      <c r="A31" s="1091"/>
      <c r="B31" s="1131"/>
      <c r="C31" s="1132"/>
      <c r="D31" s="1096"/>
      <c r="E31" s="1094"/>
      <c r="F31" s="1133"/>
      <c r="G31" s="1095"/>
      <c r="H31" s="1096"/>
      <c r="I31" s="1094"/>
      <c r="J31" s="1099"/>
      <c r="K31" s="1094"/>
      <c r="L31" s="1099"/>
      <c r="M31" s="1098"/>
      <c r="N31" s="1099"/>
      <c r="O31" s="1094"/>
      <c r="P31" s="1099"/>
      <c r="Q31" s="1132"/>
      <c r="R31" s="1134"/>
    </row>
    <row r="32" spans="1:20" s="180" customFormat="1" ht="17.100000000000001" customHeight="1">
      <c r="A32" s="1647" t="s">
        <v>206</v>
      </c>
      <c r="B32" s="1648"/>
      <c r="C32" s="1100">
        <f>SUM(C11:C31)</f>
        <v>1731482.2600000002</v>
      </c>
      <c r="D32" s="1101">
        <f>SUM(D11:D31)</f>
        <v>1.5973401921573573E-2</v>
      </c>
      <c r="E32" s="1100"/>
      <c r="F32" s="1102"/>
      <c r="G32" s="1103">
        <f t="shared" ref="G32:P32" si="20">SUM(G11:G31)</f>
        <v>0</v>
      </c>
      <c r="H32" s="1104">
        <f t="shared" si="20"/>
        <v>0</v>
      </c>
      <c r="I32" s="1100">
        <f>SUM(I11:I31)</f>
        <v>346296.45999999996</v>
      </c>
      <c r="J32" s="1101">
        <f>SUM(J11:J31)</f>
        <v>3.1946804581169234E-3</v>
      </c>
      <c r="K32" s="1100">
        <f t="shared" si="20"/>
        <v>121203.76</v>
      </c>
      <c r="L32" s="1101">
        <f>SUM(L11:L31)</f>
        <v>1.118138151115647E-3</v>
      </c>
      <c r="M32" s="1105">
        <f t="shared" si="20"/>
        <v>0</v>
      </c>
      <c r="N32" s="1104">
        <f t="shared" si="20"/>
        <v>0</v>
      </c>
      <c r="O32" s="1105">
        <f t="shared" si="20"/>
        <v>0</v>
      </c>
      <c r="P32" s="1104">
        <f t="shared" si="20"/>
        <v>0</v>
      </c>
      <c r="Q32" s="1100">
        <f>SUM(Q11:Q31)</f>
        <v>22943549.969999999</v>
      </c>
      <c r="R32" s="1101">
        <f>SUM(R11:R31)</f>
        <v>0.21166058333079157</v>
      </c>
      <c r="S32" s="1432"/>
      <c r="T32" s="1211"/>
    </row>
    <row r="33" spans="1:18" s="180" customFormat="1">
      <c r="A33" s="599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92"/>
      <c r="N33" s="192"/>
      <c r="O33" s="177"/>
      <c r="P33" s="177"/>
      <c r="Q33" s="177"/>
      <c r="R33" s="191"/>
    </row>
    <row r="34" spans="1:18" s="178" customFormat="1">
      <c r="A34" s="601" t="s">
        <v>162</v>
      </c>
      <c r="B34" s="193"/>
      <c r="C34" s="193"/>
      <c r="D34" s="193"/>
      <c r="E34" s="193"/>
      <c r="F34" s="618"/>
      <c r="G34" s="602"/>
      <c r="H34" s="602"/>
      <c r="I34" s="602"/>
      <c r="J34" s="602"/>
      <c r="K34" s="602" t="s">
        <v>393</v>
      </c>
      <c r="L34" s="193"/>
      <c r="M34" s="618"/>
      <c r="N34" s="618"/>
      <c r="O34" s="186"/>
      <c r="P34" s="186"/>
      <c r="Q34" s="193"/>
      <c r="R34" s="194"/>
    </row>
    <row r="35" spans="1:18" s="180" customFormat="1">
      <c r="A35" s="599"/>
      <c r="B35" s="177"/>
      <c r="C35" s="177"/>
      <c r="D35" s="177"/>
      <c r="E35" s="177"/>
      <c r="F35" s="177"/>
      <c r="G35" s="177"/>
      <c r="H35" s="177"/>
      <c r="I35" s="177"/>
      <c r="J35" s="177"/>
      <c r="K35" s="192"/>
      <c r="L35" s="192"/>
      <c r="M35" s="177"/>
      <c r="N35" s="177"/>
      <c r="O35" s="177"/>
      <c r="P35" s="177"/>
      <c r="Q35" s="177"/>
      <c r="R35" s="191"/>
    </row>
    <row r="36" spans="1:18" s="180" customFormat="1">
      <c r="A36" s="599"/>
      <c r="B36" s="177"/>
      <c r="C36" s="177"/>
      <c r="D36" s="177"/>
      <c r="E36" s="177"/>
      <c r="F36" s="177"/>
      <c r="G36" s="177"/>
      <c r="H36" s="177"/>
      <c r="I36" s="177"/>
      <c r="J36" s="177"/>
      <c r="K36" s="192"/>
      <c r="L36" s="192"/>
      <c r="M36" s="177"/>
      <c r="N36" s="177"/>
      <c r="O36" s="177"/>
      <c r="P36" s="177"/>
      <c r="Q36" s="177"/>
      <c r="R36" s="191"/>
    </row>
    <row r="37" spans="1:18" s="180" customFormat="1">
      <c r="A37" s="599"/>
      <c r="B37" s="177"/>
      <c r="C37" s="177"/>
      <c r="D37" s="177"/>
      <c r="E37" s="177"/>
      <c r="F37" s="177"/>
      <c r="G37" s="177"/>
      <c r="H37" s="177"/>
      <c r="I37" s="177"/>
      <c r="J37" s="177"/>
      <c r="K37" s="192"/>
      <c r="L37" s="192"/>
      <c r="M37" s="177"/>
      <c r="N37" s="177"/>
      <c r="O37" s="177"/>
      <c r="P37" s="177"/>
      <c r="Q37" s="177"/>
      <c r="R37" s="191"/>
    </row>
    <row r="38" spans="1:18" s="180" customFormat="1">
      <c r="A38" s="599"/>
      <c r="B38" s="177"/>
      <c r="C38" s="177"/>
      <c r="D38" s="177"/>
      <c r="E38" s="177"/>
      <c r="F38" s="177"/>
      <c r="G38" s="177"/>
      <c r="H38" s="177"/>
      <c r="I38" s="177"/>
      <c r="J38" s="177"/>
      <c r="K38" s="192"/>
      <c r="L38" s="192"/>
      <c r="M38" s="177"/>
      <c r="N38" s="177"/>
      <c r="O38" s="177"/>
      <c r="P38" s="177"/>
      <c r="Q38" s="177"/>
      <c r="R38" s="191"/>
    </row>
    <row r="39" spans="1:18" s="180" customFormat="1">
      <c r="A39" s="599"/>
      <c r="B39" s="177"/>
      <c r="C39" s="177"/>
      <c r="D39" s="177"/>
      <c r="E39" s="177"/>
      <c r="F39" s="177"/>
      <c r="G39" s="177"/>
      <c r="H39" s="177"/>
      <c r="I39" s="177"/>
      <c r="J39" s="177"/>
      <c r="K39" s="192"/>
      <c r="L39" s="192"/>
      <c r="M39" s="177"/>
      <c r="N39" s="177"/>
      <c r="O39" s="177"/>
      <c r="P39" s="177"/>
      <c r="Q39" s="177"/>
      <c r="R39" s="191"/>
    </row>
    <row r="40" spans="1:18" s="180" customFormat="1">
      <c r="A40" s="599"/>
      <c r="B40" s="177"/>
      <c r="C40" s="177"/>
      <c r="D40" s="177"/>
      <c r="E40" s="177"/>
      <c r="F40" s="177"/>
      <c r="G40" s="177"/>
      <c r="H40" s="177"/>
      <c r="I40" s="177"/>
      <c r="J40" s="177"/>
      <c r="K40" s="302"/>
      <c r="L40" s="302"/>
      <c r="M40" s="177"/>
      <c r="N40" s="177"/>
      <c r="O40" s="303"/>
      <c r="P40" s="303"/>
      <c r="Q40" s="177"/>
      <c r="R40" s="191"/>
    </row>
    <row r="41" spans="1:18" s="180" customFormat="1">
      <c r="A41" s="599"/>
      <c r="B41" s="1623" t="str">
        <f>+'Planilla de Avance'!F113</f>
        <v>Ing. Gabriel Daza Chavez</v>
      </c>
      <c r="C41" s="1623"/>
      <c r="D41" s="1623"/>
      <c r="E41" s="1623"/>
      <c r="F41" s="1623"/>
      <c r="G41" s="177"/>
      <c r="H41" s="177"/>
      <c r="I41" s="177"/>
      <c r="J41" s="177"/>
      <c r="K41" s="177"/>
      <c r="L41" s="177"/>
      <c r="M41" s="617"/>
      <c r="N41" s="204" t="str">
        <f>+'Planilla de Avance'!J113</f>
        <v>Ing. Herlan Rene Ramos Estrada</v>
      </c>
      <c r="O41" s="195"/>
      <c r="P41" s="195"/>
      <c r="Q41" s="177"/>
      <c r="R41" s="191"/>
    </row>
    <row r="42" spans="1:18" s="180" customFormat="1">
      <c r="A42" s="599"/>
      <c r="B42" s="1624" t="str">
        <f>+'Planilla de Avance'!F114</f>
        <v>SUPERINTENDENTE DE OBRA</v>
      </c>
      <c r="C42" s="1624"/>
      <c r="D42" s="1624"/>
      <c r="E42" s="1624"/>
      <c r="F42" s="1624"/>
      <c r="G42" s="193"/>
      <c r="H42" s="193"/>
      <c r="I42" s="193"/>
      <c r="J42" s="193"/>
      <c r="K42" s="193"/>
      <c r="L42" s="193"/>
      <c r="M42" s="617"/>
      <c r="N42" s="196" t="str">
        <f>+'Planilla de Avance'!J114</f>
        <v>SUPERVISOR DE OBRA</v>
      </c>
      <c r="O42" s="196"/>
      <c r="P42" s="196"/>
      <c r="Q42" s="177"/>
      <c r="R42" s="191"/>
    </row>
    <row r="43" spans="1:18" s="180" customFormat="1" ht="33.75" customHeight="1">
      <c r="A43" s="1107"/>
      <c r="B43" s="1625" t="str">
        <f>+'Planilla de Avance'!F115</f>
        <v>EMPRESA ESTRATÉGICA BOLIVIANA DE CONSTRUCCIÓN
Y CONSERVACIÓN DE INFRAESTRUCTURA CIVIL (EBC)</v>
      </c>
      <c r="C43" s="1625"/>
      <c r="D43" s="1625"/>
      <c r="E43" s="1625"/>
      <c r="F43" s="1625"/>
      <c r="G43" s="203"/>
      <c r="H43" s="203"/>
      <c r="I43" s="203"/>
      <c r="J43" s="203"/>
      <c r="K43" s="203"/>
      <c r="L43" s="203"/>
      <c r="M43" s="197"/>
      <c r="N43" s="957" t="str">
        <f>+'Planilla de Avance'!J115</f>
        <v>ABC - REGIONAL TARIJA</v>
      </c>
      <c r="O43" s="198"/>
      <c r="P43" s="198"/>
      <c r="Q43" s="197"/>
      <c r="R43" s="199"/>
    </row>
    <row r="44" spans="1:18">
      <c r="C44" s="718"/>
      <c r="D44" s="718"/>
      <c r="E44" s="718"/>
      <c r="F44" s="718"/>
      <c r="G44" s="718"/>
      <c r="R44" s="737"/>
    </row>
    <row r="45" spans="1:18">
      <c r="G45" s="719"/>
    </row>
    <row r="46" spans="1:18">
      <c r="C46" s="182"/>
      <c r="D46" s="182"/>
      <c r="E46" s="182"/>
      <c r="F46" s="182"/>
      <c r="G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</row>
    <row r="47" spans="1:18">
      <c r="J47" s="747"/>
    </row>
    <row r="55" spans="3:18"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</row>
    <row r="56" spans="3:18"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3"/>
    </row>
    <row r="57" spans="3:18"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</row>
  </sheetData>
  <mergeCells count="20">
    <mergeCell ref="O6:R6"/>
    <mergeCell ref="Q8:R9"/>
    <mergeCell ref="K8:L9"/>
    <mergeCell ref="M8:N9"/>
    <mergeCell ref="O8:P9"/>
    <mergeCell ref="B41:F41"/>
    <mergeCell ref="B42:F42"/>
    <mergeCell ref="B43:F43"/>
    <mergeCell ref="A1:C1"/>
    <mergeCell ref="E8:H8"/>
    <mergeCell ref="C8:D9"/>
    <mergeCell ref="G9:H9"/>
    <mergeCell ref="A6:D6"/>
    <mergeCell ref="E3:N4"/>
    <mergeCell ref="E1:N2"/>
    <mergeCell ref="A32:B32"/>
    <mergeCell ref="A8:A9"/>
    <mergeCell ref="B8:B9"/>
    <mergeCell ref="E5:N6"/>
    <mergeCell ref="I8:J9"/>
  </mergeCells>
  <printOptions horizontalCentered="1"/>
  <pageMargins left="0.39370078740157483" right="0.39370078740157483" top="0.78740157480314965" bottom="0.39370078740157483" header="0" footer="0"/>
  <pageSetup scale="71" orientation="landscape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21</vt:i4>
      </vt:variant>
    </vt:vector>
  </HeadingPairs>
  <TitlesOfParts>
    <vt:vector size="42" baseType="lpstr">
      <vt:lpstr>.</vt:lpstr>
      <vt:lpstr>Datos</vt:lpstr>
      <vt:lpstr>Cant. Ejec,</vt:lpstr>
      <vt:lpstr>I</vt:lpstr>
      <vt:lpstr>C</vt:lpstr>
      <vt:lpstr>S</vt:lpstr>
      <vt:lpstr>H.Crtl</vt:lpstr>
      <vt:lpstr>Certificado</vt:lpstr>
      <vt:lpstr>Avance Financiero</vt:lpstr>
      <vt:lpstr>Anticipo</vt:lpstr>
      <vt:lpstr>Retencion</vt:lpstr>
      <vt:lpstr>Multas</vt:lpstr>
      <vt:lpstr>Personal</vt:lpstr>
      <vt:lpstr>Planilla de Avance</vt:lpstr>
      <vt:lpstr>CRON.DESEMBOLSOS</vt:lpstr>
      <vt:lpstr>POLIZAS</vt:lpstr>
      <vt:lpstr>ww</vt:lpstr>
      <vt:lpstr>1</vt:lpstr>
      <vt:lpstr>5</vt:lpstr>
      <vt:lpstr>74</vt:lpstr>
      <vt:lpstr>79</vt:lpstr>
      <vt:lpstr>'1'!Área_de_impresión</vt:lpstr>
      <vt:lpstr>'5'!Área_de_impresión</vt:lpstr>
      <vt:lpstr>'74'!Área_de_impresión</vt:lpstr>
      <vt:lpstr>'79'!Área_de_impresión</vt:lpstr>
      <vt:lpstr>Anticipo!Área_de_impresión</vt:lpstr>
      <vt:lpstr>'Avance Financiero'!Área_de_impresión</vt:lpstr>
      <vt:lpstr>'C'!Área_de_impresión</vt:lpstr>
      <vt:lpstr>'Cant. Ejec,'!Área_de_impresión</vt:lpstr>
      <vt:lpstr>Certificado!Área_de_impresión</vt:lpstr>
      <vt:lpstr>CRON.DESEMBOLSOS!Área_de_impresión</vt:lpstr>
      <vt:lpstr>H.Crtl!Área_de_impresión</vt:lpstr>
      <vt:lpstr>I!Área_de_impresión</vt:lpstr>
      <vt:lpstr>Multas!Área_de_impresión</vt:lpstr>
      <vt:lpstr>Personal!Área_de_impresión</vt:lpstr>
      <vt:lpstr>'Planilla de Avance'!Área_de_impresión</vt:lpstr>
      <vt:lpstr>POLIZAS!Área_de_impresión</vt:lpstr>
      <vt:lpstr>Retencion!Área_de_impresión</vt:lpstr>
      <vt:lpstr>S!Área_de_impresión</vt:lpstr>
      <vt:lpstr>ww!Área_de_impresión</vt:lpstr>
      <vt:lpstr>'Cant. Ejec,'!Títulos_a_imprimir</vt:lpstr>
      <vt:lpstr>'Planilla de Avance'!Títulos_a_imprimir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Topografia 1</dc:creator>
  <cp:lastModifiedBy>DELL</cp:lastModifiedBy>
  <cp:lastPrinted>2021-05-05T18:32:06Z</cp:lastPrinted>
  <dcterms:created xsi:type="dcterms:W3CDTF">2009-12-04T02:53:26Z</dcterms:created>
  <dcterms:modified xsi:type="dcterms:W3CDTF">2021-05-24T21:42:39Z</dcterms:modified>
</cp:coreProperties>
</file>