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hidePivotFieldList="1" autoCompressPictures="0"/>
  <bookViews>
    <workbookView xWindow="0" yWindow="0" windowWidth="25600" windowHeight="16000" tabRatio="500"/>
  </bookViews>
  <sheets>
    <sheet name="rec" sheetId="1" r:id="rId1"/>
    <sheet name="tips" sheetId="5" r:id="rId2"/>
    <sheet name="tmplt" sheetId="2" r:id="rId3"/>
    <sheet name="sum_tmplt" sheetId="7" r:id="rId4"/>
    <sheet name="tmp_rec_club" sheetId="12" r:id="rId5"/>
    <sheet name="rec_unusual" sheetId="14" r:id="rId6"/>
  </sheets>
  <calcPr calcId="140001" concurrentCalc="0"/>
  <pivotCaches>
    <pivotCache cacheId="0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9" i="1" l="1"/>
  <c r="P19" i="1"/>
  <c r="Q19" i="1"/>
  <c r="X19" i="1"/>
  <c r="R19" i="1"/>
  <c r="W19" i="1"/>
  <c r="U19" i="1"/>
  <c r="T19" i="1"/>
  <c r="S19" i="1"/>
  <c r="V19" i="1"/>
  <c r="O19" i="1"/>
  <c r="N19" i="1"/>
  <c r="Y18" i="1"/>
  <c r="P18" i="1"/>
  <c r="Q18" i="1"/>
  <c r="X18" i="1"/>
  <c r="R18" i="1"/>
  <c r="W18" i="1"/>
  <c r="U18" i="1"/>
  <c r="T18" i="1"/>
  <c r="S18" i="1"/>
  <c r="V18" i="1"/>
  <c r="O18" i="1"/>
  <c r="N18" i="1"/>
  <c r="Y17" i="1"/>
  <c r="P17" i="1"/>
  <c r="Q17" i="1"/>
  <c r="X17" i="1"/>
  <c r="R17" i="1"/>
  <c r="W17" i="1"/>
  <c r="U17" i="1"/>
  <c r="T17" i="1"/>
  <c r="S17" i="1"/>
  <c r="V17" i="1"/>
  <c r="O17" i="1"/>
  <c r="N17" i="1"/>
  <c r="Y16" i="1"/>
  <c r="P16" i="1"/>
  <c r="Q16" i="1"/>
  <c r="X16" i="1"/>
  <c r="R16" i="1"/>
  <c r="W16" i="1"/>
  <c r="U16" i="1"/>
  <c r="T16" i="1"/>
  <c r="S16" i="1"/>
  <c r="V16" i="1"/>
  <c r="O16" i="1"/>
  <c r="N16" i="1"/>
  <c r="O2" i="2"/>
  <c r="N3" i="2"/>
  <c r="N4" i="2"/>
  <c r="N5" i="2"/>
  <c r="N2" i="2"/>
  <c r="Q13" i="1"/>
  <c r="N12" i="1"/>
  <c r="Y5" i="2"/>
  <c r="P5" i="2"/>
  <c r="Q5" i="2"/>
  <c r="X5" i="2"/>
  <c r="R5" i="2"/>
  <c r="W5" i="2"/>
  <c r="U5" i="2"/>
  <c r="T5" i="2"/>
  <c r="S5" i="2"/>
  <c r="V5" i="2"/>
  <c r="O5" i="2"/>
  <c r="Y4" i="2"/>
  <c r="D4" i="2"/>
  <c r="E4" i="2"/>
  <c r="P4" i="2"/>
  <c r="Q4" i="2"/>
  <c r="X4" i="2"/>
  <c r="R4" i="2"/>
  <c r="W4" i="2"/>
  <c r="U4" i="2"/>
  <c r="T4" i="2"/>
  <c r="S4" i="2"/>
  <c r="V4" i="2"/>
  <c r="O4" i="2"/>
  <c r="Y3" i="2"/>
  <c r="D3" i="2"/>
  <c r="E3" i="2"/>
  <c r="P3" i="2"/>
  <c r="Q3" i="2"/>
  <c r="X3" i="2"/>
  <c r="R3" i="2"/>
  <c r="W3" i="2"/>
  <c r="U3" i="2"/>
  <c r="T3" i="2"/>
  <c r="S3" i="2"/>
  <c r="V3" i="2"/>
  <c r="O3" i="2"/>
  <c r="Y2" i="2"/>
  <c r="D2" i="2"/>
  <c r="P2" i="2"/>
  <c r="Q2" i="2"/>
  <c r="X2" i="2"/>
  <c r="R2" i="2"/>
  <c r="W2" i="2"/>
  <c r="U2" i="2"/>
  <c r="T2" i="2"/>
  <c r="S2" i="2"/>
  <c r="V2" i="2"/>
  <c r="A7" i="7"/>
  <c r="P25" i="14"/>
  <c r="P26" i="14"/>
  <c r="P27" i="14"/>
  <c r="P28" i="14"/>
  <c r="Y28" i="14"/>
  <c r="X28" i="14"/>
  <c r="O28" i="14"/>
  <c r="W28" i="14"/>
  <c r="Q28" i="14"/>
  <c r="V28" i="14"/>
  <c r="T28" i="14"/>
  <c r="S28" i="14"/>
  <c r="R28" i="14"/>
  <c r="U28" i="14"/>
  <c r="N28" i="14"/>
  <c r="Y27" i="14"/>
  <c r="X27" i="14"/>
  <c r="D27" i="14"/>
  <c r="E27" i="14"/>
  <c r="O27" i="14"/>
  <c r="W27" i="14"/>
  <c r="Q27" i="14"/>
  <c r="V27" i="14"/>
  <c r="T27" i="14"/>
  <c r="S27" i="14"/>
  <c r="R27" i="14"/>
  <c r="U27" i="14"/>
  <c r="N27" i="14"/>
  <c r="Y26" i="14"/>
  <c r="X26" i="14"/>
  <c r="D26" i="14"/>
  <c r="E26" i="14"/>
  <c r="O26" i="14"/>
  <c r="W26" i="14"/>
  <c r="Q26" i="14"/>
  <c r="V26" i="14"/>
  <c r="T26" i="14"/>
  <c r="S26" i="14"/>
  <c r="R26" i="14"/>
  <c r="U26" i="14"/>
  <c r="N26" i="14"/>
  <c r="Y25" i="14"/>
  <c r="X25" i="14"/>
  <c r="D25" i="14"/>
  <c r="O25" i="14"/>
  <c r="W25" i="14"/>
  <c r="Q25" i="14"/>
  <c r="V25" i="14"/>
  <c r="T25" i="14"/>
  <c r="S25" i="14"/>
  <c r="R25" i="14"/>
  <c r="U25" i="14"/>
  <c r="N25" i="14"/>
  <c r="P23" i="14"/>
  <c r="P24" i="14"/>
  <c r="Y24" i="14"/>
  <c r="X24" i="14"/>
  <c r="D24" i="14"/>
  <c r="E24" i="14"/>
  <c r="O24" i="14"/>
  <c r="W24" i="14"/>
  <c r="Q24" i="14"/>
  <c r="V24" i="14"/>
  <c r="T24" i="14"/>
  <c r="S24" i="14"/>
  <c r="R24" i="14"/>
  <c r="U24" i="14"/>
  <c r="N24" i="14"/>
  <c r="Y23" i="14"/>
  <c r="X23" i="14"/>
  <c r="D23" i="14"/>
  <c r="E23" i="14"/>
  <c r="O23" i="14"/>
  <c r="W23" i="14"/>
  <c r="Q23" i="14"/>
  <c r="V23" i="14"/>
  <c r="T23" i="14"/>
  <c r="S23" i="14"/>
  <c r="R23" i="14"/>
  <c r="U23" i="14"/>
  <c r="N23" i="14"/>
  <c r="X22" i="14"/>
  <c r="E22" i="14"/>
  <c r="O22" i="14"/>
  <c r="P22" i="14"/>
  <c r="W22" i="14"/>
  <c r="Q22" i="14"/>
  <c r="V22" i="14"/>
  <c r="T22" i="14"/>
  <c r="S22" i="14"/>
  <c r="R22" i="14"/>
  <c r="U22" i="14"/>
  <c r="N22" i="14"/>
  <c r="X21" i="14"/>
  <c r="E21" i="14"/>
  <c r="O21" i="14"/>
  <c r="P21" i="14"/>
  <c r="W21" i="14"/>
  <c r="Q21" i="14"/>
  <c r="V21" i="14"/>
  <c r="T21" i="14"/>
  <c r="S21" i="14"/>
  <c r="R21" i="14"/>
  <c r="U21" i="14"/>
  <c r="N21" i="14"/>
  <c r="X20" i="14"/>
  <c r="D20" i="14"/>
  <c r="E20" i="14"/>
  <c r="O20" i="14"/>
  <c r="P20" i="14"/>
  <c r="W20" i="14"/>
  <c r="Q20" i="14"/>
  <c r="V20" i="14"/>
  <c r="T20" i="14"/>
  <c r="S20" i="14"/>
  <c r="R20" i="14"/>
  <c r="U20" i="14"/>
  <c r="N20" i="14"/>
  <c r="X19" i="14"/>
  <c r="E19" i="14"/>
  <c r="O19" i="14"/>
  <c r="P19" i="14"/>
  <c r="W19" i="14"/>
  <c r="Q19" i="14"/>
  <c r="V19" i="14"/>
  <c r="T19" i="14"/>
  <c r="S19" i="14"/>
  <c r="R19" i="14"/>
  <c r="U19" i="14"/>
  <c r="N19" i="14"/>
  <c r="P18" i="14"/>
  <c r="Y18" i="14" a="1"/>
  <c r="Y18" i="14"/>
  <c r="Y19" i="14"/>
  <c r="Y20" i="14"/>
  <c r="Y21" i="14"/>
  <c r="Y22" i="14"/>
  <c r="X18" i="14"/>
  <c r="D18" i="14"/>
  <c r="E18" i="14"/>
  <c r="O18" i="14"/>
  <c r="W18" i="14"/>
  <c r="Q18" i="14"/>
  <c r="V18" i="14"/>
  <c r="T18" i="14"/>
  <c r="S18" i="14"/>
  <c r="R18" i="14"/>
  <c r="U18" i="14"/>
  <c r="N18" i="14"/>
  <c r="P15" i="14"/>
  <c r="P16" i="14"/>
  <c r="P17" i="14"/>
  <c r="Y17" i="14"/>
  <c r="X17" i="14"/>
  <c r="O17" i="14"/>
  <c r="W17" i="14"/>
  <c r="Q17" i="14"/>
  <c r="V17" i="14"/>
  <c r="T17" i="14"/>
  <c r="S17" i="14"/>
  <c r="R17" i="14"/>
  <c r="U17" i="14"/>
  <c r="N17" i="14"/>
  <c r="Y16" i="14"/>
  <c r="X16" i="14"/>
  <c r="O16" i="14"/>
  <c r="W16" i="14"/>
  <c r="Q16" i="14"/>
  <c r="V16" i="14"/>
  <c r="T16" i="14"/>
  <c r="S16" i="14"/>
  <c r="R16" i="14"/>
  <c r="U16" i="14"/>
  <c r="N16" i="14"/>
  <c r="Y15" i="14"/>
  <c r="X15" i="14"/>
  <c r="D15" i="14"/>
  <c r="E15" i="14"/>
  <c r="O15" i="14"/>
  <c r="W15" i="14"/>
  <c r="Q15" i="14"/>
  <c r="V15" i="14"/>
  <c r="T15" i="14"/>
  <c r="S15" i="14"/>
  <c r="R15" i="14"/>
  <c r="U15" i="14"/>
  <c r="N15" i="14"/>
  <c r="X14" i="14"/>
  <c r="P14" i="14"/>
  <c r="D14" i="14"/>
  <c r="E14" i="14"/>
  <c r="O14" i="14"/>
  <c r="X13" i="14"/>
  <c r="P13" i="14"/>
  <c r="D13" i="14"/>
  <c r="E13" i="14"/>
  <c r="O13" i="14"/>
  <c r="X12" i="14"/>
  <c r="P12" i="14"/>
  <c r="D12" i="14"/>
  <c r="E12" i="14"/>
  <c r="O12" i="14"/>
  <c r="X11" i="14"/>
  <c r="P11" i="14"/>
  <c r="D11" i="14"/>
  <c r="E11" i="14"/>
  <c r="O11" i="14"/>
  <c r="X10" i="14"/>
  <c r="P10" i="14"/>
  <c r="D10" i="14"/>
  <c r="E10" i="14"/>
  <c r="O10" i="14"/>
  <c r="X9" i="14"/>
  <c r="P9" i="14"/>
  <c r="D9" i="14"/>
  <c r="E9" i="14"/>
  <c r="O9" i="14"/>
  <c r="X8" i="14"/>
  <c r="P8" i="14"/>
  <c r="D8" i="14"/>
  <c r="E8" i="14"/>
  <c r="O8" i="14"/>
  <c r="X7" i="14"/>
  <c r="P7" i="14"/>
  <c r="D7" i="14"/>
  <c r="E7" i="14"/>
  <c r="O7" i="14"/>
  <c r="X6" i="14"/>
  <c r="P6" i="14"/>
  <c r="D6" i="14"/>
  <c r="E6" i="14"/>
  <c r="O6" i="14"/>
  <c r="X5" i="14"/>
  <c r="P5" i="14"/>
  <c r="D5" i="14"/>
  <c r="E5" i="14"/>
  <c r="O5" i="14"/>
  <c r="X4" i="14"/>
  <c r="P4" i="14"/>
  <c r="D4" i="14"/>
  <c r="E4" i="14"/>
  <c r="O4" i="14"/>
  <c r="X3" i="14"/>
  <c r="P3" i="14"/>
  <c r="D3" i="14"/>
  <c r="O3" i="14"/>
  <c r="X2" i="14"/>
  <c r="P2" i="14"/>
  <c r="D2" i="14"/>
  <c r="O2" i="14"/>
  <c r="B6" i="7"/>
  <c r="B5" i="7"/>
  <c r="Q12" i="1"/>
  <c r="Q14" i="1"/>
  <c r="Q15" i="1"/>
  <c r="N13" i="1"/>
  <c r="N15" i="1"/>
  <c r="N14" i="1"/>
  <c r="Q10" i="1"/>
  <c r="Q11" i="1"/>
  <c r="N11" i="1"/>
  <c r="N10" i="1"/>
  <c r="Q5" i="1"/>
  <c r="Q6" i="1"/>
  <c r="Q7" i="1"/>
  <c r="Q8" i="1"/>
  <c r="Q9" i="1"/>
  <c r="N5" i="1" a="1"/>
  <c r="N5" i="1"/>
  <c r="N6" i="1"/>
  <c r="N7" i="1"/>
  <c r="N8" i="1"/>
  <c r="N9" i="1"/>
  <c r="Q2" i="1"/>
  <c r="Q3" i="1"/>
  <c r="Q4" i="1"/>
  <c r="N4" i="1"/>
  <c r="N3" i="1"/>
  <c r="N2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D14" i="1"/>
  <c r="E14" i="1"/>
  <c r="P14" i="1"/>
  <c r="R14" i="1"/>
  <c r="W14" i="1"/>
  <c r="D13" i="1"/>
  <c r="E13" i="1"/>
  <c r="D12" i="1"/>
  <c r="P15" i="1"/>
  <c r="X15" i="1"/>
  <c r="R15" i="1"/>
  <c r="W15" i="1"/>
  <c r="U15" i="1"/>
  <c r="T15" i="1"/>
  <c r="S15" i="1"/>
  <c r="V15" i="1"/>
  <c r="O15" i="1"/>
  <c r="X14" i="1"/>
  <c r="U14" i="1"/>
  <c r="T14" i="1"/>
  <c r="S14" i="1"/>
  <c r="V14" i="1"/>
  <c r="O14" i="1"/>
  <c r="P13" i="1"/>
  <c r="X13" i="1"/>
  <c r="R13" i="1"/>
  <c r="W13" i="1"/>
  <c r="U13" i="1"/>
  <c r="T13" i="1"/>
  <c r="S13" i="1"/>
  <c r="V13" i="1"/>
  <c r="O13" i="1"/>
  <c r="P12" i="1"/>
  <c r="X12" i="1"/>
  <c r="R12" i="1"/>
  <c r="W12" i="1"/>
  <c r="U12" i="1"/>
  <c r="T12" i="1"/>
  <c r="S12" i="1"/>
  <c r="V12" i="1"/>
  <c r="O12" i="1"/>
  <c r="U11" i="1"/>
  <c r="T11" i="1"/>
  <c r="S11" i="1"/>
  <c r="R11" i="1"/>
  <c r="V11" i="1"/>
  <c r="D11" i="1"/>
  <c r="E11" i="1"/>
  <c r="P3" i="1"/>
  <c r="X3" i="1"/>
  <c r="P4" i="1"/>
  <c r="X4" i="1"/>
  <c r="D5" i="1"/>
  <c r="E5" i="1"/>
  <c r="P5" i="1"/>
  <c r="X5" i="1"/>
  <c r="E6" i="1"/>
  <c r="P6" i="1"/>
  <c r="X6" i="1"/>
  <c r="D7" i="1"/>
  <c r="E7" i="1"/>
  <c r="P7" i="1"/>
  <c r="X7" i="1"/>
  <c r="E8" i="1"/>
  <c r="P8" i="1"/>
  <c r="X8" i="1"/>
  <c r="E9" i="1"/>
  <c r="P9" i="1"/>
  <c r="X9" i="1"/>
  <c r="D10" i="1"/>
  <c r="E10" i="1"/>
  <c r="P10" i="1"/>
  <c r="X10" i="1"/>
  <c r="P11" i="1"/>
  <c r="X11" i="1"/>
  <c r="D2" i="1"/>
  <c r="E2" i="1"/>
  <c r="P2" i="1"/>
  <c r="X2" i="1"/>
  <c r="O10" i="1"/>
  <c r="O11" i="1"/>
  <c r="W11" i="1"/>
  <c r="R10" i="1"/>
  <c r="W10" i="1"/>
  <c r="U10" i="1"/>
  <c r="T10" i="1"/>
  <c r="S10" i="1"/>
  <c r="V10" i="1"/>
  <c r="A6" i="7"/>
  <c r="C6" i="7"/>
  <c r="A5" i="7"/>
  <c r="C5" i="7"/>
  <c r="O5" i="1"/>
  <c r="O9" i="1"/>
  <c r="R9" i="1"/>
  <c r="W9" i="1"/>
  <c r="U9" i="1"/>
  <c r="T9" i="1"/>
  <c r="S9" i="1"/>
  <c r="V9" i="1"/>
  <c r="O8" i="1"/>
  <c r="O7" i="1"/>
  <c r="O6" i="1"/>
  <c r="R8" i="1"/>
  <c r="W8" i="1"/>
  <c r="U8" i="1"/>
  <c r="T8" i="1"/>
  <c r="S8" i="1"/>
  <c r="V8" i="1"/>
  <c r="R7" i="1"/>
  <c r="W7" i="1"/>
  <c r="U7" i="1"/>
  <c r="T7" i="1"/>
  <c r="S7" i="1"/>
  <c r="V7" i="1"/>
  <c r="R6" i="1"/>
  <c r="W6" i="1"/>
  <c r="U6" i="1"/>
  <c r="T6" i="1"/>
  <c r="S6" i="1"/>
  <c r="V6" i="1"/>
  <c r="R5" i="1"/>
  <c r="W5" i="1"/>
  <c r="U5" i="1"/>
  <c r="T5" i="1"/>
  <c r="S5" i="1"/>
  <c r="V5" i="1"/>
  <c r="O3" i="1"/>
  <c r="O4" i="1"/>
  <c r="O2" i="1"/>
  <c r="R4" i="1"/>
  <c r="W4" i="1"/>
  <c r="R3" i="1"/>
  <c r="W3" i="1"/>
  <c r="R2" i="1"/>
  <c r="U3" i="1"/>
  <c r="T3" i="1"/>
  <c r="S3" i="1"/>
  <c r="V3" i="1"/>
  <c r="U4" i="1"/>
  <c r="T4" i="1"/>
  <c r="S4" i="1"/>
  <c r="V4" i="1"/>
  <c r="U2" i="1"/>
  <c r="T2" i="1"/>
  <c r="S2" i="1"/>
  <c r="V2" i="1"/>
  <c r="W2" i="1"/>
</calcChain>
</file>

<file path=xl/sharedStrings.xml><?xml version="1.0" encoding="utf-8"?>
<sst xmlns="http://schemas.openxmlformats.org/spreadsheetml/2006/main" count="377" uniqueCount="133">
  <si>
    <t>user</t>
    <phoneticPr fontId="1" type="noConversion"/>
  </si>
  <si>
    <t>buyin</t>
    <phoneticPr fontId="1" type="noConversion"/>
  </si>
  <si>
    <t>room</t>
    <phoneticPr fontId="1" type="noConversion"/>
  </si>
  <si>
    <t>tel</t>
    <phoneticPr fontId="1" type="noConversion"/>
  </si>
  <si>
    <t>net</t>
    <phoneticPr fontId="1" type="noConversion"/>
  </si>
  <si>
    <t>joan</t>
    <phoneticPr fontId="1" type="noConversion"/>
  </si>
  <si>
    <t>15824140644</t>
    <phoneticPr fontId="1" type="noConversion"/>
  </si>
  <si>
    <t>laughing</t>
    <phoneticPr fontId="1" type="noConversion"/>
  </si>
  <si>
    <t>13735467894</t>
  </si>
  <si>
    <t>虾米</t>
    <phoneticPr fontId="1" type="noConversion"/>
  </si>
  <si>
    <t>星际</t>
    <phoneticPr fontId="1" type="noConversion"/>
  </si>
  <si>
    <t>checkout</t>
    <phoneticPr fontId="1" type="noConversion"/>
  </si>
  <si>
    <t>start</t>
    <phoneticPr fontId="1" type="noConversion"/>
  </si>
  <si>
    <t>end</t>
    <phoneticPr fontId="1" type="noConversion"/>
  </si>
  <si>
    <t>duration</t>
    <phoneticPr fontId="1" type="noConversion"/>
  </si>
  <si>
    <t>vpip1</t>
    <phoneticPr fontId="1" type="noConversion"/>
  </si>
  <si>
    <t>flop1</t>
    <phoneticPr fontId="1" type="noConversion"/>
  </si>
  <si>
    <t>total1</t>
    <phoneticPr fontId="1" type="noConversion"/>
  </si>
  <si>
    <t>vpip2</t>
    <phoneticPr fontId="1" type="noConversion"/>
  </si>
  <si>
    <t>flop2</t>
    <phoneticPr fontId="1" type="noConversion"/>
  </si>
  <si>
    <t>total2</t>
    <phoneticPr fontId="1" type="noConversion"/>
  </si>
  <si>
    <t>hand</t>
    <phoneticPr fontId="1" type="noConversion"/>
  </si>
  <si>
    <t>vpip</t>
    <phoneticPr fontId="1" type="noConversion"/>
  </si>
  <si>
    <t>bigblind</t>
    <phoneticPr fontId="1" type="noConversion"/>
  </si>
  <si>
    <t>BB/100hand</t>
    <phoneticPr fontId="1" type="noConversion"/>
  </si>
  <si>
    <t>BB/hour</t>
    <phoneticPr fontId="1" type="noConversion"/>
  </si>
  <si>
    <t>m4n</t>
    <phoneticPr fontId="1" type="noConversion"/>
  </si>
  <si>
    <t>钓鱼</t>
    <phoneticPr fontId="1" type="noConversion"/>
  </si>
  <si>
    <t>18657183201</t>
    <phoneticPr fontId="1" type="noConversion"/>
  </si>
  <si>
    <t>remark</t>
    <phoneticPr fontId="1" type="noConversion"/>
  </si>
  <si>
    <t>1/2</t>
  </si>
  <si>
    <t>1/2</t>
    <phoneticPr fontId="1" type="noConversion"/>
  </si>
  <si>
    <t>13486124717</t>
  </si>
  <si>
    <t>monoray</t>
    <phoneticPr fontId="1" type="noConversion"/>
  </si>
  <si>
    <t>小文</t>
    <phoneticPr fontId="1" type="noConversion"/>
  </si>
  <si>
    <t>HK</t>
    <phoneticPr fontId="1" type="noConversion"/>
  </si>
  <si>
    <t>KK</t>
    <phoneticPr fontId="1" type="noConversion"/>
  </si>
  <si>
    <t>13516815199</t>
    <phoneticPr fontId="1" type="noConversion"/>
  </si>
  <si>
    <t>鱼宝宝</t>
    <phoneticPr fontId="1" type="noConversion"/>
  </si>
  <si>
    <t>checkflag</t>
    <phoneticPr fontId="1" type="noConversion"/>
  </si>
  <si>
    <t>flop</t>
    <phoneticPr fontId="1" type="noConversion"/>
  </si>
  <si>
    <t>realnet</t>
    <phoneticPr fontId="1" type="noConversion"/>
  </si>
  <si>
    <t>行标签</t>
  </si>
  <si>
    <t>总计</t>
  </si>
  <si>
    <t>starttime</t>
    <phoneticPr fontId="1" type="noConversion"/>
  </si>
  <si>
    <t>tips</t>
    <phoneticPr fontId="1" type="noConversion"/>
  </si>
  <si>
    <t>感觉1/2的桌上，打兆牌的人都弱</t>
    <phoneticPr fontId="1" type="noConversion"/>
  </si>
  <si>
    <t>1/2桌上，遇到加注，基本都是2对以上</t>
    <phoneticPr fontId="1" type="noConversion"/>
  </si>
  <si>
    <t>1/2桌上，河牌下注基本都是价值下注</t>
    <phoneticPr fontId="1" type="noConversion"/>
  </si>
  <si>
    <t>1/2桌上，多人或2人底池咋呼1次不成功，基本对方都有牌</t>
    <phoneticPr fontId="1" type="noConversion"/>
  </si>
  <si>
    <t>rec</t>
    <phoneticPr fontId="1" type="noConversion"/>
  </si>
  <si>
    <t>Axxxxx_rainbowl，翻pot河pot22下注，A7跟注</t>
    <phoneticPr fontId="1" type="noConversion"/>
  </si>
  <si>
    <t>TT，flop459,turnJ_rainbowl，下注被加注,45o</t>
    <phoneticPr fontId="1" type="noConversion"/>
  </si>
  <si>
    <t>K2888,river2/3pot38,被加注115，8x</t>
    <phoneticPr fontId="1" type="noConversion"/>
  </si>
  <si>
    <t>1/2桌上，preflop被3bet基本都是88以上大对子,AK,AQ等强牌</t>
    <phoneticPr fontId="1" type="noConversion"/>
  </si>
  <si>
    <t>heroAKopreflop6,短筹3bet18，JJ，spr1:2,flopJTc2s,check,turn,bet1/2pot,1:4</t>
    <phoneticPr fontId="1" type="noConversion"/>
  </si>
  <si>
    <t>vpip</t>
    <phoneticPr fontId="1" type="noConversion"/>
  </si>
  <si>
    <t>BB/100hand</t>
    <phoneticPr fontId="1" type="noConversion"/>
  </si>
  <si>
    <t>joan</t>
    <phoneticPr fontId="1" type="noConversion"/>
  </si>
  <si>
    <t>虾米</t>
    <phoneticPr fontId="1" type="noConversion"/>
  </si>
  <si>
    <t>1/2/4</t>
    <phoneticPr fontId="1" type="noConversion"/>
  </si>
  <si>
    <t>5环</t>
    <phoneticPr fontId="1" type="noConversion"/>
  </si>
  <si>
    <t>兰桂坊</t>
    <phoneticPr fontId="1" type="noConversion"/>
  </si>
  <si>
    <t>该期视频需要回放，有1/2/4,1/2也有心得</t>
    <phoneticPr fontId="1" type="noConversion"/>
  </si>
  <si>
    <t>1/2桌上，preflop被4bet基本都是高对AA,KK等超强牌</t>
    <phoneticPr fontId="1" type="noConversion"/>
  </si>
  <si>
    <t>raise 6,3bet 17 QQ,4bet allin 200 AA</t>
    <phoneticPr fontId="1" type="noConversion"/>
  </si>
  <si>
    <t>感觉1/2桌上,对激进玩家，中牌（顶对以上）后适当check，有时候比下注更有利润</t>
    <phoneticPr fontId="1" type="noConversion"/>
  </si>
  <si>
    <t>感觉1/2/4桌上,有位置中set且前位下注，适当跟注可能更有利润</t>
    <phoneticPr fontId="1" type="noConversion"/>
  </si>
  <si>
    <t>wx</t>
    <phoneticPr fontId="1" type="noConversion"/>
  </si>
  <si>
    <t>kidlray</t>
    <phoneticPr fontId="1" type="noConversion"/>
  </si>
  <si>
    <t>blind</t>
    <phoneticPr fontId="1" type="noConversion"/>
  </si>
  <si>
    <t>微扑克圆桌俱乐部</t>
    <phoneticPr fontId="1" type="noConversion"/>
  </si>
  <si>
    <t>clubname</t>
    <phoneticPr fontId="1" type="noConversion"/>
  </si>
  <si>
    <t>clubid</t>
    <phoneticPr fontId="1" type="noConversion"/>
  </si>
  <si>
    <t>娱乐圈</t>
    <phoneticPr fontId="1" type="noConversion"/>
  </si>
  <si>
    <t>1/2，2/4</t>
    <phoneticPr fontId="1" type="noConversion"/>
  </si>
  <si>
    <t>money0790</t>
    <phoneticPr fontId="1" type="noConversion"/>
  </si>
  <si>
    <t>rmark</t>
    <phoneticPr fontId="1" type="noConversion"/>
  </si>
  <si>
    <t>wx:pk173328</t>
    <phoneticPr fontId="1" type="noConversion"/>
  </si>
  <si>
    <t>mlderh</t>
    <phoneticPr fontId="1" type="noConversion"/>
  </si>
  <si>
    <t>1/2/4,2/4/8</t>
    <phoneticPr fontId="1" type="noConversion"/>
  </si>
  <si>
    <t>金豹子娱乐</t>
    <phoneticPr fontId="1" type="noConversion"/>
  </si>
  <si>
    <t>dh155864</t>
    <phoneticPr fontId="1" type="noConversion"/>
  </si>
  <si>
    <t>2/4_1</t>
    <phoneticPr fontId="1" type="noConversion"/>
  </si>
  <si>
    <t>德皇</t>
    <phoneticPr fontId="1" type="noConversion"/>
  </si>
  <si>
    <t>flag</t>
    <phoneticPr fontId="1" type="noConversion"/>
  </si>
  <si>
    <t>x</t>
    <phoneticPr fontId="1" type="noConversion"/>
  </si>
  <si>
    <t>q</t>
    <phoneticPr fontId="1" type="noConversion"/>
  </si>
  <si>
    <t>name</t>
    <phoneticPr fontId="1" type="noConversion"/>
  </si>
  <si>
    <t>monoray</t>
    <phoneticPr fontId="1" type="noConversion"/>
  </si>
  <si>
    <t>五环</t>
    <phoneticPr fontId="1" type="noConversion"/>
  </si>
  <si>
    <t>水上漂</t>
    <phoneticPr fontId="1" type="noConversion"/>
  </si>
  <si>
    <t>新濠</t>
    <phoneticPr fontId="1" type="noConversion"/>
  </si>
  <si>
    <t>天府</t>
    <phoneticPr fontId="1" type="noConversion"/>
  </si>
  <si>
    <t>1/2/4</t>
    <phoneticPr fontId="1" type="noConversion"/>
  </si>
  <si>
    <t>2/4/8</t>
    <phoneticPr fontId="1" type="noConversion"/>
  </si>
  <si>
    <t>1/2,4</t>
    <phoneticPr fontId="1" type="noConversion"/>
  </si>
  <si>
    <t>1/2,4</t>
    <phoneticPr fontId="1" type="noConversion"/>
  </si>
  <si>
    <t>鱼宝宝</t>
    <phoneticPr fontId="1" type="noConversion"/>
  </si>
  <si>
    <t>Joan缺1/2</t>
    <phoneticPr fontId="1" type="noConversion"/>
  </si>
  <si>
    <t>x</t>
    <phoneticPr fontId="1" type="noConversion"/>
  </si>
  <si>
    <t>app</t>
    <phoneticPr fontId="1" type="noConversion"/>
  </si>
  <si>
    <t>扑克部落tencent</t>
    <phoneticPr fontId="1" type="noConversion"/>
  </si>
  <si>
    <t>虾米</t>
    <phoneticPr fontId="1" type="noConversion"/>
  </si>
  <si>
    <t>1/2/4</t>
    <phoneticPr fontId="1" type="noConversion"/>
  </si>
  <si>
    <t>钓鱼</t>
    <phoneticPr fontId="1" type="noConversion"/>
  </si>
  <si>
    <t>兰桂坊</t>
    <phoneticPr fontId="1" type="noConversion"/>
  </si>
  <si>
    <t>5环</t>
    <phoneticPr fontId="1" type="noConversion"/>
  </si>
  <si>
    <t>1/2，1/2/4的局最多咋呼1条街，除非有特别理由也最多用强兆牌咋呼2条街</t>
    <phoneticPr fontId="1" type="noConversion"/>
  </si>
  <si>
    <t>flop bet pot,turn pot,river 2/3 pot</t>
    <phoneticPr fontId="1" type="noConversion"/>
  </si>
  <si>
    <t>3次同样打法，1赢一输，第三次被推，应该弃牌</t>
    <phoneticPr fontId="1" type="noConversion"/>
  </si>
  <si>
    <t>感觉1/2/4桌上,当自己当打法多样，对方倾向只看自己牌打</t>
    <phoneticPr fontId="1" type="noConversion"/>
  </si>
  <si>
    <t>1/2，1/2/4桌上几乎全部都是看自己牌打的</t>
    <phoneticPr fontId="1" type="noConversion"/>
  </si>
  <si>
    <t>Faltal</t>
    <phoneticPr fontId="1" type="noConversion"/>
  </si>
  <si>
    <t>1/2，1/2/4除非99%确定弃牌率,不然尽量只咋呼1条街</t>
    <phoneticPr fontId="1" type="noConversion"/>
  </si>
  <si>
    <t>截止今天,1/2桌上翻前全退了大概20次，只有2次AK,其他都是超强对牌</t>
    <phoneticPr fontId="1" type="noConversion"/>
  </si>
  <si>
    <t>point</t>
    <phoneticPr fontId="1" type="noConversion"/>
  </si>
  <si>
    <t>bluff</t>
    <phoneticPr fontId="1" type="noConversion"/>
  </si>
  <si>
    <t>1/2,1/2/4诈唬已经损失近700了</t>
    <phoneticPr fontId="1" type="noConversion"/>
  </si>
  <si>
    <t>date</t>
    <phoneticPr fontId="1" type="noConversion"/>
  </si>
  <si>
    <t>hands</t>
  </si>
  <si>
    <t>z</t>
  </si>
  <si>
    <t>flops</t>
  </si>
  <si>
    <t>nets</t>
  </si>
  <si>
    <t>buyins</t>
  </si>
  <si>
    <t>checkouts</t>
  </si>
  <si>
    <t>realnets</t>
  </si>
  <si>
    <t>drtcaculate</t>
    <phoneticPr fontId="1" type="noConversion"/>
  </si>
  <si>
    <t>session_sum</t>
    <phoneticPr fontId="1" type="noConversion"/>
  </si>
  <si>
    <t>duirations</t>
  </si>
  <si>
    <t>15824140644</t>
  </si>
  <si>
    <t>15824140644</t>
    <phoneticPr fontId="1" type="noConversion"/>
  </si>
  <si>
    <t>18606515723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</si>
</sst>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 "/>
    <numFmt numFmtId="177" formatCode="yyyy/mm/dd\ hh:mm;@"/>
    <numFmt numFmtId="178" formatCode="0.00_ "/>
    <numFmt numFmtId="179" formatCode="0.0%"/>
    <numFmt numFmtId="180" formatCode="0.0_ "/>
    <numFmt numFmtId="181" formatCode="yyyy/m/d;@"/>
    <numFmt numFmtId="182" formatCode="0.00_);[Red]\(0.00\)"/>
    <numFmt numFmtId="183" formatCode="m/d;@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177" fontId="6" fillId="0" borderId="0" xfId="0" applyNumberFormat="1" applyFont="1"/>
    <xf numFmtId="0" fontId="6" fillId="0" borderId="0" xfId="0" applyFont="1"/>
    <xf numFmtId="0" fontId="7" fillId="0" borderId="0" xfId="0" applyFont="1"/>
    <xf numFmtId="0" fontId="5" fillId="0" borderId="0" xfId="0" applyFont="1"/>
    <xf numFmtId="176" fontId="7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2" borderId="0" xfId="0" applyFont="1" applyFill="1"/>
    <xf numFmtId="179" fontId="4" fillId="2" borderId="0" xfId="0" applyNumberFormat="1" applyFont="1" applyFill="1"/>
    <xf numFmtId="178" fontId="4" fillId="2" borderId="0" xfId="0" applyNumberFormat="1" applyFont="1" applyFill="1"/>
    <xf numFmtId="176" fontId="7" fillId="3" borderId="0" xfId="0" applyNumberFormat="1" applyFont="1" applyFill="1"/>
    <xf numFmtId="49" fontId="7" fillId="0" borderId="0" xfId="0" applyNumberFormat="1" applyFont="1"/>
    <xf numFmtId="0" fontId="0" fillId="2" borderId="0" xfId="0" applyFill="1"/>
    <xf numFmtId="179" fontId="0" fillId="0" borderId="0" xfId="0" applyNumberFormat="1"/>
    <xf numFmtId="180" fontId="0" fillId="0" borderId="0" xfId="0" applyNumberFormat="1"/>
    <xf numFmtId="22" fontId="0" fillId="0" borderId="0" xfId="0" applyNumberFormat="1"/>
    <xf numFmtId="0" fontId="5" fillId="2" borderId="0" xfId="0" applyFont="1" applyFill="1"/>
    <xf numFmtId="181" fontId="7" fillId="0" borderId="0" xfId="0" applyNumberFormat="1" applyFont="1"/>
    <xf numFmtId="176" fontId="7" fillId="2" borderId="0" xfId="0" applyNumberFormat="1" applyFont="1" applyFill="1"/>
    <xf numFmtId="0" fontId="7" fillId="2" borderId="0" xfId="0" applyFont="1" applyFill="1"/>
    <xf numFmtId="177" fontId="7" fillId="0" borderId="0" xfId="0" applyNumberFormat="1" applyFont="1"/>
    <xf numFmtId="0" fontId="8" fillId="2" borderId="0" xfId="0" applyFont="1" applyFill="1"/>
    <xf numFmtId="0" fontId="5" fillId="2" borderId="0" xfId="0" applyNumberFormat="1" applyFont="1" applyFill="1"/>
    <xf numFmtId="0" fontId="8" fillId="2" borderId="0" xfId="0" applyNumberFormat="1" applyFont="1" applyFill="1"/>
    <xf numFmtId="181" fontId="4" fillId="4" borderId="0" xfId="0" applyNumberFormat="1" applyFont="1" applyFill="1"/>
    <xf numFmtId="177" fontId="7" fillId="5" borderId="0" xfId="0" applyNumberFormat="1" applyFont="1" applyFill="1"/>
    <xf numFmtId="0" fontId="4" fillId="5" borderId="0" xfId="0" applyFont="1" applyFill="1"/>
    <xf numFmtId="0" fontId="7" fillId="5" borderId="0" xfId="0" applyFont="1" applyFill="1"/>
    <xf numFmtId="176" fontId="7" fillId="5" borderId="0" xfId="0" applyNumberFormat="1" applyFont="1" applyFill="1"/>
    <xf numFmtId="181" fontId="7" fillId="5" borderId="0" xfId="0" applyNumberFormat="1" applyFont="1" applyFill="1"/>
    <xf numFmtId="49" fontId="7" fillId="5" borderId="0" xfId="0" applyNumberFormat="1" applyFont="1" applyFill="1"/>
    <xf numFmtId="179" fontId="4" fillId="5" borderId="0" xfId="0" applyNumberFormat="1" applyFont="1" applyFill="1"/>
    <xf numFmtId="178" fontId="4" fillId="5" borderId="0" xfId="0" applyNumberFormat="1" applyFont="1" applyFill="1"/>
    <xf numFmtId="181" fontId="4" fillId="5" borderId="0" xfId="0" applyNumberFormat="1" applyFont="1" applyFill="1"/>
    <xf numFmtId="49" fontId="4" fillId="5" borderId="0" xfId="0" applyNumberFormat="1" applyFont="1" applyFill="1"/>
    <xf numFmtId="182" fontId="4" fillId="5" borderId="0" xfId="0" applyNumberFormat="1" applyFont="1" applyFill="1"/>
    <xf numFmtId="178" fontId="0" fillId="0" borderId="0" xfId="0" applyNumberFormat="1"/>
    <xf numFmtId="183" fontId="7" fillId="0" borderId="0" xfId="0" applyNumberFormat="1" applyFont="1"/>
    <xf numFmtId="183" fontId="7" fillId="5" borderId="0" xfId="0" applyNumberFormat="1" applyFont="1" applyFill="1"/>
    <xf numFmtId="181" fontId="7" fillId="4" borderId="0" xfId="0" applyNumberFormat="1" applyFont="1" applyFill="1"/>
    <xf numFmtId="182" fontId="7" fillId="5" borderId="0" xfId="0" applyNumberFormat="1" applyFont="1" applyFill="1"/>
    <xf numFmtId="49" fontId="9" fillId="0" borderId="0" xfId="0" applyNumberFormat="1" applyFont="1"/>
    <xf numFmtId="0" fontId="7" fillId="3" borderId="0" xfId="0" applyFont="1" applyFill="1"/>
  </cellXfs>
  <cellStyles count="28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普通" xfId="0" builtinId="0"/>
  </cellStyles>
  <dxfs count="15">
    <dxf>
      <numFmt numFmtId="178" formatCode="0.00_ 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n" refreshedDate="42939.073418055559" createdVersion="4" refreshedVersion="4" minRefreshableVersion="3" recordCount="15">
  <cacheSource type="worksheet">
    <worksheetSource ref="A1:Y1048576" sheet="rec"/>
  </cacheSource>
  <cacheFields count="25">
    <cacheField name="start" numFmtId="177">
      <sharedItems containsNonDate="0" containsDate="1" containsString="0" containsBlank="1" minDate="2017-07-09T15:09:00" maxDate="2017-07-22T21:13:00"/>
    </cacheField>
    <cacheField name="user" numFmtId="0">
      <sharedItems containsBlank="1"/>
    </cacheField>
    <cacheField name="room" numFmtId="0">
      <sharedItems containsBlank="1"/>
    </cacheField>
    <cacheField name="buyin" numFmtId="0">
      <sharedItems containsString="0" containsBlank="1" containsNumber="1" containsInteger="1" minValue="200" maxValue="1800"/>
    </cacheField>
    <cacheField name="checkout" numFmtId="176">
      <sharedItems containsString="0" containsBlank="1" containsNumber="1" containsInteger="1" minValue="189" maxValue="1018"/>
    </cacheField>
    <cacheField name="checkflag" numFmtId="176">
      <sharedItems containsString="0" containsBlank="1" containsNumber="1" containsInteger="1" minValue="207" maxValue="988"/>
    </cacheField>
    <cacheField name="end" numFmtId="0">
      <sharedItems containsNonDate="0" containsDate="1" containsString="0" containsBlank="1" minDate="2017-07-09T17:47:00" maxDate="2017-07-23T00:00:01"/>
    </cacheField>
    <cacheField name="total1" numFmtId="0">
      <sharedItems containsString="0" containsBlank="1" containsNumber="1" containsInteger="1" minValue="1509" maxValue="2816"/>
    </cacheField>
    <cacheField name="vpip1" numFmtId="0">
      <sharedItems containsString="0" containsBlank="1" containsNumber="1" minValue="0.56999999999999995" maxValue="0.71"/>
    </cacheField>
    <cacheField name="total2" numFmtId="0">
      <sharedItems containsString="0" containsBlank="1" containsNumber="1" containsInteger="1" minValue="1753" maxValue="2997"/>
    </cacheField>
    <cacheField name="vpip2" numFmtId="0">
      <sharedItems containsString="0" containsBlank="1" containsNumber="1" minValue="0.55000000000000004" maxValue="0.64"/>
    </cacheField>
    <cacheField name="bigblind" numFmtId="0">
      <sharedItems containsString="0" containsBlank="1" containsNumber="1" containsInteger="1" minValue="2" maxValue="4" count="3">
        <n v="2"/>
        <n v="4"/>
        <m/>
      </sharedItems>
    </cacheField>
    <cacheField name="remark" numFmtId="49">
      <sharedItems containsBlank="1"/>
    </cacheField>
    <cacheField name="realnet" numFmtId="176">
      <sharedItems containsString="0" containsBlank="1" containsNumber="1" containsInteger="1" minValue="-828" maxValue="588"/>
    </cacheField>
    <cacheField name="net" numFmtId="0">
      <sharedItems containsString="0" containsBlank="1" containsNumber="1" containsInteger="1" minValue="-828" maxValue="587"/>
    </cacheField>
    <cacheField name="duration" numFmtId="0">
      <sharedItems containsString="0" containsBlank="1" containsNumber="1" minValue="1.88" maxValue="4.33"/>
    </cacheField>
    <cacheField name="hand" numFmtId="0">
      <sharedItems containsString="0" containsBlank="1" containsNumber="1" containsInteger="1" minValue="102" maxValue="249"/>
    </cacheField>
    <cacheField name="flop" numFmtId="0">
      <sharedItems containsString="0" containsBlank="1" containsNumber="1" containsInteger="1" minValue="10" maxValue="51"/>
    </cacheField>
    <cacheField name="flop1" numFmtId="0">
      <sharedItems containsString="0" containsBlank="1" containsNumber="1" containsInteger="1" minValue="1054" maxValue="1633"/>
    </cacheField>
    <cacheField name="flop2" numFmtId="0">
      <sharedItems containsString="0" containsBlank="1" containsNumber="1" containsInteger="1" minValue="1098" maxValue="1648"/>
    </cacheField>
    <cacheField name="vpip" numFmtId="179">
      <sharedItems containsString="0" containsBlank="1" containsNumber="1" minValue="8.2872928176795577E-2" maxValue="0.30666666666666664"/>
    </cacheField>
    <cacheField name="BB/100hand" numFmtId="178">
      <sharedItems containsString="0" containsBlank="1" containsNumber="1" minValue="-1.3986486486486487" maxValue="1.4387254901960784"/>
    </cacheField>
    <cacheField name="BB/hour" numFmtId="178">
      <sharedItems containsString="0" containsBlank="1" containsNumber="1" minValue="-82.142857142857139" maxValue="77.236842105263165"/>
    </cacheField>
    <cacheField name="date" numFmtId="181">
      <sharedItems containsNonDate="0" containsDate="1" containsString="0" containsBlank="1" minDate="2017-07-09T00:00:00" maxDate="2017-07-23T00:00:00"/>
    </cacheField>
    <cacheField name="drtcaculate" numFmtId="0">
      <sharedItems containsString="0" containsBlank="1" containsNumber="1" minValue="0.27222731439046749" maxValue="0.512670565302144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d v="2017-07-09T15:09:00"/>
    <s v="laughing"/>
    <s v="星际"/>
    <n v="500"/>
    <n v="326"/>
    <n v="326"/>
    <d v="2017-07-09T19:25:00"/>
    <n v="1732"/>
    <n v="0.68"/>
    <n v="1981"/>
    <n v="0.62"/>
    <x v="0"/>
    <s v="1/2"/>
    <n v="-174"/>
    <n v="-174"/>
    <n v="4.2699999999999996"/>
    <n v="249"/>
    <n v="51"/>
    <n v="1177"/>
    <n v="1228"/>
    <n v="0.20481927710843373"/>
    <n v="-0.3493975903614458"/>
    <n v="-20.374707259953162"/>
    <d v="2017-07-09T00:00:00"/>
    <n v="0.38557435440783616"/>
  </r>
  <r>
    <d v="2017-07-09T15:09:00"/>
    <s v="m4n"/>
    <s v="钓鱼"/>
    <n v="200"/>
    <n v="524"/>
    <n v="508"/>
    <d v="2017-07-09T17:47:00"/>
    <n v="2213"/>
    <n v="0.61"/>
    <n v="2379"/>
    <n v="0.57999999999999996"/>
    <x v="0"/>
    <s v="1/2"/>
    <n v="308"/>
    <n v="307"/>
    <n v="2.63"/>
    <n v="166"/>
    <n v="30"/>
    <n v="1349"/>
    <n v="1379"/>
    <n v="0.18072289156626506"/>
    <n v="0.92469879518072284"/>
    <n v="58.365019011406844"/>
    <d v="2017-07-09T00:00:00"/>
    <n v="0.38557435440783616"/>
  </r>
  <r>
    <d v="2017-07-09T15:09:00"/>
    <s v="monoray"/>
    <s v="鱼宝宝"/>
    <n v="300"/>
    <n v="367"/>
    <n v="367"/>
    <d v="2017-07-09T19:29:00"/>
    <n v="1509"/>
    <n v="0.71"/>
    <n v="1753"/>
    <n v="0.64"/>
    <x v="0"/>
    <s v="1/2"/>
    <n v="67"/>
    <n v="63"/>
    <n v="4.33"/>
    <n v="244"/>
    <n v="50"/>
    <n v="1071"/>
    <n v="1121"/>
    <n v="0.20491803278688525"/>
    <n v="0.12909836065573771"/>
    <n v="7.274826789838337"/>
    <d v="2017-07-09T00:00:00"/>
    <n v="0.38557435440783616"/>
  </r>
  <r>
    <d v="2017-07-18T21:02:00"/>
    <s v="laughing"/>
    <s v="5环"/>
    <n v="300"/>
    <n v="408"/>
    <n v="403"/>
    <d v="2017-07-19T00:32:00"/>
    <n v="2186"/>
    <n v="0.66"/>
    <n v="2320"/>
    <n v="0.63"/>
    <x v="0"/>
    <s v="1/2"/>
    <n v="103"/>
    <n v="102"/>
    <n v="3.5"/>
    <n v="134"/>
    <n v="19"/>
    <n v="1442"/>
    <n v="1461"/>
    <n v="0.1417910447761194"/>
    <n v="0.38059701492537312"/>
    <n v="14.571428571428571"/>
    <d v="2017-07-18T00:00:00"/>
    <n v="0.28561151079136687"/>
  </r>
  <r>
    <d v="2017-07-18T21:02:00"/>
    <s v="m4n"/>
    <s v="钓鱼"/>
    <n v="200"/>
    <n v="207"/>
    <n v="207"/>
    <d v="2017-07-19T01:00:00"/>
    <n v="2584"/>
    <n v="0.62"/>
    <n v="2816"/>
    <n v="0.57999999999999996"/>
    <x v="0"/>
    <s v="1/2"/>
    <n v="7"/>
    <n v="6"/>
    <n v="3.97"/>
    <n v="232"/>
    <n v="31"/>
    <n v="1602"/>
    <n v="1633"/>
    <n v="0.1336206896551724"/>
    <n v="1.2931034482758621E-2"/>
    <n v="0.75566750629722923"/>
    <d v="2017-07-18T00:00:00"/>
    <n v="0.28561151079136687"/>
  </r>
  <r>
    <d v="2017-07-18T21:02:00"/>
    <s v="monoray"/>
    <s v="兰桂坊"/>
    <n v="400"/>
    <n v="1018"/>
    <n v="988"/>
    <d v="2017-07-18T22:56:00"/>
    <n v="1753"/>
    <n v="0.64"/>
    <n v="1855"/>
    <n v="0.61"/>
    <x v="1"/>
    <s v="1/2/4"/>
    <n v="588"/>
    <n v="587"/>
    <n v="1.9"/>
    <n v="102"/>
    <n v="10"/>
    <n v="1121"/>
    <n v="1131"/>
    <n v="9.8039215686274508E-2"/>
    <n v="1.4387254901960784"/>
    <n v="77.236842105263165"/>
    <d v="2017-07-18T00:00:00"/>
    <n v="0.28561151079136687"/>
  </r>
  <r>
    <d v="2017-07-18T21:02:00"/>
    <s v="joan"/>
    <s v="虾米"/>
    <n v="200"/>
    <n v="232"/>
    <n v="232"/>
    <d v="2017-07-18T23:41:00"/>
    <n v="1674"/>
    <n v="0.63"/>
    <n v="1830"/>
    <n v="0.6"/>
    <x v="0"/>
    <s v="1/2"/>
    <n v="32"/>
    <n v="30"/>
    <n v="2.65"/>
    <n v="156"/>
    <n v="44"/>
    <n v="1054"/>
    <n v="1098"/>
    <n v="0.28205128205128205"/>
    <n v="9.6153846153846159E-2"/>
    <n v="5.6603773584905666"/>
    <d v="2017-07-18T00:00:00"/>
    <n v="0.28561151079136687"/>
  </r>
  <r>
    <d v="2017-07-18T22:56:00"/>
    <s v="monoray"/>
    <s v="小文"/>
    <n v="200"/>
    <n v="377"/>
    <n v="369"/>
    <d v="2017-07-19T00:49:00"/>
    <n v="1855"/>
    <n v="0.61"/>
    <n v="1967"/>
    <n v="0.59"/>
    <x v="0"/>
    <s v="1/2"/>
    <n v="169"/>
    <n v="168"/>
    <n v="1.88"/>
    <n v="112"/>
    <n v="29"/>
    <n v="1131"/>
    <n v="1160"/>
    <n v="0.25892857142857145"/>
    <n v="0.75"/>
    <n v="44.680851063829792"/>
    <d v="2017-07-18T00:00:00"/>
    <n v="0.28561151079136687"/>
  </r>
  <r>
    <d v="2017-07-20T20:32:00"/>
    <s v="laughing"/>
    <s v="5环"/>
    <n v="200"/>
    <n v="350"/>
    <n v="342"/>
    <d v="2017-07-20T23:02:00"/>
    <n v="2320"/>
    <n v="0.63"/>
    <n v="2422"/>
    <n v="0.61"/>
    <x v="0"/>
    <s v="1/2"/>
    <n v="142"/>
    <n v="142"/>
    <n v="2.5"/>
    <n v="102"/>
    <n v="16"/>
    <n v="1461"/>
    <n v="1477"/>
    <n v="0.15686274509803921"/>
    <n v="0.69607843137254899"/>
    <n v="28.4"/>
    <d v="2017-07-20T00:00:00"/>
    <n v="0.51267056530214428"/>
  </r>
  <r>
    <d v="2017-07-20T20:32:00"/>
    <s v="monoray"/>
    <s v="鱼宝宝"/>
    <n v="400"/>
    <n v="268"/>
    <n v="268"/>
    <d v="2017-07-20T23:10:00"/>
    <n v="1967"/>
    <n v="0.59"/>
    <n v="2117"/>
    <n v="0.56999999999999995"/>
    <x v="0"/>
    <s v="1/2"/>
    <n v="-132"/>
    <n v="-132"/>
    <n v="2.63"/>
    <n v="150"/>
    <n v="46"/>
    <n v="1160"/>
    <n v="1206"/>
    <n v="0.30666666666666664"/>
    <n v="-0.44"/>
    <n v="-25.095057034220535"/>
    <d v="2017-07-20T00:00:00"/>
    <n v="0.51267056530214428"/>
  </r>
  <r>
    <d v="2017-07-22T21:05:00"/>
    <s v="m4n"/>
    <s v="钓鱼"/>
    <n v="200"/>
    <n v="189"/>
    <m/>
    <d v="2017-07-23T00:00:01"/>
    <n v="2816"/>
    <n v="0.57999999999999996"/>
    <n v="2997"/>
    <n v="0.55000000000000004"/>
    <x v="0"/>
    <s v="1/2"/>
    <n v="-200"/>
    <n v="-11"/>
    <n v="2.92"/>
    <n v="181"/>
    <n v="15"/>
    <n v="1633"/>
    <n v="1648"/>
    <n v="8.2872928176795577E-2"/>
    <n v="-3.0386740331491711E-2"/>
    <n v="-1.8835616438356164"/>
    <d v="2017-07-22T00:00:00"/>
    <n v="0.27222731439046749"/>
  </r>
  <r>
    <d v="2017-07-22T21:05:00"/>
    <s v="joan"/>
    <s v="虾米"/>
    <n v="400"/>
    <n v="674"/>
    <n v="665"/>
    <d v="2017-07-22T23:35:00"/>
    <n v="1830"/>
    <n v="0.6"/>
    <n v="1994"/>
    <n v="0.56000000000000005"/>
    <x v="1"/>
    <s v="1/2/4"/>
    <n v="265"/>
    <n v="260"/>
    <n v="2.5"/>
    <n v="164"/>
    <n v="18"/>
    <n v="1098"/>
    <n v="1116"/>
    <n v="0.10975609756097561"/>
    <n v="0.39634146341463417"/>
    <n v="26"/>
    <d v="2017-07-22T00:00:00"/>
    <n v="0.27222731439046749"/>
  </r>
  <r>
    <d v="2017-07-22T21:13:00"/>
    <s v="monoray"/>
    <s v="兰桂坊"/>
    <n v="1800"/>
    <n v="972"/>
    <n v="972"/>
    <d v="2017-07-22T23:44:00"/>
    <n v="2117"/>
    <n v="0.56999999999999995"/>
    <n v="2265"/>
    <n v="0.55000000000000004"/>
    <x v="1"/>
    <s v="1/2/4"/>
    <n v="-828"/>
    <n v="-828"/>
    <n v="2.52"/>
    <n v="148"/>
    <n v="39"/>
    <n v="1206"/>
    <n v="1245"/>
    <n v="0.26351351351351349"/>
    <n v="-1.3986486486486487"/>
    <n v="-82.142857142857139"/>
    <d v="2017-07-22T00:00:00"/>
    <n v="0.27222731439046749"/>
  </r>
  <r>
    <d v="2017-07-22T21:02:00"/>
    <s v="laughing"/>
    <s v="5环"/>
    <n v="200"/>
    <n v="215"/>
    <n v="215"/>
    <d v="2017-07-23T00:00:01"/>
    <n v="2422"/>
    <n v="0.61"/>
    <n v="2557"/>
    <n v="0.59"/>
    <x v="0"/>
    <s v="1/2"/>
    <n v="15"/>
    <n v="14"/>
    <n v="2.97"/>
    <n v="135"/>
    <n v="31"/>
    <n v="1477"/>
    <n v="1508"/>
    <n v="0.22962962962962963"/>
    <n v="5.185185185185185E-2"/>
    <n v="2.3569023569023568"/>
    <d v="2017-07-22T00:00:00"/>
    <n v="0.27222731439046749"/>
  </r>
  <r>
    <m/>
    <m/>
    <m/>
    <m/>
    <m/>
    <m/>
    <m/>
    <m/>
    <m/>
    <m/>
    <m/>
    <x v="2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z" updatedVersion="4" minRefreshableVersion="3" useAutoFormatting="1" itemPrintTitles="1" createdVersion="4" indent="0" outline="1" outlineData="1" gridDropZones="1" multipleFieldFilters="0">
  <location ref="D3:K7" firstHeaderRow="1" firstDataRow="2" firstDataCol="1"/>
  <pivotFields count="25"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0"/>
        <item h="1" x="2"/>
        <item x="1"/>
        <item t="default"/>
      </items>
    </pivotField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  <pivotField dataField="1" showAll="0" defaultSubtotal="0"/>
  </pivotFields>
  <rowFields count="1">
    <field x="11"/>
  </rowFields>
  <rowItems count="3">
    <i>
      <x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hands" fld="16" baseField="0" baseItem="0"/>
    <dataField name="flops" fld="17" baseField="0" baseItem="0"/>
    <dataField name="nets" fld="14" baseField="0" baseItem="0"/>
    <dataField name="buyins" fld="3" baseField="0" baseItem="0"/>
    <dataField name="checkouts" fld="4" baseField="0" baseItem="0"/>
    <dataField name="realnets" fld="5" baseField="0" baseItem="0"/>
    <dataField name="duirations" fld="24" baseField="0" baseItem="0" numFmtId="178"/>
  </dataFields>
  <formats count="15">
    <format dxfId="14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3">
      <pivotArea field="-2" type="button" dataOnly="0" labelOnly="1" outline="0" axis="axisCol" fieldPosition="0"/>
    </format>
    <format dxfId="12">
      <pivotArea type="topRight" dataOnly="0" labelOnly="1" outline="0" fieldPosition="0"/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9">
      <pivotArea field="-2" type="button" dataOnly="0" labelOnly="1" outline="0" axis="axisCol" fieldPosition="0"/>
    </format>
    <format dxfId="8">
      <pivotArea type="topRight" dataOnly="0" labelOnly="1" outline="0" fieldPosition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">
      <pivotArea field="-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J19" sqref="J19"/>
    </sheetView>
  </sheetViews>
  <sheetFormatPr baseColWidth="10" defaultColWidth="17.6640625" defaultRowHeight="14" x14ac:dyDescent="0"/>
  <cols>
    <col min="1" max="1" width="16.33203125" style="4" bestFit="1" customWidth="1"/>
    <col min="2" max="2" width="9" style="2" bestFit="1" customWidth="1"/>
    <col min="3" max="3" width="7.1640625" style="6" bestFit="1" customWidth="1"/>
    <col min="4" max="4" width="6.33203125" style="5" bestFit="1" customWidth="1"/>
    <col min="5" max="5" width="9.1640625" style="8" bestFit="1" customWidth="1"/>
    <col min="6" max="6" width="10" style="15" bestFit="1" customWidth="1"/>
    <col min="7" max="7" width="5.83203125" style="42" customWidth="1"/>
    <col min="8" max="8" width="7.33203125" style="6" bestFit="1" customWidth="1"/>
    <col min="9" max="9" width="6.33203125" style="6" bestFit="1" customWidth="1"/>
    <col min="10" max="10" width="7.33203125" style="6" bestFit="1" customWidth="1"/>
    <col min="11" max="11" width="6.33203125" style="6" bestFit="1" customWidth="1"/>
    <col min="12" max="12" width="3.83203125" style="6" customWidth="1"/>
    <col min="13" max="13" width="6.6640625" style="16" customWidth="1"/>
    <col min="14" max="14" width="9.5" style="44" customWidth="1"/>
    <col min="15" max="15" width="5.83203125" style="23" customWidth="1"/>
    <col min="16" max="16" width="4.83203125" style="24" customWidth="1"/>
    <col min="17" max="17" width="5.6640625" style="12" customWidth="1"/>
    <col min="18" max="18" width="4.1640625" style="12" customWidth="1"/>
    <col min="19" max="19" width="4.6640625" style="12" customWidth="1"/>
    <col min="20" max="21" width="6.33203125" style="12" bestFit="1" customWidth="1"/>
    <col min="22" max="22" width="6.33203125" style="13" bestFit="1" customWidth="1"/>
    <col min="23" max="24" width="7.5" style="14" customWidth="1"/>
    <col min="25" max="25" width="9.6640625" style="29" customWidth="1"/>
    <col min="26" max="26" width="11.6640625" style="3" bestFit="1" customWidth="1"/>
    <col min="27" max="16384" width="17.6640625" style="2"/>
  </cols>
  <sheetData>
    <row r="1" spans="1:26">
      <c r="A1" s="4" t="s">
        <v>12</v>
      </c>
      <c r="B1" s="2" t="s">
        <v>0</v>
      </c>
      <c r="C1" s="6" t="s">
        <v>2</v>
      </c>
      <c r="D1" s="5" t="s">
        <v>1</v>
      </c>
      <c r="E1" s="8" t="s">
        <v>11</v>
      </c>
      <c r="F1" s="15" t="s">
        <v>39</v>
      </c>
      <c r="G1" s="42" t="s">
        <v>13</v>
      </c>
      <c r="H1" s="6" t="s">
        <v>17</v>
      </c>
      <c r="I1" s="6" t="s">
        <v>15</v>
      </c>
      <c r="J1" s="6" t="s">
        <v>20</v>
      </c>
      <c r="K1" s="6" t="s">
        <v>18</v>
      </c>
      <c r="L1" s="6" t="s">
        <v>23</v>
      </c>
      <c r="M1" s="16" t="s">
        <v>29</v>
      </c>
      <c r="N1" s="44" t="s">
        <v>127</v>
      </c>
      <c r="O1" s="23" t="s">
        <v>41</v>
      </c>
      <c r="P1" s="24" t="s">
        <v>4</v>
      </c>
      <c r="Q1" s="12" t="s">
        <v>14</v>
      </c>
      <c r="R1" s="12" t="s">
        <v>21</v>
      </c>
      <c r="S1" s="12" t="s">
        <v>40</v>
      </c>
      <c r="T1" s="12" t="s">
        <v>16</v>
      </c>
      <c r="U1" s="12" t="s">
        <v>19</v>
      </c>
      <c r="V1" s="13" t="s">
        <v>22</v>
      </c>
      <c r="W1" s="14" t="s">
        <v>24</v>
      </c>
      <c r="X1" s="14" t="s">
        <v>25</v>
      </c>
      <c r="Y1" s="29" t="s">
        <v>119</v>
      </c>
      <c r="Z1" s="3" t="s">
        <v>3</v>
      </c>
    </row>
    <row r="2" spans="1:26" s="31" customFormat="1">
      <c r="A2" s="30">
        <v>42925.631249999999</v>
      </c>
      <c r="B2" s="31" t="s">
        <v>7</v>
      </c>
      <c r="C2" s="32" t="s">
        <v>10</v>
      </c>
      <c r="D2" s="32">
        <f>200+300</f>
        <v>500</v>
      </c>
      <c r="E2" s="33">
        <f>D2-174</f>
        <v>326</v>
      </c>
      <c r="F2" s="33">
        <v>326</v>
      </c>
      <c r="G2" s="43">
        <v>42925.809027777781</v>
      </c>
      <c r="H2" s="32">
        <v>1732</v>
      </c>
      <c r="I2" s="32">
        <v>0.68</v>
      </c>
      <c r="J2" s="32">
        <v>1981</v>
      </c>
      <c r="K2" s="32">
        <v>0.62</v>
      </c>
      <c r="L2" s="32">
        <v>2</v>
      </c>
      <c r="M2" s="35" t="s">
        <v>30</v>
      </c>
      <c r="N2" s="45">
        <f>MAX($Q$2:$Q$4)/SUBTOTAL(109,$Q$2:$Q$4)</f>
        <v>0.38557435440783616</v>
      </c>
      <c r="O2" s="33">
        <f t="shared" ref="O2:O15" si="0">F2-D2</f>
        <v>-174</v>
      </c>
      <c r="P2" s="32">
        <f t="shared" ref="P2:P15" si="1">IF(E2&gt;D2,INT((E2-D2)*0.95),E2-D2)</f>
        <v>-174</v>
      </c>
      <c r="Q2" s="31">
        <f t="shared" ref="Q2:Q15" si="2">ROUND((G2-A2)*24,2)</f>
        <v>4.2699999999999996</v>
      </c>
      <c r="R2" s="31">
        <f t="shared" ref="R2:R15" si="3">J2-H2</f>
        <v>249</v>
      </c>
      <c r="S2" s="31">
        <f t="shared" ref="S2:S9" si="4">U2-T2</f>
        <v>51</v>
      </c>
      <c r="T2" s="31">
        <f t="shared" ref="T2:T15" si="5">INT(H2*I2)</f>
        <v>1177</v>
      </c>
      <c r="U2" s="31">
        <f t="shared" ref="U2:U15" si="6">INT(J2*K2)</f>
        <v>1228</v>
      </c>
      <c r="V2" s="36">
        <f t="shared" ref="V2:V9" si="7">S2/R2</f>
        <v>0.20481927710843373</v>
      </c>
      <c r="W2" s="37">
        <f t="shared" ref="W2:W15" si="8">P2/R2/L2</f>
        <v>-0.3493975903614458</v>
      </c>
      <c r="X2" s="37">
        <f t="shared" ref="X2:X15" si="9">P2/Q2/L2</f>
        <v>-20.374707259953162</v>
      </c>
      <c r="Y2" s="38">
        <f t="shared" ref="Y2:Y15" si="10">DATE(YEAR(A2),MONTH(A2),DAY(A2))</f>
        <v>42925</v>
      </c>
      <c r="Z2" s="39" t="s">
        <v>8</v>
      </c>
    </row>
    <row r="3" spans="1:26" s="31" customFormat="1">
      <c r="A3" s="30">
        <v>42925.631249999999</v>
      </c>
      <c r="B3" s="31" t="s">
        <v>26</v>
      </c>
      <c r="C3" s="32" t="s">
        <v>27</v>
      </c>
      <c r="D3" s="32">
        <v>200</v>
      </c>
      <c r="E3" s="33">
        <v>524</v>
      </c>
      <c r="F3" s="33">
        <v>508</v>
      </c>
      <c r="G3" s="43">
        <v>42925.740972222222</v>
      </c>
      <c r="H3" s="32">
        <v>2213</v>
      </c>
      <c r="I3" s="32">
        <v>0.61</v>
      </c>
      <c r="J3" s="32">
        <v>2379</v>
      </c>
      <c r="K3" s="32">
        <v>0.57999999999999996</v>
      </c>
      <c r="L3" s="32">
        <v>2</v>
      </c>
      <c r="M3" s="35" t="s">
        <v>30</v>
      </c>
      <c r="N3" s="45">
        <f>MAX($Q$2:$Q$4)/SUBTOTAL(109,$Q$2:$Q$4)</f>
        <v>0.38557435440783616</v>
      </c>
      <c r="O3" s="33">
        <f t="shared" si="0"/>
        <v>308</v>
      </c>
      <c r="P3" s="32">
        <f t="shared" si="1"/>
        <v>307</v>
      </c>
      <c r="Q3" s="31">
        <f t="shared" si="2"/>
        <v>2.63</v>
      </c>
      <c r="R3" s="31">
        <f t="shared" si="3"/>
        <v>166</v>
      </c>
      <c r="S3" s="31">
        <f t="shared" si="4"/>
        <v>30</v>
      </c>
      <c r="T3" s="31">
        <f t="shared" si="5"/>
        <v>1349</v>
      </c>
      <c r="U3" s="31">
        <f t="shared" si="6"/>
        <v>1379</v>
      </c>
      <c r="V3" s="36">
        <f t="shared" si="7"/>
        <v>0.18072289156626506</v>
      </c>
      <c r="W3" s="37">
        <f t="shared" si="8"/>
        <v>0.92469879518072284</v>
      </c>
      <c r="X3" s="37">
        <f t="shared" si="9"/>
        <v>58.365019011406844</v>
      </c>
      <c r="Y3" s="38">
        <f t="shared" si="10"/>
        <v>42925</v>
      </c>
      <c r="Z3" s="39" t="s">
        <v>28</v>
      </c>
    </row>
    <row r="4" spans="1:26" s="31" customFormat="1">
      <c r="A4" s="30">
        <v>42925.631249999999</v>
      </c>
      <c r="B4" s="31" t="s">
        <v>33</v>
      </c>
      <c r="C4" s="32" t="s">
        <v>38</v>
      </c>
      <c r="D4" s="32">
        <v>300</v>
      </c>
      <c r="E4" s="33">
        <v>367</v>
      </c>
      <c r="F4" s="33">
        <v>367</v>
      </c>
      <c r="G4" s="43">
        <v>42925.811805555553</v>
      </c>
      <c r="H4" s="32">
        <v>1509</v>
      </c>
      <c r="I4" s="32">
        <v>0.71</v>
      </c>
      <c r="J4" s="32">
        <v>1753</v>
      </c>
      <c r="K4" s="32">
        <v>0.64</v>
      </c>
      <c r="L4" s="32">
        <v>2</v>
      </c>
      <c r="M4" s="35" t="s">
        <v>30</v>
      </c>
      <c r="N4" s="45">
        <f>MAX($Q$2:$Q$4)/SUBTOTAL(109,$Q$2:$Q$4)</f>
        <v>0.38557435440783616</v>
      </c>
      <c r="O4" s="33">
        <f t="shared" si="0"/>
        <v>67</v>
      </c>
      <c r="P4" s="32">
        <f t="shared" si="1"/>
        <v>63</v>
      </c>
      <c r="Q4" s="31">
        <f t="shared" si="2"/>
        <v>4.33</v>
      </c>
      <c r="R4" s="31">
        <f t="shared" si="3"/>
        <v>244</v>
      </c>
      <c r="S4" s="31">
        <f t="shared" si="4"/>
        <v>50</v>
      </c>
      <c r="T4" s="31">
        <f t="shared" si="5"/>
        <v>1071</v>
      </c>
      <c r="U4" s="31">
        <f t="shared" si="6"/>
        <v>1121</v>
      </c>
      <c r="V4" s="36">
        <f t="shared" si="7"/>
        <v>0.20491803278688525</v>
      </c>
      <c r="W4" s="37">
        <f t="shared" si="8"/>
        <v>0.12909836065573771</v>
      </c>
      <c r="X4" s="37">
        <f t="shared" si="9"/>
        <v>7.274826789838337</v>
      </c>
      <c r="Y4" s="38">
        <f t="shared" si="10"/>
        <v>42925</v>
      </c>
      <c r="Z4" s="39" t="s">
        <v>32</v>
      </c>
    </row>
    <row r="5" spans="1:26">
      <c r="A5" s="25">
        <v>42934.876388888886</v>
      </c>
      <c r="B5" s="2" t="s">
        <v>7</v>
      </c>
      <c r="C5" s="6" t="s">
        <v>61</v>
      </c>
      <c r="D5" s="6">
        <f>200+100</f>
        <v>300</v>
      </c>
      <c r="E5" s="8">
        <f>D5+108</f>
        <v>408</v>
      </c>
      <c r="F5" s="15">
        <v>403</v>
      </c>
      <c r="G5" s="42">
        <v>42935.022222222222</v>
      </c>
      <c r="H5" s="6">
        <v>2186</v>
      </c>
      <c r="I5" s="6">
        <v>0.66</v>
      </c>
      <c r="J5" s="6">
        <v>2320</v>
      </c>
      <c r="K5" s="6">
        <v>0.63</v>
      </c>
      <c r="L5" s="6">
        <v>2</v>
      </c>
      <c r="M5" s="16" t="s">
        <v>30</v>
      </c>
      <c r="N5" s="45">
        <f t="array" ref="N5:N9">MAX($Q$5:$Q$9)/SUBTOTAL(109,$Q$5:$Q$9)</f>
        <v>0.28561151079136687</v>
      </c>
      <c r="O5" s="23">
        <f t="shared" si="0"/>
        <v>103</v>
      </c>
      <c r="P5" s="24">
        <f t="shared" si="1"/>
        <v>102</v>
      </c>
      <c r="Q5" s="12">
        <f t="shared" si="2"/>
        <v>3.5</v>
      </c>
      <c r="R5" s="12">
        <f t="shared" si="3"/>
        <v>134</v>
      </c>
      <c r="S5" s="12">
        <f t="shared" si="4"/>
        <v>19</v>
      </c>
      <c r="T5" s="12">
        <f t="shared" si="5"/>
        <v>1442</v>
      </c>
      <c r="U5" s="12">
        <f t="shared" si="6"/>
        <v>1461</v>
      </c>
      <c r="V5" s="13">
        <f t="shared" si="7"/>
        <v>0.1417910447761194</v>
      </c>
      <c r="W5" s="14">
        <f t="shared" si="8"/>
        <v>0.38059701492537312</v>
      </c>
      <c r="X5" s="14">
        <f t="shared" si="9"/>
        <v>14.571428571428571</v>
      </c>
      <c r="Y5" s="29">
        <f t="shared" si="10"/>
        <v>42934</v>
      </c>
      <c r="Z5" s="3" t="s">
        <v>8</v>
      </c>
    </row>
    <row r="6" spans="1:26">
      <c r="A6" s="25">
        <v>42934.876388888886</v>
      </c>
      <c r="B6" s="2" t="s">
        <v>26</v>
      </c>
      <c r="C6" s="6" t="s">
        <v>27</v>
      </c>
      <c r="D6" s="6">
        <v>200</v>
      </c>
      <c r="E6" s="8">
        <f>D6+7</f>
        <v>207</v>
      </c>
      <c r="F6" s="15">
        <v>207</v>
      </c>
      <c r="G6" s="42">
        <v>42935.041666666664</v>
      </c>
      <c r="H6" s="6">
        <v>2584</v>
      </c>
      <c r="I6" s="6">
        <v>0.62</v>
      </c>
      <c r="J6" s="6">
        <v>2816</v>
      </c>
      <c r="K6" s="6">
        <v>0.57999999999999996</v>
      </c>
      <c r="L6" s="6">
        <v>2</v>
      </c>
      <c r="M6" s="16" t="s">
        <v>30</v>
      </c>
      <c r="N6" s="45">
        <v>0.28561151079136687</v>
      </c>
      <c r="O6" s="23">
        <f t="shared" si="0"/>
        <v>7</v>
      </c>
      <c r="P6" s="24">
        <f t="shared" si="1"/>
        <v>6</v>
      </c>
      <c r="Q6" s="12">
        <f t="shared" si="2"/>
        <v>3.97</v>
      </c>
      <c r="R6" s="12">
        <f t="shared" si="3"/>
        <v>232</v>
      </c>
      <c r="S6" s="12">
        <f t="shared" si="4"/>
        <v>31</v>
      </c>
      <c r="T6" s="12">
        <f t="shared" si="5"/>
        <v>1602</v>
      </c>
      <c r="U6" s="12">
        <f t="shared" si="6"/>
        <v>1633</v>
      </c>
      <c r="V6" s="13">
        <f t="shared" si="7"/>
        <v>0.1336206896551724</v>
      </c>
      <c r="W6" s="14">
        <f t="shared" si="8"/>
        <v>1.2931034482758621E-2</v>
      </c>
      <c r="X6" s="14">
        <f t="shared" si="9"/>
        <v>0.75566750629722923</v>
      </c>
      <c r="Y6" s="29">
        <f t="shared" si="10"/>
        <v>42934</v>
      </c>
      <c r="Z6" s="3" t="s">
        <v>28</v>
      </c>
    </row>
    <row r="7" spans="1:26">
      <c r="A7" s="25">
        <v>42934.876388888886</v>
      </c>
      <c r="B7" s="2" t="s">
        <v>33</v>
      </c>
      <c r="C7" s="6" t="s">
        <v>62</v>
      </c>
      <c r="D7" s="6">
        <f>400</f>
        <v>400</v>
      </c>
      <c r="E7" s="8">
        <f>D7+618</f>
        <v>1018</v>
      </c>
      <c r="F7" s="15">
        <v>988</v>
      </c>
      <c r="G7" s="42">
        <v>42934.955555555556</v>
      </c>
      <c r="H7" s="6">
        <v>1753</v>
      </c>
      <c r="I7" s="6">
        <v>0.64</v>
      </c>
      <c r="J7" s="6">
        <v>1855</v>
      </c>
      <c r="K7" s="6">
        <v>0.61</v>
      </c>
      <c r="L7" s="6">
        <v>4</v>
      </c>
      <c r="M7" s="16" t="s">
        <v>60</v>
      </c>
      <c r="N7" s="45">
        <v>0.28561151079136687</v>
      </c>
      <c r="O7" s="23">
        <f t="shared" si="0"/>
        <v>588</v>
      </c>
      <c r="P7" s="24">
        <f t="shared" si="1"/>
        <v>587</v>
      </c>
      <c r="Q7" s="12">
        <f t="shared" si="2"/>
        <v>1.9</v>
      </c>
      <c r="R7" s="12">
        <f t="shared" si="3"/>
        <v>102</v>
      </c>
      <c r="S7" s="12">
        <f t="shared" si="4"/>
        <v>10</v>
      </c>
      <c r="T7" s="12">
        <f t="shared" si="5"/>
        <v>1121</v>
      </c>
      <c r="U7" s="12">
        <f t="shared" si="6"/>
        <v>1131</v>
      </c>
      <c r="V7" s="13">
        <f t="shared" si="7"/>
        <v>9.8039215686274508E-2</v>
      </c>
      <c r="W7" s="14">
        <f t="shared" si="8"/>
        <v>1.4387254901960784</v>
      </c>
      <c r="X7" s="14">
        <f t="shared" si="9"/>
        <v>77.236842105263165</v>
      </c>
      <c r="Y7" s="29">
        <f t="shared" si="10"/>
        <v>42934</v>
      </c>
      <c r="Z7" s="3" t="s">
        <v>32</v>
      </c>
    </row>
    <row r="8" spans="1:26">
      <c r="A8" s="25">
        <v>42934.876388888886</v>
      </c>
      <c r="B8" s="2" t="s">
        <v>58</v>
      </c>
      <c r="C8" s="6" t="s">
        <v>59</v>
      </c>
      <c r="D8" s="6">
        <v>200</v>
      </c>
      <c r="E8" s="8">
        <f>D8+32</f>
        <v>232</v>
      </c>
      <c r="F8" s="15">
        <v>232</v>
      </c>
      <c r="G8" s="42">
        <v>42934.986805555556</v>
      </c>
      <c r="H8" s="6">
        <v>1674</v>
      </c>
      <c r="I8" s="6">
        <v>0.63</v>
      </c>
      <c r="J8" s="6">
        <v>1830</v>
      </c>
      <c r="K8" s="6">
        <v>0.6</v>
      </c>
      <c r="L8" s="6">
        <v>2</v>
      </c>
      <c r="M8" s="16" t="s">
        <v>30</v>
      </c>
      <c r="N8" s="45">
        <v>0.28561151079136687</v>
      </c>
      <c r="O8" s="23">
        <f t="shared" si="0"/>
        <v>32</v>
      </c>
      <c r="P8" s="24">
        <f t="shared" si="1"/>
        <v>30</v>
      </c>
      <c r="Q8" s="12">
        <f t="shared" si="2"/>
        <v>2.65</v>
      </c>
      <c r="R8" s="12">
        <f t="shared" si="3"/>
        <v>156</v>
      </c>
      <c r="S8" s="12">
        <f t="shared" si="4"/>
        <v>44</v>
      </c>
      <c r="T8" s="12">
        <f t="shared" si="5"/>
        <v>1054</v>
      </c>
      <c r="U8" s="12">
        <f t="shared" si="6"/>
        <v>1098</v>
      </c>
      <c r="V8" s="13">
        <f t="shared" si="7"/>
        <v>0.28205128205128205</v>
      </c>
      <c r="W8" s="14">
        <f t="shared" si="8"/>
        <v>9.6153846153846159E-2</v>
      </c>
      <c r="X8" s="14">
        <f t="shared" si="9"/>
        <v>5.6603773584905666</v>
      </c>
      <c r="Y8" s="29">
        <f t="shared" si="10"/>
        <v>42934</v>
      </c>
      <c r="Z8" s="3" t="s">
        <v>131</v>
      </c>
    </row>
    <row r="9" spans="1:26">
      <c r="A9" s="25">
        <v>42934.955555555556</v>
      </c>
      <c r="B9" s="2" t="s">
        <v>33</v>
      </c>
      <c r="C9" s="6" t="s">
        <v>34</v>
      </c>
      <c r="D9" s="6">
        <v>200</v>
      </c>
      <c r="E9" s="8">
        <f>D9+177</f>
        <v>377</v>
      </c>
      <c r="F9" s="15">
        <v>369</v>
      </c>
      <c r="G9" s="42">
        <v>42935.03402777778</v>
      </c>
      <c r="H9" s="6">
        <v>1855</v>
      </c>
      <c r="I9" s="6">
        <v>0.61</v>
      </c>
      <c r="J9" s="6">
        <v>1967</v>
      </c>
      <c r="K9" s="6">
        <v>0.59</v>
      </c>
      <c r="L9" s="6">
        <v>2</v>
      </c>
      <c r="M9" s="16" t="s">
        <v>30</v>
      </c>
      <c r="N9" s="45">
        <v>0.28561151079136687</v>
      </c>
      <c r="O9" s="23">
        <f t="shared" si="0"/>
        <v>169</v>
      </c>
      <c r="P9" s="24">
        <f t="shared" si="1"/>
        <v>168</v>
      </c>
      <c r="Q9" s="12">
        <f t="shared" si="2"/>
        <v>1.88</v>
      </c>
      <c r="R9" s="12">
        <f t="shared" si="3"/>
        <v>112</v>
      </c>
      <c r="S9" s="12">
        <f t="shared" si="4"/>
        <v>29</v>
      </c>
      <c r="T9" s="12">
        <f t="shared" si="5"/>
        <v>1131</v>
      </c>
      <c r="U9" s="12">
        <f t="shared" si="6"/>
        <v>1160</v>
      </c>
      <c r="V9" s="13">
        <f t="shared" si="7"/>
        <v>0.25892857142857145</v>
      </c>
      <c r="W9" s="14">
        <f t="shared" si="8"/>
        <v>0.75</v>
      </c>
      <c r="X9" s="14">
        <f t="shared" si="9"/>
        <v>44.680851063829792</v>
      </c>
      <c r="Y9" s="29">
        <f t="shared" si="10"/>
        <v>42934</v>
      </c>
      <c r="Z9" s="3" t="s">
        <v>32</v>
      </c>
    </row>
    <row r="10" spans="1:26" s="31" customFormat="1">
      <c r="A10" s="30">
        <v>42936.855555555558</v>
      </c>
      <c r="B10" s="31" t="s">
        <v>7</v>
      </c>
      <c r="C10" s="32" t="s">
        <v>61</v>
      </c>
      <c r="D10" s="32">
        <f>200</f>
        <v>200</v>
      </c>
      <c r="E10" s="33">
        <f>D10+150</f>
        <v>350</v>
      </c>
      <c r="F10" s="33">
        <v>342</v>
      </c>
      <c r="G10" s="43">
        <v>42936.959722222222</v>
      </c>
      <c r="H10" s="32">
        <v>2320</v>
      </c>
      <c r="I10" s="32">
        <v>0.63</v>
      </c>
      <c r="J10" s="32">
        <v>2422</v>
      </c>
      <c r="K10" s="32">
        <v>0.61</v>
      </c>
      <c r="L10" s="32">
        <v>2</v>
      </c>
      <c r="M10" s="35" t="s">
        <v>30</v>
      </c>
      <c r="N10" s="45">
        <f>MAX($Q$10:$Q$11)/SUBTOTAL(109,$Q$10:$Q$11)</f>
        <v>0.51267056530214428</v>
      </c>
      <c r="O10" s="33">
        <f t="shared" si="0"/>
        <v>142</v>
      </c>
      <c r="P10" s="32">
        <f t="shared" si="1"/>
        <v>142</v>
      </c>
      <c r="Q10" s="31">
        <f t="shared" si="2"/>
        <v>2.5</v>
      </c>
      <c r="R10" s="31">
        <f t="shared" si="3"/>
        <v>102</v>
      </c>
      <c r="S10" s="31">
        <f t="shared" ref="S10:S14" si="11">U10-T10</f>
        <v>16</v>
      </c>
      <c r="T10" s="31">
        <f t="shared" si="5"/>
        <v>1461</v>
      </c>
      <c r="U10" s="31">
        <f t="shared" si="6"/>
        <v>1477</v>
      </c>
      <c r="V10" s="36">
        <f t="shared" ref="V10" si="12">S10/R10</f>
        <v>0.15686274509803921</v>
      </c>
      <c r="W10" s="37">
        <f t="shared" si="8"/>
        <v>0.69607843137254899</v>
      </c>
      <c r="X10" s="37">
        <f t="shared" si="9"/>
        <v>28.4</v>
      </c>
      <c r="Y10" s="38">
        <f t="shared" si="10"/>
        <v>42936</v>
      </c>
      <c r="Z10" s="39" t="s">
        <v>8</v>
      </c>
    </row>
    <row r="11" spans="1:26" s="31" customFormat="1">
      <c r="A11" s="30">
        <v>42936.855555555558</v>
      </c>
      <c r="B11" s="31" t="s">
        <v>33</v>
      </c>
      <c r="C11" s="32" t="s">
        <v>38</v>
      </c>
      <c r="D11" s="32">
        <f>200+200</f>
        <v>400</v>
      </c>
      <c r="E11" s="33">
        <f>D11-132</f>
        <v>268</v>
      </c>
      <c r="F11" s="33">
        <v>268</v>
      </c>
      <c r="G11" s="43">
        <v>42936.965277777781</v>
      </c>
      <c r="H11" s="32">
        <v>1967</v>
      </c>
      <c r="I11" s="32">
        <v>0.59</v>
      </c>
      <c r="J11" s="32">
        <v>2117</v>
      </c>
      <c r="K11" s="32">
        <v>0.56999999999999995</v>
      </c>
      <c r="L11" s="32">
        <v>2</v>
      </c>
      <c r="M11" s="35" t="s">
        <v>30</v>
      </c>
      <c r="N11" s="45">
        <f>MAX($Q$10:$Q$11)/SUBTOTAL(109,$Q$10:$Q$11)</f>
        <v>0.51267056530214428</v>
      </c>
      <c r="O11" s="33">
        <f t="shared" si="0"/>
        <v>-132</v>
      </c>
      <c r="P11" s="32">
        <f t="shared" si="1"/>
        <v>-132</v>
      </c>
      <c r="Q11" s="31">
        <f t="shared" si="2"/>
        <v>2.63</v>
      </c>
      <c r="R11" s="31">
        <f t="shared" si="3"/>
        <v>150</v>
      </c>
      <c r="S11" s="31">
        <f t="shared" si="11"/>
        <v>46</v>
      </c>
      <c r="T11" s="31">
        <f t="shared" si="5"/>
        <v>1160</v>
      </c>
      <c r="U11" s="31">
        <f t="shared" si="6"/>
        <v>1206</v>
      </c>
      <c r="V11" s="36">
        <f>S11/R11</f>
        <v>0.30666666666666664</v>
      </c>
      <c r="W11" s="37">
        <f t="shared" si="8"/>
        <v>-0.44</v>
      </c>
      <c r="X11" s="37">
        <f t="shared" si="9"/>
        <v>-25.095057034220535</v>
      </c>
      <c r="Y11" s="38">
        <f t="shared" si="10"/>
        <v>42936</v>
      </c>
      <c r="Z11" s="39" t="s">
        <v>32</v>
      </c>
    </row>
    <row r="12" spans="1:26">
      <c r="A12" s="25">
        <v>42938.878472222219</v>
      </c>
      <c r="B12" s="2" t="s">
        <v>26</v>
      </c>
      <c r="C12" s="6" t="s">
        <v>105</v>
      </c>
      <c r="D12" s="6">
        <f>200</f>
        <v>200</v>
      </c>
      <c r="E12" s="8">
        <v>189</v>
      </c>
      <c r="F12" s="15">
        <v>189</v>
      </c>
      <c r="G12" s="42">
        <v>42939.000011574077</v>
      </c>
      <c r="H12" s="6">
        <v>2816</v>
      </c>
      <c r="I12" s="6">
        <v>0.57999999999999996</v>
      </c>
      <c r="J12" s="6">
        <v>2997</v>
      </c>
      <c r="K12" s="6">
        <v>0.55000000000000004</v>
      </c>
      <c r="L12" s="6">
        <v>2</v>
      </c>
      <c r="M12" s="16" t="s">
        <v>30</v>
      </c>
      <c r="N12" s="45">
        <f t="shared" ref="N12:N19" si="13">MAX($Q$12:$Q$15)/SUBTOTAL(109,$Q$12:$Q$15)</f>
        <v>0.27222731439046749</v>
      </c>
      <c r="O12" s="23">
        <f t="shared" si="0"/>
        <v>-11</v>
      </c>
      <c r="P12" s="24">
        <f t="shared" si="1"/>
        <v>-11</v>
      </c>
      <c r="Q12" s="12">
        <f t="shared" si="2"/>
        <v>2.92</v>
      </c>
      <c r="R12" s="12">
        <f t="shared" si="3"/>
        <v>181</v>
      </c>
      <c r="S12" s="12">
        <f t="shared" si="11"/>
        <v>15</v>
      </c>
      <c r="T12" s="12">
        <f t="shared" si="5"/>
        <v>1633</v>
      </c>
      <c r="U12" s="12">
        <f t="shared" si="6"/>
        <v>1648</v>
      </c>
      <c r="V12" s="13">
        <f t="shared" ref="V12:V15" si="14">S12/R12</f>
        <v>8.2872928176795577E-2</v>
      </c>
      <c r="W12" s="14">
        <f t="shared" si="8"/>
        <v>-3.0386740331491711E-2</v>
      </c>
      <c r="X12" s="14">
        <f t="shared" si="9"/>
        <v>-1.8835616438356164</v>
      </c>
      <c r="Y12" s="29">
        <f t="shared" si="10"/>
        <v>42938</v>
      </c>
      <c r="Z12" s="3" t="s">
        <v>28</v>
      </c>
    </row>
    <row r="13" spans="1:26">
      <c r="A13" s="25">
        <v>42938.878472222219</v>
      </c>
      <c r="B13" s="2" t="s">
        <v>5</v>
      </c>
      <c r="C13" s="6" t="s">
        <v>103</v>
      </c>
      <c r="D13" s="6">
        <f>400</f>
        <v>400</v>
      </c>
      <c r="E13" s="8">
        <f>D13+274</f>
        <v>674</v>
      </c>
      <c r="F13" s="15">
        <v>665</v>
      </c>
      <c r="G13" s="42">
        <v>42938.982638888891</v>
      </c>
      <c r="H13" s="6">
        <v>1830</v>
      </c>
      <c r="I13" s="6">
        <v>0.6</v>
      </c>
      <c r="J13" s="6">
        <v>1994</v>
      </c>
      <c r="K13" s="6">
        <v>0.56000000000000005</v>
      </c>
      <c r="L13" s="6">
        <v>4</v>
      </c>
      <c r="M13" s="16" t="s">
        <v>104</v>
      </c>
      <c r="N13" s="45">
        <f t="shared" si="13"/>
        <v>0.27222731439046749</v>
      </c>
      <c r="O13" s="23">
        <f t="shared" si="0"/>
        <v>265</v>
      </c>
      <c r="P13" s="24">
        <f t="shared" si="1"/>
        <v>260</v>
      </c>
      <c r="Q13" s="12">
        <f t="shared" si="2"/>
        <v>2.5</v>
      </c>
      <c r="R13" s="12">
        <f t="shared" si="3"/>
        <v>164</v>
      </c>
      <c r="S13" s="12">
        <f t="shared" si="11"/>
        <v>18</v>
      </c>
      <c r="T13" s="12">
        <f t="shared" si="5"/>
        <v>1098</v>
      </c>
      <c r="U13" s="12">
        <f t="shared" si="6"/>
        <v>1116</v>
      </c>
      <c r="V13" s="13">
        <f t="shared" si="14"/>
        <v>0.10975609756097561</v>
      </c>
      <c r="W13" s="14">
        <f t="shared" si="8"/>
        <v>0.39634146341463417</v>
      </c>
      <c r="X13" s="14">
        <f t="shared" si="9"/>
        <v>26</v>
      </c>
      <c r="Y13" s="29">
        <f t="shared" si="10"/>
        <v>42938</v>
      </c>
      <c r="Z13" s="3" t="s">
        <v>131</v>
      </c>
    </row>
    <row r="14" spans="1:26">
      <c r="A14" s="25">
        <v>42938.884027777778</v>
      </c>
      <c r="B14" s="2" t="s">
        <v>33</v>
      </c>
      <c r="C14" s="6" t="s">
        <v>106</v>
      </c>
      <c r="D14" s="6">
        <f>400+400+1000</f>
        <v>1800</v>
      </c>
      <c r="E14" s="8">
        <f>D14-828</f>
        <v>972</v>
      </c>
      <c r="F14" s="15">
        <v>972</v>
      </c>
      <c r="G14" s="42">
        <v>42938.988888888889</v>
      </c>
      <c r="H14" s="6">
        <v>2117</v>
      </c>
      <c r="I14" s="6">
        <v>0.56999999999999995</v>
      </c>
      <c r="J14" s="6">
        <v>2265</v>
      </c>
      <c r="K14" s="6">
        <v>0.55000000000000004</v>
      </c>
      <c r="L14" s="6">
        <v>4</v>
      </c>
      <c r="M14" s="16" t="s">
        <v>104</v>
      </c>
      <c r="N14" s="45">
        <f t="shared" si="13"/>
        <v>0.27222731439046749</v>
      </c>
      <c r="O14" s="23">
        <f t="shared" si="0"/>
        <v>-828</v>
      </c>
      <c r="P14" s="24">
        <f t="shared" si="1"/>
        <v>-828</v>
      </c>
      <c r="Q14" s="12">
        <f t="shared" si="2"/>
        <v>2.52</v>
      </c>
      <c r="R14" s="12">
        <f t="shared" si="3"/>
        <v>148</v>
      </c>
      <c r="S14" s="12">
        <f t="shared" si="11"/>
        <v>39</v>
      </c>
      <c r="T14" s="12">
        <f t="shared" si="5"/>
        <v>1206</v>
      </c>
      <c r="U14" s="12">
        <f t="shared" si="6"/>
        <v>1245</v>
      </c>
      <c r="V14" s="13">
        <f t="shared" si="14"/>
        <v>0.26351351351351349</v>
      </c>
      <c r="W14" s="14">
        <f t="shared" si="8"/>
        <v>-1.3986486486486487</v>
      </c>
      <c r="X14" s="14">
        <f t="shared" si="9"/>
        <v>-82.142857142857139</v>
      </c>
      <c r="Y14" s="29">
        <f t="shared" si="10"/>
        <v>42938</v>
      </c>
      <c r="Z14" s="3" t="s">
        <v>32</v>
      </c>
    </row>
    <row r="15" spans="1:26">
      <c r="A15" s="25">
        <v>42938.876388888886</v>
      </c>
      <c r="B15" s="2" t="s">
        <v>7</v>
      </c>
      <c r="C15" s="6" t="s">
        <v>107</v>
      </c>
      <c r="D15" s="6">
        <v>200</v>
      </c>
      <c r="E15" s="8">
        <v>215</v>
      </c>
      <c r="F15" s="15">
        <v>215</v>
      </c>
      <c r="G15" s="42">
        <v>42939.000011574077</v>
      </c>
      <c r="H15" s="6">
        <v>2422</v>
      </c>
      <c r="I15" s="6">
        <v>0.61</v>
      </c>
      <c r="J15" s="6">
        <v>2557</v>
      </c>
      <c r="K15" s="6">
        <v>0.59</v>
      </c>
      <c r="L15" s="6">
        <v>2</v>
      </c>
      <c r="M15" s="16" t="s">
        <v>30</v>
      </c>
      <c r="N15" s="45">
        <f t="shared" si="13"/>
        <v>0.27222731439046749</v>
      </c>
      <c r="O15" s="23">
        <f t="shared" si="0"/>
        <v>15</v>
      </c>
      <c r="P15" s="24">
        <f t="shared" si="1"/>
        <v>14</v>
      </c>
      <c r="Q15" s="12">
        <f t="shared" si="2"/>
        <v>2.97</v>
      </c>
      <c r="R15" s="12">
        <f t="shared" si="3"/>
        <v>135</v>
      </c>
      <c r="S15" s="12">
        <f t="shared" ref="S15:S18" si="15">U15-T15</f>
        <v>31</v>
      </c>
      <c r="T15" s="12">
        <f t="shared" si="5"/>
        <v>1477</v>
      </c>
      <c r="U15" s="12">
        <f t="shared" si="6"/>
        <v>1508</v>
      </c>
      <c r="V15" s="13">
        <f t="shared" si="14"/>
        <v>0.22962962962962963</v>
      </c>
      <c r="W15" s="14">
        <f t="shared" si="8"/>
        <v>5.185185185185185E-2</v>
      </c>
      <c r="X15" s="14">
        <f t="shared" si="9"/>
        <v>2.3569023569023568</v>
      </c>
      <c r="Y15" s="29">
        <f t="shared" si="10"/>
        <v>42938</v>
      </c>
      <c r="Z15" s="3" t="s">
        <v>8</v>
      </c>
    </row>
    <row r="16" spans="1:26">
      <c r="A16" s="25">
        <v>42943.893055555556</v>
      </c>
      <c r="B16" s="2" t="s">
        <v>26</v>
      </c>
      <c r="C16" s="6" t="s">
        <v>105</v>
      </c>
      <c r="D16" s="6"/>
      <c r="H16" s="6">
        <v>3347</v>
      </c>
      <c r="I16" s="6">
        <v>0.6</v>
      </c>
      <c r="L16" s="6">
        <v>2</v>
      </c>
      <c r="M16" s="16" t="s">
        <v>30</v>
      </c>
      <c r="N16" s="45">
        <f t="shared" si="13"/>
        <v>0.27222731439046749</v>
      </c>
      <c r="O16" s="23">
        <f t="shared" ref="O16:O19" si="16">F16-D16</f>
        <v>0</v>
      </c>
      <c r="P16" s="24">
        <f t="shared" ref="P16:P19" si="17">IF(E16&gt;D16,INT((E16-D16)*0.95),E16-D16)</f>
        <v>0</v>
      </c>
      <c r="Q16" s="12">
        <f t="shared" ref="Q16:Q19" si="18">ROUND((G16-A16)*24,2)</f>
        <v>-1030653.43</v>
      </c>
      <c r="R16" s="12">
        <f t="shared" ref="R16:R19" si="19">J16-H16</f>
        <v>-3347</v>
      </c>
      <c r="S16" s="12">
        <f t="shared" si="15"/>
        <v>-2008</v>
      </c>
      <c r="T16" s="12">
        <f t="shared" ref="T16:T19" si="20">INT(H16*I16)</f>
        <v>2008</v>
      </c>
      <c r="U16" s="12">
        <f t="shared" ref="U16:U19" si="21">INT(J16*K16)</f>
        <v>0</v>
      </c>
      <c r="V16" s="13">
        <f t="shared" ref="V16:V19" si="22">S16/R16</f>
        <v>0.59994024499551835</v>
      </c>
      <c r="W16" s="14">
        <f t="shared" ref="W16:W19" si="23">P16/R16/L16</f>
        <v>0</v>
      </c>
      <c r="X16" s="14">
        <f t="shared" ref="X16:X19" si="24">P16/Q16/L16</f>
        <v>0</v>
      </c>
      <c r="Y16" s="29">
        <f t="shared" ref="Y16:Y19" si="25">DATE(YEAR(A16),MONTH(A16),DAY(A16))</f>
        <v>42943</v>
      </c>
      <c r="Z16" s="3" t="s">
        <v>28</v>
      </c>
    </row>
    <row r="17" spans="1:26">
      <c r="A17" s="25">
        <v>42943.893055555556</v>
      </c>
      <c r="B17" s="2" t="s">
        <v>5</v>
      </c>
      <c r="C17" s="6" t="s">
        <v>9</v>
      </c>
      <c r="D17" s="6"/>
      <c r="H17" s="6">
        <v>2200</v>
      </c>
      <c r="I17" s="6">
        <v>0.6</v>
      </c>
      <c r="L17" s="6">
        <v>4</v>
      </c>
      <c r="M17" s="16" t="s">
        <v>60</v>
      </c>
      <c r="N17" s="45">
        <f t="shared" si="13"/>
        <v>0.27222731439046749</v>
      </c>
      <c r="O17" s="23">
        <f t="shared" si="16"/>
        <v>0</v>
      </c>
      <c r="P17" s="24">
        <f t="shared" si="17"/>
        <v>0</v>
      </c>
      <c r="Q17" s="12">
        <f t="shared" si="18"/>
        <v>-1030653.43</v>
      </c>
      <c r="R17" s="12">
        <f>J17-H18</f>
        <v>-2615</v>
      </c>
      <c r="S17" s="12">
        <f t="shared" si="15"/>
        <v>-1569</v>
      </c>
      <c r="T17" s="12">
        <f>INT(H18*I18)</f>
        <v>1569</v>
      </c>
      <c r="U17" s="12">
        <f t="shared" si="21"/>
        <v>0</v>
      </c>
      <c r="V17" s="13">
        <f t="shared" si="22"/>
        <v>0.6</v>
      </c>
      <c r="W17" s="14">
        <f t="shared" si="23"/>
        <v>0</v>
      </c>
      <c r="X17" s="14">
        <f t="shared" si="24"/>
        <v>0</v>
      </c>
      <c r="Y17" s="29">
        <f t="shared" si="25"/>
        <v>42943</v>
      </c>
      <c r="Z17" s="3" t="s">
        <v>6</v>
      </c>
    </row>
    <row r="18" spans="1:26">
      <c r="A18" s="25">
        <v>42943.893055555556</v>
      </c>
      <c r="B18" s="2" t="s">
        <v>33</v>
      </c>
      <c r="C18" s="6" t="s">
        <v>62</v>
      </c>
      <c r="D18" s="6"/>
      <c r="H18" s="6">
        <v>2615</v>
      </c>
      <c r="I18" s="6">
        <v>0.6</v>
      </c>
      <c r="L18" s="6">
        <v>4</v>
      </c>
      <c r="M18" s="16" t="s">
        <v>60</v>
      </c>
      <c r="N18" s="45">
        <f t="shared" si="13"/>
        <v>0.27222731439046749</v>
      </c>
      <c r="O18" s="23">
        <f t="shared" si="16"/>
        <v>0</v>
      </c>
      <c r="P18" s="24">
        <f t="shared" si="17"/>
        <v>0</v>
      </c>
      <c r="Q18" s="12">
        <f t="shared" si="18"/>
        <v>-1030653.43</v>
      </c>
      <c r="R18" s="12" t="e">
        <f>J18-#REF!</f>
        <v>#REF!</v>
      </c>
      <c r="S18" s="12" t="e">
        <f t="shared" si="15"/>
        <v>#REF!</v>
      </c>
      <c r="T18" s="12" t="e">
        <f>INT(#REF!*#REF!)</f>
        <v>#REF!</v>
      </c>
      <c r="U18" s="12">
        <f t="shared" si="21"/>
        <v>0</v>
      </c>
      <c r="V18" s="13" t="e">
        <f t="shared" si="22"/>
        <v>#REF!</v>
      </c>
      <c r="W18" s="14" t="e">
        <f t="shared" si="23"/>
        <v>#REF!</v>
      </c>
      <c r="X18" s="14">
        <f t="shared" si="24"/>
        <v>0</v>
      </c>
      <c r="Y18" s="29">
        <f t="shared" si="25"/>
        <v>42943</v>
      </c>
      <c r="Z18" s="3" t="s">
        <v>32</v>
      </c>
    </row>
    <row r="19" spans="1:26">
      <c r="A19" s="25">
        <v>42943.893055555556</v>
      </c>
      <c r="B19" s="2" t="s">
        <v>7</v>
      </c>
      <c r="C19" s="6" t="s">
        <v>107</v>
      </c>
      <c r="D19" s="6"/>
      <c r="H19" s="6">
        <v>2763</v>
      </c>
      <c r="I19" s="6">
        <v>0.62</v>
      </c>
      <c r="L19" s="6">
        <v>2</v>
      </c>
      <c r="M19" s="16" t="s">
        <v>30</v>
      </c>
      <c r="N19" s="45">
        <f t="shared" si="13"/>
        <v>0.27222731439046749</v>
      </c>
      <c r="O19" s="23">
        <f t="shared" si="16"/>
        <v>0</v>
      </c>
      <c r="P19" s="24">
        <f t="shared" si="17"/>
        <v>0</v>
      </c>
      <c r="Q19" s="12">
        <f t="shared" si="18"/>
        <v>-1030653.43</v>
      </c>
      <c r="R19" s="12">
        <f t="shared" si="19"/>
        <v>-2763</v>
      </c>
      <c r="S19" s="12">
        <f t="shared" ref="S19" si="26">U19-T19</f>
        <v>-1713</v>
      </c>
      <c r="T19" s="12">
        <f t="shared" si="20"/>
        <v>1713</v>
      </c>
      <c r="U19" s="12">
        <f t="shared" si="21"/>
        <v>0</v>
      </c>
      <c r="V19" s="13">
        <f t="shared" si="22"/>
        <v>0.61997828447339853</v>
      </c>
      <c r="W19" s="14">
        <f t="shared" si="23"/>
        <v>0</v>
      </c>
      <c r="X19" s="14">
        <f t="shared" si="24"/>
        <v>0</v>
      </c>
      <c r="Y19" s="29">
        <f t="shared" si="25"/>
        <v>42943</v>
      </c>
      <c r="Z19" s="3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0" sqref="B20"/>
    </sheetView>
  </sheetViews>
  <sheetFormatPr baseColWidth="10" defaultColWidth="11" defaultRowHeight="15" x14ac:dyDescent="0"/>
  <cols>
    <col min="1" max="1" width="16.5" bestFit="1" customWidth="1"/>
    <col min="2" max="2" width="55.5" bestFit="1" customWidth="1"/>
    <col min="3" max="3" width="42.5" bestFit="1" customWidth="1"/>
  </cols>
  <sheetData>
    <row r="1" spans="1:7">
      <c r="A1" t="s">
        <v>44</v>
      </c>
      <c r="B1" t="s">
        <v>45</v>
      </c>
      <c r="C1" t="s">
        <v>50</v>
      </c>
      <c r="F1" t="s">
        <v>116</v>
      </c>
      <c r="G1" t="s">
        <v>113</v>
      </c>
    </row>
    <row r="2" spans="1:7">
      <c r="A2" s="4">
        <v>42925.631249999999</v>
      </c>
      <c r="B2" t="s">
        <v>49</v>
      </c>
      <c r="C2" s="7" t="s">
        <v>51</v>
      </c>
      <c r="F2" t="s">
        <v>117</v>
      </c>
      <c r="G2" t="s">
        <v>114</v>
      </c>
    </row>
    <row r="3" spans="1:7">
      <c r="A3" s="4">
        <v>42925.631249999999</v>
      </c>
      <c r="B3" t="s">
        <v>46</v>
      </c>
      <c r="F3" t="s">
        <v>117</v>
      </c>
      <c r="G3" t="s">
        <v>118</v>
      </c>
    </row>
    <row r="4" spans="1:7">
      <c r="A4" s="4">
        <v>42925.631249999999</v>
      </c>
      <c r="B4" t="s">
        <v>47</v>
      </c>
      <c r="C4" s="7" t="s">
        <v>52</v>
      </c>
    </row>
    <row r="5" spans="1:7">
      <c r="A5" s="4">
        <v>42925.631249999999</v>
      </c>
      <c r="B5" t="s">
        <v>48</v>
      </c>
      <c r="C5" s="7" t="s">
        <v>53</v>
      </c>
    </row>
    <row r="6" spans="1:7">
      <c r="A6" s="4">
        <v>42925.631249999999</v>
      </c>
      <c r="B6" t="s">
        <v>54</v>
      </c>
      <c r="C6" s="7" t="s">
        <v>55</v>
      </c>
    </row>
    <row r="7" spans="1:7">
      <c r="A7" s="20">
        <v>42935.041666666664</v>
      </c>
      <c r="B7" t="s">
        <v>63</v>
      </c>
    </row>
    <row r="8" spans="1:7">
      <c r="A8" s="20">
        <v>42935.041666666664</v>
      </c>
      <c r="B8" t="s">
        <v>64</v>
      </c>
      <c r="C8" s="7" t="s">
        <v>65</v>
      </c>
    </row>
    <row r="9" spans="1:7">
      <c r="A9" s="20">
        <v>42935.041666666664</v>
      </c>
      <c r="B9" t="s">
        <v>66</v>
      </c>
    </row>
    <row r="10" spans="1:7">
      <c r="A10" s="20">
        <v>42935.041666666664</v>
      </c>
      <c r="B10" t="s">
        <v>67</v>
      </c>
    </row>
    <row r="11" spans="1:7">
      <c r="A11" s="20">
        <v>42939.026388888888</v>
      </c>
      <c r="B11" t="s">
        <v>108</v>
      </c>
    </row>
    <row r="12" spans="1:7">
      <c r="A12" s="20">
        <v>42939.026388888888</v>
      </c>
      <c r="B12" t="s">
        <v>110</v>
      </c>
      <c r="C12" t="s">
        <v>109</v>
      </c>
    </row>
    <row r="13" spans="1:7">
      <c r="A13" s="20">
        <v>42939.026388888888</v>
      </c>
      <c r="B13" t="s">
        <v>111</v>
      </c>
    </row>
    <row r="14" spans="1:7">
      <c r="A14" s="20">
        <v>42939.026388888888</v>
      </c>
      <c r="B14" t="s">
        <v>112</v>
      </c>
    </row>
    <row r="15" spans="1:7">
      <c r="A15" s="20">
        <v>42939.026388888888</v>
      </c>
      <c r="B15" t="s">
        <v>115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T13" sqref="T13"/>
    </sheetView>
  </sheetViews>
  <sheetFormatPr baseColWidth="10" defaultColWidth="11" defaultRowHeight="14" x14ac:dyDescent="0"/>
  <cols>
    <col min="1" max="1" width="16.33203125" style="6" bestFit="1" customWidth="1"/>
    <col min="2" max="3" width="5.5" style="2" bestFit="1" customWidth="1"/>
    <col min="4" max="5" width="5" style="6" customWidth="1"/>
    <col min="6" max="6" width="5" style="47" customWidth="1"/>
    <col min="7" max="7" width="9.6640625" style="22" customWidth="1"/>
    <col min="8" max="13" width="5" style="6" customWidth="1"/>
    <col min="14" max="14" width="11" style="2"/>
    <col min="15" max="16" width="6.33203125" style="6" customWidth="1"/>
    <col min="17" max="22" width="6.33203125" style="12" customWidth="1"/>
    <col min="23" max="23" width="8.5" style="12" customWidth="1"/>
    <col min="24" max="24" width="8.5" style="2" customWidth="1"/>
    <col min="25" max="25" width="12.5" style="2" bestFit="1" customWidth="1"/>
    <col min="26" max="26" width="12.33203125" style="2" customWidth="1"/>
    <col min="27" max="16384" width="11" style="2"/>
  </cols>
  <sheetData>
    <row r="1" spans="1:26">
      <c r="A1" s="4" t="s">
        <v>12</v>
      </c>
      <c r="B1" s="2" t="s">
        <v>0</v>
      </c>
      <c r="C1" s="6" t="s">
        <v>2</v>
      </c>
      <c r="D1" s="5" t="s">
        <v>1</v>
      </c>
      <c r="E1" s="8" t="s">
        <v>11</v>
      </c>
      <c r="F1" s="15" t="s">
        <v>39</v>
      </c>
      <c r="G1" s="22" t="s">
        <v>13</v>
      </c>
      <c r="H1" s="6" t="s">
        <v>17</v>
      </c>
      <c r="I1" s="6" t="s">
        <v>15</v>
      </c>
      <c r="J1" s="6" t="s">
        <v>20</v>
      </c>
      <c r="K1" s="6" t="s">
        <v>18</v>
      </c>
      <c r="L1" s="6" t="s">
        <v>23</v>
      </c>
      <c r="M1" s="16" t="s">
        <v>29</v>
      </c>
      <c r="N1" s="29" t="s">
        <v>127</v>
      </c>
      <c r="O1" s="23" t="s">
        <v>41</v>
      </c>
      <c r="P1" s="24" t="s">
        <v>4</v>
      </c>
      <c r="Q1" s="12" t="s">
        <v>14</v>
      </c>
      <c r="R1" s="12" t="s">
        <v>21</v>
      </c>
      <c r="S1" s="12" t="s">
        <v>40</v>
      </c>
      <c r="T1" s="12" t="s">
        <v>16</v>
      </c>
      <c r="U1" s="12" t="s">
        <v>19</v>
      </c>
      <c r="V1" s="13" t="s">
        <v>22</v>
      </c>
      <c r="W1" s="14" t="s">
        <v>24</v>
      </c>
      <c r="X1" s="14" t="s">
        <v>25</v>
      </c>
      <c r="Y1" s="29" t="s">
        <v>119</v>
      </c>
      <c r="Z1" s="3" t="s">
        <v>3</v>
      </c>
    </row>
    <row r="2" spans="1:26">
      <c r="A2" s="25">
        <v>42938.878472222219</v>
      </c>
      <c r="B2" s="2" t="s">
        <v>26</v>
      </c>
      <c r="C2" s="6" t="s">
        <v>27</v>
      </c>
      <c r="D2" s="6">
        <f>200</f>
        <v>200</v>
      </c>
      <c r="E2" s="8">
        <v>189</v>
      </c>
      <c r="F2" s="15">
        <v>189</v>
      </c>
      <c r="G2" s="22">
        <v>42939.000011574077</v>
      </c>
      <c r="H2" s="6">
        <v>2816</v>
      </c>
      <c r="I2" s="6">
        <v>0.57999999999999996</v>
      </c>
      <c r="J2" s="6">
        <v>2997</v>
      </c>
      <c r="K2" s="6">
        <v>0.55000000000000004</v>
      </c>
      <c r="L2" s="6">
        <v>2</v>
      </c>
      <c r="M2" s="16" t="s">
        <v>30</v>
      </c>
      <c r="N2" s="40">
        <f>MAX($Q$2:$Q$5)/SUBTOTAL(109,$Q$2:$Q$5)</f>
        <v>0.27222731439046749</v>
      </c>
      <c r="O2" s="23">
        <f>F2-D2</f>
        <v>-11</v>
      </c>
      <c r="P2" s="24">
        <f>IF(E2&gt;D2,INT((E2-D2)*0.95),E2-D2)</f>
        <v>-11</v>
      </c>
      <c r="Q2" s="12">
        <f>ROUND((G2-A2)*24,2)</f>
        <v>2.92</v>
      </c>
      <c r="R2" s="12">
        <f>J2-H2</f>
        <v>181</v>
      </c>
      <c r="S2" s="12">
        <f t="shared" ref="S2:S5" si="0">U2-T2</f>
        <v>15</v>
      </c>
      <c r="T2" s="12">
        <f>INT(H2*I2)</f>
        <v>1633</v>
      </c>
      <c r="U2" s="12">
        <f>INT(J2*K2)</f>
        <v>1648</v>
      </c>
      <c r="V2" s="13">
        <f t="shared" ref="V2:V5" si="1">S2/R2</f>
        <v>8.2872928176795577E-2</v>
      </c>
      <c r="W2" s="14">
        <f>P2/R2/L2</f>
        <v>-3.0386740331491711E-2</v>
      </c>
      <c r="X2" s="14">
        <f>P2/Q2/L2</f>
        <v>-1.8835616438356164</v>
      </c>
      <c r="Y2" s="29">
        <f>DATE(YEAR(A2),MONTH(A2),DAY(A2))</f>
        <v>42938</v>
      </c>
      <c r="Z2" s="3" t="s">
        <v>28</v>
      </c>
    </row>
    <row r="3" spans="1:26">
      <c r="A3" s="25">
        <v>42938.878472222219</v>
      </c>
      <c r="B3" s="2" t="s">
        <v>5</v>
      </c>
      <c r="C3" s="6" t="s">
        <v>9</v>
      </c>
      <c r="D3" s="6">
        <f>400</f>
        <v>400</v>
      </c>
      <c r="E3" s="8">
        <f>D3+274</f>
        <v>674</v>
      </c>
      <c r="F3" s="15">
        <v>665</v>
      </c>
      <c r="G3" s="22">
        <v>42938.982638888891</v>
      </c>
      <c r="H3" s="6">
        <v>1830</v>
      </c>
      <c r="I3" s="6">
        <v>0.6</v>
      </c>
      <c r="J3" s="6">
        <v>1994</v>
      </c>
      <c r="K3" s="6">
        <v>0.56000000000000005</v>
      </c>
      <c r="L3" s="6">
        <v>4</v>
      </c>
      <c r="M3" s="16" t="s">
        <v>60</v>
      </c>
      <c r="N3" s="40">
        <f t="shared" ref="N3:N5" si="2">MAX($Q$2:$Q$5)/SUBTOTAL(109,$Q$2:$Q$5)</f>
        <v>0.27222731439046749</v>
      </c>
      <c r="O3" s="23">
        <f>F3-D3</f>
        <v>265</v>
      </c>
      <c r="P3" s="24">
        <f>IF(E3&gt;D3,INT((E3-D3)*0.95),E3-D3)</f>
        <v>260</v>
      </c>
      <c r="Q3" s="12">
        <f>ROUND((G3-A3)*24,2)</f>
        <v>2.5</v>
      </c>
      <c r="R3" s="12">
        <f>J3-H3</f>
        <v>164</v>
      </c>
      <c r="S3" s="12">
        <f t="shared" si="0"/>
        <v>18</v>
      </c>
      <c r="T3" s="12">
        <f>INT(H3*I3)</f>
        <v>1098</v>
      </c>
      <c r="U3" s="12">
        <f>INT(J3*K3)</f>
        <v>1116</v>
      </c>
      <c r="V3" s="13">
        <f t="shared" si="1"/>
        <v>0.10975609756097561</v>
      </c>
      <c r="W3" s="14">
        <f>P3/R3/L3</f>
        <v>0.39634146341463417</v>
      </c>
      <c r="X3" s="14">
        <f>P3/Q3/L3</f>
        <v>26</v>
      </c>
      <c r="Y3" s="29">
        <f>DATE(YEAR(A3),MONTH(A3),DAY(A3))</f>
        <v>42938</v>
      </c>
      <c r="Z3" s="46" t="s">
        <v>130</v>
      </c>
    </row>
    <row r="4" spans="1:26">
      <c r="A4" s="25">
        <v>42938.884027777778</v>
      </c>
      <c r="B4" s="2" t="s">
        <v>33</v>
      </c>
      <c r="C4" s="6" t="s">
        <v>62</v>
      </c>
      <c r="D4" s="6">
        <f>400+400+1000</f>
        <v>1800</v>
      </c>
      <c r="E4" s="8">
        <f>D4-828</f>
        <v>972</v>
      </c>
      <c r="F4" s="15">
        <v>972</v>
      </c>
      <c r="G4" s="22">
        <v>42938.988888888889</v>
      </c>
      <c r="H4" s="6">
        <v>2117</v>
      </c>
      <c r="I4" s="6">
        <v>0.56999999999999995</v>
      </c>
      <c r="J4" s="6">
        <v>2265</v>
      </c>
      <c r="K4" s="6">
        <v>0.55000000000000004</v>
      </c>
      <c r="L4" s="6">
        <v>4</v>
      </c>
      <c r="M4" s="16" t="s">
        <v>60</v>
      </c>
      <c r="N4" s="40">
        <f t="shared" si="2"/>
        <v>0.27222731439046749</v>
      </c>
      <c r="O4" s="23">
        <f>F4-D4</f>
        <v>-828</v>
      </c>
      <c r="P4" s="24">
        <f>IF(E4&gt;D4,INT((E4-D4)*0.95),E4-D4)</f>
        <v>-828</v>
      </c>
      <c r="Q4" s="12">
        <f>ROUND((G4-A4)*24,2)</f>
        <v>2.52</v>
      </c>
      <c r="R4" s="12">
        <f>J4-H4</f>
        <v>148</v>
      </c>
      <c r="S4" s="12">
        <f t="shared" si="0"/>
        <v>39</v>
      </c>
      <c r="T4" s="12">
        <f>INT(H4*I4)</f>
        <v>1206</v>
      </c>
      <c r="U4" s="12">
        <f>INT(J4*K4)</f>
        <v>1245</v>
      </c>
      <c r="V4" s="13">
        <f t="shared" si="1"/>
        <v>0.26351351351351349</v>
      </c>
      <c r="W4" s="14">
        <f>P4/R4/L4</f>
        <v>-1.3986486486486487</v>
      </c>
      <c r="X4" s="14">
        <f>P4/Q4/L4</f>
        <v>-82.142857142857139</v>
      </c>
      <c r="Y4" s="29">
        <f>DATE(YEAR(A4),MONTH(A4),DAY(A4))</f>
        <v>42938</v>
      </c>
      <c r="Z4" s="3" t="s">
        <v>32</v>
      </c>
    </row>
    <row r="5" spans="1:26">
      <c r="A5" s="25">
        <v>42938.876388888886</v>
      </c>
      <c r="B5" s="2" t="s">
        <v>7</v>
      </c>
      <c r="C5" s="6" t="s">
        <v>61</v>
      </c>
      <c r="D5" s="6">
        <v>200</v>
      </c>
      <c r="E5" s="8">
        <v>215</v>
      </c>
      <c r="F5" s="15">
        <v>215</v>
      </c>
      <c r="G5" s="22">
        <v>42939.000011574077</v>
      </c>
      <c r="H5" s="6">
        <v>2422</v>
      </c>
      <c r="I5" s="6">
        <v>0.61</v>
      </c>
      <c r="J5" s="6">
        <v>2557</v>
      </c>
      <c r="K5" s="6">
        <v>0.59</v>
      </c>
      <c r="L5" s="6">
        <v>2</v>
      </c>
      <c r="M5" s="16" t="s">
        <v>30</v>
      </c>
      <c r="N5" s="40">
        <f t="shared" si="2"/>
        <v>0.27222731439046749</v>
      </c>
      <c r="O5" s="23">
        <f>F5-D5</f>
        <v>15</v>
      </c>
      <c r="P5" s="24">
        <f>IF(E5&gt;D5,INT((E5-D5)*0.95),E5-D5)</f>
        <v>14</v>
      </c>
      <c r="Q5" s="12">
        <f>ROUND((G5-A5)*24,2)</f>
        <v>2.97</v>
      </c>
      <c r="R5" s="12">
        <f>J5-H5</f>
        <v>135</v>
      </c>
      <c r="S5" s="12">
        <f t="shared" si="0"/>
        <v>31</v>
      </c>
      <c r="T5" s="12">
        <f>INT(H5*I5)</f>
        <v>1477</v>
      </c>
      <c r="U5" s="12">
        <f>INT(J5*K5)</f>
        <v>1508</v>
      </c>
      <c r="V5" s="13">
        <f t="shared" si="1"/>
        <v>0.22962962962962963</v>
      </c>
      <c r="W5" s="14">
        <f>P5/R5/L5</f>
        <v>5.185185185185185E-2</v>
      </c>
      <c r="X5" s="14">
        <f>P5/Q5/L5</f>
        <v>2.3569023569023568</v>
      </c>
      <c r="Y5" s="29">
        <f>DATE(YEAR(A5),MONTH(A5),DAY(A5))</f>
        <v>42938</v>
      </c>
      <c r="Z5" s="3" t="s">
        <v>8</v>
      </c>
    </row>
    <row r="6" spans="1:26">
      <c r="B6" s="2" t="s">
        <v>35</v>
      </c>
      <c r="Z6" s="3" t="s">
        <v>132</v>
      </c>
    </row>
    <row r="7" spans="1:26">
      <c r="B7" s="2" t="s">
        <v>36</v>
      </c>
      <c r="Z7" s="3" t="s">
        <v>37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workbookViewId="0">
      <selection activeCell="C24" sqref="C24"/>
    </sheetView>
  </sheetViews>
  <sheetFormatPr baseColWidth="10" defaultColWidth="11" defaultRowHeight="15" x14ac:dyDescent="0"/>
  <cols>
    <col min="1" max="1" width="11" style="18"/>
    <col min="2" max="3" width="11" style="19"/>
    <col min="4" max="4" width="10.1640625" customWidth="1"/>
    <col min="5" max="6" width="6.5" style="26" customWidth="1"/>
    <col min="7" max="7" width="5.5" style="26" customWidth="1"/>
    <col min="8" max="8" width="7.5" customWidth="1"/>
    <col min="9" max="9" width="10.5" customWidth="1"/>
    <col min="10" max="10" width="9.5" customWidth="1"/>
    <col min="11" max="11" width="11.5" style="41" customWidth="1"/>
    <col min="12" max="12" width="18.5" customWidth="1"/>
    <col min="13" max="13" width="10.5" customWidth="1"/>
    <col min="14" max="14" width="3.5" customWidth="1"/>
    <col min="15" max="16" width="4.5" customWidth="1"/>
    <col min="17" max="17" width="12.5" customWidth="1"/>
    <col min="18" max="20" width="4.5" customWidth="1"/>
    <col min="21" max="21" width="15.5" customWidth="1"/>
    <col min="22" max="24" width="4.5" customWidth="1"/>
    <col min="25" max="25" width="10.5" customWidth="1"/>
    <col min="26" max="26" width="3.5" customWidth="1"/>
    <col min="27" max="28" width="4.5" customWidth="1"/>
    <col min="29" max="29" width="16.5" customWidth="1"/>
    <col min="30" max="32" width="4.5" customWidth="1"/>
    <col min="33" max="33" width="17.5" customWidth="1"/>
    <col min="34" max="34" width="5.5" customWidth="1"/>
    <col min="35" max="35" width="4.5" customWidth="1"/>
    <col min="36" max="36" width="5.5" customWidth="1"/>
    <col min="37" max="37" width="16.5" bestFit="1" customWidth="1"/>
    <col min="38" max="38" width="16.5" customWidth="1"/>
    <col min="39" max="39" width="15.5" customWidth="1"/>
    <col min="40" max="40" width="17.5" bestFit="1" customWidth="1"/>
    <col min="41" max="41" width="20.5" bestFit="1" customWidth="1"/>
    <col min="42" max="42" width="15.5" bestFit="1" customWidth="1"/>
    <col min="43" max="43" width="21.5" bestFit="1" customWidth="1"/>
    <col min="44" max="44" width="22.5" bestFit="1" customWidth="1"/>
  </cols>
  <sheetData>
    <row r="2" spans="1:11">
      <c r="D2" s="7" t="s">
        <v>128</v>
      </c>
    </row>
    <row r="3" spans="1:11">
      <c r="E3" s="26" t="s">
        <v>121</v>
      </c>
      <c r="H3" s="26"/>
      <c r="I3" s="26"/>
      <c r="J3" s="26"/>
      <c r="K3" s="26"/>
    </row>
    <row r="4" spans="1:11">
      <c r="A4" s="18" t="s">
        <v>56</v>
      </c>
      <c r="B4" s="19" t="s">
        <v>25</v>
      </c>
      <c r="C4" s="19" t="s">
        <v>57</v>
      </c>
      <c r="D4" s="9" t="s">
        <v>42</v>
      </c>
      <c r="E4" s="26" t="s">
        <v>120</v>
      </c>
      <c r="F4" s="26" t="s">
        <v>122</v>
      </c>
      <c r="G4" s="21" t="s">
        <v>123</v>
      </c>
      <c r="H4" t="s">
        <v>124</v>
      </c>
      <c r="I4" t="s">
        <v>125</v>
      </c>
      <c r="J4" t="s">
        <v>126</v>
      </c>
      <c r="K4" t="s">
        <v>129</v>
      </c>
    </row>
    <row r="5" spans="1:11">
      <c r="A5" s="18">
        <f>F5/E5</f>
        <v>0.19451907576571736</v>
      </c>
      <c r="B5" s="19">
        <f>G5/D5/K5</f>
        <v>66.555269673784693</v>
      </c>
      <c r="C5" s="19">
        <f>G5/E5*100/$D$6</f>
        <v>6.9183234819989252</v>
      </c>
      <c r="D5" s="10">
        <v>2</v>
      </c>
      <c r="E5" s="28">
        <v>1861</v>
      </c>
      <c r="F5" s="28">
        <v>362</v>
      </c>
      <c r="G5" s="27">
        <v>515</v>
      </c>
      <c r="H5" s="11">
        <v>2900</v>
      </c>
      <c r="I5" s="11">
        <v>3463</v>
      </c>
      <c r="J5" s="11">
        <v>3237</v>
      </c>
      <c r="K5" s="41">
        <v>3.8689648657741991</v>
      </c>
    </row>
    <row r="6" spans="1:11">
      <c r="A6" s="18">
        <f t="shared" ref="A6:A7" si="0">F6/E6</f>
        <v>0.16183574879227053</v>
      </c>
      <c r="B6" s="19">
        <f t="shared" ref="B6" si="1">G6/D6/K6</f>
        <v>5.722435566938648</v>
      </c>
      <c r="C6" s="19">
        <f t="shared" ref="C6" si="2">G6/E6*100/$D$6</f>
        <v>1.1473429951690821</v>
      </c>
      <c r="D6" s="10">
        <v>4</v>
      </c>
      <c r="E6" s="28">
        <v>414</v>
      </c>
      <c r="F6" s="28">
        <v>67</v>
      </c>
      <c r="G6" s="27">
        <v>19</v>
      </c>
      <c r="H6" s="11">
        <v>2600</v>
      </c>
      <c r="I6" s="11">
        <v>2664</v>
      </c>
      <c r="J6" s="11">
        <v>2625</v>
      </c>
      <c r="K6" s="41">
        <v>0.83006613957230191</v>
      </c>
    </row>
    <row r="7" spans="1:11">
      <c r="A7" s="18">
        <f t="shared" si="0"/>
        <v>0.18857142857142858</v>
      </c>
      <c r="D7" s="10" t="s">
        <v>43</v>
      </c>
      <c r="E7" s="28">
        <v>2275</v>
      </c>
      <c r="F7" s="28">
        <v>429</v>
      </c>
      <c r="G7" s="27">
        <v>534</v>
      </c>
      <c r="H7" s="11">
        <v>5500</v>
      </c>
      <c r="I7" s="11">
        <v>6127</v>
      </c>
      <c r="J7" s="11">
        <v>5862</v>
      </c>
      <c r="K7" s="41">
        <v>4.6990310053465008</v>
      </c>
    </row>
    <row r="8" spans="1:11">
      <c r="E8" s="17"/>
      <c r="F8" s="17"/>
      <c r="G8" s="17"/>
    </row>
    <row r="9" spans="1:11">
      <c r="E9" s="17"/>
      <c r="F9" s="17"/>
      <c r="G9" s="17"/>
    </row>
    <row r="10" spans="1:11">
      <c r="E10" s="17"/>
      <c r="F10" s="17"/>
      <c r="G10" s="17"/>
    </row>
    <row r="11" spans="1:11">
      <c r="E11" s="17"/>
      <c r="F11" s="17"/>
      <c r="G11" s="17"/>
    </row>
    <row r="12" spans="1:11">
      <c r="E12" s="17"/>
      <c r="F12" s="17"/>
      <c r="G12" s="17"/>
    </row>
    <row r="13" spans="1:11">
      <c r="E13" s="17"/>
      <c r="F13" s="17"/>
      <c r="G13" s="17"/>
    </row>
    <row r="14" spans="1:11">
      <c r="E14" s="17"/>
      <c r="F14" s="17"/>
      <c r="G14" s="17"/>
    </row>
    <row r="15" spans="1:11">
      <c r="E15" s="17"/>
      <c r="F15" s="17"/>
      <c r="G15" s="17"/>
    </row>
    <row r="16" spans="1:11">
      <c r="E16" s="17"/>
      <c r="F16" s="17"/>
      <c r="G16" s="17"/>
    </row>
    <row r="17" spans="5:7">
      <c r="E17" s="17"/>
      <c r="F17" s="17"/>
      <c r="G17" s="17"/>
    </row>
    <row r="18" spans="5:7">
      <c r="E18" s="17"/>
      <c r="F18" s="17"/>
      <c r="G18" s="17"/>
    </row>
    <row r="19" spans="5:7">
      <c r="E19" s="17"/>
      <c r="F19" s="17"/>
      <c r="G19" s="17"/>
    </row>
    <row r="20" spans="5:7">
      <c r="E20" s="17"/>
      <c r="F20" s="17"/>
      <c r="G20" s="17"/>
    </row>
    <row r="21" spans="5:7">
      <c r="E21" s="17"/>
      <c r="F21" s="17"/>
      <c r="G21" s="17"/>
    </row>
    <row r="22" spans="5:7">
      <c r="E22" s="17"/>
      <c r="F22" s="17"/>
      <c r="G22" s="17"/>
    </row>
    <row r="23" spans="5:7">
      <c r="E23" s="17"/>
      <c r="F23" s="17"/>
      <c r="G23" s="17"/>
    </row>
    <row r="24" spans="5:7">
      <c r="E24" s="17"/>
      <c r="F24" s="17"/>
      <c r="G24" s="17"/>
    </row>
    <row r="25" spans="5:7">
      <c r="E25" s="17"/>
      <c r="F25" s="17"/>
      <c r="G25" s="17"/>
    </row>
    <row r="26" spans="5:7">
      <c r="E26" s="17"/>
      <c r="F26" s="17"/>
      <c r="G26" s="17"/>
    </row>
    <row r="27" spans="5:7">
      <c r="E27" s="17"/>
      <c r="F27" s="17"/>
      <c r="G27" s="17"/>
    </row>
    <row r="28" spans="5:7">
      <c r="E28" s="17"/>
      <c r="F28" s="17"/>
      <c r="G28" s="17"/>
    </row>
    <row r="29" spans="5:7">
      <c r="E29" s="17"/>
      <c r="F29" s="17"/>
      <c r="G29" s="17"/>
    </row>
    <row r="30" spans="5:7">
      <c r="E30" s="17"/>
      <c r="F30" s="17"/>
      <c r="G30" s="17"/>
    </row>
    <row r="31" spans="5:7">
      <c r="E31" s="17"/>
      <c r="F31" s="17"/>
      <c r="G31" s="17"/>
    </row>
    <row r="32" spans="5:7">
      <c r="E32" s="17"/>
      <c r="F32" s="17"/>
      <c r="G32" s="17"/>
    </row>
    <row r="33" spans="5:7">
      <c r="E33" s="17"/>
      <c r="F33" s="17"/>
      <c r="G33" s="17"/>
    </row>
    <row r="34" spans="5:7">
      <c r="E34" s="17"/>
      <c r="F34" s="17"/>
      <c r="G34" s="17"/>
    </row>
    <row r="35" spans="5:7">
      <c r="E35" s="17"/>
      <c r="F35" s="17"/>
      <c r="G35" s="17"/>
    </row>
    <row r="36" spans="5:7">
      <c r="E36" s="17"/>
      <c r="F36" s="17"/>
      <c r="G36" s="17"/>
    </row>
    <row r="37" spans="5:7">
      <c r="E37" s="17"/>
      <c r="F37" s="17"/>
      <c r="G37" s="17"/>
    </row>
    <row r="38" spans="5:7">
      <c r="E38" s="17"/>
      <c r="F38" s="17"/>
      <c r="G38" s="17"/>
    </row>
    <row r="39" spans="5:7">
      <c r="E39" s="17"/>
      <c r="F39" s="17"/>
      <c r="G39" s="17"/>
    </row>
    <row r="40" spans="5:7">
      <c r="E40" s="17"/>
      <c r="F40" s="17"/>
      <c r="G40" s="17"/>
    </row>
    <row r="41" spans="5:7">
      <c r="E41" s="17"/>
      <c r="F41" s="17"/>
      <c r="G41" s="17"/>
    </row>
    <row r="42" spans="5:7">
      <c r="E42" s="17"/>
      <c r="F42" s="17"/>
      <c r="G42" s="17"/>
    </row>
    <row r="43" spans="5:7">
      <c r="E43" s="17"/>
      <c r="F43" s="17"/>
      <c r="G43" s="17"/>
    </row>
    <row r="44" spans="5:7">
      <c r="E44" s="17"/>
      <c r="F44" s="17"/>
      <c r="G44" s="17"/>
    </row>
    <row r="45" spans="5:7">
      <c r="E45" s="17"/>
      <c r="F45" s="17"/>
      <c r="G45" s="17"/>
    </row>
    <row r="46" spans="5:7">
      <c r="E46" s="17"/>
      <c r="F46" s="17"/>
      <c r="G46" s="17"/>
    </row>
    <row r="47" spans="5:7">
      <c r="E47" s="17"/>
      <c r="F47" s="17"/>
      <c r="G47" s="1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I22" sqref="I22"/>
    </sheetView>
  </sheetViews>
  <sheetFormatPr baseColWidth="10" defaultRowHeight="15" x14ac:dyDescent="0"/>
  <cols>
    <col min="2" max="2" width="10.83203125" style="1"/>
    <col min="12" max="12" width="10.83203125" style="1"/>
  </cols>
  <sheetData>
    <row r="1" spans="1:12">
      <c r="A1" t="s">
        <v>68</v>
      </c>
      <c r="B1" s="1" t="s">
        <v>70</v>
      </c>
      <c r="C1" t="s">
        <v>72</v>
      </c>
      <c r="D1" t="s">
        <v>73</v>
      </c>
      <c r="E1" t="s">
        <v>77</v>
      </c>
      <c r="F1" t="s">
        <v>85</v>
      </c>
      <c r="G1" t="s">
        <v>101</v>
      </c>
      <c r="J1" t="s">
        <v>88</v>
      </c>
    </row>
    <row r="2" spans="1:12">
      <c r="A2" t="s">
        <v>69</v>
      </c>
      <c r="B2" s="1" t="s">
        <v>31</v>
      </c>
      <c r="C2" t="s">
        <v>71</v>
      </c>
      <c r="F2" t="s">
        <v>100</v>
      </c>
      <c r="G2" t="s">
        <v>102</v>
      </c>
      <c r="J2" t="s">
        <v>7</v>
      </c>
      <c r="K2" t="s">
        <v>90</v>
      </c>
      <c r="L2" s="1" t="s">
        <v>31</v>
      </c>
    </row>
    <row r="3" spans="1:12">
      <c r="A3" t="s">
        <v>76</v>
      </c>
      <c r="B3" s="1" t="s">
        <v>75</v>
      </c>
      <c r="C3" t="s">
        <v>74</v>
      </c>
      <c r="D3">
        <v>173328</v>
      </c>
      <c r="E3" t="s">
        <v>78</v>
      </c>
      <c r="J3" t="s">
        <v>7</v>
      </c>
      <c r="K3" t="s">
        <v>10</v>
      </c>
      <c r="L3" s="1" t="s">
        <v>31</v>
      </c>
    </row>
    <row r="4" spans="1:12">
      <c r="A4" t="s">
        <v>79</v>
      </c>
      <c r="B4" s="1" t="s">
        <v>80</v>
      </c>
      <c r="C4" t="s">
        <v>81</v>
      </c>
      <c r="D4">
        <v>195918</v>
      </c>
      <c r="F4" t="s">
        <v>87</v>
      </c>
      <c r="J4" t="s">
        <v>7</v>
      </c>
      <c r="K4" t="s">
        <v>91</v>
      </c>
      <c r="L4" s="1" t="s">
        <v>97</v>
      </c>
    </row>
    <row r="5" spans="1:12">
      <c r="A5" t="s">
        <v>82</v>
      </c>
      <c r="B5" s="1" t="s">
        <v>83</v>
      </c>
      <c r="C5" t="s">
        <v>84</v>
      </c>
      <c r="D5">
        <v>155864</v>
      </c>
      <c r="F5" t="s">
        <v>86</v>
      </c>
      <c r="J5" t="s">
        <v>5</v>
      </c>
      <c r="K5" t="s">
        <v>9</v>
      </c>
      <c r="L5" s="1" t="s">
        <v>96</v>
      </c>
    </row>
    <row r="6" spans="1:12">
      <c r="J6" t="s">
        <v>26</v>
      </c>
      <c r="K6" t="s">
        <v>92</v>
      </c>
      <c r="L6" s="1" t="s">
        <v>95</v>
      </c>
    </row>
    <row r="7" spans="1:12">
      <c r="A7" t="s">
        <v>99</v>
      </c>
      <c r="J7" t="s">
        <v>26</v>
      </c>
      <c r="K7" t="s">
        <v>27</v>
      </c>
      <c r="L7" s="1" t="s">
        <v>31</v>
      </c>
    </row>
    <row r="8" spans="1:12">
      <c r="J8" t="s">
        <v>26</v>
      </c>
      <c r="K8" t="s">
        <v>93</v>
      </c>
      <c r="L8" s="1" t="s">
        <v>94</v>
      </c>
    </row>
    <row r="9" spans="1:12">
      <c r="J9" t="s">
        <v>89</v>
      </c>
      <c r="K9" t="s">
        <v>62</v>
      </c>
      <c r="L9" s="1" t="s">
        <v>60</v>
      </c>
    </row>
    <row r="10" spans="1:12">
      <c r="J10" t="s">
        <v>33</v>
      </c>
      <c r="K10" t="s">
        <v>34</v>
      </c>
      <c r="L10" s="1" t="s">
        <v>97</v>
      </c>
    </row>
    <row r="11" spans="1:12">
      <c r="J11" t="s">
        <v>33</v>
      </c>
      <c r="K11" t="s">
        <v>98</v>
      </c>
      <c r="L11" s="1" t="s">
        <v>31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C33" sqref="C33"/>
    </sheetView>
  </sheetViews>
  <sheetFormatPr baseColWidth="10" defaultColWidth="17.6640625" defaultRowHeight="14" x14ac:dyDescent="0"/>
  <cols>
    <col min="1" max="1" width="16.33203125" style="4" bestFit="1" customWidth="1"/>
    <col min="2" max="2" width="9" style="2" bestFit="1" customWidth="1"/>
    <col min="3" max="3" width="7.1640625" style="6" bestFit="1" customWidth="1"/>
    <col min="4" max="4" width="6.33203125" style="5" bestFit="1" customWidth="1"/>
    <col min="5" max="5" width="9.1640625" style="8" bestFit="1" customWidth="1"/>
    <col min="6" max="6" width="10" style="15" bestFit="1" customWidth="1"/>
    <col min="7" max="7" width="15.6640625" style="22" customWidth="1"/>
    <col min="8" max="8" width="7.33203125" style="6" bestFit="1" customWidth="1"/>
    <col min="9" max="9" width="6.33203125" style="6" bestFit="1" customWidth="1"/>
    <col min="10" max="10" width="7.33203125" style="6" bestFit="1" customWidth="1"/>
    <col min="11" max="11" width="6.33203125" style="6" bestFit="1" customWidth="1"/>
    <col min="12" max="12" width="3.83203125" style="6" customWidth="1"/>
    <col min="13" max="13" width="6.6640625" style="16" customWidth="1"/>
    <col min="14" max="14" width="5.83203125" style="23" customWidth="1"/>
    <col min="15" max="15" width="4.83203125" style="24" customWidth="1"/>
    <col min="16" max="16" width="5.6640625" style="12" customWidth="1"/>
    <col min="17" max="17" width="4.1640625" style="12" customWidth="1"/>
    <col min="18" max="18" width="4.6640625" style="12" customWidth="1"/>
    <col min="19" max="20" width="6.33203125" style="12" bestFit="1" customWidth="1"/>
    <col min="21" max="21" width="6.33203125" style="13" bestFit="1" customWidth="1"/>
    <col min="22" max="23" width="7.5" style="14" customWidth="1"/>
    <col min="24" max="24" width="9.6640625" style="29" customWidth="1"/>
    <col min="25" max="25" width="9.5" style="29" customWidth="1"/>
    <col min="26" max="26" width="11.6640625" style="3" bestFit="1" customWidth="1"/>
    <col min="27" max="16384" width="17.6640625" style="2"/>
  </cols>
  <sheetData>
    <row r="1" spans="1:26">
      <c r="A1" s="4" t="s">
        <v>12</v>
      </c>
      <c r="B1" s="2" t="s">
        <v>0</v>
      </c>
      <c r="C1" s="6" t="s">
        <v>2</v>
      </c>
      <c r="D1" s="5" t="s">
        <v>1</v>
      </c>
      <c r="E1" s="8" t="s">
        <v>11</v>
      </c>
      <c r="F1" s="15" t="s">
        <v>39</v>
      </c>
      <c r="G1" s="22" t="s">
        <v>13</v>
      </c>
      <c r="H1" s="6" t="s">
        <v>17</v>
      </c>
      <c r="I1" s="6" t="s">
        <v>15</v>
      </c>
      <c r="J1" s="6" t="s">
        <v>20</v>
      </c>
      <c r="K1" s="6" t="s">
        <v>18</v>
      </c>
      <c r="L1" s="6" t="s">
        <v>23</v>
      </c>
      <c r="M1" s="16" t="s">
        <v>29</v>
      </c>
      <c r="N1" s="23" t="s">
        <v>41</v>
      </c>
      <c r="O1" s="24" t="s">
        <v>4</v>
      </c>
      <c r="P1" s="12" t="s">
        <v>14</v>
      </c>
      <c r="Q1" s="12" t="s">
        <v>21</v>
      </c>
      <c r="R1" s="12" t="s">
        <v>40</v>
      </c>
      <c r="S1" s="12" t="s">
        <v>16</v>
      </c>
      <c r="T1" s="12" t="s">
        <v>19</v>
      </c>
      <c r="U1" s="13" t="s">
        <v>22</v>
      </c>
      <c r="V1" s="14" t="s">
        <v>24</v>
      </c>
      <c r="W1" s="14" t="s">
        <v>25</v>
      </c>
      <c r="X1" s="29" t="s">
        <v>119</v>
      </c>
      <c r="Y1" s="29" t="s">
        <v>127</v>
      </c>
      <c r="Z1" s="3" t="s">
        <v>3</v>
      </c>
    </row>
    <row r="2" spans="1:26">
      <c r="A2" s="25">
        <v>42891.833333333336</v>
      </c>
      <c r="B2" s="2" t="s">
        <v>5</v>
      </c>
      <c r="C2" s="6" t="s">
        <v>9</v>
      </c>
      <c r="D2" s="6">
        <f>200</f>
        <v>200</v>
      </c>
      <c r="E2" s="8">
        <v>0</v>
      </c>
      <c r="G2" s="22">
        <v>42892</v>
      </c>
      <c r="L2" s="6">
        <v>2</v>
      </c>
      <c r="M2" s="16" t="s">
        <v>31</v>
      </c>
      <c r="O2" s="24">
        <f t="shared" ref="O2:O28" si="0">IF(E2&gt;D2,INT((E2-D2)*0.95),E2-D2)</f>
        <v>-200</v>
      </c>
      <c r="P2" s="12">
        <f t="shared" ref="P2:P28" si="1">ROUND((G2-A2)*24,2)</f>
        <v>4</v>
      </c>
      <c r="X2" s="29">
        <f t="shared" ref="X2:X28" si="2">DATE(YEAR(A2),MONTH(A2),DAY(A2))</f>
        <v>42891</v>
      </c>
      <c r="Z2" s="3" t="s">
        <v>6</v>
      </c>
    </row>
    <row r="3" spans="1:26">
      <c r="A3" s="25">
        <v>42891.833333333336</v>
      </c>
      <c r="B3" s="2" t="s">
        <v>7</v>
      </c>
      <c r="C3" s="6" t="s">
        <v>10</v>
      </c>
      <c r="D3" s="6">
        <f>200</f>
        <v>200</v>
      </c>
      <c r="E3" s="8">
        <v>170</v>
      </c>
      <c r="G3" s="22">
        <v>42892</v>
      </c>
      <c r="L3" s="6">
        <v>2</v>
      </c>
      <c r="M3" s="16" t="s">
        <v>31</v>
      </c>
      <c r="O3" s="24">
        <f t="shared" si="0"/>
        <v>-30</v>
      </c>
      <c r="P3" s="12">
        <f t="shared" si="1"/>
        <v>4</v>
      </c>
      <c r="X3" s="29">
        <f t="shared" si="2"/>
        <v>42891</v>
      </c>
      <c r="Z3" s="3" t="s">
        <v>8</v>
      </c>
    </row>
    <row r="4" spans="1:26">
      <c r="A4" s="25">
        <v>42894.833333333336</v>
      </c>
      <c r="B4" s="2" t="s">
        <v>5</v>
      </c>
      <c r="C4" s="6" t="s">
        <v>9</v>
      </c>
      <c r="D4" s="6">
        <f>200</f>
        <v>200</v>
      </c>
      <c r="E4" s="8">
        <f>D4+90</f>
        <v>290</v>
      </c>
      <c r="G4" s="22">
        <v>42895</v>
      </c>
      <c r="L4" s="6">
        <v>2</v>
      </c>
      <c r="M4" s="16" t="s">
        <v>30</v>
      </c>
      <c r="O4" s="24">
        <f t="shared" si="0"/>
        <v>85</v>
      </c>
      <c r="P4" s="12">
        <f t="shared" si="1"/>
        <v>4</v>
      </c>
      <c r="X4" s="29">
        <f t="shared" si="2"/>
        <v>42894</v>
      </c>
      <c r="Z4" s="3" t="s">
        <v>6</v>
      </c>
    </row>
    <row r="5" spans="1:26">
      <c r="A5" s="25">
        <v>42894.833333333336</v>
      </c>
      <c r="B5" s="2" t="s">
        <v>7</v>
      </c>
      <c r="C5" s="6" t="s">
        <v>10</v>
      </c>
      <c r="D5" s="6">
        <f>200</f>
        <v>200</v>
      </c>
      <c r="E5" s="8">
        <f>D5+22</f>
        <v>222</v>
      </c>
      <c r="G5" s="22">
        <v>42895</v>
      </c>
      <c r="L5" s="6">
        <v>2</v>
      </c>
      <c r="M5" s="16" t="s">
        <v>30</v>
      </c>
      <c r="O5" s="24">
        <f t="shared" si="0"/>
        <v>20</v>
      </c>
      <c r="P5" s="12">
        <f t="shared" si="1"/>
        <v>4</v>
      </c>
      <c r="X5" s="29">
        <f t="shared" si="2"/>
        <v>42894</v>
      </c>
      <c r="Z5" s="3" t="s">
        <v>8</v>
      </c>
    </row>
    <row r="6" spans="1:26">
      <c r="A6" s="25">
        <v>42894.833333333336</v>
      </c>
      <c r="B6" s="2" t="s">
        <v>26</v>
      </c>
      <c r="C6" s="6" t="s">
        <v>27</v>
      </c>
      <c r="D6" s="6">
        <f>200</f>
        <v>200</v>
      </c>
      <c r="E6" s="8">
        <f>D6+75</f>
        <v>275</v>
      </c>
      <c r="G6" s="22">
        <v>42895</v>
      </c>
      <c r="L6" s="6">
        <v>2</v>
      </c>
      <c r="M6" s="16" t="s">
        <v>30</v>
      </c>
      <c r="O6" s="24">
        <f t="shared" si="0"/>
        <v>71</v>
      </c>
      <c r="P6" s="12">
        <f t="shared" si="1"/>
        <v>4</v>
      </c>
      <c r="X6" s="29">
        <f t="shared" si="2"/>
        <v>42894</v>
      </c>
      <c r="Z6" s="3" t="s">
        <v>28</v>
      </c>
    </row>
    <row r="7" spans="1:26">
      <c r="A7" s="25">
        <v>42899.833333333336</v>
      </c>
      <c r="B7" s="2" t="s">
        <v>5</v>
      </c>
      <c r="C7" s="6" t="s">
        <v>9</v>
      </c>
      <c r="D7" s="6">
        <f>200</f>
        <v>200</v>
      </c>
      <c r="E7" s="8">
        <f>D7-169</f>
        <v>31</v>
      </c>
      <c r="G7" s="22">
        <v>42900</v>
      </c>
      <c r="L7" s="6">
        <v>2</v>
      </c>
      <c r="M7" s="16" t="s">
        <v>30</v>
      </c>
      <c r="O7" s="24">
        <f t="shared" si="0"/>
        <v>-169</v>
      </c>
      <c r="P7" s="12">
        <f t="shared" si="1"/>
        <v>4</v>
      </c>
      <c r="X7" s="29">
        <f t="shared" si="2"/>
        <v>42899</v>
      </c>
      <c r="Z7" s="3" t="s">
        <v>6</v>
      </c>
    </row>
    <row r="8" spans="1:26">
      <c r="A8" s="25">
        <v>42899.833333333336</v>
      </c>
      <c r="B8" s="2" t="s">
        <v>26</v>
      </c>
      <c r="C8" s="6" t="s">
        <v>27</v>
      </c>
      <c r="D8" s="6">
        <f>200</f>
        <v>200</v>
      </c>
      <c r="E8" s="8">
        <f>D8+17</f>
        <v>217</v>
      </c>
      <c r="G8" s="22">
        <v>42900</v>
      </c>
      <c r="L8" s="6">
        <v>2</v>
      </c>
      <c r="M8" s="16" t="s">
        <v>30</v>
      </c>
      <c r="O8" s="24">
        <f t="shared" si="0"/>
        <v>16</v>
      </c>
      <c r="P8" s="12">
        <f t="shared" si="1"/>
        <v>4</v>
      </c>
      <c r="X8" s="29">
        <f t="shared" si="2"/>
        <v>42899</v>
      </c>
      <c r="Z8" s="3" t="s">
        <v>28</v>
      </c>
    </row>
    <row r="9" spans="1:26">
      <c r="A9" s="25">
        <v>42904.833333333336</v>
      </c>
      <c r="B9" s="2" t="s">
        <v>5</v>
      </c>
      <c r="C9" s="6" t="s">
        <v>9</v>
      </c>
      <c r="D9" s="6">
        <f>200</f>
        <v>200</v>
      </c>
      <c r="E9" s="8">
        <f>D9+201</f>
        <v>401</v>
      </c>
      <c r="G9" s="22">
        <v>42905</v>
      </c>
      <c r="L9" s="6">
        <v>2</v>
      </c>
      <c r="M9" s="16" t="s">
        <v>30</v>
      </c>
      <c r="O9" s="24">
        <f t="shared" si="0"/>
        <v>190</v>
      </c>
      <c r="P9" s="12">
        <f t="shared" si="1"/>
        <v>4</v>
      </c>
      <c r="X9" s="29">
        <f t="shared" si="2"/>
        <v>42904</v>
      </c>
      <c r="Z9" s="3" t="s">
        <v>6</v>
      </c>
    </row>
    <row r="10" spans="1:26">
      <c r="A10" s="25">
        <v>42904.833333333336</v>
      </c>
      <c r="B10" s="2" t="s">
        <v>7</v>
      </c>
      <c r="C10" s="6" t="s">
        <v>10</v>
      </c>
      <c r="D10" s="6">
        <f>200</f>
        <v>200</v>
      </c>
      <c r="E10" s="8">
        <f>D10-6</f>
        <v>194</v>
      </c>
      <c r="G10" s="22">
        <v>42905</v>
      </c>
      <c r="L10" s="6">
        <v>2</v>
      </c>
      <c r="M10" s="16" t="s">
        <v>30</v>
      </c>
      <c r="O10" s="24">
        <f t="shared" si="0"/>
        <v>-6</v>
      </c>
      <c r="P10" s="12">
        <f t="shared" si="1"/>
        <v>4</v>
      </c>
      <c r="X10" s="29">
        <f t="shared" si="2"/>
        <v>42904</v>
      </c>
      <c r="Z10" s="3" t="s">
        <v>8</v>
      </c>
    </row>
    <row r="11" spans="1:26">
      <c r="A11" s="25">
        <v>42904.833333333336</v>
      </c>
      <c r="B11" s="2" t="s">
        <v>26</v>
      </c>
      <c r="C11" s="6" t="s">
        <v>27</v>
      </c>
      <c r="D11" s="6">
        <f>200</f>
        <v>200</v>
      </c>
      <c r="E11" s="8">
        <f>D11+15</f>
        <v>215</v>
      </c>
      <c r="G11" s="22">
        <v>42905</v>
      </c>
      <c r="L11" s="6">
        <v>2</v>
      </c>
      <c r="M11" s="16" t="s">
        <v>30</v>
      </c>
      <c r="O11" s="24">
        <f t="shared" si="0"/>
        <v>14</v>
      </c>
      <c r="P11" s="12">
        <f t="shared" si="1"/>
        <v>4</v>
      </c>
      <c r="X11" s="29">
        <f t="shared" si="2"/>
        <v>42904</v>
      </c>
      <c r="Z11" s="3" t="s">
        <v>28</v>
      </c>
    </row>
    <row r="12" spans="1:26">
      <c r="A12" s="25">
        <v>42905.883333333331</v>
      </c>
      <c r="B12" s="2" t="s">
        <v>33</v>
      </c>
      <c r="C12" s="6" t="s">
        <v>34</v>
      </c>
      <c r="D12" s="6">
        <f>200+200</f>
        <v>400</v>
      </c>
      <c r="E12" s="8">
        <f>D12+211</f>
        <v>611</v>
      </c>
      <c r="G12" s="22">
        <v>42906</v>
      </c>
      <c r="L12" s="6">
        <v>2</v>
      </c>
      <c r="M12" s="16" t="s">
        <v>30</v>
      </c>
      <c r="O12" s="24">
        <f t="shared" si="0"/>
        <v>200</v>
      </c>
      <c r="P12" s="12">
        <f t="shared" si="1"/>
        <v>2.8</v>
      </c>
      <c r="X12" s="29">
        <f t="shared" si="2"/>
        <v>42905</v>
      </c>
      <c r="Z12" s="3" t="s">
        <v>32</v>
      </c>
    </row>
    <row r="13" spans="1:26">
      <c r="A13" s="25">
        <v>42905.883333333331</v>
      </c>
      <c r="B13" s="2" t="s">
        <v>5</v>
      </c>
      <c r="C13" s="6" t="s">
        <v>9</v>
      </c>
      <c r="D13" s="6">
        <f>300</f>
        <v>300</v>
      </c>
      <c r="E13" s="8">
        <f>D13+106</f>
        <v>406</v>
      </c>
      <c r="G13" s="22">
        <v>42906</v>
      </c>
      <c r="L13" s="6">
        <v>2</v>
      </c>
      <c r="M13" s="16" t="s">
        <v>30</v>
      </c>
      <c r="O13" s="24">
        <f t="shared" si="0"/>
        <v>100</v>
      </c>
      <c r="P13" s="12">
        <f t="shared" si="1"/>
        <v>2.8</v>
      </c>
      <c r="X13" s="29">
        <f t="shared" si="2"/>
        <v>42905</v>
      </c>
      <c r="Z13" s="3" t="s">
        <v>6</v>
      </c>
    </row>
    <row r="14" spans="1:26">
      <c r="A14" s="25">
        <v>42905.883333333331</v>
      </c>
      <c r="B14" s="2" t="s">
        <v>26</v>
      </c>
      <c r="C14" s="6" t="s">
        <v>27</v>
      </c>
      <c r="D14" s="6">
        <f>200</f>
        <v>200</v>
      </c>
      <c r="E14" s="8">
        <f>D14-9</f>
        <v>191</v>
      </c>
      <c r="G14" s="22">
        <v>42906</v>
      </c>
      <c r="L14" s="6">
        <v>2</v>
      </c>
      <c r="M14" s="16" t="s">
        <v>30</v>
      </c>
      <c r="O14" s="24">
        <f t="shared" si="0"/>
        <v>-9</v>
      </c>
      <c r="P14" s="12">
        <f t="shared" si="1"/>
        <v>2.8</v>
      </c>
      <c r="X14" s="29">
        <f t="shared" si="2"/>
        <v>42905</v>
      </c>
      <c r="Z14" s="3" t="s">
        <v>28</v>
      </c>
    </row>
    <row r="15" spans="1:26" s="31" customFormat="1">
      <c r="A15" s="30">
        <v>42925.631249999999</v>
      </c>
      <c r="B15" s="31" t="s">
        <v>7</v>
      </c>
      <c r="C15" s="32" t="s">
        <v>10</v>
      </c>
      <c r="D15" s="32">
        <f>200+300</f>
        <v>500</v>
      </c>
      <c r="E15" s="33">
        <f>D15-174</f>
        <v>326</v>
      </c>
      <c r="F15" s="33">
        <v>326</v>
      </c>
      <c r="G15" s="34">
        <v>42925.809027777781</v>
      </c>
      <c r="H15" s="32">
        <v>1732</v>
      </c>
      <c r="I15" s="32">
        <v>0.68</v>
      </c>
      <c r="J15" s="32">
        <v>1981</v>
      </c>
      <c r="K15" s="32">
        <v>0.62</v>
      </c>
      <c r="L15" s="32">
        <v>2</v>
      </c>
      <c r="M15" s="35" t="s">
        <v>30</v>
      </c>
      <c r="N15" s="33">
        <f t="shared" ref="N15:N28" si="3">F15-D15</f>
        <v>-174</v>
      </c>
      <c r="O15" s="32">
        <f t="shared" si="0"/>
        <v>-174</v>
      </c>
      <c r="P15" s="31">
        <f t="shared" si="1"/>
        <v>4.2699999999999996</v>
      </c>
      <c r="Q15" s="31">
        <f t="shared" ref="Q15:Q28" si="4">J15-H15</f>
        <v>249</v>
      </c>
      <c r="R15" s="31">
        <f t="shared" ref="R15:R28" si="5">T15-S15</f>
        <v>51</v>
      </c>
      <c r="S15" s="31">
        <f t="shared" ref="S15:S28" si="6">INT(H15*I15)</f>
        <v>1177</v>
      </c>
      <c r="T15" s="31">
        <f t="shared" ref="T15:T28" si="7">INT(J15*K15)</f>
        <v>1228</v>
      </c>
      <c r="U15" s="36">
        <f t="shared" ref="U15:U23" si="8">R15/Q15</f>
        <v>0.20481927710843373</v>
      </c>
      <c r="V15" s="37">
        <f t="shared" ref="V15:V28" si="9">O15/Q15/L15</f>
        <v>-0.3493975903614458</v>
      </c>
      <c r="W15" s="37">
        <f t="shared" ref="W15:W28" si="10">O15/P15/L15</f>
        <v>-20.374707259953162</v>
      </c>
      <c r="X15" s="38">
        <f t="shared" si="2"/>
        <v>42925</v>
      </c>
      <c r="Y15" s="40">
        <f>MAX($P$15:$P$17)/SUBTOTAL(109,$P$15:$P$17)</f>
        <v>0.38557435440783616</v>
      </c>
      <c r="Z15" s="39" t="s">
        <v>8</v>
      </c>
    </row>
    <row r="16" spans="1:26" s="31" customFormat="1">
      <c r="A16" s="30">
        <v>42925.631249999999</v>
      </c>
      <c r="B16" s="31" t="s">
        <v>26</v>
      </c>
      <c r="C16" s="32" t="s">
        <v>27</v>
      </c>
      <c r="D16" s="32">
        <v>200</v>
      </c>
      <c r="E16" s="33">
        <v>524</v>
      </c>
      <c r="F16" s="33">
        <v>508</v>
      </c>
      <c r="G16" s="34">
        <v>42925.740972222222</v>
      </c>
      <c r="H16" s="32">
        <v>2213</v>
      </c>
      <c r="I16" s="32">
        <v>0.61</v>
      </c>
      <c r="J16" s="32">
        <v>2379</v>
      </c>
      <c r="K16" s="32">
        <v>0.57999999999999996</v>
      </c>
      <c r="L16" s="32">
        <v>2</v>
      </c>
      <c r="M16" s="35" t="s">
        <v>30</v>
      </c>
      <c r="N16" s="33">
        <f t="shared" si="3"/>
        <v>308</v>
      </c>
      <c r="O16" s="32">
        <f t="shared" si="0"/>
        <v>307</v>
      </c>
      <c r="P16" s="31">
        <f t="shared" si="1"/>
        <v>2.63</v>
      </c>
      <c r="Q16" s="31">
        <f t="shared" si="4"/>
        <v>166</v>
      </c>
      <c r="R16" s="31">
        <f t="shared" si="5"/>
        <v>30</v>
      </c>
      <c r="S16" s="31">
        <f t="shared" si="6"/>
        <v>1349</v>
      </c>
      <c r="T16" s="31">
        <f t="shared" si="7"/>
        <v>1379</v>
      </c>
      <c r="U16" s="36">
        <f t="shared" si="8"/>
        <v>0.18072289156626506</v>
      </c>
      <c r="V16" s="37">
        <f t="shared" si="9"/>
        <v>0.92469879518072284</v>
      </c>
      <c r="W16" s="37">
        <f t="shared" si="10"/>
        <v>58.365019011406844</v>
      </c>
      <c r="X16" s="38">
        <f t="shared" si="2"/>
        <v>42925</v>
      </c>
      <c r="Y16" s="40">
        <f>MAX($P$15:$P$17)/SUBTOTAL(109,$P$15:$P$17)</f>
        <v>0.38557435440783616</v>
      </c>
      <c r="Z16" s="39" t="s">
        <v>28</v>
      </c>
    </row>
    <row r="17" spans="1:26" s="31" customFormat="1">
      <c r="A17" s="30">
        <v>42925.631249999999</v>
      </c>
      <c r="B17" s="31" t="s">
        <v>33</v>
      </c>
      <c r="C17" s="32" t="s">
        <v>38</v>
      </c>
      <c r="D17" s="32">
        <v>300</v>
      </c>
      <c r="E17" s="33">
        <v>367</v>
      </c>
      <c r="F17" s="33">
        <v>367</v>
      </c>
      <c r="G17" s="34">
        <v>42925.811805555553</v>
      </c>
      <c r="H17" s="32">
        <v>1509</v>
      </c>
      <c r="I17" s="32">
        <v>0.71</v>
      </c>
      <c r="J17" s="32">
        <v>1753</v>
      </c>
      <c r="K17" s="32">
        <v>0.64</v>
      </c>
      <c r="L17" s="32">
        <v>2</v>
      </c>
      <c r="M17" s="35" t="s">
        <v>30</v>
      </c>
      <c r="N17" s="33">
        <f t="shared" si="3"/>
        <v>67</v>
      </c>
      <c r="O17" s="32">
        <f t="shared" si="0"/>
        <v>63</v>
      </c>
      <c r="P17" s="31">
        <f t="shared" si="1"/>
        <v>4.33</v>
      </c>
      <c r="Q17" s="31">
        <f t="shared" si="4"/>
        <v>244</v>
      </c>
      <c r="R17" s="31">
        <f t="shared" si="5"/>
        <v>50</v>
      </c>
      <c r="S17" s="31">
        <f t="shared" si="6"/>
        <v>1071</v>
      </c>
      <c r="T17" s="31">
        <f t="shared" si="7"/>
        <v>1121</v>
      </c>
      <c r="U17" s="36">
        <f t="shared" si="8"/>
        <v>0.20491803278688525</v>
      </c>
      <c r="V17" s="37">
        <f t="shared" si="9"/>
        <v>0.12909836065573771</v>
      </c>
      <c r="W17" s="37">
        <f t="shared" si="10"/>
        <v>7.274826789838337</v>
      </c>
      <c r="X17" s="38">
        <f t="shared" si="2"/>
        <v>42925</v>
      </c>
      <c r="Y17" s="40">
        <f>MAX($P$15:$P$17)/SUBTOTAL(109,$P$15:$P$17)</f>
        <v>0.38557435440783616</v>
      </c>
      <c r="Z17" s="39" t="s">
        <v>32</v>
      </c>
    </row>
    <row r="18" spans="1:26">
      <c r="A18" s="25">
        <v>42934.876388888886</v>
      </c>
      <c r="B18" s="2" t="s">
        <v>7</v>
      </c>
      <c r="C18" s="6" t="s">
        <v>61</v>
      </c>
      <c r="D18" s="6">
        <f>200+100</f>
        <v>300</v>
      </c>
      <c r="E18" s="8">
        <f>D18+108</f>
        <v>408</v>
      </c>
      <c r="F18" s="15">
        <v>403</v>
      </c>
      <c r="G18" s="22">
        <v>42935.022222222222</v>
      </c>
      <c r="H18" s="6">
        <v>2186</v>
      </c>
      <c r="I18" s="6">
        <v>0.66</v>
      </c>
      <c r="J18" s="6">
        <v>2320</v>
      </c>
      <c r="K18" s="6">
        <v>0.63</v>
      </c>
      <c r="L18" s="6">
        <v>2</v>
      </c>
      <c r="M18" s="16" t="s">
        <v>30</v>
      </c>
      <c r="N18" s="23">
        <f t="shared" si="3"/>
        <v>103</v>
      </c>
      <c r="O18" s="24">
        <f t="shared" si="0"/>
        <v>102</v>
      </c>
      <c r="P18" s="12">
        <f t="shared" si="1"/>
        <v>3.5</v>
      </c>
      <c r="Q18" s="12">
        <f t="shared" si="4"/>
        <v>134</v>
      </c>
      <c r="R18" s="12">
        <f t="shared" si="5"/>
        <v>19</v>
      </c>
      <c r="S18" s="12">
        <f t="shared" si="6"/>
        <v>1442</v>
      </c>
      <c r="T18" s="12">
        <f t="shared" si="7"/>
        <v>1461</v>
      </c>
      <c r="U18" s="13">
        <f t="shared" si="8"/>
        <v>0.1417910447761194</v>
      </c>
      <c r="V18" s="14">
        <f t="shared" si="9"/>
        <v>0.38059701492537312</v>
      </c>
      <c r="W18" s="14">
        <f t="shared" si="10"/>
        <v>14.571428571428571</v>
      </c>
      <c r="X18" s="29">
        <f t="shared" si="2"/>
        <v>42934</v>
      </c>
      <c r="Y18" s="40">
        <f t="array" ref="Y18:Y22">MAX($P$18:$P$22)/SUBTOTAL(109,$P$18:$P$22)</f>
        <v>0.28561151079136687</v>
      </c>
      <c r="Z18" s="3" t="s">
        <v>8</v>
      </c>
    </row>
    <row r="19" spans="1:26">
      <c r="A19" s="25">
        <v>42934.876388888886</v>
      </c>
      <c r="B19" s="2" t="s">
        <v>26</v>
      </c>
      <c r="C19" s="6" t="s">
        <v>27</v>
      </c>
      <c r="D19" s="6">
        <v>200</v>
      </c>
      <c r="E19" s="8">
        <f>D19+7</f>
        <v>207</v>
      </c>
      <c r="F19" s="15">
        <v>207</v>
      </c>
      <c r="G19" s="22">
        <v>42935.041666666664</v>
      </c>
      <c r="H19" s="6">
        <v>2584</v>
      </c>
      <c r="I19" s="6">
        <v>0.62</v>
      </c>
      <c r="J19" s="6">
        <v>2816</v>
      </c>
      <c r="K19" s="6">
        <v>0.57999999999999996</v>
      </c>
      <c r="L19" s="6">
        <v>2</v>
      </c>
      <c r="M19" s="16" t="s">
        <v>30</v>
      </c>
      <c r="N19" s="23">
        <f t="shared" si="3"/>
        <v>7</v>
      </c>
      <c r="O19" s="24">
        <f t="shared" si="0"/>
        <v>6</v>
      </c>
      <c r="P19" s="12">
        <f t="shared" si="1"/>
        <v>3.97</v>
      </c>
      <c r="Q19" s="12">
        <f t="shared" si="4"/>
        <v>232</v>
      </c>
      <c r="R19" s="12">
        <f t="shared" si="5"/>
        <v>31</v>
      </c>
      <c r="S19" s="12">
        <f t="shared" si="6"/>
        <v>1602</v>
      </c>
      <c r="T19" s="12">
        <f t="shared" si="7"/>
        <v>1633</v>
      </c>
      <c r="U19" s="13">
        <f t="shared" si="8"/>
        <v>0.1336206896551724</v>
      </c>
      <c r="V19" s="14">
        <f t="shared" si="9"/>
        <v>1.2931034482758621E-2</v>
      </c>
      <c r="W19" s="14">
        <f t="shared" si="10"/>
        <v>0.75566750629722923</v>
      </c>
      <c r="X19" s="29">
        <f t="shared" si="2"/>
        <v>42934</v>
      </c>
      <c r="Y19" s="40">
        <v>0.28561151079136687</v>
      </c>
      <c r="Z19" s="3" t="s">
        <v>28</v>
      </c>
    </row>
    <row r="20" spans="1:26">
      <c r="A20" s="25">
        <v>42934.876388888886</v>
      </c>
      <c r="B20" s="2" t="s">
        <v>33</v>
      </c>
      <c r="C20" s="6" t="s">
        <v>62</v>
      </c>
      <c r="D20" s="6">
        <f>400</f>
        <v>400</v>
      </c>
      <c r="E20" s="8">
        <f>D20+618</f>
        <v>1018</v>
      </c>
      <c r="F20" s="15">
        <v>988</v>
      </c>
      <c r="G20" s="22">
        <v>42934.955555555556</v>
      </c>
      <c r="H20" s="6">
        <v>1753</v>
      </c>
      <c r="I20" s="6">
        <v>0.64</v>
      </c>
      <c r="J20" s="6">
        <v>1855</v>
      </c>
      <c r="K20" s="6">
        <v>0.61</v>
      </c>
      <c r="L20" s="6">
        <v>4</v>
      </c>
      <c r="M20" s="16" t="s">
        <v>60</v>
      </c>
      <c r="N20" s="23">
        <f t="shared" si="3"/>
        <v>588</v>
      </c>
      <c r="O20" s="24">
        <f t="shared" si="0"/>
        <v>587</v>
      </c>
      <c r="P20" s="12">
        <f t="shared" si="1"/>
        <v>1.9</v>
      </c>
      <c r="Q20" s="12">
        <f t="shared" si="4"/>
        <v>102</v>
      </c>
      <c r="R20" s="12">
        <f t="shared" si="5"/>
        <v>10</v>
      </c>
      <c r="S20" s="12">
        <f t="shared" si="6"/>
        <v>1121</v>
      </c>
      <c r="T20" s="12">
        <f t="shared" si="7"/>
        <v>1131</v>
      </c>
      <c r="U20" s="13">
        <f t="shared" si="8"/>
        <v>9.8039215686274508E-2</v>
      </c>
      <c r="V20" s="14">
        <f t="shared" si="9"/>
        <v>1.4387254901960784</v>
      </c>
      <c r="W20" s="14">
        <f t="shared" si="10"/>
        <v>77.236842105263165</v>
      </c>
      <c r="X20" s="29">
        <f t="shared" si="2"/>
        <v>42934</v>
      </c>
      <c r="Y20" s="40">
        <v>0.28561151079136687</v>
      </c>
      <c r="Z20" s="3" t="s">
        <v>32</v>
      </c>
    </row>
    <row r="21" spans="1:26">
      <c r="A21" s="25">
        <v>42934.876388888886</v>
      </c>
      <c r="B21" s="2" t="s">
        <v>5</v>
      </c>
      <c r="C21" s="6" t="s">
        <v>9</v>
      </c>
      <c r="D21" s="6">
        <v>200</v>
      </c>
      <c r="E21" s="8">
        <f>D21+32</f>
        <v>232</v>
      </c>
      <c r="F21" s="15">
        <v>232</v>
      </c>
      <c r="G21" s="22">
        <v>42934.986805555556</v>
      </c>
      <c r="H21" s="6">
        <v>1674</v>
      </c>
      <c r="I21" s="6">
        <v>0.63</v>
      </c>
      <c r="J21" s="6">
        <v>1830</v>
      </c>
      <c r="K21" s="6">
        <v>0.6</v>
      </c>
      <c r="L21" s="6">
        <v>2</v>
      </c>
      <c r="M21" s="16" t="s">
        <v>30</v>
      </c>
      <c r="N21" s="23">
        <f t="shared" si="3"/>
        <v>32</v>
      </c>
      <c r="O21" s="24">
        <f t="shared" si="0"/>
        <v>30</v>
      </c>
      <c r="P21" s="12">
        <f t="shared" si="1"/>
        <v>2.65</v>
      </c>
      <c r="Q21" s="12">
        <f t="shared" si="4"/>
        <v>156</v>
      </c>
      <c r="R21" s="12">
        <f t="shared" si="5"/>
        <v>44</v>
      </c>
      <c r="S21" s="12">
        <f t="shared" si="6"/>
        <v>1054</v>
      </c>
      <c r="T21" s="12">
        <f t="shared" si="7"/>
        <v>1098</v>
      </c>
      <c r="U21" s="13">
        <f t="shared" si="8"/>
        <v>0.28205128205128205</v>
      </c>
      <c r="V21" s="14">
        <f t="shared" si="9"/>
        <v>9.6153846153846159E-2</v>
      </c>
      <c r="W21" s="14">
        <f t="shared" si="10"/>
        <v>5.6603773584905666</v>
      </c>
      <c r="X21" s="29">
        <f t="shared" si="2"/>
        <v>42934</v>
      </c>
      <c r="Y21" s="40">
        <v>0.28561151079136687</v>
      </c>
      <c r="Z21" s="3" t="s">
        <v>8</v>
      </c>
    </row>
    <row r="22" spans="1:26">
      <c r="A22" s="25">
        <v>42934.955555555556</v>
      </c>
      <c r="B22" s="2" t="s">
        <v>33</v>
      </c>
      <c r="C22" s="6" t="s">
        <v>34</v>
      </c>
      <c r="D22" s="6">
        <v>200</v>
      </c>
      <c r="E22" s="8">
        <f>D22+177</f>
        <v>377</v>
      </c>
      <c r="F22" s="15">
        <v>369</v>
      </c>
      <c r="G22" s="22">
        <v>42935.03402777778</v>
      </c>
      <c r="H22" s="6">
        <v>1855</v>
      </c>
      <c r="I22" s="6">
        <v>0.61</v>
      </c>
      <c r="J22" s="6">
        <v>1967</v>
      </c>
      <c r="K22" s="6">
        <v>0.59</v>
      </c>
      <c r="L22" s="6">
        <v>2</v>
      </c>
      <c r="M22" s="16" t="s">
        <v>30</v>
      </c>
      <c r="N22" s="23">
        <f t="shared" si="3"/>
        <v>169</v>
      </c>
      <c r="O22" s="24">
        <f t="shared" si="0"/>
        <v>168</v>
      </c>
      <c r="P22" s="12">
        <f t="shared" si="1"/>
        <v>1.88</v>
      </c>
      <c r="Q22" s="12">
        <f t="shared" si="4"/>
        <v>112</v>
      </c>
      <c r="R22" s="12">
        <f t="shared" si="5"/>
        <v>29</v>
      </c>
      <c r="S22" s="12">
        <f t="shared" si="6"/>
        <v>1131</v>
      </c>
      <c r="T22" s="12">
        <f t="shared" si="7"/>
        <v>1160</v>
      </c>
      <c r="U22" s="13">
        <f t="shared" si="8"/>
        <v>0.25892857142857145</v>
      </c>
      <c r="V22" s="14">
        <f t="shared" si="9"/>
        <v>0.75</v>
      </c>
      <c r="W22" s="14">
        <f t="shared" si="10"/>
        <v>44.680851063829792</v>
      </c>
      <c r="X22" s="29">
        <f t="shared" si="2"/>
        <v>42934</v>
      </c>
      <c r="Y22" s="40">
        <v>0.28561151079136687</v>
      </c>
      <c r="Z22" s="3" t="s">
        <v>32</v>
      </c>
    </row>
    <row r="23" spans="1:26" s="31" customFormat="1">
      <c r="A23" s="30">
        <v>42936.855555555558</v>
      </c>
      <c r="B23" s="31" t="s">
        <v>7</v>
      </c>
      <c r="C23" s="32" t="s">
        <v>61</v>
      </c>
      <c r="D23" s="32">
        <f>200</f>
        <v>200</v>
      </c>
      <c r="E23" s="33">
        <f>D23+150</f>
        <v>350</v>
      </c>
      <c r="F23" s="33">
        <v>342</v>
      </c>
      <c r="G23" s="34">
        <v>42936.959722222222</v>
      </c>
      <c r="H23" s="32">
        <v>2320</v>
      </c>
      <c r="I23" s="32">
        <v>0.63</v>
      </c>
      <c r="J23" s="32">
        <v>2422</v>
      </c>
      <c r="K23" s="32">
        <v>0.61</v>
      </c>
      <c r="L23" s="32">
        <v>2</v>
      </c>
      <c r="M23" s="35" t="s">
        <v>30</v>
      </c>
      <c r="N23" s="33">
        <f t="shared" si="3"/>
        <v>142</v>
      </c>
      <c r="O23" s="32">
        <f t="shared" si="0"/>
        <v>142</v>
      </c>
      <c r="P23" s="31">
        <f t="shared" si="1"/>
        <v>2.5</v>
      </c>
      <c r="Q23" s="31">
        <f t="shared" si="4"/>
        <v>102</v>
      </c>
      <c r="R23" s="31">
        <f t="shared" si="5"/>
        <v>16</v>
      </c>
      <c r="S23" s="31">
        <f t="shared" si="6"/>
        <v>1461</v>
      </c>
      <c r="T23" s="31">
        <f t="shared" si="7"/>
        <v>1477</v>
      </c>
      <c r="U23" s="36">
        <f t="shared" si="8"/>
        <v>0.15686274509803921</v>
      </c>
      <c r="V23" s="37">
        <f t="shared" si="9"/>
        <v>0.69607843137254899</v>
      </c>
      <c r="W23" s="37">
        <f t="shared" si="10"/>
        <v>28.4</v>
      </c>
      <c r="X23" s="38">
        <f t="shared" si="2"/>
        <v>42936</v>
      </c>
      <c r="Y23" s="40">
        <f>MAX($P$23:$P$24)/SUBTOTAL(109,$P$23:$P$24)</f>
        <v>0.51267056530214428</v>
      </c>
      <c r="Z23" s="39" t="s">
        <v>8</v>
      </c>
    </row>
    <row r="24" spans="1:26" s="31" customFormat="1">
      <c r="A24" s="30">
        <v>42936.855555555558</v>
      </c>
      <c r="B24" s="31" t="s">
        <v>33</v>
      </c>
      <c r="C24" s="32" t="s">
        <v>38</v>
      </c>
      <c r="D24" s="32">
        <f>200+200</f>
        <v>400</v>
      </c>
      <c r="E24" s="33">
        <f>D24-132</f>
        <v>268</v>
      </c>
      <c r="F24" s="33">
        <v>268</v>
      </c>
      <c r="G24" s="34">
        <v>42936.965277777781</v>
      </c>
      <c r="H24" s="32">
        <v>1967</v>
      </c>
      <c r="I24" s="32">
        <v>0.59</v>
      </c>
      <c r="J24" s="32">
        <v>2117</v>
      </c>
      <c r="K24" s="32">
        <v>0.56999999999999995</v>
      </c>
      <c r="L24" s="32">
        <v>2</v>
      </c>
      <c r="M24" s="35" t="s">
        <v>30</v>
      </c>
      <c r="N24" s="33">
        <f t="shared" si="3"/>
        <v>-132</v>
      </c>
      <c r="O24" s="32">
        <f t="shared" si="0"/>
        <v>-132</v>
      </c>
      <c r="P24" s="31">
        <f t="shared" si="1"/>
        <v>2.63</v>
      </c>
      <c r="Q24" s="31">
        <f t="shared" si="4"/>
        <v>150</v>
      </c>
      <c r="R24" s="31">
        <f t="shared" si="5"/>
        <v>46</v>
      </c>
      <c r="S24" s="31">
        <f t="shared" si="6"/>
        <v>1160</v>
      </c>
      <c r="T24" s="31">
        <f t="shared" si="7"/>
        <v>1206</v>
      </c>
      <c r="U24" s="36">
        <f>R24/Q24</f>
        <v>0.30666666666666664</v>
      </c>
      <c r="V24" s="37">
        <f t="shared" si="9"/>
        <v>-0.44</v>
      </c>
      <c r="W24" s="37">
        <f t="shared" si="10"/>
        <v>-25.095057034220535</v>
      </c>
      <c r="X24" s="38">
        <f t="shared" si="2"/>
        <v>42936</v>
      </c>
      <c r="Y24" s="40">
        <f>MAX($P$23:$P$24)/SUBTOTAL(109,$P$23:$P$24)</f>
        <v>0.51267056530214428</v>
      </c>
      <c r="Z24" s="39" t="s">
        <v>32</v>
      </c>
    </row>
    <row r="25" spans="1:26">
      <c r="A25" s="25">
        <v>42938.878472222219</v>
      </c>
      <c r="B25" s="2" t="s">
        <v>26</v>
      </c>
      <c r="C25" s="6" t="s">
        <v>27</v>
      </c>
      <c r="D25" s="6">
        <f>200</f>
        <v>200</v>
      </c>
      <c r="E25" s="8">
        <v>189</v>
      </c>
      <c r="G25" s="25">
        <v>42939.000011574077</v>
      </c>
      <c r="H25" s="6">
        <v>2816</v>
      </c>
      <c r="I25" s="6">
        <v>0.57999999999999996</v>
      </c>
      <c r="J25" s="6">
        <v>2997</v>
      </c>
      <c r="K25" s="6">
        <v>0.55000000000000004</v>
      </c>
      <c r="L25" s="6">
        <v>2</v>
      </c>
      <c r="M25" s="16" t="s">
        <v>30</v>
      </c>
      <c r="N25" s="23">
        <f t="shared" si="3"/>
        <v>-200</v>
      </c>
      <c r="O25" s="24">
        <f t="shared" si="0"/>
        <v>-11</v>
      </c>
      <c r="P25" s="12">
        <f t="shared" si="1"/>
        <v>2.92</v>
      </c>
      <c r="Q25" s="12">
        <f t="shared" si="4"/>
        <v>181</v>
      </c>
      <c r="R25" s="12">
        <f t="shared" si="5"/>
        <v>15</v>
      </c>
      <c r="S25" s="12">
        <f t="shared" si="6"/>
        <v>1633</v>
      </c>
      <c r="T25" s="12">
        <f t="shared" si="7"/>
        <v>1648</v>
      </c>
      <c r="U25" s="13">
        <f t="shared" ref="U25:U28" si="11">R25/Q25</f>
        <v>8.2872928176795577E-2</v>
      </c>
      <c r="V25" s="14">
        <f t="shared" si="9"/>
        <v>-3.0386740331491711E-2</v>
      </c>
      <c r="W25" s="14">
        <f t="shared" si="10"/>
        <v>-1.8835616438356164</v>
      </c>
      <c r="X25" s="29">
        <f t="shared" si="2"/>
        <v>42938</v>
      </c>
      <c r="Y25" s="40">
        <f>MAX($P$25:$P$28)/SUBTOTAL(109,$P$25:$P$28)</f>
        <v>0.27222731439046749</v>
      </c>
      <c r="Z25" s="3" t="s">
        <v>28</v>
      </c>
    </row>
    <row r="26" spans="1:26">
      <c r="A26" s="25">
        <v>42938.878472222219</v>
      </c>
      <c r="B26" s="2" t="s">
        <v>5</v>
      </c>
      <c r="C26" s="6" t="s">
        <v>9</v>
      </c>
      <c r="D26" s="6">
        <f>400</f>
        <v>400</v>
      </c>
      <c r="E26" s="8">
        <f>D26+274</f>
        <v>674</v>
      </c>
      <c r="F26" s="15">
        <v>665</v>
      </c>
      <c r="G26" s="25">
        <v>42938.982638888891</v>
      </c>
      <c r="H26" s="6">
        <v>1830</v>
      </c>
      <c r="I26" s="6">
        <v>0.6</v>
      </c>
      <c r="J26" s="6">
        <v>1994</v>
      </c>
      <c r="K26" s="6">
        <v>0.56000000000000005</v>
      </c>
      <c r="L26" s="6">
        <v>4</v>
      </c>
      <c r="M26" s="16" t="s">
        <v>60</v>
      </c>
      <c r="N26" s="23">
        <f t="shared" si="3"/>
        <v>265</v>
      </c>
      <c r="O26" s="24">
        <f t="shared" si="0"/>
        <v>260</v>
      </c>
      <c r="P26" s="12">
        <f t="shared" si="1"/>
        <v>2.5</v>
      </c>
      <c r="Q26" s="12">
        <f t="shared" si="4"/>
        <v>164</v>
      </c>
      <c r="R26" s="12">
        <f t="shared" si="5"/>
        <v>18</v>
      </c>
      <c r="S26" s="12">
        <f t="shared" si="6"/>
        <v>1098</v>
      </c>
      <c r="T26" s="12">
        <f t="shared" si="7"/>
        <v>1116</v>
      </c>
      <c r="U26" s="13">
        <f t="shared" si="11"/>
        <v>0.10975609756097561</v>
      </c>
      <c r="V26" s="14">
        <f t="shared" si="9"/>
        <v>0.39634146341463417</v>
      </c>
      <c r="W26" s="14">
        <f t="shared" si="10"/>
        <v>26</v>
      </c>
      <c r="X26" s="29">
        <f t="shared" si="2"/>
        <v>42938</v>
      </c>
      <c r="Y26" s="40">
        <f>MAX($P$25:$P$28)/SUBTOTAL(109,$P$25:$P$28)</f>
        <v>0.27222731439046749</v>
      </c>
      <c r="Z26" s="3" t="s">
        <v>8</v>
      </c>
    </row>
    <row r="27" spans="1:26">
      <c r="A27" s="25">
        <v>42938.884027777778</v>
      </c>
      <c r="B27" s="2" t="s">
        <v>33</v>
      </c>
      <c r="C27" s="6" t="s">
        <v>62</v>
      </c>
      <c r="D27" s="6">
        <f>400+400+1000</f>
        <v>1800</v>
      </c>
      <c r="E27" s="8">
        <f>D27-828</f>
        <v>972</v>
      </c>
      <c r="F27" s="15">
        <v>972</v>
      </c>
      <c r="G27" s="25">
        <v>42938.988888888889</v>
      </c>
      <c r="H27" s="6">
        <v>2117</v>
      </c>
      <c r="I27" s="6">
        <v>0.56999999999999995</v>
      </c>
      <c r="J27" s="6">
        <v>2265</v>
      </c>
      <c r="K27" s="6">
        <v>0.55000000000000004</v>
      </c>
      <c r="L27" s="6">
        <v>4</v>
      </c>
      <c r="M27" s="16" t="s">
        <v>60</v>
      </c>
      <c r="N27" s="23">
        <f t="shared" si="3"/>
        <v>-828</v>
      </c>
      <c r="O27" s="24">
        <f t="shared" si="0"/>
        <v>-828</v>
      </c>
      <c r="P27" s="12">
        <f t="shared" si="1"/>
        <v>2.52</v>
      </c>
      <c r="Q27" s="12">
        <f t="shared" si="4"/>
        <v>148</v>
      </c>
      <c r="R27" s="12">
        <f t="shared" si="5"/>
        <v>39</v>
      </c>
      <c r="S27" s="12">
        <f t="shared" si="6"/>
        <v>1206</v>
      </c>
      <c r="T27" s="12">
        <f t="shared" si="7"/>
        <v>1245</v>
      </c>
      <c r="U27" s="13">
        <f t="shared" si="11"/>
        <v>0.26351351351351349</v>
      </c>
      <c r="V27" s="14">
        <f t="shared" si="9"/>
        <v>-1.3986486486486487</v>
      </c>
      <c r="W27" s="14">
        <f t="shared" si="10"/>
        <v>-82.142857142857139</v>
      </c>
      <c r="X27" s="29">
        <f t="shared" si="2"/>
        <v>42938</v>
      </c>
      <c r="Y27" s="40">
        <f>MAX($P$25:$P$28)/SUBTOTAL(109,$P$25:$P$28)</f>
        <v>0.27222731439046749</v>
      </c>
      <c r="Z27" s="3" t="s">
        <v>32</v>
      </c>
    </row>
    <row r="28" spans="1:26">
      <c r="A28" s="25">
        <v>42938.876388888886</v>
      </c>
      <c r="B28" s="2" t="s">
        <v>7</v>
      </c>
      <c r="C28" s="6" t="s">
        <v>61</v>
      </c>
      <c r="D28" s="6">
        <v>200</v>
      </c>
      <c r="E28" s="8">
        <v>215</v>
      </c>
      <c r="F28" s="15">
        <v>215</v>
      </c>
      <c r="G28" s="25">
        <v>42939.000011574077</v>
      </c>
      <c r="H28" s="6">
        <v>2422</v>
      </c>
      <c r="I28" s="6">
        <v>0.61</v>
      </c>
      <c r="J28" s="6">
        <v>2557</v>
      </c>
      <c r="K28" s="6">
        <v>0.59</v>
      </c>
      <c r="L28" s="6">
        <v>2</v>
      </c>
      <c r="M28" s="16" t="s">
        <v>30</v>
      </c>
      <c r="N28" s="23">
        <f t="shared" si="3"/>
        <v>15</v>
      </c>
      <c r="O28" s="24">
        <f t="shared" si="0"/>
        <v>14</v>
      </c>
      <c r="P28" s="12">
        <f t="shared" si="1"/>
        <v>2.97</v>
      </c>
      <c r="Q28" s="12">
        <f t="shared" si="4"/>
        <v>135</v>
      </c>
      <c r="R28" s="12">
        <f t="shared" si="5"/>
        <v>31</v>
      </c>
      <c r="S28" s="12">
        <f t="shared" si="6"/>
        <v>1477</v>
      </c>
      <c r="T28" s="12">
        <f t="shared" si="7"/>
        <v>1508</v>
      </c>
      <c r="U28" s="13">
        <f t="shared" si="11"/>
        <v>0.22962962962962963</v>
      </c>
      <c r="V28" s="14">
        <f t="shared" si="9"/>
        <v>5.185185185185185E-2</v>
      </c>
      <c r="W28" s="14">
        <f t="shared" si="10"/>
        <v>2.3569023569023568</v>
      </c>
      <c r="X28" s="29">
        <f t="shared" si="2"/>
        <v>42938</v>
      </c>
      <c r="Y28" s="40">
        <f>MAX($P$25:$P$28)/SUBTOTAL(109,$P$25:$P$28)</f>
        <v>0.27222731439046749</v>
      </c>
      <c r="Z28" s="3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</vt:lpstr>
      <vt:lpstr>tips</vt:lpstr>
      <vt:lpstr>tmplt</vt:lpstr>
      <vt:lpstr>sum_tmplt</vt:lpstr>
      <vt:lpstr>tmp_rec_club</vt:lpstr>
      <vt:lpstr>rec_unusual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2017-07-08T07:05:05Z</dcterms:created>
  <dcterms:modified xsi:type="dcterms:W3CDTF">2017-07-27T14:39:37Z</dcterms:modified>
</cp:coreProperties>
</file>