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00" tabRatio="500" activeTab="3"/>
  </bookViews>
  <sheets>
    <sheet name="rec" sheetId="1" r:id="rId1"/>
    <sheet name="tips" sheetId="5" r:id="rId2"/>
    <sheet name="tmplt" sheetId="2" r:id="rId3"/>
    <sheet name="sum_tmplt" sheetId="4" r:id="rId4"/>
  </sheets>
  <calcPr calcId="140000" concurrentCalc="0"/>
  <pivotCaches>
    <pivotCache cacheId="1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4" l="1"/>
  <c r="B10" i="4"/>
  <c r="C10" i="4"/>
  <c r="B6" i="4"/>
  <c r="B7" i="4"/>
  <c r="B8" i="4"/>
  <c r="B9" i="4"/>
  <c r="B5" i="4"/>
  <c r="C6" i="4"/>
  <c r="C7" i="4"/>
  <c r="C8" i="4"/>
  <c r="C9" i="4"/>
  <c r="C5" i="4"/>
  <c r="A6" i="4"/>
  <c r="A7" i="4"/>
  <c r="A8" i="4"/>
  <c r="A9" i="4"/>
  <c r="A5" i="4"/>
  <c r="W16" i="1"/>
  <c r="W17" i="1"/>
  <c r="W15" i="1"/>
  <c r="H4" i="2"/>
  <c r="Q4" i="2"/>
  <c r="V4" i="2"/>
  <c r="T4" i="2"/>
  <c r="S4" i="2"/>
  <c r="R4" i="2"/>
  <c r="U4" i="2"/>
  <c r="P4" i="2"/>
  <c r="G4" i="2"/>
  <c r="H3" i="2"/>
  <c r="Q3" i="2"/>
  <c r="V3" i="2"/>
  <c r="T3" i="2"/>
  <c r="S3" i="2"/>
  <c r="R3" i="2"/>
  <c r="U3" i="2"/>
  <c r="P3" i="2"/>
  <c r="G3" i="2"/>
  <c r="D2" i="2"/>
  <c r="E2" i="2"/>
  <c r="H2" i="2"/>
  <c r="Q2" i="2"/>
  <c r="V2" i="2"/>
  <c r="T2" i="2"/>
  <c r="S2" i="2"/>
  <c r="R2" i="2"/>
  <c r="U2" i="2"/>
  <c r="P2" i="2"/>
  <c r="G2" i="2"/>
  <c r="P12" i="1"/>
  <c r="G17" i="1"/>
  <c r="D15" i="1"/>
  <c r="G15" i="1"/>
  <c r="E15" i="1"/>
  <c r="H15" i="1"/>
  <c r="H16" i="1"/>
  <c r="H17" i="1"/>
  <c r="D14" i="1"/>
  <c r="E14" i="1"/>
  <c r="H14" i="1"/>
  <c r="G16" i="1"/>
  <c r="Q17" i="1"/>
  <c r="V17" i="1"/>
  <c r="Q16" i="1"/>
  <c r="V16" i="1"/>
  <c r="Q15" i="1"/>
  <c r="T16" i="1"/>
  <c r="S16" i="1"/>
  <c r="R16" i="1"/>
  <c r="U16" i="1"/>
  <c r="T17" i="1"/>
  <c r="S17" i="1"/>
  <c r="R17" i="1"/>
  <c r="U17" i="1"/>
  <c r="T15" i="1"/>
  <c r="S15" i="1"/>
  <c r="R15" i="1"/>
  <c r="U15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P17" i="1"/>
  <c r="P16" i="1"/>
  <c r="P15" i="1"/>
  <c r="P3" i="1"/>
  <c r="P4" i="1"/>
  <c r="P5" i="1"/>
  <c r="P6" i="1"/>
  <c r="P7" i="1"/>
  <c r="P8" i="1"/>
  <c r="P9" i="1"/>
  <c r="P10" i="1"/>
  <c r="P11" i="1"/>
  <c r="P13" i="1"/>
  <c r="P14" i="1"/>
  <c r="D3" i="1"/>
  <c r="H3" i="1"/>
  <c r="H4" i="1"/>
  <c r="H5" i="1"/>
  <c r="H6" i="1"/>
  <c r="H7" i="1"/>
  <c r="H8" i="1"/>
  <c r="H9" i="1"/>
  <c r="H10" i="1"/>
  <c r="H11" i="1"/>
  <c r="H12" i="1"/>
  <c r="H13" i="1"/>
  <c r="D2" i="1"/>
  <c r="P2" i="1"/>
  <c r="H2" i="1"/>
  <c r="V15" i="1"/>
</calcChain>
</file>

<file path=xl/sharedStrings.xml><?xml version="1.0" encoding="utf-8"?>
<sst xmlns="http://schemas.openxmlformats.org/spreadsheetml/2006/main" count="156" uniqueCount="73">
  <si>
    <t>user</t>
    <phoneticPr fontId="1" type="noConversion"/>
  </si>
  <si>
    <t>buyin</t>
    <phoneticPr fontId="1" type="noConversion"/>
  </si>
  <si>
    <t>room</t>
    <phoneticPr fontId="1" type="noConversion"/>
  </si>
  <si>
    <t>tel</t>
    <phoneticPr fontId="1" type="noConversion"/>
  </si>
  <si>
    <t>net</t>
    <phoneticPr fontId="1" type="noConversion"/>
  </si>
  <si>
    <t>joan</t>
    <phoneticPr fontId="1" type="noConversion"/>
  </si>
  <si>
    <t>15824140644</t>
    <phoneticPr fontId="1" type="noConversion"/>
  </si>
  <si>
    <t>laughing</t>
    <phoneticPr fontId="1" type="noConversion"/>
  </si>
  <si>
    <t>13735467894</t>
  </si>
  <si>
    <t>虾米</t>
    <phoneticPr fontId="1" type="noConversion"/>
  </si>
  <si>
    <t>星际</t>
    <phoneticPr fontId="1" type="noConversion"/>
  </si>
  <si>
    <t>checkout</t>
    <phoneticPr fontId="1" type="noConversion"/>
  </si>
  <si>
    <t>start</t>
    <phoneticPr fontId="1" type="noConversion"/>
  </si>
  <si>
    <t>end</t>
    <phoneticPr fontId="1" type="noConversion"/>
  </si>
  <si>
    <t>duration</t>
    <phoneticPr fontId="1" type="noConversion"/>
  </si>
  <si>
    <t>vpip1</t>
    <phoneticPr fontId="1" type="noConversion"/>
  </si>
  <si>
    <t>flop1</t>
    <phoneticPr fontId="1" type="noConversion"/>
  </si>
  <si>
    <t>total1</t>
    <phoneticPr fontId="1" type="noConversion"/>
  </si>
  <si>
    <t>vpip2</t>
    <phoneticPr fontId="1" type="noConversion"/>
  </si>
  <si>
    <t>flop2</t>
    <phoneticPr fontId="1" type="noConversion"/>
  </si>
  <si>
    <t>total2</t>
    <phoneticPr fontId="1" type="noConversion"/>
  </si>
  <si>
    <t>hand</t>
    <phoneticPr fontId="1" type="noConversion"/>
  </si>
  <si>
    <t>vpip</t>
    <phoneticPr fontId="1" type="noConversion"/>
  </si>
  <si>
    <t>bigblind</t>
    <phoneticPr fontId="1" type="noConversion"/>
  </si>
  <si>
    <t>BB/100hand</t>
    <phoneticPr fontId="1" type="noConversion"/>
  </si>
  <si>
    <t>BB/hour</t>
    <phoneticPr fontId="1" type="noConversion"/>
  </si>
  <si>
    <t>joan</t>
    <phoneticPr fontId="1" type="noConversion"/>
  </si>
  <si>
    <t>laughing</t>
    <phoneticPr fontId="1" type="noConversion"/>
  </si>
  <si>
    <t>m4n</t>
    <phoneticPr fontId="1" type="noConversion"/>
  </si>
  <si>
    <t>钓鱼</t>
    <phoneticPr fontId="1" type="noConversion"/>
  </si>
  <si>
    <t>18657183201</t>
    <phoneticPr fontId="1" type="noConversion"/>
  </si>
  <si>
    <t>remark</t>
    <phoneticPr fontId="1" type="noConversion"/>
  </si>
  <si>
    <t>1/2</t>
  </si>
  <si>
    <t>1/2</t>
    <phoneticPr fontId="1" type="noConversion"/>
  </si>
  <si>
    <t>13486124717</t>
  </si>
  <si>
    <t>monoray</t>
    <phoneticPr fontId="1" type="noConversion"/>
  </si>
  <si>
    <t>小文</t>
    <phoneticPr fontId="1" type="noConversion"/>
  </si>
  <si>
    <t>HK</t>
    <phoneticPr fontId="1" type="noConversion"/>
  </si>
  <si>
    <t>KK</t>
    <phoneticPr fontId="1" type="noConversion"/>
  </si>
  <si>
    <t>13516815199</t>
    <phoneticPr fontId="1" type="noConversion"/>
  </si>
  <si>
    <t>鱼宝宝</t>
  </si>
  <si>
    <t>鱼宝宝</t>
    <phoneticPr fontId="1" type="noConversion"/>
  </si>
  <si>
    <t>checkflag</t>
    <phoneticPr fontId="1" type="noConversion"/>
  </si>
  <si>
    <t>flop</t>
    <phoneticPr fontId="1" type="noConversion"/>
  </si>
  <si>
    <t>realnet</t>
    <phoneticPr fontId="1" type="noConversion"/>
  </si>
  <si>
    <t>行标签</t>
  </si>
  <si>
    <t>总计</t>
  </si>
  <si>
    <t>求和的hand</t>
  </si>
  <si>
    <t>值</t>
  </si>
  <si>
    <t>求和的flop</t>
  </si>
  <si>
    <t>求和的buyin</t>
  </si>
  <si>
    <t>求和的checkout</t>
  </si>
  <si>
    <t>求和的checkflag</t>
  </si>
  <si>
    <t>求和的net</t>
  </si>
  <si>
    <t>求和的realnet</t>
  </si>
  <si>
    <t>钓鱼</t>
  </si>
  <si>
    <t>星际</t>
  </si>
  <si>
    <t>starttime</t>
    <phoneticPr fontId="1" type="noConversion"/>
  </si>
  <si>
    <t>tips</t>
    <phoneticPr fontId="1" type="noConversion"/>
  </si>
  <si>
    <t>感觉1/2的桌上，打兆牌的人都弱</t>
    <phoneticPr fontId="1" type="noConversion"/>
  </si>
  <si>
    <t>1/2桌上，遇到加注，基本都是2对以上</t>
    <phoneticPr fontId="1" type="noConversion"/>
  </si>
  <si>
    <t>1/2桌上，河牌下注基本都是价值下注</t>
    <phoneticPr fontId="1" type="noConversion"/>
  </si>
  <si>
    <t>1/2桌上，多人或2人底池咋呼1次不成功，基本对方都有牌</t>
    <phoneticPr fontId="1" type="noConversion"/>
  </si>
  <si>
    <t>rec</t>
    <phoneticPr fontId="1" type="noConversion"/>
  </si>
  <si>
    <t>Axxxxx_rainbowl，翻pot河pot22下注，A7跟注</t>
    <phoneticPr fontId="1" type="noConversion"/>
  </si>
  <si>
    <t>TT，flop459,turnJ_rainbowl，下注被加注,45o</t>
    <phoneticPr fontId="1" type="noConversion"/>
  </si>
  <si>
    <t>K2888,river2/3pot38,被加注115，8x</t>
    <phoneticPr fontId="1" type="noConversion"/>
  </si>
  <si>
    <t>1/2桌上，preflop被3bet基本都是88以上大对子,AK,AQ等强牌</t>
    <phoneticPr fontId="1" type="noConversion"/>
  </si>
  <si>
    <t>heroAKopreflop6,短筹3bet18，JJ，spr1:2,flopJTc2s,check,turn,bet1/2pot,1:4</t>
    <phoneticPr fontId="1" type="noConversion"/>
  </si>
  <si>
    <t>vpip</t>
    <phoneticPr fontId="1" type="noConversion"/>
  </si>
  <si>
    <t>BB/hour</t>
    <phoneticPr fontId="1" type="noConversion"/>
  </si>
  <si>
    <t>BB/100hand</t>
    <phoneticPr fontId="1" type="noConversion"/>
  </si>
  <si>
    <t>最大值的duration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</si>
</sst>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 "/>
    <numFmt numFmtId="177" formatCode="yyyy/mm/dd\ hh:mm;@"/>
    <numFmt numFmtId="178" formatCode="0.00_ "/>
    <numFmt numFmtId="179" formatCode="0.0%"/>
    <numFmt numFmtId="180" formatCode="0.0_ "/>
  </numFmts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2"/>
      <color rgb="FFFF0000"/>
      <name val="宋体"/>
      <family val="2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0" fontId="4" fillId="0" borderId="0" xfId="0" applyFont="1"/>
    <xf numFmtId="49" fontId="4" fillId="0" borderId="0" xfId="0" applyNumberFormat="1" applyFont="1"/>
    <xf numFmtId="177" fontId="6" fillId="0" borderId="0" xfId="0" applyNumberFormat="1" applyFont="1"/>
    <xf numFmtId="0" fontId="6" fillId="0" borderId="0" xfId="0" applyFont="1"/>
    <xf numFmtId="0" fontId="7" fillId="0" borderId="0" xfId="0" applyFont="1"/>
    <xf numFmtId="0" fontId="5" fillId="0" borderId="0" xfId="0" applyFont="1"/>
    <xf numFmtId="14" fontId="7" fillId="0" borderId="0" xfId="0" applyNumberFormat="1" applyFont="1"/>
    <xf numFmtId="176" fontId="7" fillId="0" borderId="0" xfId="0" applyNumberFormat="1" applyFon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4" fillId="2" borderId="0" xfId="0" applyFont="1" applyFill="1"/>
    <xf numFmtId="179" fontId="4" fillId="2" borderId="0" xfId="0" applyNumberFormat="1" applyFont="1" applyFill="1"/>
    <xf numFmtId="178" fontId="4" fillId="2" borderId="0" xfId="0" applyNumberFormat="1" applyFont="1" applyFill="1"/>
    <xf numFmtId="176" fontId="7" fillId="3" borderId="0" xfId="0" applyNumberFormat="1" applyFont="1" applyFill="1"/>
    <xf numFmtId="49" fontId="7" fillId="0" borderId="0" xfId="0" applyNumberFormat="1" applyFont="1"/>
    <xf numFmtId="0" fontId="0" fillId="2" borderId="0" xfId="0" applyFill="1"/>
    <xf numFmtId="0" fontId="5" fillId="3" borderId="0" xfId="0" applyFont="1" applyFill="1"/>
    <xf numFmtId="179" fontId="0" fillId="0" borderId="0" xfId="0" applyNumberFormat="1"/>
    <xf numFmtId="0" fontId="8" fillId="0" borderId="0" xfId="0" pivotButton="1" applyFont="1"/>
    <xf numFmtId="0" fontId="8" fillId="0" borderId="0" xfId="0" applyFont="1"/>
    <xf numFmtId="0" fontId="8" fillId="0" borderId="0" xfId="0" applyNumberFormat="1" applyFont="1"/>
    <xf numFmtId="180" fontId="0" fillId="0" borderId="0" xfId="0" applyNumberFormat="1"/>
    <xf numFmtId="0" fontId="0" fillId="0" borderId="0" xfId="0" applyAlignment="1">
      <alignment horizontal="left" indent="2"/>
    </xf>
  </cellXfs>
  <cellStyles count="13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普通" xfId="0" builtinId="0"/>
  </cellStyles>
  <dxfs count="72"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n" refreshedDate="42925.835374768518" createdVersion="4" refreshedVersion="4" minRefreshableVersion="3" recordCount="17">
  <cacheSource type="worksheet">
    <worksheetSource ref="A1:W1048576" sheet="rec"/>
  </cacheSource>
  <cacheFields count="23">
    <cacheField name="start" numFmtId="177">
      <sharedItems containsNonDate="0" containsDate="1" containsString="0" containsBlank="1" minDate="2017-06-05T20:00:00" maxDate="2017-07-09T15:09:00" count="7">
        <d v="2017-06-05T20:00:00"/>
        <d v="2017-06-08T20:00:00"/>
        <d v="2017-06-13T20:00:00"/>
        <d v="2017-06-18T20:00:00"/>
        <d v="2017-06-19T21:12:00"/>
        <d v="2017-07-09T15:09:00"/>
        <m/>
      </sharedItems>
    </cacheField>
    <cacheField name="user" numFmtId="0">
      <sharedItems containsBlank="1"/>
    </cacheField>
    <cacheField name="room" numFmtId="0">
      <sharedItems containsBlank="1" count="6">
        <s v="虾米"/>
        <s v="星际"/>
        <s v="钓鱼"/>
        <s v="小文"/>
        <s v="鱼宝宝"/>
        <m/>
      </sharedItems>
    </cacheField>
    <cacheField name="buyin" numFmtId="0">
      <sharedItems containsString="0" containsBlank="1" containsNumber="1" containsInteger="1" minValue="200" maxValue="500"/>
    </cacheField>
    <cacheField name="checkout" numFmtId="176">
      <sharedItems containsString="0" containsBlank="1" containsNumber="1" containsInteger="1" minValue="0" maxValue="611"/>
    </cacheField>
    <cacheField name="checkflag" numFmtId="176">
      <sharedItems containsString="0" containsBlank="1" containsNumber="1" containsInteger="1" minValue="326" maxValue="508"/>
    </cacheField>
    <cacheField name="realnet" numFmtId="176">
      <sharedItems containsString="0" containsBlank="1" containsNumber="1" containsInteger="1" minValue="-174" maxValue="308"/>
    </cacheField>
    <cacheField name="net" numFmtId="0">
      <sharedItems containsString="0" containsBlank="1" containsNumber="1" containsInteger="1" minValue="-200" maxValue="307"/>
    </cacheField>
    <cacheField name="end" numFmtId="0">
      <sharedItems containsNonDate="0" containsDate="1" containsString="0" containsBlank="1" minDate="2017-06-06T00:00:00" maxDate="2017-07-09T19:29:00"/>
    </cacheField>
    <cacheField name="total1" numFmtId="0">
      <sharedItems containsString="0" containsBlank="1" containsNumber="1" containsInteger="1" minValue="1509" maxValue="2213"/>
    </cacheField>
    <cacheField name="vpip1" numFmtId="0">
      <sharedItems containsString="0" containsBlank="1" containsNumber="1" minValue="0.61" maxValue="0.71"/>
    </cacheField>
    <cacheField name="total2" numFmtId="0">
      <sharedItems containsString="0" containsBlank="1" containsNumber="1" containsInteger="1" minValue="1753" maxValue="2379"/>
    </cacheField>
    <cacheField name="vpip2" numFmtId="0">
      <sharedItems containsString="0" containsBlank="1" containsNumber="1" minValue="0.57999999999999996" maxValue="0.64"/>
    </cacheField>
    <cacheField name="bigblind" numFmtId="0">
      <sharedItems containsString="0" containsBlank="1" containsNumber="1" containsInteger="1" minValue="2" maxValue="2" count="2">
        <n v="2"/>
        <m/>
      </sharedItems>
    </cacheField>
    <cacheField name="remark" numFmtId="49">
      <sharedItems containsBlank="1"/>
    </cacheField>
    <cacheField name="duration" numFmtId="0">
      <sharedItems containsString="0" containsBlank="1" containsNumber="1" minValue="2.63" maxValue="4.33"/>
    </cacheField>
    <cacheField name="hand" numFmtId="0">
      <sharedItems containsString="0" containsBlank="1" containsNumber="1" containsInteger="1" minValue="166" maxValue="249"/>
    </cacheField>
    <cacheField name="flop" numFmtId="0">
      <sharedItems containsString="0" containsBlank="1" containsNumber="1" containsInteger="1" minValue="30" maxValue="51"/>
    </cacheField>
    <cacheField name="flop1" numFmtId="0">
      <sharedItems containsString="0" containsBlank="1" containsNumber="1" containsInteger="1" minValue="1071" maxValue="1349"/>
    </cacheField>
    <cacheField name="flop2" numFmtId="0">
      <sharedItems containsString="0" containsBlank="1" containsNumber="1" containsInteger="1" minValue="1121" maxValue="1379"/>
    </cacheField>
    <cacheField name="vpip" numFmtId="179">
      <sharedItems containsString="0" containsBlank="1" containsNumber="1" minValue="0.18072289156626506" maxValue="0.20491803278688525"/>
    </cacheField>
    <cacheField name="BB/100hand" numFmtId="178">
      <sharedItems containsString="0" containsBlank="1" containsNumber="1" minValue="-0.3493975903614458" maxValue="0.92469879518072284"/>
    </cacheField>
    <cacheField name="BB/hou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s v="joan"/>
    <x v="0"/>
    <n v="200"/>
    <n v="0"/>
    <m/>
    <m/>
    <n v="-200"/>
    <d v="2017-06-06T00:00:00"/>
    <m/>
    <m/>
    <m/>
    <m/>
    <x v="0"/>
    <s v="1/2"/>
    <n v="4"/>
    <m/>
    <m/>
    <m/>
    <m/>
    <m/>
    <m/>
    <m/>
  </r>
  <r>
    <x v="0"/>
    <s v="laughing"/>
    <x v="1"/>
    <n v="200"/>
    <n v="170"/>
    <m/>
    <m/>
    <n v="-30"/>
    <d v="2017-06-06T00:00:00"/>
    <m/>
    <m/>
    <m/>
    <m/>
    <x v="0"/>
    <s v="1/2"/>
    <n v="4"/>
    <m/>
    <m/>
    <m/>
    <m/>
    <m/>
    <m/>
    <m/>
  </r>
  <r>
    <x v="1"/>
    <s v="joan"/>
    <x v="0"/>
    <n v="200"/>
    <n v="290"/>
    <m/>
    <m/>
    <n v="85"/>
    <d v="2017-06-09T00:00:00"/>
    <m/>
    <m/>
    <m/>
    <m/>
    <x v="0"/>
    <s v="1/2"/>
    <n v="4"/>
    <m/>
    <m/>
    <m/>
    <m/>
    <m/>
    <m/>
    <m/>
  </r>
  <r>
    <x v="1"/>
    <s v="laughing"/>
    <x v="1"/>
    <n v="200"/>
    <n v="222"/>
    <m/>
    <m/>
    <n v="20"/>
    <d v="2017-06-09T00:00:00"/>
    <m/>
    <m/>
    <m/>
    <m/>
    <x v="0"/>
    <s v="1/2"/>
    <n v="4"/>
    <m/>
    <m/>
    <m/>
    <m/>
    <m/>
    <m/>
    <m/>
  </r>
  <r>
    <x v="1"/>
    <s v="m4n"/>
    <x v="2"/>
    <n v="200"/>
    <n v="275"/>
    <m/>
    <m/>
    <n v="71"/>
    <d v="2017-06-09T00:00:00"/>
    <m/>
    <m/>
    <m/>
    <m/>
    <x v="0"/>
    <s v="1/2"/>
    <n v="4"/>
    <m/>
    <m/>
    <m/>
    <m/>
    <m/>
    <m/>
    <m/>
  </r>
  <r>
    <x v="2"/>
    <s v="joan"/>
    <x v="0"/>
    <n v="200"/>
    <n v="31"/>
    <m/>
    <m/>
    <n v="-169"/>
    <d v="2017-06-14T00:00:00"/>
    <m/>
    <m/>
    <m/>
    <m/>
    <x v="0"/>
    <s v="1/2"/>
    <n v="4"/>
    <m/>
    <m/>
    <m/>
    <m/>
    <m/>
    <m/>
    <m/>
  </r>
  <r>
    <x v="2"/>
    <s v="m4n"/>
    <x v="2"/>
    <n v="200"/>
    <n v="217"/>
    <m/>
    <m/>
    <n v="16"/>
    <d v="2017-06-14T00:00:00"/>
    <m/>
    <m/>
    <m/>
    <m/>
    <x v="0"/>
    <s v="1/2"/>
    <n v="4"/>
    <m/>
    <m/>
    <m/>
    <m/>
    <m/>
    <m/>
    <m/>
  </r>
  <r>
    <x v="3"/>
    <s v="joan"/>
    <x v="0"/>
    <n v="200"/>
    <n v="401"/>
    <m/>
    <m/>
    <n v="190"/>
    <d v="2017-06-19T00:00:00"/>
    <m/>
    <m/>
    <m/>
    <m/>
    <x v="0"/>
    <s v="1/2"/>
    <n v="4"/>
    <m/>
    <m/>
    <m/>
    <m/>
    <m/>
    <m/>
    <m/>
  </r>
  <r>
    <x v="3"/>
    <s v="laughing"/>
    <x v="1"/>
    <n v="200"/>
    <n v="194"/>
    <m/>
    <m/>
    <n v="-6"/>
    <d v="2017-06-19T00:00:00"/>
    <m/>
    <m/>
    <m/>
    <m/>
    <x v="0"/>
    <s v="1/2"/>
    <n v="4"/>
    <m/>
    <m/>
    <m/>
    <m/>
    <m/>
    <m/>
    <m/>
  </r>
  <r>
    <x v="3"/>
    <s v="m4n"/>
    <x v="2"/>
    <n v="200"/>
    <n v="215"/>
    <m/>
    <m/>
    <n v="14"/>
    <d v="2017-06-19T00:00:00"/>
    <m/>
    <m/>
    <m/>
    <m/>
    <x v="0"/>
    <s v="1/2"/>
    <n v="4"/>
    <m/>
    <m/>
    <m/>
    <m/>
    <m/>
    <m/>
    <m/>
  </r>
  <r>
    <x v="4"/>
    <s v="monoray"/>
    <x v="3"/>
    <n v="400"/>
    <n v="611"/>
    <m/>
    <m/>
    <n v="200"/>
    <d v="2017-06-20T00:00:00"/>
    <m/>
    <m/>
    <m/>
    <m/>
    <x v="0"/>
    <s v="1/2"/>
    <n v="2.8"/>
    <m/>
    <m/>
    <m/>
    <m/>
    <m/>
    <m/>
    <m/>
  </r>
  <r>
    <x v="4"/>
    <s v="joan"/>
    <x v="0"/>
    <n v="300"/>
    <n v="406"/>
    <m/>
    <m/>
    <n v="100"/>
    <d v="2017-06-20T00:00:00"/>
    <m/>
    <m/>
    <m/>
    <m/>
    <x v="0"/>
    <s v="1/2"/>
    <n v="2.8"/>
    <m/>
    <m/>
    <m/>
    <m/>
    <m/>
    <m/>
    <m/>
  </r>
  <r>
    <x v="4"/>
    <s v="m4n"/>
    <x v="2"/>
    <n v="200"/>
    <n v="191"/>
    <m/>
    <m/>
    <n v="-9"/>
    <d v="2017-06-20T00:00:00"/>
    <m/>
    <m/>
    <m/>
    <m/>
    <x v="0"/>
    <s v="1/2"/>
    <n v="2.8"/>
    <m/>
    <m/>
    <m/>
    <m/>
    <m/>
    <m/>
    <m/>
  </r>
  <r>
    <x v="5"/>
    <s v="laughing"/>
    <x v="1"/>
    <n v="500"/>
    <n v="326"/>
    <n v="326"/>
    <n v="-174"/>
    <n v="-174"/>
    <d v="2017-07-09T19:25:00"/>
    <n v="1732"/>
    <n v="0.68"/>
    <n v="1981"/>
    <n v="0.62"/>
    <x v="0"/>
    <s v="1/2"/>
    <n v="4.2699999999999996"/>
    <n v="249"/>
    <n v="51"/>
    <n v="1177"/>
    <n v="1228"/>
    <n v="0.20481927710843373"/>
    <n v="-0.3493975903614458"/>
    <m/>
  </r>
  <r>
    <x v="5"/>
    <s v="m4n"/>
    <x v="2"/>
    <n v="200"/>
    <n v="524"/>
    <n v="508"/>
    <n v="308"/>
    <n v="307"/>
    <d v="2017-07-09T17:47:00"/>
    <n v="2213"/>
    <n v="0.61"/>
    <n v="2379"/>
    <n v="0.57999999999999996"/>
    <x v="0"/>
    <s v="1/2"/>
    <n v="2.63"/>
    <n v="166"/>
    <n v="30"/>
    <n v="1349"/>
    <n v="1379"/>
    <n v="0.18072289156626506"/>
    <n v="0.92469879518072284"/>
    <m/>
  </r>
  <r>
    <x v="5"/>
    <s v="monoray"/>
    <x v="4"/>
    <n v="300"/>
    <n v="367"/>
    <n v="367"/>
    <n v="67"/>
    <n v="63"/>
    <d v="2017-07-09T19:29:00"/>
    <n v="1509"/>
    <n v="0.71"/>
    <n v="1753"/>
    <n v="0.64"/>
    <x v="0"/>
    <s v="1/2"/>
    <n v="4.33"/>
    <n v="244"/>
    <n v="50"/>
    <n v="1071"/>
    <n v="1121"/>
    <n v="0.20491803278688525"/>
    <n v="0.12909836065573771"/>
    <m/>
  </r>
  <r>
    <x v="6"/>
    <m/>
    <x v="5"/>
    <m/>
    <m/>
    <m/>
    <m/>
    <m/>
    <m/>
    <m/>
    <m/>
    <m/>
    <m/>
    <x v="1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gridDropZones="1" multipleFieldFilters="0">
  <location ref="D3:L10" firstHeaderRow="1" firstDataRow="2" firstDataCol="1"/>
  <pivotFields count="23">
    <pivotField axis="axisRow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  <pivotField showAll="0"/>
    <pivotField axis="axisRow" showAll="0">
      <items count="7">
        <item x="2"/>
        <item x="0"/>
        <item x="3"/>
        <item x="1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3">
    <field x="0"/>
    <field x="13"/>
    <field x="2"/>
  </rowFields>
  <rowItems count="6">
    <i>
      <x v="5"/>
    </i>
    <i r="1">
      <x/>
    </i>
    <i r="2">
      <x/>
    </i>
    <i r="2">
      <x v="3"/>
    </i>
    <i r="2"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求和的hand" fld="16" baseField="0" baseItem="0"/>
    <dataField name="求和的flop" fld="17" baseField="0" baseItem="0"/>
    <dataField name="求和的realnet" fld="6" baseField="0" baseItem="0"/>
    <dataField name="求和的buyin" fld="3" baseField="0" baseItem="0"/>
    <dataField name="求和的checkout" fld="4" baseField="0" baseItem="0"/>
    <dataField name="求和的net" fld="7" baseField="0" baseItem="0"/>
    <dataField name="求和的checkflag" fld="5" baseField="0" baseItem="0"/>
    <dataField name="最大值的duration" fld="15" subtotal="max" baseField="0" baseItem="0"/>
  </dataFields>
  <formats count="8">
    <format dxfId="71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70">
      <pivotArea field="-2" type="button" dataOnly="0" labelOnly="1" outline="0" axis="axisCol" fieldPosition="0"/>
    </format>
    <format dxfId="69">
      <pivotArea type="topRight" dataOnly="0" labelOnly="1" outline="0" fieldPosition="0"/>
    </format>
    <format dxfId="6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7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66">
      <pivotArea field="-2" type="button" dataOnly="0" labelOnly="1" outline="0" axis="axisCol" fieldPosition="0"/>
    </format>
    <format dxfId="65">
      <pivotArea type="topRight" dataOnly="0" labelOnly="1" outline="0" fieldPosition="0"/>
    </format>
    <format dxfId="6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X22" sqref="X22"/>
    </sheetView>
  </sheetViews>
  <sheetFormatPr baseColWidth="10" defaultColWidth="17.6640625" defaultRowHeight="14" x14ac:dyDescent="0"/>
  <cols>
    <col min="1" max="1" width="16.33203125" style="4" bestFit="1" customWidth="1"/>
    <col min="2" max="2" width="9" style="2" bestFit="1" customWidth="1"/>
    <col min="3" max="3" width="7.1640625" style="2" bestFit="1" customWidth="1"/>
    <col min="4" max="4" width="6.1640625" style="5" bestFit="1" customWidth="1"/>
    <col min="5" max="5" width="9" style="9" bestFit="1" customWidth="1"/>
    <col min="6" max="6" width="9.83203125" style="18" bestFit="1" customWidth="1"/>
    <col min="7" max="7" width="8" style="9" bestFit="1" customWidth="1"/>
    <col min="8" max="8" width="5.5" style="6" bestFit="1" customWidth="1"/>
    <col min="9" max="9" width="9.83203125" style="6" bestFit="1" customWidth="1"/>
    <col min="10" max="10" width="7.1640625" style="6" bestFit="1" customWidth="1"/>
    <col min="11" max="11" width="6.1640625" style="6" bestFit="1" customWidth="1"/>
    <col min="12" max="12" width="7.1640625" style="6" bestFit="1" customWidth="1"/>
    <col min="13" max="13" width="6.1640625" style="6" bestFit="1" customWidth="1"/>
    <col min="14" max="14" width="9" style="6" bestFit="1" customWidth="1"/>
    <col min="15" max="15" width="7.1640625" style="19" bestFit="1" customWidth="1"/>
    <col min="16" max="16" width="9" style="15" bestFit="1" customWidth="1"/>
    <col min="17" max="18" width="5.33203125" style="15" bestFit="1" customWidth="1"/>
    <col min="19" max="20" width="6.1640625" style="15" bestFit="1" customWidth="1"/>
    <col min="21" max="21" width="6.1640625" style="16" bestFit="1" customWidth="1"/>
    <col min="22" max="22" width="10.83203125" style="17" bestFit="1" customWidth="1"/>
    <col min="23" max="23" width="8" style="17" bestFit="1" customWidth="1"/>
    <col min="24" max="24" width="11.6640625" style="3" bestFit="1" customWidth="1"/>
    <col min="25" max="16384" width="17.6640625" style="2"/>
  </cols>
  <sheetData>
    <row r="1" spans="1:24">
      <c r="A1" s="4" t="s">
        <v>12</v>
      </c>
      <c r="B1" s="2" t="s">
        <v>0</v>
      </c>
      <c r="C1" s="2" t="s">
        <v>2</v>
      </c>
      <c r="D1" s="5" t="s">
        <v>1</v>
      </c>
      <c r="E1" s="9" t="s">
        <v>11</v>
      </c>
      <c r="F1" s="18" t="s">
        <v>42</v>
      </c>
      <c r="G1" s="9" t="s">
        <v>44</v>
      </c>
      <c r="H1" s="6" t="s">
        <v>4</v>
      </c>
      <c r="I1" s="6" t="s">
        <v>13</v>
      </c>
      <c r="J1" s="6" t="s">
        <v>17</v>
      </c>
      <c r="K1" s="6" t="s">
        <v>15</v>
      </c>
      <c r="L1" s="6" t="s">
        <v>20</v>
      </c>
      <c r="M1" s="6" t="s">
        <v>18</v>
      </c>
      <c r="N1" s="6" t="s">
        <v>23</v>
      </c>
      <c r="O1" s="19" t="s">
        <v>31</v>
      </c>
      <c r="P1" s="15" t="s">
        <v>14</v>
      </c>
      <c r="Q1" s="15" t="s">
        <v>21</v>
      </c>
      <c r="R1" s="15" t="s">
        <v>43</v>
      </c>
      <c r="S1" s="15" t="s">
        <v>16</v>
      </c>
      <c r="T1" s="15" t="s">
        <v>19</v>
      </c>
      <c r="U1" s="16" t="s">
        <v>22</v>
      </c>
      <c r="V1" s="17" t="s">
        <v>24</v>
      </c>
      <c r="W1" s="17" t="s">
        <v>25</v>
      </c>
      <c r="X1" s="3" t="s">
        <v>3</v>
      </c>
    </row>
    <row r="2" spans="1:24">
      <c r="A2" s="4">
        <v>42891.833333333336</v>
      </c>
      <c r="B2" s="2" t="s">
        <v>5</v>
      </c>
      <c r="C2" s="2" t="s">
        <v>9</v>
      </c>
      <c r="D2" s="5">
        <f>200</f>
        <v>200</v>
      </c>
      <c r="E2" s="9">
        <v>0</v>
      </c>
      <c r="H2" s="6">
        <f t="shared" ref="H2:H17" si="0">IF(E2&gt;D2,INT((E2-D2)*0.95),E2-D2)</f>
        <v>-200</v>
      </c>
      <c r="I2" s="8">
        <v>42892</v>
      </c>
      <c r="N2" s="6">
        <v>2</v>
      </c>
      <c r="O2" s="19" t="s">
        <v>33</v>
      </c>
      <c r="P2" s="15">
        <f t="shared" ref="P2:P17" si="1">ROUND((I2-A2)*24,2)</f>
        <v>4</v>
      </c>
      <c r="X2" s="3" t="s">
        <v>6</v>
      </c>
    </row>
    <row r="3" spans="1:24">
      <c r="A3" s="4">
        <v>42891.833333333336</v>
      </c>
      <c r="B3" s="2" t="s">
        <v>7</v>
      </c>
      <c r="C3" s="2" t="s">
        <v>10</v>
      </c>
      <c r="D3" s="5">
        <f>200</f>
        <v>200</v>
      </c>
      <c r="E3" s="9">
        <v>170</v>
      </c>
      <c r="H3" s="6">
        <f t="shared" si="0"/>
        <v>-30</v>
      </c>
      <c r="I3" s="8">
        <v>42892</v>
      </c>
      <c r="N3" s="6">
        <v>2</v>
      </c>
      <c r="O3" s="19" t="s">
        <v>33</v>
      </c>
      <c r="P3" s="15">
        <f t="shared" si="1"/>
        <v>4</v>
      </c>
      <c r="X3" s="3" t="s">
        <v>8</v>
      </c>
    </row>
    <row r="4" spans="1:24">
      <c r="A4" s="4">
        <v>42894.833333333336</v>
      </c>
      <c r="B4" s="2" t="s">
        <v>26</v>
      </c>
      <c r="C4" s="2" t="s">
        <v>9</v>
      </c>
      <c r="D4" s="5">
        <f>200</f>
        <v>200</v>
      </c>
      <c r="E4" s="9">
        <f>D4+90</f>
        <v>290</v>
      </c>
      <c r="H4" s="6">
        <f t="shared" si="0"/>
        <v>85</v>
      </c>
      <c r="I4" s="8">
        <v>42895</v>
      </c>
      <c r="N4" s="6">
        <v>2</v>
      </c>
      <c r="O4" s="19" t="s">
        <v>32</v>
      </c>
      <c r="P4" s="15">
        <f t="shared" si="1"/>
        <v>4</v>
      </c>
      <c r="X4" s="3" t="s">
        <v>6</v>
      </c>
    </row>
    <row r="5" spans="1:24">
      <c r="A5" s="4">
        <v>42894.833333333336</v>
      </c>
      <c r="B5" s="2" t="s">
        <v>27</v>
      </c>
      <c r="C5" s="2" t="s">
        <v>10</v>
      </c>
      <c r="D5" s="5">
        <f>200</f>
        <v>200</v>
      </c>
      <c r="E5" s="9">
        <f>D5+22</f>
        <v>222</v>
      </c>
      <c r="H5" s="6">
        <f t="shared" si="0"/>
        <v>20</v>
      </c>
      <c r="I5" s="8">
        <v>42895</v>
      </c>
      <c r="N5" s="6">
        <v>2</v>
      </c>
      <c r="O5" s="19" t="s">
        <v>32</v>
      </c>
      <c r="P5" s="15">
        <f t="shared" si="1"/>
        <v>4</v>
      </c>
      <c r="X5" s="3" t="s">
        <v>8</v>
      </c>
    </row>
    <row r="6" spans="1:24">
      <c r="A6" s="4">
        <v>42894.833333333336</v>
      </c>
      <c r="B6" s="2" t="s">
        <v>28</v>
      </c>
      <c r="C6" s="2" t="s">
        <v>29</v>
      </c>
      <c r="D6" s="5">
        <f>200</f>
        <v>200</v>
      </c>
      <c r="E6" s="9">
        <f>D6+75</f>
        <v>275</v>
      </c>
      <c r="H6" s="6">
        <f t="shared" si="0"/>
        <v>71</v>
      </c>
      <c r="I6" s="8">
        <v>42895</v>
      </c>
      <c r="N6" s="6">
        <v>2</v>
      </c>
      <c r="O6" s="19" t="s">
        <v>32</v>
      </c>
      <c r="P6" s="15">
        <f t="shared" si="1"/>
        <v>4</v>
      </c>
      <c r="X6" s="3" t="s">
        <v>30</v>
      </c>
    </row>
    <row r="7" spans="1:24">
      <c r="A7" s="4">
        <v>42899.833333333336</v>
      </c>
      <c r="B7" s="2" t="s">
        <v>26</v>
      </c>
      <c r="C7" s="2" t="s">
        <v>9</v>
      </c>
      <c r="D7" s="5">
        <f>200</f>
        <v>200</v>
      </c>
      <c r="E7" s="9">
        <f>D7-169</f>
        <v>31</v>
      </c>
      <c r="H7" s="6">
        <f t="shared" si="0"/>
        <v>-169</v>
      </c>
      <c r="I7" s="8">
        <v>42900</v>
      </c>
      <c r="N7" s="6">
        <v>2</v>
      </c>
      <c r="O7" s="19" t="s">
        <v>32</v>
      </c>
      <c r="P7" s="15">
        <f t="shared" si="1"/>
        <v>4</v>
      </c>
      <c r="X7" s="3" t="s">
        <v>6</v>
      </c>
    </row>
    <row r="8" spans="1:24">
      <c r="A8" s="4">
        <v>42899.833333333336</v>
      </c>
      <c r="B8" s="2" t="s">
        <v>28</v>
      </c>
      <c r="C8" s="2" t="s">
        <v>29</v>
      </c>
      <c r="D8" s="5">
        <f>200</f>
        <v>200</v>
      </c>
      <c r="E8" s="9">
        <f>D8+17</f>
        <v>217</v>
      </c>
      <c r="H8" s="6">
        <f t="shared" si="0"/>
        <v>16</v>
      </c>
      <c r="I8" s="8">
        <v>42900</v>
      </c>
      <c r="N8" s="6">
        <v>2</v>
      </c>
      <c r="O8" s="19" t="s">
        <v>32</v>
      </c>
      <c r="P8" s="15">
        <f t="shared" si="1"/>
        <v>4</v>
      </c>
      <c r="X8" s="3" t="s">
        <v>30</v>
      </c>
    </row>
    <row r="9" spans="1:24">
      <c r="A9" s="4">
        <v>42904.833333333336</v>
      </c>
      <c r="B9" s="2" t="s">
        <v>26</v>
      </c>
      <c r="C9" s="2" t="s">
        <v>9</v>
      </c>
      <c r="D9" s="5">
        <f>200</f>
        <v>200</v>
      </c>
      <c r="E9" s="9">
        <f>D9+201</f>
        <v>401</v>
      </c>
      <c r="H9" s="6">
        <f t="shared" si="0"/>
        <v>190</v>
      </c>
      <c r="I9" s="8">
        <v>42905</v>
      </c>
      <c r="N9" s="6">
        <v>2</v>
      </c>
      <c r="O9" s="19" t="s">
        <v>32</v>
      </c>
      <c r="P9" s="15">
        <f t="shared" si="1"/>
        <v>4</v>
      </c>
      <c r="X9" s="3" t="s">
        <v>6</v>
      </c>
    </row>
    <row r="10" spans="1:24">
      <c r="A10" s="4">
        <v>42904.833333333336</v>
      </c>
      <c r="B10" s="2" t="s">
        <v>27</v>
      </c>
      <c r="C10" s="2" t="s">
        <v>10</v>
      </c>
      <c r="D10" s="5">
        <f>200</f>
        <v>200</v>
      </c>
      <c r="E10" s="9">
        <f>D10-6</f>
        <v>194</v>
      </c>
      <c r="H10" s="6">
        <f t="shared" si="0"/>
        <v>-6</v>
      </c>
      <c r="I10" s="8">
        <v>42905</v>
      </c>
      <c r="N10" s="6">
        <v>2</v>
      </c>
      <c r="O10" s="19" t="s">
        <v>32</v>
      </c>
      <c r="P10" s="15">
        <f t="shared" si="1"/>
        <v>4</v>
      </c>
      <c r="X10" s="3" t="s">
        <v>8</v>
      </c>
    </row>
    <row r="11" spans="1:24">
      <c r="A11" s="4">
        <v>42904.833333333336</v>
      </c>
      <c r="B11" s="2" t="s">
        <v>28</v>
      </c>
      <c r="C11" s="2" t="s">
        <v>29</v>
      </c>
      <c r="D11" s="5">
        <f>200</f>
        <v>200</v>
      </c>
      <c r="E11" s="9">
        <f>D11+15</f>
        <v>215</v>
      </c>
      <c r="H11" s="6">
        <f t="shared" si="0"/>
        <v>14</v>
      </c>
      <c r="I11" s="8">
        <v>42905</v>
      </c>
      <c r="N11" s="6">
        <v>2</v>
      </c>
      <c r="O11" s="19" t="s">
        <v>32</v>
      </c>
      <c r="P11" s="15">
        <f t="shared" si="1"/>
        <v>4</v>
      </c>
      <c r="X11" s="3" t="s">
        <v>30</v>
      </c>
    </row>
    <row r="12" spans="1:24">
      <c r="A12" s="4">
        <v>42905.883333333331</v>
      </c>
      <c r="B12" s="2" t="s">
        <v>35</v>
      </c>
      <c r="C12" s="2" t="s">
        <v>36</v>
      </c>
      <c r="D12" s="5">
        <f>200+200</f>
        <v>400</v>
      </c>
      <c r="E12" s="9">
        <f>D12+211</f>
        <v>611</v>
      </c>
      <c r="H12" s="6">
        <f t="shared" si="0"/>
        <v>200</v>
      </c>
      <c r="I12" s="8">
        <v>42906</v>
      </c>
      <c r="N12" s="6">
        <v>2</v>
      </c>
      <c r="O12" s="19" t="s">
        <v>32</v>
      </c>
      <c r="P12" s="15">
        <f t="shared" si="1"/>
        <v>2.8</v>
      </c>
      <c r="X12" s="3" t="s">
        <v>34</v>
      </c>
    </row>
    <row r="13" spans="1:24">
      <c r="A13" s="4">
        <v>42905.883333333331</v>
      </c>
      <c r="B13" s="2" t="s">
        <v>26</v>
      </c>
      <c r="C13" s="2" t="s">
        <v>9</v>
      </c>
      <c r="D13" s="5">
        <f>300</f>
        <v>300</v>
      </c>
      <c r="E13" s="9">
        <f>D13+106</f>
        <v>406</v>
      </c>
      <c r="H13" s="6">
        <f t="shared" si="0"/>
        <v>100</v>
      </c>
      <c r="I13" s="8">
        <v>42906</v>
      </c>
      <c r="N13" s="6">
        <v>2</v>
      </c>
      <c r="O13" s="19" t="s">
        <v>32</v>
      </c>
      <c r="P13" s="15">
        <f t="shared" si="1"/>
        <v>2.8</v>
      </c>
      <c r="X13" s="3" t="s">
        <v>6</v>
      </c>
    </row>
    <row r="14" spans="1:24">
      <c r="A14" s="4">
        <v>42905.883333333331</v>
      </c>
      <c r="B14" s="2" t="s">
        <v>28</v>
      </c>
      <c r="C14" s="2" t="s">
        <v>29</v>
      </c>
      <c r="D14" s="5">
        <f>200</f>
        <v>200</v>
      </c>
      <c r="E14" s="9">
        <f>D14-9</f>
        <v>191</v>
      </c>
      <c r="H14" s="6">
        <f t="shared" si="0"/>
        <v>-9</v>
      </c>
      <c r="I14" s="8">
        <v>42906</v>
      </c>
      <c r="N14" s="6">
        <v>2</v>
      </c>
      <c r="O14" s="19" t="s">
        <v>32</v>
      </c>
      <c r="P14" s="15">
        <f t="shared" si="1"/>
        <v>2.8</v>
      </c>
      <c r="X14" s="3" t="s">
        <v>30</v>
      </c>
    </row>
    <row r="15" spans="1:24">
      <c r="A15" s="4">
        <v>42925.631249999999</v>
      </c>
      <c r="B15" s="2" t="s">
        <v>7</v>
      </c>
      <c r="C15" s="2" t="s">
        <v>10</v>
      </c>
      <c r="D15" s="5">
        <f>200+300</f>
        <v>500</v>
      </c>
      <c r="E15" s="9">
        <f>D15-174</f>
        <v>326</v>
      </c>
      <c r="F15" s="18">
        <v>326</v>
      </c>
      <c r="G15" s="9">
        <f>F15-D15</f>
        <v>-174</v>
      </c>
      <c r="H15" s="6">
        <f t="shared" si="0"/>
        <v>-174</v>
      </c>
      <c r="I15" s="8">
        <v>42925.809027777781</v>
      </c>
      <c r="J15" s="6">
        <v>1732</v>
      </c>
      <c r="K15" s="6">
        <v>0.68</v>
      </c>
      <c r="L15" s="6">
        <v>1981</v>
      </c>
      <c r="M15" s="6">
        <v>0.62</v>
      </c>
      <c r="N15" s="6">
        <v>2</v>
      </c>
      <c r="O15" s="19" t="s">
        <v>32</v>
      </c>
      <c r="P15" s="15">
        <f t="shared" si="1"/>
        <v>4.2699999999999996</v>
      </c>
      <c r="Q15" s="15">
        <f>L15-J15</f>
        <v>249</v>
      </c>
      <c r="R15" s="15">
        <f>T15-S15</f>
        <v>51</v>
      </c>
      <c r="S15" s="15">
        <f>INT(J15*K15)</f>
        <v>1177</v>
      </c>
      <c r="T15" s="15">
        <f>INT(L15*M15)</f>
        <v>1228</v>
      </c>
      <c r="U15" s="16">
        <f>R15/Q15</f>
        <v>0.20481927710843373</v>
      </c>
      <c r="V15" s="17">
        <f>H15/Q15/N15</f>
        <v>-0.3493975903614458</v>
      </c>
      <c r="W15" s="17">
        <f>G15/P15/N15</f>
        <v>-20.374707259953162</v>
      </c>
      <c r="X15" s="3" t="s">
        <v>8</v>
      </c>
    </row>
    <row r="16" spans="1:24">
      <c r="A16" s="4">
        <v>42925.631249999999</v>
      </c>
      <c r="B16" s="2" t="s">
        <v>28</v>
      </c>
      <c r="C16" s="2" t="s">
        <v>29</v>
      </c>
      <c r="D16" s="5">
        <v>200</v>
      </c>
      <c r="E16" s="9">
        <v>524</v>
      </c>
      <c r="F16" s="18">
        <v>508</v>
      </c>
      <c r="G16" s="9">
        <f>F16-D16</f>
        <v>308</v>
      </c>
      <c r="H16" s="6">
        <f t="shared" si="0"/>
        <v>307</v>
      </c>
      <c r="I16" s="8">
        <v>42925.740972222222</v>
      </c>
      <c r="J16" s="6">
        <v>2213</v>
      </c>
      <c r="K16" s="6">
        <v>0.61</v>
      </c>
      <c r="L16" s="6">
        <v>2379</v>
      </c>
      <c r="M16" s="6">
        <v>0.57999999999999996</v>
      </c>
      <c r="N16" s="6">
        <v>2</v>
      </c>
      <c r="O16" s="19" t="s">
        <v>32</v>
      </c>
      <c r="P16" s="15">
        <f t="shared" si="1"/>
        <v>2.63</v>
      </c>
      <c r="Q16" s="15">
        <f>L16-J16</f>
        <v>166</v>
      </c>
      <c r="R16" s="15">
        <f>T16-S16</f>
        <v>30</v>
      </c>
      <c r="S16" s="15">
        <f>INT(J16*K16)</f>
        <v>1349</v>
      </c>
      <c r="T16" s="15">
        <f>INT(L16*M16)</f>
        <v>1379</v>
      </c>
      <c r="U16" s="16">
        <f>R16/Q16</f>
        <v>0.18072289156626506</v>
      </c>
      <c r="V16" s="17">
        <f>H16/Q16/N16</f>
        <v>0.92469879518072284</v>
      </c>
      <c r="W16" s="17">
        <f t="shared" ref="W16:W17" si="2">G16/P16/N16</f>
        <v>58.555133079847913</v>
      </c>
      <c r="X16" s="3" t="s">
        <v>30</v>
      </c>
    </row>
    <row r="17" spans="1:24">
      <c r="A17" s="4">
        <v>42925.631249999999</v>
      </c>
      <c r="B17" s="2" t="s">
        <v>35</v>
      </c>
      <c r="C17" s="2" t="s">
        <v>41</v>
      </c>
      <c r="D17" s="5">
        <v>300</v>
      </c>
      <c r="E17" s="9">
        <v>367</v>
      </c>
      <c r="F17" s="18">
        <v>367</v>
      </c>
      <c r="G17" s="9">
        <f>F17-D17</f>
        <v>67</v>
      </c>
      <c r="H17" s="6">
        <f t="shared" si="0"/>
        <v>63</v>
      </c>
      <c r="I17" s="8">
        <v>42925.811805555553</v>
      </c>
      <c r="J17" s="6">
        <v>1509</v>
      </c>
      <c r="K17" s="6">
        <v>0.71</v>
      </c>
      <c r="L17" s="6">
        <v>1753</v>
      </c>
      <c r="M17" s="6">
        <v>0.64</v>
      </c>
      <c r="N17" s="6">
        <v>2</v>
      </c>
      <c r="O17" s="19" t="s">
        <v>32</v>
      </c>
      <c r="P17" s="15">
        <f t="shared" si="1"/>
        <v>4.33</v>
      </c>
      <c r="Q17" s="15">
        <f>L17-J17</f>
        <v>244</v>
      </c>
      <c r="R17" s="15">
        <f>T17-S17</f>
        <v>50</v>
      </c>
      <c r="S17" s="15">
        <f>INT(J17*K17)</f>
        <v>1071</v>
      </c>
      <c r="T17" s="15">
        <f>INT(L17*M17)</f>
        <v>1121</v>
      </c>
      <c r="U17" s="16">
        <f>R17/Q17</f>
        <v>0.20491803278688525</v>
      </c>
      <c r="V17" s="17">
        <f>H17/Q17/N17</f>
        <v>0.12909836065573771</v>
      </c>
      <c r="W17" s="17">
        <f t="shared" si="2"/>
        <v>7.7367205542725168</v>
      </c>
      <c r="X17" s="3" t="s">
        <v>34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6" sqref="C16"/>
    </sheetView>
  </sheetViews>
  <sheetFormatPr baseColWidth="10" defaultRowHeight="15" x14ac:dyDescent="0"/>
  <cols>
    <col min="1" max="1" width="16.33203125" bestFit="1" customWidth="1"/>
    <col min="2" max="2" width="55.5" bestFit="1" customWidth="1"/>
    <col min="3" max="3" width="42.5" bestFit="1" customWidth="1"/>
  </cols>
  <sheetData>
    <row r="1" spans="1:3">
      <c r="A1" t="s">
        <v>57</v>
      </c>
      <c r="B1" t="s">
        <v>58</v>
      </c>
      <c r="C1" t="s">
        <v>63</v>
      </c>
    </row>
    <row r="2" spans="1:3">
      <c r="A2" s="4">
        <v>42925.631249999999</v>
      </c>
      <c r="B2" t="s">
        <v>62</v>
      </c>
      <c r="C2" s="7" t="s">
        <v>64</v>
      </c>
    </row>
    <row r="3" spans="1:3">
      <c r="A3" s="4">
        <v>42925.631249999999</v>
      </c>
      <c r="B3" t="s">
        <v>59</v>
      </c>
    </row>
    <row r="4" spans="1:3">
      <c r="A4" s="4">
        <v>42925.631249999999</v>
      </c>
      <c r="B4" t="s">
        <v>60</v>
      </c>
      <c r="C4" s="7" t="s">
        <v>65</v>
      </c>
    </row>
    <row r="5" spans="1:3">
      <c r="A5" s="4">
        <v>42925.631249999999</v>
      </c>
      <c r="B5" t="s">
        <v>61</v>
      </c>
      <c r="C5" s="7" t="s">
        <v>66</v>
      </c>
    </row>
    <row r="6" spans="1:3">
      <c r="A6" s="4">
        <v>42925.631249999999</v>
      </c>
      <c r="B6" t="s">
        <v>67</v>
      </c>
      <c r="C6" s="7" t="s">
        <v>68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G13" sqref="G13"/>
    </sheetView>
  </sheetViews>
  <sheetFormatPr baseColWidth="10" defaultRowHeight="15" x14ac:dyDescent="0"/>
  <cols>
    <col min="1" max="1" width="16.33203125" style="7" bestFit="1" customWidth="1"/>
    <col min="2" max="3" width="5.5" bestFit="1" customWidth="1"/>
    <col min="4" max="4" width="11.6640625" style="7" bestFit="1" customWidth="1"/>
    <col min="5" max="5" width="9.6640625" style="7" bestFit="1" customWidth="1"/>
    <col min="6" max="6" width="6.6640625" style="21" bestFit="1" customWidth="1"/>
    <col min="7" max="7" width="6.1640625" style="7" bestFit="1" customWidth="1"/>
    <col min="8" max="8" width="12.6640625" style="7" bestFit="1" customWidth="1"/>
    <col min="9" max="9" width="9.6640625" style="7" bestFit="1" customWidth="1"/>
    <col min="10" max="10" width="6.5" style="7" customWidth="1"/>
    <col min="11" max="11" width="4.6640625" style="7" bestFit="1" customWidth="1"/>
    <col min="12" max="12" width="7.6640625" style="7" bestFit="1" customWidth="1"/>
    <col min="13" max="14" width="6.6640625" style="7" bestFit="1" customWidth="1"/>
    <col min="15" max="15" width="7.5" style="7" bestFit="1" customWidth="1"/>
    <col min="16" max="17" width="6.5" style="20" bestFit="1" customWidth="1"/>
    <col min="18" max="18" width="8.5" style="20" bestFit="1" customWidth="1"/>
    <col min="19" max="20" width="9.5" style="20" bestFit="1" customWidth="1"/>
    <col min="21" max="21" width="7.5" style="20" bestFit="1" customWidth="1"/>
    <col min="22" max="22" width="10.83203125" style="20"/>
    <col min="24" max="24" width="12.5" bestFit="1" customWidth="1"/>
  </cols>
  <sheetData>
    <row r="1" spans="1:24" s="2" customFormat="1" ht="14">
      <c r="A1" s="4" t="s">
        <v>12</v>
      </c>
      <c r="B1" s="2" t="s">
        <v>0</v>
      </c>
      <c r="C1" s="2" t="s">
        <v>2</v>
      </c>
      <c r="D1" s="5" t="s">
        <v>1</v>
      </c>
      <c r="E1" s="9" t="s">
        <v>11</v>
      </c>
      <c r="F1" s="18" t="s">
        <v>42</v>
      </c>
      <c r="G1" s="9" t="s">
        <v>44</v>
      </c>
      <c r="H1" s="6" t="s">
        <v>4</v>
      </c>
      <c r="I1" s="6" t="s">
        <v>13</v>
      </c>
      <c r="J1" s="6" t="s">
        <v>17</v>
      </c>
      <c r="K1" s="6" t="s">
        <v>15</v>
      </c>
      <c r="L1" s="6" t="s">
        <v>20</v>
      </c>
      <c r="M1" s="6" t="s">
        <v>18</v>
      </c>
      <c r="N1" s="6" t="s">
        <v>23</v>
      </c>
      <c r="O1" s="19" t="s">
        <v>31</v>
      </c>
      <c r="P1" s="15" t="s">
        <v>14</v>
      </c>
      <c r="Q1" s="15" t="s">
        <v>21</v>
      </c>
      <c r="R1" s="15" t="s">
        <v>43</v>
      </c>
      <c r="S1" s="15" t="s">
        <v>16</v>
      </c>
      <c r="T1" s="15" t="s">
        <v>19</v>
      </c>
      <c r="U1" s="16" t="s">
        <v>22</v>
      </c>
      <c r="V1" s="17" t="s">
        <v>24</v>
      </c>
      <c r="W1" s="2" t="s">
        <v>25</v>
      </c>
      <c r="X1" s="3" t="s">
        <v>3</v>
      </c>
    </row>
    <row r="2" spans="1:24" s="2" customFormat="1" ht="14">
      <c r="A2" s="4">
        <v>42925.631249999999</v>
      </c>
      <c r="B2" s="2" t="s">
        <v>7</v>
      </c>
      <c r="C2" s="2" t="s">
        <v>10</v>
      </c>
      <c r="D2" s="5">
        <f>200+300</f>
        <v>500</v>
      </c>
      <c r="E2" s="9">
        <f>D2-174</f>
        <v>326</v>
      </c>
      <c r="F2" s="18"/>
      <c r="G2" s="9">
        <f>F2-D2</f>
        <v>-500</v>
      </c>
      <c r="H2" s="6">
        <f>IF(E2&gt;D2,INT((E2-D2)*0.95),E2-D2)</f>
        <v>-174</v>
      </c>
      <c r="I2" s="8">
        <v>42925.809027777781</v>
      </c>
      <c r="J2" s="6">
        <v>1732</v>
      </c>
      <c r="K2" s="6">
        <v>0.68</v>
      </c>
      <c r="L2" s="6">
        <v>1981</v>
      </c>
      <c r="M2" s="6">
        <v>0.62</v>
      </c>
      <c r="N2" s="6">
        <v>2</v>
      </c>
      <c r="O2" s="19" t="s">
        <v>32</v>
      </c>
      <c r="P2" s="15">
        <f>ROUND((I2-A2)*24,2)</f>
        <v>4.2699999999999996</v>
      </c>
      <c r="Q2" s="15">
        <f>L2-J2</f>
        <v>249</v>
      </c>
      <c r="R2" s="15">
        <f>T2-S2</f>
        <v>51</v>
      </c>
      <c r="S2" s="15">
        <f>INT(J2*K2)</f>
        <v>1177</v>
      </c>
      <c r="T2" s="15">
        <f>INT(L2*M2)</f>
        <v>1228</v>
      </c>
      <c r="U2" s="16">
        <f>R2/Q2</f>
        <v>0.20481927710843373</v>
      </c>
      <c r="V2" s="17">
        <f>H2/Q2/N2</f>
        <v>-0.3493975903614458</v>
      </c>
      <c r="X2" s="3" t="s">
        <v>8</v>
      </c>
    </row>
    <row r="3" spans="1:24" s="2" customFormat="1" ht="14">
      <c r="A3" s="4">
        <v>42925.631249999999</v>
      </c>
      <c r="B3" s="2" t="s">
        <v>28</v>
      </c>
      <c r="C3" s="2" t="s">
        <v>29</v>
      </c>
      <c r="D3" s="5">
        <v>200</v>
      </c>
      <c r="E3" s="9">
        <v>524</v>
      </c>
      <c r="F3" s="18">
        <v>508</v>
      </c>
      <c r="G3" s="9">
        <f>F3-D3</f>
        <v>308</v>
      </c>
      <c r="H3" s="6">
        <f>IF(E3&gt;D3,INT((E3-D3)*0.95),E3-D3)</f>
        <v>307</v>
      </c>
      <c r="I3" s="8">
        <v>42925.740972222222</v>
      </c>
      <c r="J3" s="6">
        <v>2213</v>
      </c>
      <c r="K3" s="6">
        <v>0.61</v>
      </c>
      <c r="L3" s="6">
        <v>2379</v>
      </c>
      <c r="M3" s="6">
        <v>0.57999999999999996</v>
      </c>
      <c r="N3" s="6">
        <v>2</v>
      </c>
      <c r="O3" s="19" t="s">
        <v>32</v>
      </c>
      <c r="P3" s="15">
        <f>ROUND((I3-A3)*24,2)</f>
        <v>2.63</v>
      </c>
      <c r="Q3" s="15">
        <f>L3-J3</f>
        <v>166</v>
      </c>
      <c r="R3" s="15">
        <f>T3-S3</f>
        <v>30</v>
      </c>
      <c r="S3" s="15">
        <f>INT(J3*K3)</f>
        <v>1349</v>
      </c>
      <c r="T3" s="15">
        <f>INT(L3*M3)</f>
        <v>1379</v>
      </c>
      <c r="U3" s="16">
        <f>R3/Q3</f>
        <v>0.18072289156626506</v>
      </c>
      <c r="V3" s="17">
        <f>H3/Q3/N3</f>
        <v>0.92469879518072284</v>
      </c>
      <c r="X3" s="3" t="s">
        <v>30</v>
      </c>
    </row>
    <row r="4" spans="1:24" s="2" customFormat="1" ht="14">
      <c r="A4" s="4">
        <v>42925.631249999999</v>
      </c>
      <c r="B4" s="2" t="s">
        <v>35</v>
      </c>
      <c r="C4" s="2" t="s">
        <v>41</v>
      </c>
      <c r="D4" s="5">
        <v>300</v>
      </c>
      <c r="E4" s="9">
        <v>367</v>
      </c>
      <c r="F4" s="18"/>
      <c r="G4" s="9">
        <f>F4-D4</f>
        <v>-300</v>
      </c>
      <c r="H4" s="6">
        <f>IF(E4&gt;D4,INT((E4-D4)*0.95),E4-D4)</f>
        <v>63</v>
      </c>
      <c r="I4" s="8">
        <v>42925.811805555553</v>
      </c>
      <c r="J4" s="6">
        <v>1509</v>
      </c>
      <c r="K4" s="6">
        <v>0.71</v>
      </c>
      <c r="L4" s="6">
        <v>1753</v>
      </c>
      <c r="M4" s="6">
        <v>0.64</v>
      </c>
      <c r="N4" s="6">
        <v>2</v>
      </c>
      <c r="O4" s="19" t="s">
        <v>32</v>
      </c>
      <c r="P4" s="15">
        <f>ROUND((I4-A4)*24,2)</f>
        <v>4.33</v>
      </c>
      <c r="Q4" s="15">
        <f>L4-J4</f>
        <v>244</v>
      </c>
      <c r="R4" s="15">
        <f>T4-S4</f>
        <v>50</v>
      </c>
      <c r="S4" s="15">
        <f>INT(J4*K4)</f>
        <v>1071</v>
      </c>
      <c r="T4" s="15">
        <f>INT(L4*M4)</f>
        <v>1121</v>
      </c>
      <c r="U4" s="16">
        <f>R4/Q4</f>
        <v>0.20491803278688525</v>
      </c>
      <c r="V4" s="17">
        <f>H4/Q4/N4</f>
        <v>0.12909836065573771</v>
      </c>
      <c r="X4" s="3" t="s">
        <v>34</v>
      </c>
    </row>
    <row r="5" spans="1:24">
      <c r="B5" t="s">
        <v>37</v>
      </c>
      <c r="X5" s="1">
        <v>18606515723</v>
      </c>
    </row>
    <row r="6" spans="1:24">
      <c r="B6" t="s">
        <v>38</v>
      </c>
      <c r="X6" s="1" t="s">
        <v>39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tabSelected="1" workbookViewId="0">
      <selection activeCell="G28" sqref="G28"/>
    </sheetView>
  </sheetViews>
  <sheetFormatPr baseColWidth="10" defaultRowHeight="15" x14ac:dyDescent="0"/>
  <cols>
    <col min="1" max="1" width="10.83203125" style="22"/>
    <col min="2" max="3" width="10.83203125" style="26"/>
    <col min="4" max="4" width="17.6640625" customWidth="1"/>
    <col min="5" max="6" width="11.5" style="24" customWidth="1"/>
    <col min="7" max="7" width="14.5" style="24" customWidth="1"/>
    <col min="8" max="8" width="12.5" customWidth="1"/>
    <col min="9" max="9" width="15.5" customWidth="1"/>
    <col min="10" max="10" width="10.5" customWidth="1"/>
    <col min="11" max="11" width="16.5" customWidth="1"/>
    <col min="12" max="12" width="17.5" customWidth="1"/>
    <col min="13" max="13" width="7.5" customWidth="1"/>
    <col min="14" max="14" width="12.5" customWidth="1"/>
    <col min="15" max="15" width="5.5" customWidth="1"/>
    <col min="16" max="16" width="7.5" customWidth="1"/>
    <col min="17" max="17" width="15.5" customWidth="1"/>
    <col min="18" max="18" width="5.5" customWidth="1"/>
    <col min="19" max="19" width="7.5" customWidth="1"/>
    <col min="20" max="20" width="10.5" customWidth="1"/>
    <col min="21" max="21" width="5.5" customWidth="1"/>
    <col min="22" max="22" width="7.5" customWidth="1"/>
    <col min="23" max="23" width="16.5" bestFit="1" customWidth="1"/>
    <col min="24" max="24" width="5.5" customWidth="1"/>
    <col min="25" max="25" width="7.5" customWidth="1"/>
    <col min="26" max="26" width="17.5" bestFit="1" customWidth="1"/>
    <col min="27" max="27" width="5.5" customWidth="1"/>
    <col min="28" max="28" width="7.5" customWidth="1"/>
    <col min="29" max="30" width="16.5" bestFit="1" customWidth="1"/>
    <col min="31" max="31" width="19.5" bestFit="1" customWidth="1"/>
    <col min="32" max="32" width="17.5" bestFit="1" customWidth="1"/>
    <col min="33" max="33" width="20.5" bestFit="1" customWidth="1"/>
    <col min="34" max="34" width="15.5" bestFit="1" customWidth="1"/>
    <col min="35" max="35" width="21.5" bestFit="1" customWidth="1"/>
    <col min="36" max="36" width="22.5" bestFit="1" customWidth="1"/>
  </cols>
  <sheetData>
    <row r="3" spans="1:12">
      <c r="E3" s="23" t="s">
        <v>48</v>
      </c>
      <c r="H3" s="24"/>
      <c r="I3" s="24"/>
      <c r="J3" s="24"/>
      <c r="K3" s="24"/>
      <c r="L3" s="24"/>
    </row>
    <row r="4" spans="1:12">
      <c r="A4" s="22" t="s">
        <v>69</v>
      </c>
      <c r="B4" s="26" t="s">
        <v>70</v>
      </c>
      <c r="C4" s="26" t="s">
        <v>71</v>
      </c>
      <c r="D4" s="10" t="s">
        <v>45</v>
      </c>
      <c r="E4" s="24" t="s">
        <v>47</v>
      </c>
      <c r="F4" s="24" t="s">
        <v>49</v>
      </c>
      <c r="G4" s="24" t="s">
        <v>54</v>
      </c>
      <c r="H4" t="s">
        <v>50</v>
      </c>
      <c r="I4" t="s">
        <v>51</v>
      </c>
      <c r="J4" t="s">
        <v>53</v>
      </c>
      <c r="K4" t="s">
        <v>52</v>
      </c>
      <c r="L4" t="s">
        <v>72</v>
      </c>
    </row>
    <row r="5" spans="1:12">
      <c r="A5" s="22">
        <f>F5/E5</f>
        <v>0.19878603945371776</v>
      </c>
      <c r="B5" s="26">
        <f>G5/$D$6/L5</f>
        <v>23.210161662817551</v>
      </c>
      <c r="C5" s="26">
        <f>G5/E5*100</f>
        <v>30.500758725341427</v>
      </c>
      <c r="D5" s="11">
        <v>42925.631249999999</v>
      </c>
      <c r="E5" s="25">
        <v>659</v>
      </c>
      <c r="F5" s="25">
        <v>131</v>
      </c>
      <c r="G5" s="25">
        <v>201</v>
      </c>
      <c r="H5" s="13">
        <v>1000</v>
      </c>
      <c r="I5" s="13">
        <v>1217</v>
      </c>
      <c r="J5" s="13">
        <v>196</v>
      </c>
      <c r="K5" s="13">
        <v>1201</v>
      </c>
      <c r="L5" s="13">
        <v>4.33</v>
      </c>
    </row>
    <row r="6" spans="1:12">
      <c r="A6" s="22">
        <f>F6/E6</f>
        <v>0.19878603945371776</v>
      </c>
      <c r="B6" s="26">
        <f t="shared" ref="B6:B9" si="0">G6/$D$6/L6</f>
        <v>23.210161662817551</v>
      </c>
      <c r="C6" s="26">
        <f t="shared" ref="C6:C9" si="1">G6/E6*100</f>
        <v>30.500758725341427</v>
      </c>
      <c r="D6" s="14">
        <v>2</v>
      </c>
      <c r="E6" s="25">
        <v>659</v>
      </c>
      <c r="F6" s="25">
        <v>131</v>
      </c>
      <c r="G6" s="25">
        <v>201</v>
      </c>
      <c r="H6" s="13">
        <v>1000</v>
      </c>
      <c r="I6" s="13">
        <v>1217</v>
      </c>
      <c r="J6" s="13">
        <v>196</v>
      </c>
      <c r="K6" s="13">
        <v>1201</v>
      </c>
      <c r="L6" s="13">
        <v>4.33</v>
      </c>
    </row>
    <row r="7" spans="1:12">
      <c r="A7" s="22">
        <f>F7/E7</f>
        <v>0.18072289156626506</v>
      </c>
      <c r="B7" s="26">
        <f t="shared" si="0"/>
        <v>58.555133079847913</v>
      </c>
      <c r="C7" s="26">
        <f t="shared" si="1"/>
        <v>185.54216867469879</v>
      </c>
      <c r="D7" s="27" t="s">
        <v>55</v>
      </c>
      <c r="E7" s="25">
        <v>166</v>
      </c>
      <c r="F7" s="25">
        <v>30</v>
      </c>
      <c r="G7" s="25">
        <v>308</v>
      </c>
      <c r="H7" s="13">
        <v>200</v>
      </c>
      <c r="I7" s="13">
        <v>524</v>
      </c>
      <c r="J7" s="13">
        <v>307</v>
      </c>
      <c r="K7" s="13">
        <v>508</v>
      </c>
      <c r="L7" s="13">
        <v>2.63</v>
      </c>
    </row>
    <row r="8" spans="1:12">
      <c r="A8" s="22">
        <f>F8/E8</f>
        <v>0.20481927710843373</v>
      </c>
      <c r="B8" s="26">
        <f t="shared" si="0"/>
        <v>-20.374707259953162</v>
      </c>
      <c r="C8" s="26">
        <f t="shared" si="1"/>
        <v>-69.879518072289159</v>
      </c>
      <c r="D8" s="27" t="s">
        <v>56</v>
      </c>
      <c r="E8" s="25">
        <v>249</v>
      </c>
      <c r="F8" s="25">
        <v>51</v>
      </c>
      <c r="G8" s="25">
        <v>-174</v>
      </c>
      <c r="H8" s="13">
        <v>500</v>
      </c>
      <c r="I8" s="13">
        <v>326</v>
      </c>
      <c r="J8" s="13">
        <v>-174</v>
      </c>
      <c r="K8" s="13">
        <v>326</v>
      </c>
      <c r="L8" s="13">
        <v>4.2699999999999996</v>
      </c>
    </row>
    <row r="9" spans="1:12">
      <c r="A9" s="22">
        <f>F9/E9</f>
        <v>0.20491803278688525</v>
      </c>
      <c r="B9" s="26">
        <f t="shared" si="0"/>
        <v>7.7367205542725168</v>
      </c>
      <c r="C9" s="26">
        <f t="shared" si="1"/>
        <v>27.459016393442624</v>
      </c>
      <c r="D9" s="27" t="s">
        <v>40</v>
      </c>
      <c r="E9" s="25">
        <v>244</v>
      </c>
      <c r="F9" s="25">
        <v>50</v>
      </c>
      <c r="G9" s="25">
        <v>67</v>
      </c>
      <c r="H9" s="13">
        <v>300</v>
      </c>
      <c r="I9" s="13">
        <v>367</v>
      </c>
      <c r="J9" s="13">
        <v>63</v>
      </c>
      <c r="K9" s="13">
        <v>367</v>
      </c>
      <c r="L9" s="13">
        <v>4.33</v>
      </c>
    </row>
    <row r="10" spans="1:12">
      <c r="A10" s="22">
        <f>F10/E10</f>
        <v>0.19878603945371776</v>
      </c>
      <c r="B10" s="26">
        <f>G10/$D$6/L10</f>
        <v>23.210161662817551</v>
      </c>
      <c r="C10" s="26">
        <f>G10/E10*100</f>
        <v>30.500758725341427</v>
      </c>
      <c r="D10" s="12" t="s">
        <v>46</v>
      </c>
      <c r="E10" s="25">
        <v>659</v>
      </c>
      <c r="F10" s="25">
        <v>131</v>
      </c>
      <c r="G10" s="25">
        <v>201</v>
      </c>
      <c r="H10" s="13">
        <v>1000</v>
      </c>
      <c r="I10" s="13">
        <v>1217</v>
      </c>
      <c r="J10" s="13">
        <v>196</v>
      </c>
      <c r="K10" s="13">
        <v>1201</v>
      </c>
      <c r="L10" s="13">
        <v>4.33</v>
      </c>
    </row>
    <row r="11" spans="1:12">
      <c r="E11"/>
      <c r="F11"/>
      <c r="G11"/>
    </row>
    <row r="12" spans="1:12">
      <c r="E12"/>
      <c r="F12"/>
      <c r="G12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rec</vt:lpstr>
      <vt:lpstr>tips</vt:lpstr>
      <vt:lpstr>tmplt</vt:lpstr>
      <vt:lpstr>sum_tmplt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</dc:creator>
  <cp:lastModifiedBy>Van</cp:lastModifiedBy>
  <dcterms:created xsi:type="dcterms:W3CDTF">2017-07-08T07:05:05Z</dcterms:created>
  <dcterms:modified xsi:type="dcterms:W3CDTF">2017-07-09T12:33:41Z</dcterms:modified>
</cp:coreProperties>
</file>